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10.2.21.165\共有フォルダ\助成G\R5\09 10月以降に向けて\様式\"/>
    </mc:Choice>
  </mc:AlternateContent>
  <xr:revisionPtr revIDLastSave="0" documentId="13_ncr:1_{D8072F0D-41B3-42F6-B41B-7638E712DE6D}" xr6:coauthVersionLast="47" xr6:coauthVersionMax="47" xr10:uidLastSave="{00000000-0000-0000-0000-000000000000}"/>
  <workbookProtection workbookAlgorithmName="SHA-512" workbookHashValue="PHsh0AQm4p6yArsKk5FPZ6zbzUAduzvnsyblIFo6GthGL1GVakZQCroBSpkzgTBBOBw4y4csJO0/DRNIElfSUA==" workbookSaltValue="DvHQGpZfeb85hYn6mQmT3Q==" workbookSpinCount="100000" lockStructure="1"/>
  <bookViews>
    <workbookView xWindow="-120" yWindow="-120" windowWidth="29040" windowHeight="15840" tabRatio="873" firstSheet="1" activeTab="1" xr2:uid="{DDC64542-1AEB-44FD-A040-334E77CACB17}"/>
  </bookViews>
  <sheets>
    <sheet name="テーブル" sheetId="18" state="hidden" r:id="rId1"/>
    <sheet name="はじめに入力してください" sheetId="12" r:id="rId2"/>
    <sheet name="《基礎情報》" sheetId="24" state="hidden" r:id="rId3"/>
    <sheet name="基礎情報" sheetId="26" r:id="rId4"/>
    <sheet name="振込先情報" sheetId="17" r:id="rId5"/>
    <sheet name="請求書" sheetId="20" state="hidden" r:id="rId6"/>
    <sheet name="表紙" sheetId="3" r:id="rId7"/>
    <sheet name="経費書" sheetId="2" r:id="rId8"/>
    <sheet name="額内訳書" sheetId="1" r:id="rId9"/>
    <sheet name="歳入歳出抄本" sheetId="15" r:id="rId10"/>
    <sheet name="各種明細→" sheetId="27" r:id="rId11"/>
    <sheet name="防護具" sheetId="4" r:id="rId12"/>
    <sheet name="消毒" sheetId="25" state="hidden" r:id="rId13"/>
    <sheet name="増減推移" sheetId="31" r:id="rId14"/>
    <sheet name="消毒積算" sheetId="29" state="hidden" r:id="rId15"/>
    <sheet name="空清機・パーテ・ベッド" sheetId="21" r:id="rId16"/>
    <sheet name="診療室" sheetId="5" r:id="rId17"/>
    <sheet name="リスト" sheetId="19" state="hidden" r:id="rId18"/>
  </sheets>
  <definedNames>
    <definedName name="_xlnm._FilterDatabase" localSheetId="17" hidden="1">リスト!$A$2:$BS$653</definedName>
    <definedName name="_xlnm.Print_Area" localSheetId="2">《基礎情報》!$A$1:$AY$150</definedName>
    <definedName name="_xlnm.Print_Area" localSheetId="0">テーブル!$A$1:$O$46</definedName>
    <definedName name="_xlnm.Print_Area" localSheetId="1">はじめに入力してください!$B$1:$AC$54</definedName>
    <definedName name="_xlnm.Print_Area" localSheetId="17">リスト!$A$1:$BQ$778</definedName>
    <definedName name="_xlnm.Print_Area" localSheetId="8">額内訳書!$A$1:$R$14</definedName>
    <definedName name="_xlnm.Print_Area" localSheetId="3">基礎情報!$A$1:$AY$150</definedName>
    <definedName name="_xlnm.Print_Area" localSheetId="15">空清機・パーテ・ベッド!$A$1:$AM$57</definedName>
    <definedName name="_xlnm.Print_Area" localSheetId="7">経費書!$A$1:$L$21</definedName>
    <definedName name="_xlnm.Print_Area" localSheetId="9">歳入歳出抄本!$A$1:$I$44</definedName>
    <definedName name="_xlnm.Print_Area" localSheetId="12">消毒!$A$1:$S$66</definedName>
    <definedName name="_xlnm.Print_Area" localSheetId="14">消毒積算!$A$2:$AK$77</definedName>
    <definedName name="_xlnm.Print_Area" localSheetId="4">振込先情報!$A$2:$AJ$69</definedName>
    <definedName name="_xlnm.Print_Area" localSheetId="16">診療室!$A$1:$O$71</definedName>
    <definedName name="_xlnm.Print_Area" localSheetId="5">請求書!$A$1:$J$46</definedName>
    <definedName name="_xlnm.Print_Area" localSheetId="6">表紙!$A$2:$S$46</definedName>
    <definedName name="_xlnm.Print_Area" localSheetId="11">防護具!$A$1:$V$78</definedName>
    <definedName name="_xlnm.Print_Titles" localSheetId="8">額内訳書!$2:$5</definedName>
    <definedName name="ガウン">テーブル!$I$9:$I$11</definedName>
    <definedName name="キャップ">テーブル!$K$9</definedName>
    <definedName name="グローブ">テーブル!$H$9:$H$10</definedName>
    <definedName name="ゴーグル">テーブル!$J$9:$J$11</definedName>
    <definedName name="フェイスシールド">テーブル!$L$9:$L$12</definedName>
    <definedName name="マスク">テーブル!$G$9:$G$12</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3" i="21" l="1"/>
  <c r="AG23" i="21"/>
  <c r="K7" i="2"/>
  <c r="B23" i="3"/>
  <c r="B24" i="3"/>
  <c r="W31" i="4"/>
  <c r="W49" i="4"/>
  <c r="W50" i="4"/>
  <c r="W51" i="4"/>
  <c r="W52" i="4"/>
  <c r="W53" i="4"/>
  <c r="W54" i="4"/>
  <c r="W55" i="4"/>
  <c r="W56"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5" i="4"/>
  <c r="W86" i="4"/>
  <c r="W87" i="4"/>
  <c r="W88" i="4"/>
  <c r="W89" i="4"/>
  <c r="W90" i="4"/>
  <c r="W91" i="4"/>
  <c r="W92" i="4"/>
  <c r="W93" i="4"/>
  <c r="W94" i="4"/>
  <c r="W95" i="4"/>
  <c r="W96" i="4"/>
  <c r="W97" i="4"/>
  <c r="W98" i="4"/>
  <c r="W99" i="4"/>
  <c r="W100" i="4"/>
  <c r="W101" i="4"/>
  <c r="W102" i="4"/>
  <c r="W103" i="4"/>
  <c r="W104" i="4"/>
  <c r="W105" i="4"/>
  <c r="W106" i="4"/>
  <c r="W107" i="4"/>
  <c r="W108" i="4"/>
  <c r="W109" i="4"/>
  <c r="W110" i="4"/>
  <c r="W111" i="4"/>
  <c r="W112" i="4"/>
  <c r="W113" i="4"/>
  <c r="W114" i="4"/>
  <c r="W115" i="4"/>
  <c r="W116" i="4"/>
  <c r="W117" i="4"/>
  <c r="W118" i="4"/>
  <c r="W119" i="4"/>
  <c r="W120" i="4"/>
  <c r="W121" i="4"/>
  <c r="W122" i="4"/>
  <c r="W123" i="4"/>
  <c r="W124" i="4"/>
  <c r="W125" i="4"/>
  <c r="W126" i="4"/>
  <c r="W127" i="4"/>
  <c r="W128" i="4"/>
  <c r="W129" i="4"/>
  <c r="W130" i="4"/>
  <c r="W131" i="4"/>
  <c r="W132" i="4"/>
  <c r="W133" i="4"/>
  <c r="W134" i="4"/>
  <c r="W135" i="4"/>
  <c r="W136" i="4"/>
  <c r="W137" i="4"/>
  <c r="W138" i="4"/>
  <c r="W139" i="4"/>
  <c r="W140" i="4"/>
  <c r="W141" i="4"/>
  <c r="W142" i="4"/>
  <c r="W143" i="4"/>
  <c r="W144" i="4"/>
  <c r="W145" i="4"/>
  <c r="W146" i="4"/>
  <c r="W147" i="4"/>
  <c r="W148" i="4"/>
  <c r="W149" i="4"/>
  <c r="W150" i="4"/>
  <c r="W151" i="4"/>
  <c r="W152" i="4"/>
  <c r="W153" i="4"/>
  <c r="W154" i="4"/>
  <c r="W155" i="4"/>
  <c r="W156" i="4"/>
  <c r="W157" i="4"/>
  <c r="W158" i="4"/>
  <c r="W159" i="4"/>
  <c r="W160" i="4"/>
  <c r="W161" i="4"/>
  <c r="W162" i="4"/>
  <c r="W163" i="4"/>
  <c r="AF12" i="12"/>
  <c r="O12" i="12" s="1"/>
  <c r="AB2" i="17"/>
  <c r="O2" i="3"/>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C7" i="31"/>
  <c r="C28" i="31"/>
  <c r="AF82" i="26"/>
  <c r="F29" i="31"/>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31" i="4"/>
  <c r="P12" i="12" l="1"/>
  <c r="AD8" i="15" l="1"/>
  <c r="AD6" i="15"/>
  <c r="AB8" i="15"/>
  <c r="AB6" i="15"/>
  <c r="Q15" i="4"/>
  <c r="Q16" i="4"/>
  <c r="Q17" i="4"/>
  <c r="Q18" i="4"/>
  <c r="Q19" i="4"/>
  <c r="Q20" i="4"/>
  <c r="Q21" i="4"/>
  <c r="Q22" i="4"/>
  <c r="Q23" i="4"/>
  <c r="Q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128" i="4"/>
  <c r="Q129" i="4"/>
  <c r="Q130" i="4"/>
  <c r="Q131" i="4"/>
  <c r="Q132" i="4"/>
  <c r="Q133" i="4"/>
  <c r="Q134" i="4"/>
  <c r="Q135" i="4"/>
  <c r="Q136" i="4"/>
  <c r="Q137" i="4"/>
  <c r="Q138" i="4"/>
  <c r="Q139" i="4"/>
  <c r="Q140" i="4"/>
  <c r="Q141" i="4"/>
  <c r="Q142" i="4"/>
  <c r="Q143" i="4"/>
  <c r="Q144" i="4"/>
  <c r="Q145" i="4"/>
  <c r="Q146" i="4"/>
  <c r="Q147" i="4"/>
  <c r="Q148" i="4"/>
  <c r="Q149" i="4"/>
  <c r="Q150" i="4"/>
  <c r="Q151" i="4"/>
  <c r="Q152" i="4"/>
  <c r="Q153" i="4"/>
  <c r="Q154" i="4"/>
  <c r="Q155" i="4"/>
  <c r="Q156" i="4"/>
  <c r="Q157" i="4"/>
  <c r="Q158" i="4"/>
  <c r="Q159" i="4"/>
  <c r="Q160" i="4"/>
  <c r="Q161" i="4"/>
  <c r="Q162" i="4"/>
  <c r="Q163" i="4"/>
  <c r="Q14" i="4"/>
  <c r="B10" i="1" l="1"/>
  <c r="B13" i="2"/>
  <c r="AS122" i="25"/>
  <c r="AS121" i="25"/>
  <c r="AN27" i="29"/>
  <c r="A15" i="20"/>
  <c r="L12" i="25"/>
  <c r="L12" i="4"/>
  <c r="P24" i="12"/>
  <c r="A11" i="25"/>
  <c r="A45" i="20"/>
  <c r="A44" i="20"/>
  <c r="A43" i="20"/>
  <c r="A40" i="20"/>
  <c r="A39" i="20"/>
  <c r="A38" i="20"/>
  <c r="A35" i="20"/>
  <c r="A11" i="4"/>
  <c r="AX24" i="25"/>
  <c r="AX23" i="25"/>
  <c r="M5" i="2"/>
  <c r="G10" i="20"/>
  <c r="G9" i="20"/>
  <c r="G8" i="20"/>
  <c r="G6" i="20"/>
  <c r="G1" i="20"/>
  <c r="E15" i="18"/>
  <c r="D15" i="18"/>
  <c r="C15" i="18"/>
  <c r="R14" i="25" l="1"/>
  <c r="R15" i="25"/>
  <c r="R17" i="25"/>
  <c r="C20" i="31"/>
  <c r="C19" i="31"/>
  <c r="C17" i="31"/>
  <c r="C19" i="4" l="1"/>
  <c r="F23" i="31"/>
  <c r="AH17" i="4"/>
  <c r="AH16" i="4"/>
  <c r="AH15" i="4"/>
  <c r="AH14" i="4"/>
  <c r="AH13" i="4"/>
  <c r="AH12" i="4"/>
  <c r="AG13" i="4"/>
  <c r="O14" i="25" l="1"/>
  <c r="I74" i="29" l="1"/>
  <c r="AO27" i="29"/>
  <c r="M65" i="29"/>
  <c r="L65" i="29"/>
  <c r="M64" i="29"/>
  <c r="M63" i="29"/>
  <c r="L64" i="29"/>
  <c r="L63" i="29"/>
  <c r="AN28" i="29" l="1"/>
  <c r="AO28" i="29" s="1"/>
  <c r="B52" i="29"/>
  <c r="E13" i="18"/>
  <c r="D13" i="18"/>
  <c r="E10" i="18"/>
  <c r="E9" i="18"/>
  <c r="D10" i="18"/>
  <c r="C10" i="18"/>
  <c r="C9" i="18"/>
  <c r="D9" i="18"/>
  <c r="B58" i="29" l="1"/>
  <c r="B1" i="1"/>
  <c r="B1" i="2"/>
  <c r="B19" i="3" l="1"/>
  <c r="M48" i="26"/>
  <c r="E2" i="31" s="1"/>
  <c r="B1" i="15"/>
  <c r="B2" i="1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53" i="25"/>
  <c r="B54" i="25"/>
  <c r="B55" i="25"/>
  <c r="B56" i="25"/>
  <c r="B57" i="25"/>
  <c r="B58" i="25"/>
  <c r="B59" i="25"/>
  <c r="B60" i="25"/>
  <c r="B61" i="25"/>
  <c r="B62" i="25"/>
  <c r="B63" i="25"/>
  <c r="B64" i="25"/>
  <c r="B65" i="25"/>
  <c r="B66" i="25"/>
  <c r="B67" i="25"/>
  <c r="B68" i="25"/>
  <c r="B69" i="25"/>
  <c r="B70" i="25"/>
  <c r="B71" i="25"/>
  <c r="B72" i="25"/>
  <c r="B73" i="25"/>
  <c r="B74" i="25"/>
  <c r="B75" i="25"/>
  <c r="B76" i="25"/>
  <c r="B77" i="25"/>
  <c r="B78" i="25"/>
  <c r="B79" i="25"/>
  <c r="B80" i="25"/>
  <c r="B81" i="25"/>
  <c r="B82" i="25"/>
  <c r="B83" i="25"/>
  <c r="B84" i="25"/>
  <c r="B85" i="25"/>
  <c r="B86" i="25"/>
  <c r="B87" i="25"/>
  <c r="B88" i="25"/>
  <c r="B89" i="25"/>
  <c r="B90" i="25"/>
  <c r="B91" i="25"/>
  <c r="B92" i="25"/>
  <c r="B93" i="25"/>
  <c r="B94" i="25"/>
  <c r="B95" i="25"/>
  <c r="B96" i="25"/>
  <c r="B97" i="25"/>
  <c r="B98" i="25"/>
  <c r="B99" i="25"/>
  <c r="B100" i="25"/>
  <c r="B101" i="25"/>
  <c r="B102" i="25"/>
  <c r="B103" i="25"/>
  <c r="B104" i="25"/>
  <c r="B105" i="25"/>
  <c r="B106" i="25"/>
  <c r="B107" i="25"/>
  <c r="B108" i="25"/>
  <c r="B109" i="25"/>
  <c r="B110" i="25"/>
  <c r="B111" i="25"/>
  <c r="B112" i="25"/>
  <c r="B113" i="25"/>
  <c r="B16" i="25"/>
  <c r="B17" i="25"/>
  <c r="B18" i="25"/>
  <c r="B19" i="25"/>
  <c r="B15" i="25"/>
  <c r="A175" i="31" l="1"/>
  <c r="A176" i="31"/>
  <c r="A174" i="31"/>
  <c r="A96" i="31"/>
  <c r="F96" i="31" s="1"/>
  <c r="B23" i="31"/>
  <c r="A100" i="31"/>
  <c r="B100" i="31" s="1"/>
  <c r="A103" i="31"/>
  <c r="B103" i="31" s="1"/>
  <c r="A104" i="31"/>
  <c r="B104" i="31" s="1"/>
  <c r="A105" i="31"/>
  <c r="B105" i="31" s="1"/>
  <c r="A106" i="31"/>
  <c r="B106" i="31" s="1"/>
  <c r="A107" i="31"/>
  <c r="B107" i="31" s="1"/>
  <c r="R48" i="26"/>
  <c r="A120" i="31" s="1"/>
  <c r="B120" i="31" s="1"/>
  <c r="AL48" i="26"/>
  <c r="A171" i="31" s="1"/>
  <c r="B171" i="31" s="1"/>
  <c r="AG48" i="26"/>
  <c r="A152" i="31" s="1"/>
  <c r="B152" i="31" s="1"/>
  <c r="AB48" i="26"/>
  <c r="A184" i="31" s="1"/>
  <c r="W48" i="26"/>
  <c r="A129" i="31" s="1"/>
  <c r="B129" i="31" s="1"/>
  <c r="BP48" i="26"/>
  <c r="AT79" i="29"/>
  <c r="O19" i="12"/>
  <c r="B26" i="3"/>
  <c r="BP86" i="26"/>
  <c r="BU50" i="26"/>
  <c r="BT50" i="26"/>
  <c r="BS50" i="26"/>
  <c r="BR50" i="26"/>
  <c r="BQ50" i="26"/>
  <c r="BQ52" i="26"/>
  <c r="BR52" i="26"/>
  <c r="BS52" i="26"/>
  <c r="BT52" i="26"/>
  <c r="BU52" i="26"/>
  <c r="BP52" i="26"/>
  <c r="BP50" i="26"/>
  <c r="B5" i="26"/>
  <c r="B7" i="26"/>
  <c r="P25" i="12"/>
  <c r="O25" i="12"/>
  <c r="O24" i="12"/>
  <c r="P23" i="12"/>
  <c r="O23" i="12"/>
  <c r="P22" i="12"/>
  <c r="O22" i="12"/>
  <c r="P21" i="12"/>
  <c r="O21" i="12"/>
  <c r="P20" i="12"/>
  <c r="O20" i="12"/>
  <c r="P19" i="12"/>
  <c r="A168" i="31" l="1"/>
  <c r="B168" i="31" s="1"/>
  <c r="A185" i="31"/>
  <c r="A143" i="31"/>
  <c r="B143" i="31" s="1"/>
  <c r="A165" i="31"/>
  <c r="B165" i="31" s="1"/>
  <c r="A135" i="31"/>
  <c r="B135" i="31" s="1"/>
  <c r="A133" i="31"/>
  <c r="B133" i="31" s="1"/>
  <c r="A131" i="31"/>
  <c r="B131" i="31" s="1"/>
  <c r="A128" i="31"/>
  <c r="B128" i="31" s="1"/>
  <c r="A142" i="31"/>
  <c r="B142" i="31" s="1"/>
  <c r="A158" i="31"/>
  <c r="B158" i="31" s="1"/>
  <c r="A156" i="31"/>
  <c r="B156" i="31" s="1"/>
  <c r="A169" i="31"/>
  <c r="B169" i="31" s="1"/>
  <c r="A167" i="31"/>
  <c r="B167" i="31" s="1"/>
  <c r="A183" i="31"/>
  <c r="A186" i="31"/>
  <c r="A132" i="31"/>
  <c r="B132" i="31" s="1"/>
  <c r="A130" i="31"/>
  <c r="B130" i="31" s="1"/>
  <c r="A159" i="31"/>
  <c r="B159" i="31" s="1"/>
  <c r="A157" i="31"/>
  <c r="B157" i="31" s="1"/>
  <c r="A154" i="31"/>
  <c r="B154" i="31" s="1"/>
  <c r="A148" i="31"/>
  <c r="F100" i="31" s="1"/>
  <c r="A115" i="31"/>
  <c r="B115" i="31" s="1"/>
  <c r="A113" i="31"/>
  <c r="B113" i="31" s="1"/>
  <c r="A155" i="31"/>
  <c r="B155" i="31" s="1"/>
  <c r="A187" i="31"/>
  <c r="A111" i="31"/>
  <c r="B111" i="31" s="1"/>
  <c r="G2" i="31"/>
  <c r="A122" i="31"/>
  <c r="B122" i="31" s="1"/>
  <c r="I2" i="31"/>
  <c r="A119" i="31"/>
  <c r="B119" i="31" s="1"/>
  <c r="A126" i="31"/>
  <c r="B126" i="31" s="1"/>
  <c r="A147" i="31"/>
  <c r="B147" i="31" s="1"/>
  <c r="K2" i="31"/>
  <c r="A118" i="31"/>
  <c r="B118" i="31" s="1"/>
  <c r="A146" i="31"/>
  <c r="B146" i="31" s="1"/>
  <c r="A172" i="31"/>
  <c r="B172" i="31" s="1"/>
  <c r="A109" i="31"/>
  <c r="F97" i="31" s="1"/>
  <c r="A160" i="31"/>
  <c r="B160" i="31" s="1"/>
  <c r="M2" i="31"/>
  <c r="A117" i="31"/>
  <c r="B117" i="31" s="1"/>
  <c r="A145" i="31"/>
  <c r="B145" i="31" s="1"/>
  <c r="A177" i="31"/>
  <c r="A190" i="31"/>
  <c r="O2" i="31"/>
  <c r="A116" i="31"/>
  <c r="B116" i="31" s="1"/>
  <c r="A144" i="31"/>
  <c r="B144" i="31" s="1"/>
  <c r="A170" i="31"/>
  <c r="B170" i="31" s="1"/>
  <c r="A178" i="31"/>
  <c r="A102" i="31"/>
  <c r="B102" i="31" s="1"/>
  <c r="A141" i="31"/>
  <c r="B141" i="31" s="1"/>
  <c r="A101" i="31"/>
  <c r="B101" i="31" s="1"/>
  <c r="A114" i="31"/>
  <c r="B114" i="31" s="1"/>
  <c r="A127" i="31"/>
  <c r="B127" i="31" s="1"/>
  <c r="A140" i="31"/>
  <c r="B140" i="31" s="1"/>
  <c r="A153" i="31"/>
  <c r="B153" i="31" s="1"/>
  <c r="A166" i="31"/>
  <c r="B166" i="31" s="1"/>
  <c r="A179" i="31"/>
  <c r="A188" i="31"/>
  <c r="A99" i="31"/>
  <c r="B99" i="31" s="1"/>
  <c r="A112" i="31"/>
  <c r="B112" i="31" s="1"/>
  <c r="A125" i="31"/>
  <c r="B125" i="31" s="1"/>
  <c r="A138" i="31"/>
  <c r="B138" i="31" s="1"/>
  <c r="A151" i="31"/>
  <c r="B151" i="31" s="1"/>
  <c r="A164" i="31"/>
  <c r="B164" i="31" s="1"/>
  <c r="A180" i="31"/>
  <c r="A161" i="31"/>
  <c r="F101" i="31" s="1"/>
  <c r="A98" i="31"/>
  <c r="B98" i="31" s="1"/>
  <c r="A124" i="31"/>
  <c r="B124" i="31" s="1"/>
  <c r="A137" i="31"/>
  <c r="B137" i="31" s="1"/>
  <c r="A150" i="31"/>
  <c r="B150" i="31" s="1"/>
  <c r="A163" i="31"/>
  <c r="B163" i="31" s="1"/>
  <c r="A182" i="31"/>
  <c r="A189" i="31"/>
  <c r="A139" i="31"/>
  <c r="B139" i="31" s="1"/>
  <c r="A97" i="31"/>
  <c r="B97" i="31" s="1"/>
  <c r="A110" i="31"/>
  <c r="B110" i="31" s="1"/>
  <c r="A123" i="31"/>
  <c r="B123" i="31" s="1"/>
  <c r="A136" i="31"/>
  <c r="B136" i="31" s="1"/>
  <c r="A149" i="31"/>
  <c r="B149" i="31" s="1"/>
  <c r="A162" i="31"/>
  <c r="B162" i="31" s="1"/>
  <c r="A181" i="31"/>
  <c r="A191" i="31"/>
  <c r="A108" i="31"/>
  <c r="B108" i="31" s="1"/>
  <c r="A121" i="31"/>
  <c r="B121" i="31" s="1"/>
  <c r="A134" i="31"/>
  <c r="B134" i="31" s="1"/>
  <c r="A173" i="31"/>
  <c r="B173" i="31" s="1"/>
  <c r="B96" i="31"/>
  <c r="K4" i="1"/>
  <c r="G4" i="1"/>
  <c r="B2" i="1"/>
  <c r="M17" i="2"/>
  <c r="M15" i="2"/>
  <c r="M13" i="2"/>
  <c r="M11" i="2"/>
  <c r="M9" i="2"/>
  <c r="M7" i="2"/>
  <c r="F5" i="2"/>
  <c r="D5" i="2"/>
  <c r="H4" i="2"/>
  <c r="B2" i="2"/>
  <c r="AN53" i="3"/>
  <c r="B43" i="3"/>
  <c r="B35" i="3"/>
  <c r="C30" i="3"/>
  <c r="C31" i="3"/>
  <c r="B29" i="3"/>
  <c r="B28" i="3"/>
  <c r="B27" i="3"/>
  <c r="C20" i="3"/>
  <c r="C22" i="3"/>
  <c r="C21" i="3"/>
  <c r="B3" i="3"/>
  <c r="A14" i="3"/>
  <c r="B12" i="3"/>
  <c r="H1" i="2"/>
  <c r="C54" i="12"/>
  <c r="BS48" i="26"/>
  <c r="BR48" i="26"/>
  <c r="BQ48" i="26"/>
  <c r="C49" i="12"/>
  <c r="C48" i="12"/>
  <c r="C47" i="12"/>
  <c r="H18" i="12"/>
  <c r="C46" i="12"/>
  <c r="P18" i="12"/>
  <c r="O18" i="12"/>
  <c r="N18" i="12"/>
  <c r="C18" i="12"/>
  <c r="B161" i="31" l="1"/>
  <c r="B148" i="31"/>
  <c r="F99" i="31"/>
  <c r="F98" i="31"/>
  <c r="B109" i="31"/>
  <c r="BT48" i="26"/>
  <c r="BU48" i="26"/>
  <c r="AB33" i="5"/>
  <c r="Q33" i="5" s="1"/>
  <c r="AC33" i="5"/>
  <c r="AB34" i="5"/>
  <c r="Q34" i="5" s="1"/>
  <c r="AC34" i="5"/>
  <c r="AB35" i="5"/>
  <c r="AC35" i="5"/>
  <c r="AB36" i="5"/>
  <c r="AC36" i="5"/>
  <c r="AB37" i="5"/>
  <c r="AC37" i="5"/>
  <c r="AB38" i="5"/>
  <c r="AC38" i="5"/>
  <c r="AB39" i="5"/>
  <c r="AC39" i="5"/>
  <c r="AB40" i="5"/>
  <c r="AC40" i="5"/>
  <c r="AB41" i="5"/>
  <c r="AC41" i="5"/>
  <c r="AB42" i="5"/>
  <c r="AC42" i="5"/>
  <c r="AB43" i="5"/>
  <c r="AC43" i="5"/>
  <c r="AB44" i="5"/>
  <c r="AC44" i="5"/>
  <c r="AB45" i="5"/>
  <c r="AC45" i="5"/>
  <c r="AB46" i="5"/>
  <c r="AC46" i="5"/>
  <c r="AB47" i="5"/>
  <c r="AC47" i="5"/>
  <c r="AB48" i="5"/>
  <c r="AC48" i="5"/>
  <c r="AB49" i="5"/>
  <c r="AC49" i="5"/>
  <c r="AB50" i="5"/>
  <c r="AC50" i="5"/>
  <c r="AB51" i="5"/>
  <c r="AC51" i="5"/>
  <c r="AB52" i="5"/>
  <c r="AC52" i="5"/>
  <c r="AB53" i="5"/>
  <c r="AC53" i="5"/>
  <c r="AB54" i="5"/>
  <c r="AC54" i="5"/>
  <c r="AB55" i="5"/>
  <c r="AC55" i="5"/>
  <c r="AB56" i="5"/>
  <c r="AC56" i="5"/>
  <c r="AB57" i="5"/>
  <c r="AC57" i="5"/>
  <c r="AB58" i="5"/>
  <c r="AC58" i="5"/>
  <c r="AB59" i="5"/>
  <c r="AC59" i="5"/>
  <c r="AB60" i="5"/>
  <c r="AC60" i="5"/>
  <c r="AB61" i="5"/>
  <c r="AC61" i="5"/>
  <c r="AB62" i="5"/>
  <c r="AC62" i="5"/>
  <c r="AB63" i="5"/>
  <c r="AC63" i="5"/>
  <c r="AB64" i="5"/>
  <c r="AC64" i="5"/>
  <c r="AB65" i="5"/>
  <c r="AC65" i="5"/>
  <c r="AB66" i="5"/>
  <c r="AC66" i="5"/>
  <c r="AB67" i="5"/>
  <c r="AC67" i="5"/>
  <c r="AB68" i="5"/>
  <c r="AC68" i="5"/>
  <c r="AB69" i="5"/>
  <c r="AC69" i="5"/>
  <c r="AB70" i="5"/>
  <c r="AC70" i="5"/>
  <c r="AB71" i="5"/>
  <c r="AC71" i="5"/>
  <c r="AC32" i="5"/>
  <c r="AB32" i="5"/>
  <c r="Q32" i="5" s="1"/>
  <c r="AO15" i="4"/>
  <c r="AO16" i="4"/>
  <c r="AO17" i="4"/>
  <c r="AO18" i="4"/>
  <c r="AO19" i="4"/>
  <c r="AO20" i="4"/>
  <c r="AO21" i="4"/>
  <c r="AO22" i="4"/>
  <c r="AO23" i="4"/>
  <c r="AO24" i="4"/>
  <c r="AO25" i="4"/>
  <c r="AO26" i="4"/>
  <c r="AO27" i="4"/>
  <c r="AO28" i="4"/>
  <c r="AO29" i="4"/>
  <c r="AO30" i="4"/>
  <c r="AO31" i="4"/>
  <c r="AO32" i="4"/>
  <c r="AO33" i="4"/>
  <c r="AO34" i="4"/>
  <c r="AO35" i="4"/>
  <c r="AO36" i="4"/>
  <c r="AO37" i="4"/>
  <c r="AO38" i="4"/>
  <c r="AO39" i="4"/>
  <c r="AO40" i="4"/>
  <c r="AO41" i="4"/>
  <c r="AO42" i="4"/>
  <c r="AO43" i="4"/>
  <c r="AO44" i="4"/>
  <c r="AO45" i="4"/>
  <c r="AO46" i="4"/>
  <c r="AO47" i="4"/>
  <c r="AO48" i="4"/>
  <c r="AO49" i="4"/>
  <c r="AO50" i="4"/>
  <c r="AO51" i="4"/>
  <c r="AO52" i="4"/>
  <c r="AO53" i="4"/>
  <c r="AO54" i="4"/>
  <c r="AO55" i="4"/>
  <c r="AO56" i="4"/>
  <c r="AO57" i="4"/>
  <c r="AO58" i="4"/>
  <c r="AO59" i="4"/>
  <c r="AO60" i="4"/>
  <c r="AO61" i="4"/>
  <c r="AO62" i="4"/>
  <c r="AO63" i="4"/>
  <c r="AO64" i="4"/>
  <c r="AO65" i="4"/>
  <c r="AO66" i="4"/>
  <c r="AO67" i="4"/>
  <c r="AO68" i="4"/>
  <c r="AO69" i="4"/>
  <c r="AO70" i="4"/>
  <c r="AO71" i="4"/>
  <c r="AO72" i="4"/>
  <c r="AO73" i="4"/>
  <c r="AO74" i="4"/>
  <c r="AO75" i="4"/>
  <c r="AO76" i="4"/>
  <c r="AO77" i="4"/>
  <c r="AO78" i="4"/>
  <c r="AO79" i="4"/>
  <c r="AO80" i="4"/>
  <c r="AO81" i="4"/>
  <c r="AO82" i="4"/>
  <c r="AO83" i="4"/>
  <c r="AO84" i="4"/>
  <c r="AO85" i="4"/>
  <c r="AO86" i="4"/>
  <c r="AO87" i="4"/>
  <c r="AO88" i="4"/>
  <c r="AO89" i="4"/>
  <c r="AO90" i="4"/>
  <c r="AO91" i="4"/>
  <c r="AO92" i="4"/>
  <c r="AO93" i="4"/>
  <c r="AO94" i="4"/>
  <c r="AO95" i="4"/>
  <c r="AO96" i="4"/>
  <c r="AO97" i="4"/>
  <c r="AO98" i="4"/>
  <c r="AO99" i="4"/>
  <c r="AO100" i="4"/>
  <c r="AO101" i="4"/>
  <c r="AO102" i="4"/>
  <c r="AO103" i="4"/>
  <c r="AO104" i="4"/>
  <c r="AO105" i="4"/>
  <c r="AO106" i="4"/>
  <c r="AO107" i="4"/>
  <c r="AO108" i="4"/>
  <c r="AO109" i="4"/>
  <c r="AO110" i="4"/>
  <c r="AO111" i="4"/>
  <c r="AO112" i="4"/>
  <c r="AO113" i="4"/>
  <c r="AO114" i="4"/>
  <c r="AO115" i="4"/>
  <c r="AO116" i="4"/>
  <c r="AO117" i="4"/>
  <c r="AO118" i="4"/>
  <c r="AO119" i="4"/>
  <c r="AO120" i="4"/>
  <c r="AO121" i="4"/>
  <c r="AO122" i="4"/>
  <c r="AO123" i="4"/>
  <c r="AO124" i="4"/>
  <c r="AO125" i="4"/>
  <c r="AO126" i="4"/>
  <c r="AO127" i="4"/>
  <c r="AO128" i="4"/>
  <c r="AO129" i="4"/>
  <c r="AO130" i="4"/>
  <c r="AO131" i="4"/>
  <c r="AO132" i="4"/>
  <c r="AO133" i="4"/>
  <c r="AO134" i="4"/>
  <c r="AO135" i="4"/>
  <c r="AO136" i="4"/>
  <c r="AO137" i="4"/>
  <c r="AO138" i="4"/>
  <c r="AO139" i="4"/>
  <c r="AO140" i="4"/>
  <c r="AO141" i="4"/>
  <c r="AO142" i="4"/>
  <c r="AO143" i="4"/>
  <c r="AO144" i="4"/>
  <c r="AO145" i="4"/>
  <c r="AO146" i="4"/>
  <c r="AO147" i="4"/>
  <c r="AO148" i="4"/>
  <c r="AO149" i="4"/>
  <c r="AO150" i="4"/>
  <c r="AO151" i="4"/>
  <c r="AO152" i="4"/>
  <c r="AO153" i="4"/>
  <c r="AO154" i="4"/>
  <c r="AO155" i="4"/>
  <c r="AO156" i="4"/>
  <c r="AO157" i="4"/>
  <c r="AO158" i="4"/>
  <c r="AO159" i="4"/>
  <c r="AO160" i="4"/>
  <c r="AO161" i="4"/>
  <c r="AO162" i="4"/>
  <c r="AO163" i="4"/>
  <c r="AO14" i="4"/>
  <c r="AN14" i="4"/>
  <c r="AN15" i="4"/>
  <c r="AN16" i="4"/>
  <c r="AN17" i="4"/>
  <c r="AN18" i="4"/>
  <c r="AN19" i="4"/>
  <c r="AN20" i="4"/>
  <c r="AN21" i="4"/>
  <c r="AN22" i="4"/>
  <c r="AN23" i="4"/>
  <c r="AN24" i="4"/>
  <c r="AN25" i="4"/>
  <c r="AN26" i="4"/>
  <c r="AN27" i="4"/>
  <c r="AN28" i="4"/>
  <c r="AN29" i="4"/>
  <c r="AN30" i="4"/>
  <c r="AN31" i="4"/>
  <c r="AN32" i="4"/>
  <c r="AN33" i="4"/>
  <c r="AN34" i="4"/>
  <c r="AN35" i="4"/>
  <c r="AN36" i="4"/>
  <c r="AN37" i="4"/>
  <c r="AN38" i="4"/>
  <c r="AN39" i="4"/>
  <c r="AN40" i="4"/>
  <c r="AN41" i="4"/>
  <c r="AN42" i="4"/>
  <c r="AN43" i="4"/>
  <c r="AN44" i="4"/>
  <c r="AN45" i="4"/>
  <c r="AN46" i="4"/>
  <c r="AN47" i="4"/>
  <c r="AN48" i="4"/>
  <c r="AN49" i="4"/>
  <c r="AN50" i="4"/>
  <c r="AN51" i="4"/>
  <c r="AN52" i="4"/>
  <c r="AN53" i="4"/>
  <c r="AN54" i="4"/>
  <c r="AN55" i="4"/>
  <c r="AN56" i="4"/>
  <c r="AN57" i="4"/>
  <c r="AN58" i="4"/>
  <c r="AN59" i="4"/>
  <c r="AN60" i="4"/>
  <c r="AN61" i="4"/>
  <c r="AN62" i="4"/>
  <c r="AN63" i="4"/>
  <c r="AN64" i="4"/>
  <c r="AN65" i="4"/>
  <c r="AN66" i="4"/>
  <c r="AN67" i="4"/>
  <c r="AN68" i="4"/>
  <c r="AN69" i="4"/>
  <c r="AN70" i="4"/>
  <c r="AN71" i="4"/>
  <c r="AN72" i="4"/>
  <c r="AN73" i="4"/>
  <c r="AN74" i="4"/>
  <c r="AN75" i="4"/>
  <c r="AN76" i="4"/>
  <c r="AN77" i="4"/>
  <c r="AN78" i="4"/>
  <c r="AN79" i="4"/>
  <c r="AN80" i="4"/>
  <c r="AN81" i="4"/>
  <c r="AN82" i="4"/>
  <c r="AN83" i="4"/>
  <c r="AN84" i="4"/>
  <c r="AN85" i="4"/>
  <c r="AN86" i="4"/>
  <c r="AN87" i="4"/>
  <c r="AN88" i="4"/>
  <c r="AN89" i="4"/>
  <c r="AN90" i="4"/>
  <c r="AN91" i="4"/>
  <c r="AN92" i="4"/>
  <c r="AN93" i="4"/>
  <c r="AN94" i="4"/>
  <c r="AN95" i="4"/>
  <c r="AN96" i="4"/>
  <c r="AN97" i="4"/>
  <c r="AN98" i="4"/>
  <c r="AN99" i="4"/>
  <c r="AN100" i="4"/>
  <c r="AN101" i="4"/>
  <c r="AN102" i="4"/>
  <c r="AN103" i="4"/>
  <c r="AN104" i="4"/>
  <c r="AN105" i="4"/>
  <c r="AN106" i="4"/>
  <c r="AN107" i="4"/>
  <c r="AN108" i="4"/>
  <c r="AN109" i="4"/>
  <c r="AN110" i="4"/>
  <c r="AN111" i="4"/>
  <c r="AN112" i="4"/>
  <c r="AN113" i="4"/>
  <c r="AN114" i="4"/>
  <c r="AN115" i="4"/>
  <c r="AN116" i="4"/>
  <c r="AN117" i="4"/>
  <c r="AN118" i="4"/>
  <c r="AN119" i="4"/>
  <c r="AN120" i="4"/>
  <c r="AN121" i="4"/>
  <c r="AN122" i="4"/>
  <c r="AN123" i="4"/>
  <c r="AN124" i="4"/>
  <c r="AN125" i="4"/>
  <c r="AN126" i="4"/>
  <c r="AN127" i="4"/>
  <c r="AN128" i="4"/>
  <c r="AN129" i="4"/>
  <c r="AN130" i="4"/>
  <c r="AN131" i="4"/>
  <c r="AN132" i="4"/>
  <c r="AN133" i="4"/>
  <c r="AN134" i="4"/>
  <c r="AN135" i="4"/>
  <c r="AN136" i="4"/>
  <c r="AN137" i="4"/>
  <c r="AN138" i="4"/>
  <c r="AN139" i="4"/>
  <c r="AN140" i="4"/>
  <c r="AN141" i="4"/>
  <c r="AN142" i="4"/>
  <c r="AN143" i="4"/>
  <c r="AN144" i="4"/>
  <c r="AN145" i="4"/>
  <c r="AN146" i="4"/>
  <c r="AN147" i="4"/>
  <c r="AN148" i="4"/>
  <c r="AN149" i="4"/>
  <c r="AN150" i="4"/>
  <c r="AN151" i="4"/>
  <c r="AN152" i="4"/>
  <c r="AN153" i="4"/>
  <c r="AN154" i="4"/>
  <c r="AN155" i="4"/>
  <c r="AN156" i="4"/>
  <c r="AN157" i="4"/>
  <c r="AN158" i="4"/>
  <c r="AN159" i="4"/>
  <c r="AN160" i="4"/>
  <c r="AN161" i="4"/>
  <c r="AN162" i="4"/>
  <c r="AN163" i="4"/>
  <c r="AM52" i="21"/>
  <c r="AN54" i="21"/>
  <c r="AM54" i="21"/>
  <c r="AN53" i="21"/>
  <c r="AM53" i="21"/>
  <c r="AN52" i="21"/>
  <c r="AN49" i="21"/>
  <c r="AM49" i="21"/>
  <c r="AQ15" i="21" s="1"/>
  <c r="AN40" i="21"/>
  <c r="AN41" i="21"/>
  <c r="AM40" i="21"/>
  <c r="AM41" i="21"/>
  <c r="AN39" i="21"/>
  <c r="AM39" i="21"/>
  <c r="AM36" i="21"/>
  <c r="AQ11" i="21" s="1"/>
  <c r="AN36" i="21"/>
  <c r="AM20" i="21"/>
  <c r="AN14" i="21"/>
  <c r="AM14" i="21"/>
  <c r="AQ6" i="21" s="1"/>
  <c r="AM16" i="21"/>
  <c r="G27"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32" i="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5" i="25"/>
  <c r="C16" i="25"/>
  <c r="C17" i="25"/>
  <c r="C18" i="25"/>
  <c r="C19" i="25"/>
  <c r="C20" i="25"/>
  <c r="C21" i="25"/>
  <c r="C22" i="25"/>
  <c r="C23" i="25"/>
  <c r="C24" i="25"/>
  <c r="C25" i="25"/>
  <c r="C26" i="25"/>
  <c r="C27" i="25"/>
  <c r="C28" i="25"/>
  <c r="C14" i="25"/>
  <c r="C15" i="4"/>
  <c r="C16" i="4"/>
  <c r="C17" i="4"/>
  <c r="C18"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4" i="4"/>
  <c r="R25" i="25"/>
  <c r="R26" i="25"/>
  <c r="R27" i="25"/>
  <c r="R28" i="25"/>
  <c r="R29" i="25"/>
  <c r="R30" i="25"/>
  <c r="R31" i="25"/>
  <c r="R32" i="25"/>
  <c r="R33" i="25"/>
  <c r="R34" i="25"/>
  <c r="R35" i="25"/>
  <c r="R36" i="25"/>
  <c r="R37" i="25"/>
  <c r="R38" i="25"/>
  <c r="R39" i="25"/>
  <c r="R40" i="25"/>
  <c r="R41" i="25"/>
  <c r="R42" i="25"/>
  <c r="R43" i="25"/>
  <c r="R44" i="25"/>
  <c r="R45" i="25"/>
  <c r="R46" i="25"/>
  <c r="R47" i="25"/>
  <c r="R48" i="25"/>
  <c r="R49" i="25"/>
  <c r="R50" i="25"/>
  <c r="R51" i="25"/>
  <c r="R52" i="25"/>
  <c r="R53" i="25"/>
  <c r="R54" i="25"/>
  <c r="R55" i="25"/>
  <c r="R56" i="25"/>
  <c r="R57" i="25"/>
  <c r="R58" i="25"/>
  <c r="R59" i="25"/>
  <c r="R60" i="25"/>
  <c r="R61" i="25"/>
  <c r="R62" i="25"/>
  <c r="R63" i="25"/>
  <c r="R64" i="25"/>
  <c r="R65" i="25"/>
  <c r="R66" i="25"/>
  <c r="R67" i="25"/>
  <c r="R68" i="25"/>
  <c r="R69" i="25"/>
  <c r="R70" i="25"/>
  <c r="R71" i="25"/>
  <c r="R72" i="25"/>
  <c r="R73" i="25"/>
  <c r="R74" i="25"/>
  <c r="R75" i="25"/>
  <c r="R76" i="25"/>
  <c r="R77" i="25"/>
  <c r="R78" i="25"/>
  <c r="R79" i="25"/>
  <c r="R80" i="25"/>
  <c r="R81" i="25"/>
  <c r="R82" i="25"/>
  <c r="R83" i="25"/>
  <c r="R84" i="25"/>
  <c r="R85" i="25"/>
  <c r="R86" i="25"/>
  <c r="R87" i="25"/>
  <c r="R88" i="25"/>
  <c r="R89" i="25"/>
  <c r="R90" i="25"/>
  <c r="R91" i="25"/>
  <c r="R92" i="25"/>
  <c r="R93" i="25"/>
  <c r="R94" i="25"/>
  <c r="R95" i="25"/>
  <c r="R96" i="25"/>
  <c r="R97" i="25"/>
  <c r="R98" i="25"/>
  <c r="R99" i="25"/>
  <c r="R100" i="25"/>
  <c r="R101" i="25"/>
  <c r="R102" i="25"/>
  <c r="R103" i="25"/>
  <c r="R104" i="25"/>
  <c r="R105" i="25"/>
  <c r="R106" i="25"/>
  <c r="R107" i="25"/>
  <c r="R108" i="25"/>
  <c r="R109" i="25"/>
  <c r="R110" i="25"/>
  <c r="R111" i="25"/>
  <c r="R112" i="25"/>
  <c r="R113" i="25"/>
  <c r="R23" i="25"/>
  <c r="R24" i="25"/>
  <c r="R16" i="25"/>
  <c r="R18" i="25"/>
  <c r="R19" i="25"/>
  <c r="R20" i="25"/>
  <c r="R21" i="25"/>
  <c r="R22" i="25"/>
  <c r="B14" i="25"/>
  <c r="AL15" i="25"/>
  <c r="AL16" i="25"/>
  <c r="AL17" i="25"/>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K15" i="25"/>
  <c r="AK16" i="25"/>
  <c r="AK17" i="25"/>
  <c r="P17" i="25" s="1"/>
  <c r="AK18" i="25"/>
  <c r="AN18" i="25" s="1"/>
  <c r="AK19" i="25"/>
  <c r="AN19" i="25" s="1"/>
  <c r="AK20" i="25"/>
  <c r="AN20" i="25" s="1"/>
  <c r="AK21" i="25"/>
  <c r="AN21" i="25" s="1"/>
  <c r="AK22" i="25"/>
  <c r="AN22" i="25" s="1"/>
  <c r="AK23" i="25"/>
  <c r="AN23" i="25" s="1"/>
  <c r="AK24" i="25"/>
  <c r="P24" i="25" s="1"/>
  <c r="AK25" i="25"/>
  <c r="AN25" i="25" s="1"/>
  <c r="AK26" i="25"/>
  <c r="AN26" i="25" s="1"/>
  <c r="AK27" i="25"/>
  <c r="AN27" i="25" s="1"/>
  <c r="AK28" i="25"/>
  <c r="AN28" i="25" s="1"/>
  <c r="AK29" i="25"/>
  <c r="AK30" i="25"/>
  <c r="AN30" i="25" s="1"/>
  <c r="AK31" i="25"/>
  <c r="AK32" i="25"/>
  <c r="AN32" i="25" s="1"/>
  <c r="AK33" i="25"/>
  <c r="AN33" i="25" s="1"/>
  <c r="AK34" i="25"/>
  <c r="AN34" i="25" s="1"/>
  <c r="AK35" i="25"/>
  <c r="AN35" i="25" s="1"/>
  <c r="AK36" i="25"/>
  <c r="AN36" i="25" s="1"/>
  <c r="AK37" i="25"/>
  <c r="AN37" i="25" s="1"/>
  <c r="AK38" i="25"/>
  <c r="AN38" i="25" s="1"/>
  <c r="AK39" i="25"/>
  <c r="AN39" i="25" s="1"/>
  <c r="AK40" i="25"/>
  <c r="AN40" i="25" s="1"/>
  <c r="AK41" i="25"/>
  <c r="AN41" i="25" s="1"/>
  <c r="AK42" i="25"/>
  <c r="AN42" i="25" s="1"/>
  <c r="AK43" i="25"/>
  <c r="AN43" i="25" s="1"/>
  <c r="AK44" i="25"/>
  <c r="AN44" i="25" s="1"/>
  <c r="AK45" i="25"/>
  <c r="AN45" i="25" s="1"/>
  <c r="AK46" i="25"/>
  <c r="AN46" i="25" s="1"/>
  <c r="AK47" i="25"/>
  <c r="AN47" i="25" s="1"/>
  <c r="AK48" i="25"/>
  <c r="AN48" i="25" s="1"/>
  <c r="AK49" i="25"/>
  <c r="AN49" i="25" s="1"/>
  <c r="AK50" i="25"/>
  <c r="AN50" i="25" s="1"/>
  <c r="AK51" i="25"/>
  <c r="AN51" i="25" s="1"/>
  <c r="AK52" i="25"/>
  <c r="AN52" i="25" s="1"/>
  <c r="AK53" i="25"/>
  <c r="AN53" i="25" s="1"/>
  <c r="AK54" i="25"/>
  <c r="AN54" i="25" s="1"/>
  <c r="AK55" i="25"/>
  <c r="AN55" i="25" s="1"/>
  <c r="AK56" i="25"/>
  <c r="AN56" i="25" s="1"/>
  <c r="AK57" i="25"/>
  <c r="AN57" i="25" s="1"/>
  <c r="AK58" i="25"/>
  <c r="AN58" i="25" s="1"/>
  <c r="AK59" i="25"/>
  <c r="AN59" i="25" s="1"/>
  <c r="AK60" i="25"/>
  <c r="AN60" i="25" s="1"/>
  <c r="AK61" i="25"/>
  <c r="AN61" i="25" s="1"/>
  <c r="AK62" i="25"/>
  <c r="AN62" i="25" s="1"/>
  <c r="AK63" i="25"/>
  <c r="AN63" i="25" s="1"/>
  <c r="AK64" i="25"/>
  <c r="AN64" i="25" s="1"/>
  <c r="AK65" i="25"/>
  <c r="AN65" i="25" s="1"/>
  <c r="AK66" i="25"/>
  <c r="AN66" i="25" s="1"/>
  <c r="AK67" i="25"/>
  <c r="AN67" i="25" s="1"/>
  <c r="AK68" i="25"/>
  <c r="AN68" i="25" s="1"/>
  <c r="AK69" i="25"/>
  <c r="AN69" i="25" s="1"/>
  <c r="AK70" i="25"/>
  <c r="AN70" i="25" s="1"/>
  <c r="AK71" i="25"/>
  <c r="AN71" i="25" s="1"/>
  <c r="AK72" i="25"/>
  <c r="AN72" i="25" s="1"/>
  <c r="AK73" i="25"/>
  <c r="AN73" i="25" s="1"/>
  <c r="AK74" i="25"/>
  <c r="AN74" i="25" s="1"/>
  <c r="AK75" i="25"/>
  <c r="AN75" i="25" s="1"/>
  <c r="AK76" i="25"/>
  <c r="AN76" i="25" s="1"/>
  <c r="AK77" i="25"/>
  <c r="AN77" i="25" s="1"/>
  <c r="AK78" i="25"/>
  <c r="AN78" i="25" s="1"/>
  <c r="AK79" i="25"/>
  <c r="AN79" i="25" s="1"/>
  <c r="AK80" i="25"/>
  <c r="AN80" i="25" s="1"/>
  <c r="AK81" i="25"/>
  <c r="AN81" i="25" s="1"/>
  <c r="AK82" i="25"/>
  <c r="AN82" i="25" s="1"/>
  <c r="AK83" i="25"/>
  <c r="AN83" i="25" s="1"/>
  <c r="AK84" i="25"/>
  <c r="AN84" i="25" s="1"/>
  <c r="AK85" i="25"/>
  <c r="AN85" i="25" s="1"/>
  <c r="AK86" i="25"/>
  <c r="AN86" i="25" s="1"/>
  <c r="AK87" i="25"/>
  <c r="AN87" i="25" s="1"/>
  <c r="AK88" i="25"/>
  <c r="AN88" i="25" s="1"/>
  <c r="AK89" i="25"/>
  <c r="AN89" i="25" s="1"/>
  <c r="AK90" i="25"/>
  <c r="AN90" i="25" s="1"/>
  <c r="AK91" i="25"/>
  <c r="AN91" i="25" s="1"/>
  <c r="AK92" i="25"/>
  <c r="AN92" i="25" s="1"/>
  <c r="AK93" i="25"/>
  <c r="AN93" i="25" s="1"/>
  <c r="AK94" i="25"/>
  <c r="AN94" i="25" s="1"/>
  <c r="AK95" i="25"/>
  <c r="AN95" i="25" s="1"/>
  <c r="AK96" i="25"/>
  <c r="AN96" i="25" s="1"/>
  <c r="AK97" i="25"/>
  <c r="AN97" i="25" s="1"/>
  <c r="AK98" i="25"/>
  <c r="AN98" i="25" s="1"/>
  <c r="AK99" i="25"/>
  <c r="AN99" i="25" s="1"/>
  <c r="AK100" i="25"/>
  <c r="AN100" i="25" s="1"/>
  <c r="AK101" i="25"/>
  <c r="AN101" i="25" s="1"/>
  <c r="AK102" i="25"/>
  <c r="AN102" i="25" s="1"/>
  <c r="AK103" i="25"/>
  <c r="AN103" i="25" s="1"/>
  <c r="AK104" i="25"/>
  <c r="AN104" i="25" s="1"/>
  <c r="AK105" i="25"/>
  <c r="AN105" i="25" s="1"/>
  <c r="AK106" i="25"/>
  <c r="AN106" i="25" s="1"/>
  <c r="AK107" i="25"/>
  <c r="AN107" i="25" s="1"/>
  <c r="AK108" i="25"/>
  <c r="AN108" i="25" s="1"/>
  <c r="AK109" i="25"/>
  <c r="AN109" i="25" s="1"/>
  <c r="AK110" i="25"/>
  <c r="AN110" i="25" s="1"/>
  <c r="AK111" i="25"/>
  <c r="AN111" i="25" s="1"/>
  <c r="AK112" i="25"/>
  <c r="AN112" i="25" s="1"/>
  <c r="AK113" i="25"/>
  <c r="AN113" i="25" s="1"/>
  <c r="AN29" i="25"/>
  <c r="AN31" i="25"/>
  <c r="R34" i="5" l="1"/>
  <c r="T34" i="5"/>
  <c r="S34" i="5"/>
  <c r="T35" i="5"/>
  <c r="T39" i="5"/>
  <c r="T43" i="5"/>
  <c r="T47" i="5"/>
  <c r="T51" i="5"/>
  <c r="T55" i="5"/>
  <c r="T59" i="5"/>
  <c r="T63" i="5"/>
  <c r="T67" i="5"/>
  <c r="T71" i="5"/>
  <c r="S45" i="5"/>
  <c r="S65" i="5"/>
  <c r="T57" i="5"/>
  <c r="R46" i="5"/>
  <c r="S58" i="5"/>
  <c r="T46" i="5"/>
  <c r="T62" i="5"/>
  <c r="R47" i="5"/>
  <c r="R67" i="5"/>
  <c r="S51" i="5"/>
  <c r="R36" i="5"/>
  <c r="R40" i="5"/>
  <c r="R44" i="5"/>
  <c r="R48" i="5"/>
  <c r="R52" i="5"/>
  <c r="R56" i="5"/>
  <c r="R60" i="5"/>
  <c r="R64" i="5"/>
  <c r="R68" i="5"/>
  <c r="T32" i="5"/>
  <c r="S41" i="5"/>
  <c r="S61" i="5"/>
  <c r="S69" i="5"/>
  <c r="T41" i="5"/>
  <c r="T49" i="5"/>
  <c r="T69" i="5"/>
  <c r="R54" i="5"/>
  <c r="S46" i="5"/>
  <c r="S66" i="5"/>
  <c r="T42" i="5"/>
  <c r="T54" i="5"/>
  <c r="T70" i="5"/>
  <c r="R55" i="5"/>
  <c r="S35" i="5"/>
  <c r="S43" i="5"/>
  <c r="S59" i="5"/>
  <c r="S36" i="5"/>
  <c r="S40" i="5"/>
  <c r="S44" i="5"/>
  <c r="S48" i="5"/>
  <c r="S52" i="5"/>
  <c r="S56" i="5"/>
  <c r="S60" i="5"/>
  <c r="S64" i="5"/>
  <c r="S68" i="5"/>
  <c r="S32" i="5"/>
  <c r="S53" i="5"/>
  <c r="T37" i="5"/>
  <c r="T65" i="5"/>
  <c r="R42" i="5"/>
  <c r="R62" i="5"/>
  <c r="R70" i="5"/>
  <c r="S38" i="5"/>
  <c r="S54" i="5"/>
  <c r="T38" i="5"/>
  <c r="T50" i="5"/>
  <c r="S67" i="5"/>
  <c r="T36" i="5"/>
  <c r="T40" i="5"/>
  <c r="T44" i="5"/>
  <c r="T48" i="5"/>
  <c r="T52" i="5"/>
  <c r="T56" i="5"/>
  <c r="T60" i="5"/>
  <c r="T64" i="5"/>
  <c r="T68" i="5"/>
  <c r="R32" i="5"/>
  <c r="S37" i="5"/>
  <c r="S57" i="5"/>
  <c r="T45" i="5"/>
  <c r="T61" i="5"/>
  <c r="R58" i="5"/>
  <c r="S42" i="5"/>
  <c r="S50" i="5"/>
  <c r="S70" i="5"/>
  <c r="T58" i="5"/>
  <c r="R35" i="5"/>
  <c r="R43" i="5"/>
  <c r="R59" i="5"/>
  <c r="R71" i="5"/>
  <c r="S39" i="5"/>
  <c r="S47" i="5"/>
  <c r="S63" i="5"/>
  <c r="S71" i="5"/>
  <c r="R37" i="5"/>
  <c r="R41" i="5"/>
  <c r="R45" i="5"/>
  <c r="R49" i="5"/>
  <c r="R53" i="5"/>
  <c r="R57" i="5"/>
  <c r="R61" i="5"/>
  <c r="R65" i="5"/>
  <c r="R69" i="5"/>
  <c r="S49" i="5"/>
  <c r="T53" i="5"/>
  <c r="R38" i="5"/>
  <c r="R50" i="5"/>
  <c r="R66" i="5"/>
  <c r="S62" i="5"/>
  <c r="T66" i="5"/>
  <c r="R39" i="5"/>
  <c r="R51" i="5"/>
  <c r="R63" i="5"/>
  <c r="S55" i="5"/>
  <c r="S33" i="5"/>
  <c r="T33" i="5"/>
  <c r="R33" i="5"/>
  <c r="W14" i="4"/>
  <c r="S14" i="4"/>
  <c r="F47" i="31" s="1"/>
  <c r="W25" i="4"/>
  <c r="S25" i="4"/>
  <c r="W24" i="4"/>
  <c r="S24" i="4"/>
  <c r="F68" i="31" s="1"/>
  <c r="S21" i="4"/>
  <c r="F65" i="31" s="1"/>
  <c r="W21" i="4"/>
  <c r="S28" i="4"/>
  <c r="F77" i="31" s="1"/>
  <c r="W28" i="4"/>
  <c r="W26" i="4"/>
  <c r="S26" i="4"/>
  <c r="F71" i="31" s="1"/>
  <c r="S20" i="4"/>
  <c r="F62" i="31" s="1"/>
  <c r="W20" i="4"/>
  <c r="S16" i="4"/>
  <c r="W16" i="4"/>
  <c r="S19" i="4"/>
  <c r="F59" i="31" s="1"/>
  <c r="W19" i="4"/>
  <c r="W15" i="4"/>
  <c r="S15" i="4"/>
  <c r="F50" i="31" s="1"/>
  <c r="S30" i="4"/>
  <c r="F83" i="31" s="1"/>
  <c r="W30" i="4"/>
  <c r="S18" i="4"/>
  <c r="F56" i="31" s="1"/>
  <c r="W18" i="4"/>
  <c r="W27" i="4"/>
  <c r="S27" i="4"/>
  <c r="F74" i="31" s="1"/>
  <c r="W23" i="4"/>
  <c r="S23" i="4"/>
  <c r="S22" i="4"/>
  <c r="W22" i="4"/>
  <c r="S29" i="4"/>
  <c r="F80" i="31" s="1"/>
  <c r="W29" i="4"/>
  <c r="S17" i="4"/>
  <c r="W17" i="4"/>
  <c r="S40" i="4"/>
  <c r="W40" i="4"/>
  <c r="S38" i="4"/>
  <c r="W38" i="4"/>
  <c r="S37" i="4"/>
  <c r="W37" i="4"/>
  <c r="S47" i="4"/>
  <c r="W47" i="4"/>
  <c r="S46" i="4"/>
  <c r="W46" i="4"/>
  <c r="S34" i="4"/>
  <c r="W34" i="4"/>
  <c r="S39" i="4"/>
  <c r="W39" i="4"/>
  <c r="S45" i="4"/>
  <c r="W45" i="4"/>
  <c r="S33" i="4"/>
  <c r="W33" i="4"/>
  <c r="S36" i="4"/>
  <c r="W36" i="4"/>
  <c r="S44" i="4"/>
  <c r="W44" i="4"/>
  <c r="S32" i="4"/>
  <c r="W32" i="4"/>
  <c r="S43" i="4"/>
  <c r="W43" i="4"/>
  <c r="S35" i="4"/>
  <c r="W35" i="4"/>
  <c r="S42" i="4"/>
  <c r="W42" i="4"/>
  <c r="S48" i="4"/>
  <c r="W48" i="4"/>
  <c r="S41" i="4"/>
  <c r="W41" i="4"/>
  <c r="F88" i="31"/>
  <c r="F85" i="31"/>
  <c r="F91" i="31"/>
  <c r="AV176" i="4"/>
  <c r="AQ16" i="21"/>
  <c r="AR17" i="21" s="1"/>
  <c r="BF5" i="21" s="1"/>
  <c r="AQ12" i="21"/>
  <c r="AN15" i="25"/>
  <c r="AN16" i="25"/>
  <c r="AN24" i="25"/>
  <c r="AN17" i="25"/>
  <c r="H67" i="29"/>
  <c r="AX22" i="25" s="1"/>
  <c r="F53" i="31" l="1"/>
  <c r="AR13" i="21"/>
  <c r="BF4" i="21" s="1"/>
  <c r="AQ13" i="21"/>
  <c r="BE4" i="21" s="1"/>
  <c r="AQ17" i="21"/>
  <c r="C18" i="31"/>
  <c r="B160" i="4"/>
  <c r="B161" i="4"/>
  <c r="B162" i="4"/>
  <c r="B163" i="4"/>
  <c r="O160" i="4"/>
  <c r="R160" i="4"/>
  <c r="T160" i="4"/>
  <c r="AQ160" i="4"/>
  <c r="O161" i="4"/>
  <c r="R161" i="4"/>
  <c r="T161" i="4"/>
  <c r="AQ161" i="4"/>
  <c r="O162" i="4"/>
  <c r="R162" i="4"/>
  <c r="T162" i="4"/>
  <c r="AQ162" i="4"/>
  <c r="O163" i="4"/>
  <c r="U163" i="4" s="1"/>
  <c r="R163" i="4"/>
  <c r="T163" i="4"/>
  <c r="AQ163" i="4"/>
  <c r="B136" i="4"/>
  <c r="O136" i="4"/>
  <c r="U136" i="4" s="1"/>
  <c r="R136" i="4"/>
  <c r="T136" i="4"/>
  <c r="AQ136" i="4"/>
  <c r="B137" i="4"/>
  <c r="O137" i="4"/>
  <c r="R137" i="4"/>
  <c r="T137" i="4"/>
  <c r="AQ137" i="4"/>
  <c r="B138" i="4"/>
  <c r="O138" i="4"/>
  <c r="R138" i="4"/>
  <c r="T138" i="4"/>
  <c r="AQ138" i="4"/>
  <c r="B139" i="4"/>
  <c r="O139" i="4"/>
  <c r="U139" i="4" s="1"/>
  <c r="R139" i="4"/>
  <c r="T139" i="4"/>
  <c r="AQ139" i="4"/>
  <c r="B140" i="4"/>
  <c r="O140" i="4"/>
  <c r="R140" i="4"/>
  <c r="T140" i="4"/>
  <c r="AQ140" i="4"/>
  <c r="B141" i="4"/>
  <c r="O141" i="4"/>
  <c r="R141" i="4"/>
  <c r="T141" i="4"/>
  <c r="AQ141" i="4"/>
  <c r="B142" i="4"/>
  <c r="O142" i="4"/>
  <c r="U142" i="4" s="1"/>
  <c r="P142" i="4"/>
  <c r="R142" i="4"/>
  <c r="T142" i="4"/>
  <c r="AQ142" i="4"/>
  <c r="B143" i="4"/>
  <c r="O143" i="4"/>
  <c r="U143" i="4" s="1"/>
  <c r="R143" i="4"/>
  <c r="T143" i="4"/>
  <c r="AQ143" i="4"/>
  <c r="B144" i="4"/>
  <c r="O144" i="4"/>
  <c r="U144" i="4" s="1"/>
  <c r="R144" i="4"/>
  <c r="T144" i="4"/>
  <c r="AQ144" i="4"/>
  <c r="B145" i="4"/>
  <c r="O145" i="4"/>
  <c r="R145" i="4"/>
  <c r="T145" i="4"/>
  <c r="AQ145" i="4"/>
  <c r="B146" i="4"/>
  <c r="O146" i="4"/>
  <c r="U146" i="4" s="1"/>
  <c r="R146" i="4"/>
  <c r="T146" i="4"/>
  <c r="AQ146" i="4"/>
  <c r="B147" i="4"/>
  <c r="O147" i="4"/>
  <c r="R147" i="4"/>
  <c r="T147" i="4"/>
  <c r="AQ147" i="4"/>
  <c r="B148" i="4"/>
  <c r="O148" i="4"/>
  <c r="R148" i="4"/>
  <c r="T148" i="4"/>
  <c r="AQ148" i="4"/>
  <c r="B149" i="4"/>
  <c r="O149" i="4"/>
  <c r="R149" i="4"/>
  <c r="T149" i="4"/>
  <c r="AQ149" i="4"/>
  <c r="B150" i="4"/>
  <c r="O150" i="4"/>
  <c r="R150" i="4"/>
  <c r="T150" i="4"/>
  <c r="AQ150" i="4"/>
  <c r="B151" i="4"/>
  <c r="O151" i="4"/>
  <c r="U151" i="4" s="1"/>
  <c r="R151" i="4"/>
  <c r="T151" i="4"/>
  <c r="AQ151" i="4"/>
  <c r="B152" i="4"/>
  <c r="O152" i="4"/>
  <c r="R152" i="4"/>
  <c r="T152" i="4"/>
  <c r="AQ152" i="4"/>
  <c r="B153" i="4"/>
  <c r="O153" i="4"/>
  <c r="U153" i="4" s="1"/>
  <c r="P153" i="4"/>
  <c r="R153" i="4"/>
  <c r="T153" i="4"/>
  <c r="AQ153" i="4"/>
  <c r="B154" i="4"/>
  <c r="O154" i="4"/>
  <c r="U154" i="4" s="1"/>
  <c r="R154" i="4"/>
  <c r="T154" i="4"/>
  <c r="AQ154" i="4"/>
  <c r="B155" i="4"/>
  <c r="O155" i="4"/>
  <c r="U155" i="4" s="1"/>
  <c r="R155" i="4"/>
  <c r="T155" i="4"/>
  <c r="AQ155" i="4"/>
  <c r="B156" i="4"/>
  <c r="O156" i="4"/>
  <c r="U156" i="4" s="1"/>
  <c r="R156" i="4"/>
  <c r="T156" i="4"/>
  <c r="AQ156" i="4"/>
  <c r="B157" i="4"/>
  <c r="O157" i="4"/>
  <c r="U157" i="4" s="1"/>
  <c r="R157" i="4"/>
  <c r="T157" i="4"/>
  <c r="AQ157" i="4"/>
  <c r="B158" i="4"/>
  <c r="O158" i="4"/>
  <c r="U158" i="4" s="1"/>
  <c r="P158" i="4"/>
  <c r="R158" i="4"/>
  <c r="T158" i="4"/>
  <c r="AQ158" i="4"/>
  <c r="B159" i="4"/>
  <c r="O159" i="4"/>
  <c r="R159" i="4"/>
  <c r="T159" i="4"/>
  <c r="AQ159" i="4"/>
  <c r="B114" i="4"/>
  <c r="O114" i="4"/>
  <c r="R114" i="4"/>
  <c r="T114" i="4"/>
  <c r="AQ114" i="4"/>
  <c r="B115" i="4"/>
  <c r="O115" i="4"/>
  <c r="R115" i="4"/>
  <c r="T115" i="4"/>
  <c r="AQ115" i="4"/>
  <c r="B116" i="4"/>
  <c r="O116" i="4"/>
  <c r="R116" i="4"/>
  <c r="T116" i="4"/>
  <c r="AQ116" i="4"/>
  <c r="B117" i="4"/>
  <c r="O117" i="4"/>
  <c r="U117" i="4" s="1"/>
  <c r="R117" i="4"/>
  <c r="T117" i="4"/>
  <c r="AQ117" i="4"/>
  <c r="B118" i="4"/>
  <c r="O118" i="4"/>
  <c r="R118" i="4"/>
  <c r="T118" i="4"/>
  <c r="AQ118" i="4"/>
  <c r="B119" i="4"/>
  <c r="O119" i="4"/>
  <c r="R119" i="4"/>
  <c r="T119" i="4"/>
  <c r="AQ119" i="4"/>
  <c r="B120" i="4"/>
  <c r="O120" i="4"/>
  <c r="R120" i="4"/>
  <c r="T120" i="4"/>
  <c r="AQ120" i="4"/>
  <c r="B121" i="4"/>
  <c r="O121" i="4"/>
  <c r="R121" i="4"/>
  <c r="T121" i="4"/>
  <c r="AQ121" i="4"/>
  <c r="B122" i="4"/>
  <c r="O122" i="4"/>
  <c r="U122" i="4" s="1"/>
  <c r="R122" i="4"/>
  <c r="T122" i="4"/>
  <c r="AQ122" i="4"/>
  <c r="B123" i="4"/>
  <c r="O123" i="4"/>
  <c r="U123" i="4" s="1"/>
  <c r="P123" i="4"/>
  <c r="R123" i="4"/>
  <c r="T123" i="4"/>
  <c r="AQ123" i="4"/>
  <c r="B124" i="4"/>
  <c r="O124" i="4"/>
  <c r="R124" i="4"/>
  <c r="T124" i="4"/>
  <c r="AQ124" i="4"/>
  <c r="B125" i="4"/>
  <c r="O125" i="4"/>
  <c r="U125" i="4" s="1"/>
  <c r="R125" i="4"/>
  <c r="T125" i="4"/>
  <c r="AQ125" i="4"/>
  <c r="B126" i="4"/>
  <c r="O126" i="4"/>
  <c r="U126" i="4" s="1"/>
  <c r="R126" i="4"/>
  <c r="T126" i="4"/>
  <c r="AQ126" i="4"/>
  <c r="B127" i="4"/>
  <c r="O127" i="4"/>
  <c r="R127" i="4"/>
  <c r="T127" i="4"/>
  <c r="AQ127" i="4"/>
  <c r="B128" i="4"/>
  <c r="O128" i="4"/>
  <c r="R128" i="4"/>
  <c r="T128" i="4"/>
  <c r="AQ128" i="4"/>
  <c r="B129" i="4"/>
  <c r="O129" i="4"/>
  <c r="U129" i="4" s="1"/>
  <c r="P129" i="4"/>
  <c r="R129" i="4"/>
  <c r="T129" i="4"/>
  <c r="AQ129" i="4"/>
  <c r="B130" i="4"/>
  <c r="O130" i="4"/>
  <c r="R130" i="4"/>
  <c r="T130" i="4"/>
  <c r="AQ130" i="4"/>
  <c r="B131" i="4"/>
  <c r="O131" i="4"/>
  <c r="R131" i="4"/>
  <c r="T131" i="4"/>
  <c r="AQ131" i="4"/>
  <c r="B132" i="4"/>
  <c r="O132" i="4"/>
  <c r="U132" i="4" s="1"/>
  <c r="R132" i="4"/>
  <c r="T132" i="4"/>
  <c r="AQ132" i="4"/>
  <c r="B133" i="4"/>
  <c r="O133" i="4"/>
  <c r="R133" i="4"/>
  <c r="T133" i="4"/>
  <c r="AQ133" i="4"/>
  <c r="B134" i="4"/>
  <c r="O134" i="4"/>
  <c r="U134" i="4" s="1"/>
  <c r="R134" i="4"/>
  <c r="T134" i="4"/>
  <c r="AQ134" i="4"/>
  <c r="B135" i="4"/>
  <c r="O135" i="4"/>
  <c r="U135" i="4" s="1"/>
  <c r="P135" i="4"/>
  <c r="R135" i="4"/>
  <c r="T135" i="4"/>
  <c r="AQ135" i="4"/>
  <c r="B18" i="4"/>
  <c r="B15" i="4"/>
  <c r="B16" i="4"/>
  <c r="B17"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4" i="4"/>
  <c r="C16" i="31"/>
  <c r="C15" i="31"/>
  <c r="C14" i="31"/>
  <c r="C13" i="31"/>
  <c r="C12" i="31"/>
  <c r="C11" i="31"/>
  <c r="C10" i="31"/>
  <c r="C9" i="31"/>
  <c r="C8" i="31"/>
  <c r="C6" i="31"/>
  <c r="C5" i="31"/>
  <c r="B174" i="31"/>
  <c r="F52" i="31" l="1"/>
  <c r="F82" i="31"/>
  <c r="F67" i="31"/>
  <c r="F49" i="31"/>
  <c r="F55" i="31"/>
  <c r="F61" i="31"/>
  <c r="F73" i="31"/>
  <c r="F70" i="31"/>
  <c r="F76" i="31"/>
  <c r="F58" i="31"/>
  <c r="F64" i="31"/>
  <c r="F79" i="31"/>
  <c r="F46" i="31"/>
  <c r="P130" i="4"/>
  <c r="U130" i="4"/>
  <c r="P127" i="4"/>
  <c r="U127" i="4"/>
  <c r="P116" i="4"/>
  <c r="U116" i="4"/>
  <c r="P148" i="4"/>
  <c r="U148" i="4"/>
  <c r="P137" i="4"/>
  <c r="U137" i="4"/>
  <c r="P133" i="4"/>
  <c r="U133" i="4"/>
  <c r="P119" i="4"/>
  <c r="U119" i="4"/>
  <c r="P140" i="4"/>
  <c r="U140" i="4"/>
  <c r="P114" i="4"/>
  <c r="U114" i="4"/>
  <c r="P161" i="4"/>
  <c r="U161" i="4"/>
  <c r="P134" i="4"/>
  <c r="P131" i="4"/>
  <c r="U131" i="4"/>
  <c r="P128" i="4"/>
  <c r="U128" i="4"/>
  <c r="P149" i="4"/>
  <c r="U149" i="4"/>
  <c r="P138" i="4"/>
  <c r="U138" i="4"/>
  <c r="P120" i="4"/>
  <c r="U120" i="4"/>
  <c r="P152" i="4"/>
  <c r="U152" i="4"/>
  <c r="P141" i="4"/>
  <c r="U141" i="4"/>
  <c r="BE5" i="21"/>
  <c r="B44" i="21"/>
  <c r="P115" i="4"/>
  <c r="U115" i="4"/>
  <c r="P147" i="4"/>
  <c r="U147" i="4"/>
  <c r="P118" i="4"/>
  <c r="U118" i="4"/>
  <c r="P150" i="4"/>
  <c r="U150" i="4"/>
  <c r="P162" i="4"/>
  <c r="U162" i="4"/>
  <c r="P160" i="4"/>
  <c r="U160" i="4"/>
  <c r="P124" i="4"/>
  <c r="U124" i="4"/>
  <c r="P121" i="4"/>
  <c r="U121" i="4"/>
  <c r="P159" i="4"/>
  <c r="U159" i="4"/>
  <c r="P145" i="4"/>
  <c r="U145" i="4"/>
  <c r="B29" i="21"/>
  <c r="P151" i="4"/>
  <c r="P154" i="4"/>
  <c r="P155" i="4"/>
  <c r="P143" i="4"/>
  <c r="P132" i="4"/>
  <c r="P144" i="4"/>
  <c r="B176" i="31"/>
  <c r="B175" i="31"/>
  <c r="F24" i="31"/>
  <c r="F25" i="31" s="1"/>
  <c r="P139" i="4"/>
  <c r="B184" i="31"/>
  <c r="B185" i="31"/>
  <c r="B183" i="31"/>
  <c r="B188" i="31"/>
  <c r="B186" i="31"/>
  <c r="B187" i="31"/>
  <c r="P122" i="4"/>
  <c r="B177" i="31"/>
  <c r="B178" i="31"/>
  <c r="B179" i="31"/>
  <c r="B181" i="31"/>
  <c r="B182" i="31"/>
  <c r="B180" i="31"/>
  <c r="B189" i="31"/>
  <c r="B190" i="31"/>
  <c r="B191" i="31"/>
  <c r="P126" i="4"/>
  <c r="P157" i="4"/>
  <c r="P117" i="4"/>
  <c r="P136" i="4"/>
  <c r="P146" i="4"/>
  <c r="P125" i="4"/>
  <c r="P156" i="4"/>
  <c r="P163" i="4"/>
  <c r="G23" i="31"/>
  <c r="F22" i="31"/>
  <c r="BP87" i="26"/>
  <c r="BP88" i="26" s="1"/>
  <c r="BP89" i="26" s="1"/>
  <c r="BP90" i="26" s="1"/>
  <c r="BP91" i="26" s="1"/>
  <c r="BP92" i="26" s="1"/>
  <c r="BP93" i="26" s="1"/>
  <c r="BP94" i="26" s="1"/>
  <c r="BP95" i="26" s="1"/>
  <c r="BP96" i="26" s="1"/>
  <c r="BP97" i="26" s="1"/>
  <c r="BP98" i="26" s="1"/>
  <c r="BP99" i="26" s="1"/>
  <c r="BP100" i="26" s="1"/>
  <c r="BP101" i="26" s="1"/>
  <c r="BP102" i="26" s="1"/>
  <c r="BP103" i="26" s="1"/>
  <c r="BP104" i="26" s="1"/>
  <c r="BP105" i="26" s="1"/>
  <c r="BP106" i="26" s="1"/>
  <c r="BP107" i="26" s="1"/>
  <c r="BP108" i="26" s="1"/>
  <c r="BP109" i="26" s="1"/>
  <c r="BP110" i="26" s="1"/>
  <c r="BP111" i="26" s="1"/>
  <c r="BP112" i="26" s="1"/>
  <c r="BP113" i="26" s="1"/>
  <c r="BP114" i="26" s="1"/>
  <c r="BP115" i="26" s="1"/>
  <c r="BP116" i="26" s="1"/>
  <c r="BP117" i="26" s="1"/>
  <c r="BP118" i="26" s="1"/>
  <c r="BP119" i="26" s="1"/>
  <c r="BP120" i="26" s="1"/>
  <c r="BP121" i="26" s="1"/>
  <c r="BP122" i="26" s="1"/>
  <c r="BP123" i="26" s="1"/>
  <c r="BP124" i="26" s="1"/>
  <c r="BP125" i="26" s="1"/>
  <c r="BP126" i="26" s="1"/>
  <c r="BP127" i="26" s="1"/>
  <c r="BP128" i="26" s="1"/>
  <c r="BP129" i="26" s="1"/>
  <c r="BP130" i="26" s="1"/>
  <c r="BP131" i="26" s="1"/>
  <c r="BP132" i="26" s="1"/>
  <c r="BP133" i="26" s="1"/>
  <c r="BP134" i="26" s="1"/>
  <c r="BP135" i="26" s="1"/>
  <c r="BP136" i="26" s="1"/>
  <c r="BP137" i="26" s="1"/>
  <c r="BP138" i="26" s="1"/>
  <c r="BP139" i="26" s="1"/>
  <c r="BP140" i="26" s="1"/>
  <c r="BP141" i="26" s="1"/>
  <c r="BP142" i="26" s="1"/>
  <c r="BP143" i="26" s="1"/>
  <c r="BP144" i="26" s="1"/>
  <c r="BP145" i="26" s="1"/>
  <c r="BP146" i="26" s="1"/>
  <c r="BP147" i="26" s="1"/>
  <c r="BP148" i="26" s="1"/>
  <c r="BP149" i="26" s="1"/>
  <c r="BP150" i="26" s="1"/>
  <c r="BP151" i="26" s="1"/>
  <c r="BP152" i="26" s="1"/>
  <c r="BP153" i="26" s="1"/>
  <c r="BP154" i="26" s="1"/>
  <c r="BP155" i="26" s="1"/>
  <c r="BP156" i="26" s="1"/>
  <c r="BP157" i="26" s="1"/>
  <c r="BP158" i="26" s="1"/>
  <c r="BP159" i="26" s="1"/>
  <c r="BP160" i="26" s="1"/>
  <c r="BP161" i="26" s="1"/>
  <c r="BP162" i="26" s="1"/>
  <c r="BP163" i="26" s="1"/>
  <c r="BP164" i="26" s="1"/>
  <c r="BP165" i="26" s="1"/>
  <c r="BP166" i="26" s="1"/>
  <c r="BP167" i="26" s="1"/>
  <c r="BP168" i="26" s="1"/>
  <c r="BP169" i="26" s="1"/>
  <c r="BP170" i="26" s="1"/>
  <c r="BP171" i="26" s="1"/>
  <c r="BP172" i="26" s="1"/>
  <c r="BP173" i="26" s="1"/>
  <c r="BP174" i="26" s="1"/>
  <c r="BP175" i="26" s="1"/>
  <c r="BP176" i="26" s="1"/>
  <c r="BP177" i="26" s="1"/>
  <c r="BP178" i="26" s="1"/>
  <c r="BP179" i="26" s="1"/>
  <c r="BP180" i="26" s="1"/>
  <c r="BP181" i="26" s="1"/>
  <c r="BP182" i="26" s="1"/>
  <c r="BP183" i="26" s="1"/>
  <c r="BP184" i="26" s="1"/>
  <c r="BP185" i="26" s="1"/>
  <c r="BP186" i="26" s="1"/>
  <c r="BP187" i="26" s="1"/>
  <c r="BP188" i="26" s="1"/>
  <c r="BP189" i="26" s="1"/>
  <c r="BP190" i="26" s="1"/>
  <c r="BP191" i="26" s="1"/>
  <c r="BP192" i="26" s="1"/>
  <c r="BP193" i="26" s="1"/>
  <c r="BP194" i="26" s="1"/>
  <c r="BP195" i="26" s="1"/>
  <c r="BP196" i="26" s="1"/>
  <c r="BP197" i="26" s="1"/>
  <c r="BP198" i="26" s="1"/>
  <c r="BP199" i="26" s="1"/>
  <c r="BP200" i="26" s="1"/>
  <c r="BP201" i="26" s="1"/>
  <c r="BP202" i="26" s="1"/>
  <c r="BP203" i="26" s="1"/>
  <c r="BP204" i="26" s="1"/>
  <c r="BP205" i="26" s="1"/>
  <c r="BP206" i="26" s="1"/>
  <c r="BP207" i="26" s="1"/>
  <c r="BP208" i="26" s="1"/>
  <c r="BP209" i="26" s="1"/>
  <c r="BP210" i="26" s="1"/>
  <c r="BP211" i="26" s="1"/>
  <c r="BP212" i="26" s="1"/>
  <c r="BP213" i="26" s="1"/>
  <c r="BP214" i="26" s="1"/>
  <c r="BP215" i="26" s="1"/>
  <c r="BP216" i="26" s="1"/>
  <c r="BP217" i="26" s="1"/>
  <c r="BP218" i="26" s="1"/>
  <c r="BP219" i="26" s="1"/>
  <c r="BP220" i="26" s="1"/>
  <c r="BP221" i="26" s="1"/>
  <c r="BP222" i="26" s="1"/>
  <c r="BP223" i="26" s="1"/>
  <c r="BP224" i="26" s="1"/>
  <c r="BP225" i="26" s="1"/>
  <c r="BP226" i="26" s="1"/>
  <c r="BP227" i="26" s="1"/>
  <c r="BP228" i="26" s="1"/>
  <c r="BP229" i="26" s="1"/>
  <c r="BP230" i="26" s="1"/>
  <c r="BP231" i="26" s="1"/>
  <c r="BO231" i="26" s="1"/>
  <c r="AE23" i="29"/>
  <c r="AC23" i="29"/>
  <c r="AM23" i="29" s="1"/>
  <c r="Q23" i="29"/>
  <c r="AE22" i="29"/>
  <c r="AC22" i="29"/>
  <c r="AM22" i="29" s="1"/>
  <c r="Q22" i="29"/>
  <c r="AE21" i="29"/>
  <c r="AC21" i="29"/>
  <c r="AM21" i="29" s="1"/>
  <c r="Q21" i="29"/>
  <c r="AE20" i="29"/>
  <c r="AC20" i="29"/>
  <c r="AM20" i="29" s="1"/>
  <c r="Q20" i="29"/>
  <c r="AE19" i="29"/>
  <c r="AC19" i="29"/>
  <c r="AM19" i="29" s="1"/>
  <c r="Q19" i="29"/>
  <c r="AE18" i="29"/>
  <c r="AC18" i="29"/>
  <c r="AM18" i="29" s="1"/>
  <c r="Q18" i="29"/>
  <c r="AE17" i="29"/>
  <c r="AC17" i="29"/>
  <c r="AM17" i="29" s="1"/>
  <c r="Q17" i="29"/>
  <c r="AE16" i="29"/>
  <c r="AC16" i="29"/>
  <c r="AM16" i="29" s="1"/>
  <c r="Q16" i="29"/>
  <c r="AE15" i="29"/>
  <c r="AC15" i="29"/>
  <c r="Q15" i="29"/>
  <c r="AE14" i="29"/>
  <c r="AC14" i="29"/>
  <c r="Q14" i="29"/>
  <c r="AN9" i="29" l="1"/>
  <c r="AM9" i="29"/>
  <c r="AN78" i="29" s="1"/>
  <c r="G24" i="31"/>
  <c r="G25" i="31" s="1"/>
  <c r="BO86" i="26"/>
  <c r="AM14" i="29"/>
  <c r="H23" i="31"/>
  <c r="I23" i="31" s="1"/>
  <c r="G22" i="31"/>
  <c r="BO223" i="26"/>
  <c r="BO200" i="26"/>
  <c r="BO113" i="26"/>
  <c r="BO151" i="26"/>
  <c r="BO139" i="26"/>
  <c r="BQ86" i="26"/>
  <c r="BO101" i="26"/>
  <c r="BO99" i="26"/>
  <c r="BO224" i="26"/>
  <c r="BO152" i="26"/>
  <c r="BO114" i="26"/>
  <c r="BO111" i="26"/>
  <c r="BO212" i="26"/>
  <c r="BO150" i="26"/>
  <c r="BO102" i="26"/>
  <c r="BO211" i="26"/>
  <c r="BO140" i="26"/>
  <c r="BO100" i="26"/>
  <c r="BO199" i="26"/>
  <c r="BO138" i="26"/>
  <c r="BO188" i="26"/>
  <c r="BO128" i="26"/>
  <c r="BO98" i="26"/>
  <c r="BO187" i="26"/>
  <c r="BO127" i="26"/>
  <c r="BO90" i="26"/>
  <c r="BO176" i="26"/>
  <c r="BO126" i="26"/>
  <c r="BO89" i="26"/>
  <c r="BO175" i="26"/>
  <c r="BO125" i="26"/>
  <c r="BO88" i="26"/>
  <c r="BO164" i="26"/>
  <c r="BO116" i="26"/>
  <c r="BO87" i="26"/>
  <c r="BO163" i="26"/>
  <c r="BO115" i="26"/>
  <c r="BP232" i="26"/>
  <c r="BO110" i="26"/>
  <c r="BO220" i="26"/>
  <c r="BO196" i="26"/>
  <c r="BO172" i="26"/>
  <c r="BO148" i="26"/>
  <c r="BO124" i="26"/>
  <c r="BO219" i="26"/>
  <c r="BO159" i="26"/>
  <c r="BO146" i="26"/>
  <c r="BO107" i="26"/>
  <c r="BO95" i="26"/>
  <c r="BO229" i="26"/>
  <c r="BO217" i="26"/>
  <c r="BO205" i="26"/>
  <c r="BO193" i="26"/>
  <c r="BO181" i="26"/>
  <c r="BO169" i="26"/>
  <c r="BO157" i="26"/>
  <c r="BO145" i="26"/>
  <c r="BO133" i="26"/>
  <c r="BO121" i="26"/>
  <c r="BO222" i="26"/>
  <c r="BO210" i="26"/>
  <c r="BO186" i="26"/>
  <c r="BO174" i="26"/>
  <c r="BO162" i="26"/>
  <c r="BO197" i="26"/>
  <c r="BO161" i="26"/>
  <c r="BO136" i="26"/>
  <c r="BO97" i="26"/>
  <c r="BO207" i="26"/>
  <c r="BO171" i="26"/>
  <c r="BO147" i="26"/>
  <c r="BO123" i="26"/>
  <c r="BO96" i="26"/>
  <c r="BO230" i="26"/>
  <c r="BO194" i="26"/>
  <c r="BO158" i="26"/>
  <c r="BO122" i="26"/>
  <c r="BO106" i="26"/>
  <c r="BO94" i="26"/>
  <c r="BO228" i="26"/>
  <c r="BO216" i="26"/>
  <c r="BO204" i="26"/>
  <c r="BO192" i="26"/>
  <c r="BO180" i="26"/>
  <c r="BO168" i="26"/>
  <c r="BO156" i="26"/>
  <c r="BO144" i="26"/>
  <c r="BO132" i="26"/>
  <c r="BO120" i="26"/>
  <c r="BO221" i="26"/>
  <c r="BO185" i="26"/>
  <c r="BO149" i="26"/>
  <c r="BO137" i="26"/>
  <c r="BO208" i="26"/>
  <c r="BO184" i="26"/>
  <c r="BO160" i="26"/>
  <c r="BO112" i="26"/>
  <c r="BO109" i="26"/>
  <c r="BO195" i="26"/>
  <c r="BO108" i="26"/>
  <c r="BO218" i="26"/>
  <c r="BO182" i="26"/>
  <c r="BO105" i="26"/>
  <c r="BO93" i="26"/>
  <c r="BO227" i="26"/>
  <c r="BO215" i="26"/>
  <c r="BO203" i="26"/>
  <c r="BO191" i="26"/>
  <c r="BO179" i="26"/>
  <c r="BO167" i="26"/>
  <c r="BO155" i="26"/>
  <c r="BO143" i="26"/>
  <c r="BO131" i="26"/>
  <c r="BO119" i="26"/>
  <c r="BO198" i="26"/>
  <c r="BO209" i="26"/>
  <c r="BO173" i="26"/>
  <c r="BO183" i="26"/>
  <c r="BO135" i="26"/>
  <c r="BO206" i="26"/>
  <c r="BO170" i="26"/>
  <c r="BO134" i="26"/>
  <c r="BO104" i="26"/>
  <c r="BO92" i="26"/>
  <c r="BO226" i="26"/>
  <c r="BO214" i="26"/>
  <c r="BO202" i="26"/>
  <c r="BO190" i="26"/>
  <c r="BO178" i="26"/>
  <c r="BO166" i="26"/>
  <c r="BO154" i="26"/>
  <c r="BO142" i="26"/>
  <c r="BO130" i="26"/>
  <c r="BO118" i="26"/>
  <c r="BO103" i="26"/>
  <c r="BO91" i="26"/>
  <c r="BO225" i="26"/>
  <c r="BO213" i="26"/>
  <c r="BO201" i="26"/>
  <c r="BO189" i="26"/>
  <c r="BO177" i="26"/>
  <c r="BO165" i="26"/>
  <c r="BO153" i="26"/>
  <c r="BO141" i="26"/>
  <c r="BO129" i="26"/>
  <c r="BO117" i="26"/>
  <c r="AM15" i="29"/>
  <c r="I24" i="31" l="1"/>
  <c r="I25" i="31" s="1"/>
  <c r="AT78" i="29"/>
  <c r="B8" i="29"/>
  <c r="H24" i="31"/>
  <c r="H25" i="31" s="1"/>
  <c r="H22" i="31"/>
  <c r="BQ232" i="26"/>
  <c r="BP233" i="26"/>
  <c r="BO232" i="26"/>
  <c r="Y14" i="29"/>
  <c r="C74" i="29" s="1"/>
  <c r="R31"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J23" i="31" l="1"/>
  <c r="I22" i="31"/>
  <c r="BQ233" i="26"/>
  <c r="BO233" i="26"/>
  <c r="BP234" i="26"/>
  <c r="J24" i="31" l="1"/>
  <c r="J25" i="31" s="1"/>
  <c r="Q18" i="25"/>
  <c r="K23" i="31"/>
  <c r="J22" i="31"/>
  <c r="BP235" i="26"/>
  <c r="BQ234" i="26"/>
  <c r="BO234" i="26"/>
  <c r="AF86" i="24"/>
  <c r="AF83" i="24"/>
  <c r="AF89" i="24"/>
  <c r="AK28" i="26"/>
  <c r="AG28" i="26"/>
  <c r="AE28" i="26"/>
  <c r="AC28" i="26"/>
  <c r="AE27" i="26"/>
  <c r="AG24" i="26"/>
  <c r="AG23" i="26"/>
  <c r="AG22" i="26"/>
  <c r="AG23" i="24"/>
  <c r="AG24" i="24"/>
  <c r="AG28" i="24"/>
  <c r="AG22" i="24"/>
  <c r="AE25" i="24"/>
  <c r="AE26" i="24"/>
  <c r="AE27" i="24"/>
  <c r="AE28" i="24"/>
  <c r="BC22" i="24"/>
  <c r="AC28" i="24"/>
  <c r="O14" i="4"/>
  <c r="U14" i="4" s="1"/>
  <c r="AM17" i="21"/>
  <c r="AQ7" i="21" s="1"/>
  <c r="AS35" i="26"/>
  <c r="AS32" i="26"/>
  <c r="AS35" i="24"/>
  <c r="AS32" i="24"/>
  <c r="J18" i="2"/>
  <c r="I18" i="2"/>
  <c r="H18" i="2"/>
  <c r="G18" i="2"/>
  <c r="F18" i="2"/>
  <c r="E18" i="2"/>
  <c r="D18" i="2"/>
  <c r="C18" i="2"/>
  <c r="J16" i="2"/>
  <c r="I16" i="2"/>
  <c r="H16" i="2"/>
  <c r="G16" i="2"/>
  <c r="F16" i="2"/>
  <c r="E16" i="2"/>
  <c r="D16" i="2"/>
  <c r="C16" i="2"/>
  <c r="J12" i="2"/>
  <c r="I12" i="2"/>
  <c r="H12" i="2"/>
  <c r="G12" i="2"/>
  <c r="F12" i="2"/>
  <c r="E12" i="2"/>
  <c r="D12" i="2"/>
  <c r="C12" i="2"/>
  <c r="J10" i="2"/>
  <c r="I10" i="2"/>
  <c r="H10" i="2"/>
  <c r="G10" i="2"/>
  <c r="F10" i="2"/>
  <c r="E10" i="2"/>
  <c r="D10" i="2"/>
  <c r="C10" i="2"/>
  <c r="J8" i="2"/>
  <c r="I8" i="2"/>
  <c r="H8" i="2"/>
  <c r="H20" i="2" s="1"/>
  <c r="G8" i="2"/>
  <c r="G20" i="2" s="1"/>
  <c r="F8" i="2"/>
  <c r="F20" i="2" s="1"/>
  <c r="E8" i="2"/>
  <c r="E20" i="2" s="1"/>
  <c r="D8" i="2"/>
  <c r="C8" i="2"/>
  <c r="C20" i="2" s="1"/>
  <c r="D19" i="2"/>
  <c r="AF19" i="12"/>
  <c r="AF16" i="12"/>
  <c r="AF15" i="12"/>
  <c r="AF14" i="12"/>
  <c r="AF7" i="12"/>
  <c r="AF8" i="12"/>
  <c r="AF9" i="12"/>
  <c r="AF10" i="12"/>
  <c r="AF11" i="12"/>
  <c r="AF6" i="12"/>
  <c r="I20" i="2" l="1"/>
  <c r="D20" i="2"/>
  <c r="J20" i="2"/>
  <c r="H21" i="3" s="1"/>
  <c r="AW35" i="26"/>
  <c r="AZ35" i="26" s="1"/>
  <c r="K24" i="31"/>
  <c r="K25" i="31" s="1"/>
  <c r="BE18" i="21"/>
  <c r="L23" i="31"/>
  <c r="K22" i="31"/>
  <c r="BO235" i="26"/>
  <c r="BQ235" i="26"/>
  <c r="BP236" i="26"/>
  <c r="P14" i="4"/>
  <c r="R14" i="4" s="1"/>
  <c r="T75" i="26"/>
  <c r="AI28" i="26"/>
  <c r="AM28" i="26" s="1"/>
  <c r="T76" i="24"/>
  <c r="AW32" i="26"/>
  <c r="AZ32" i="26" s="1"/>
  <c r="AF118" i="26"/>
  <c r="AF115" i="26"/>
  <c r="AF112" i="26"/>
  <c r="AF109" i="26"/>
  <c r="AF106" i="26"/>
  <c r="AF103" i="26"/>
  <c r="AF100" i="26"/>
  <c r="AF97" i="26"/>
  <c r="AF94" i="26"/>
  <c r="AF91" i="26"/>
  <c r="AF88" i="26"/>
  <c r="AF85" i="26"/>
  <c r="AF116" i="24"/>
  <c r="AF110" i="24"/>
  <c r="AF107" i="24"/>
  <c r="AF104" i="24"/>
  <c r="AF95" i="24"/>
  <c r="AF92" i="24"/>
  <c r="AF119" i="24"/>
  <c r="AF113" i="24"/>
  <c r="AF101" i="24"/>
  <c r="AF98" i="24"/>
  <c r="V119" i="24"/>
  <c r="V116" i="24"/>
  <c r="V113" i="24"/>
  <c r="V110" i="24"/>
  <c r="V107" i="24"/>
  <c r="V104" i="24"/>
  <c r="V101" i="24"/>
  <c r="V98" i="24"/>
  <c r="V95" i="24"/>
  <c r="V92" i="24"/>
  <c r="V89" i="24"/>
  <c r="V86" i="24"/>
  <c r="V83" i="24"/>
  <c r="V82" i="26"/>
  <c r="BB124" i="4" s="1"/>
  <c r="V118" i="26"/>
  <c r="BB140" i="4" s="1"/>
  <c r="V115" i="26"/>
  <c r="BB139" i="4" s="1"/>
  <c r="V112" i="26"/>
  <c r="BB138" i="4" s="1"/>
  <c r="V109" i="26"/>
  <c r="V106" i="26"/>
  <c r="V103" i="26"/>
  <c r="BB130" i="4" s="1"/>
  <c r="V100" i="26"/>
  <c r="BB129" i="4" s="1"/>
  <c r="V97" i="26"/>
  <c r="BB128" i="4" s="1"/>
  <c r="V94" i="26"/>
  <c r="BB134" i="4" s="1"/>
  <c r="V91" i="26"/>
  <c r="BB131" i="4" s="1"/>
  <c r="V88" i="26"/>
  <c r="BB126" i="4" s="1"/>
  <c r="V85" i="26"/>
  <c r="BB125" i="4" s="1"/>
  <c r="AC147" i="26"/>
  <c r="AW147" i="26" s="1"/>
  <c r="G147" i="26"/>
  <c r="AA147" i="26" s="1"/>
  <c r="AC145" i="26"/>
  <c r="AW145" i="26" s="1"/>
  <c r="G145" i="26"/>
  <c r="AA145" i="26" s="1"/>
  <c r="AC143" i="26"/>
  <c r="AW143" i="26" s="1"/>
  <c r="G143" i="26"/>
  <c r="AA143" i="26" s="1"/>
  <c r="AC141" i="26"/>
  <c r="AW141" i="26" s="1"/>
  <c r="G141" i="26"/>
  <c r="AA141" i="26" s="1"/>
  <c r="AC139" i="26"/>
  <c r="AW139" i="26" s="1"/>
  <c r="G139" i="26"/>
  <c r="AA139" i="26" s="1"/>
  <c r="AC137" i="26"/>
  <c r="AW137" i="26" s="1"/>
  <c r="G137" i="26"/>
  <c r="AA137" i="26" s="1"/>
  <c r="AC135" i="26"/>
  <c r="AW135" i="26" s="1"/>
  <c r="G135" i="26"/>
  <c r="AA135" i="26" s="1"/>
  <c r="AC133" i="26"/>
  <c r="AW133" i="26" s="1"/>
  <c r="G133" i="26"/>
  <c r="AA133" i="26" s="1"/>
  <c r="AC131" i="26"/>
  <c r="AW131" i="26" s="1"/>
  <c r="G131" i="26"/>
  <c r="AA131" i="26" s="1"/>
  <c r="AC129" i="26"/>
  <c r="AW129" i="26" s="1"/>
  <c r="G129" i="26"/>
  <c r="AA129" i="26" s="1"/>
  <c r="AC127" i="26"/>
  <c r="AW127" i="26" s="1"/>
  <c r="G127" i="26"/>
  <c r="AA127" i="26" s="1"/>
  <c r="AC125" i="26"/>
  <c r="AW125" i="26" s="1"/>
  <c r="G125" i="26"/>
  <c r="AA125" i="26" s="1"/>
  <c r="AC148" i="24"/>
  <c r="AW148" i="24" s="1"/>
  <c r="G148" i="24"/>
  <c r="AA148" i="24" s="1"/>
  <c r="AC146" i="24"/>
  <c r="AW146" i="24" s="1"/>
  <c r="G146" i="24"/>
  <c r="AA146" i="24" s="1"/>
  <c r="AC144" i="24"/>
  <c r="AW144" i="24" s="1"/>
  <c r="G144" i="24"/>
  <c r="AA144" i="24" s="1"/>
  <c r="AC142" i="24"/>
  <c r="AW142" i="24" s="1"/>
  <c r="G142" i="24"/>
  <c r="AA142" i="24" s="1"/>
  <c r="AC140" i="24"/>
  <c r="AW140" i="24" s="1"/>
  <c r="G140" i="24"/>
  <c r="AA140" i="24" s="1"/>
  <c r="AC138" i="24"/>
  <c r="AW138" i="24" s="1"/>
  <c r="G138" i="24"/>
  <c r="AA138" i="24" s="1"/>
  <c r="AC136" i="24"/>
  <c r="AW136" i="24" s="1"/>
  <c r="G136" i="24"/>
  <c r="AA136" i="24" s="1"/>
  <c r="AC134" i="24"/>
  <c r="AW134" i="24" s="1"/>
  <c r="G134" i="24"/>
  <c r="AA134" i="24" s="1"/>
  <c r="AC132" i="24"/>
  <c r="AW132" i="24" s="1"/>
  <c r="G132" i="24"/>
  <c r="AA132" i="24" s="1"/>
  <c r="AC130" i="24"/>
  <c r="AW130" i="24" s="1"/>
  <c r="G130" i="24"/>
  <c r="AA130" i="24" s="1"/>
  <c r="AC128" i="24"/>
  <c r="AW128" i="24" s="1"/>
  <c r="G128" i="24"/>
  <c r="AA128" i="24" s="1"/>
  <c r="AC126" i="24"/>
  <c r="AW126" i="24" s="1"/>
  <c r="G126" i="24"/>
  <c r="AA126" i="24" s="1"/>
  <c r="AD118" i="26"/>
  <c r="AD115" i="26"/>
  <c r="AD112" i="26"/>
  <c r="AD109" i="26"/>
  <c r="AD106" i="26"/>
  <c r="AD103" i="26"/>
  <c r="AD100" i="26"/>
  <c r="AD97" i="26"/>
  <c r="AD94" i="26"/>
  <c r="AD91" i="26"/>
  <c r="AD88" i="26"/>
  <c r="AD85" i="26"/>
  <c r="AD82" i="26"/>
  <c r="P75" i="26"/>
  <c r="AU52" i="24"/>
  <c r="J51" i="24"/>
  <c r="J55" i="24" s="1"/>
  <c r="K51" i="24"/>
  <c r="K55" i="24" s="1"/>
  <c r="L51" i="24"/>
  <c r="L55" i="24" s="1"/>
  <c r="M51" i="24"/>
  <c r="M55" i="24" s="1"/>
  <c r="N51" i="24"/>
  <c r="N55" i="24" s="1"/>
  <c r="O51" i="24"/>
  <c r="O55" i="24" s="1"/>
  <c r="P51" i="24"/>
  <c r="P55" i="24" s="1"/>
  <c r="Q51" i="24"/>
  <c r="Q55" i="24" s="1"/>
  <c r="R51" i="24"/>
  <c r="R55" i="24" s="1"/>
  <c r="S51" i="24"/>
  <c r="S55" i="24" s="1"/>
  <c r="T51" i="24"/>
  <c r="T55" i="24" s="1"/>
  <c r="U51" i="24"/>
  <c r="U55" i="24" s="1"/>
  <c r="V51" i="24"/>
  <c r="V55" i="24" s="1"/>
  <c r="W51" i="24"/>
  <c r="W55" i="24" s="1"/>
  <c r="X51" i="24"/>
  <c r="X55" i="24" s="1"/>
  <c r="Y51" i="24"/>
  <c r="Y55" i="24" s="1"/>
  <c r="Z51" i="24"/>
  <c r="Z55" i="24" s="1"/>
  <c r="AA51" i="24"/>
  <c r="AA55" i="24" s="1"/>
  <c r="AB51" i="24"/>
  <c r="AB55" i="24" s="1"/>
  <c r="AC51" i="24"/>
  <c r="AC55" i="24" s="1"/>
  <c r="AD51" i="24"/>
  <c r="AD55" i="24" s="1"/>
  <c r="AE51" i="24"/>
  <c r="AE55" i="24" s="1"/>
  <c r="AF51" i="24"/>
  <c r="AF55" i="24" s="1"/>
  <c r="AG51" i="24"/>
  <c r="AG55" i="24" s="1"/>
  <c r="AH51" i="24"/>
  <c r="AH55" i="24" s="1"/>
  <c r="AI51" i="24"/>
  <c r="AI55" i="24" s="1"/>
  <c r="AJ51" i="24"/>
  <c r="AJ55" i="24" s="1"/>
  <c r="AK51" i="24"/>
  <c r="AK55" i="24" s="1"/>
  <c r="AL51" i="24"/>
  <c r="AL55" i="24" s="1"/>
  <c r="AM51" i="24"/>
  <c r="AM55" i="24" s="1"/>
  <c r="AN51" i="24"/>
  <c r="AN55" i="24" s="1"/>
  <c r="AO51" i="24"/>
  <c r="AO55" i="24" s="1"/>
  <c r="AP51" i="24"/>
  <c r="AP55" i="24" s="1"/>
  <c r="AQ51" i="24"/>
  <c r="AQ55" i="24" s="1"/>
  <c r="AR51" i="24"/>
  <c r="AR55" i="24" s="1"/>
  <c r="AS51" i="24"/>
  <c r="AS55" i="24" s="1"/>
  <c r="AT51" i="24"/>
  <c r="AT55" i="24" s="1"/>
  <c r="AU53" i="24"/>
  <c r="AD116" i="24"/>
  <c r="AD86" i="24"/>
  <c r="AD89" i="24"/>
  <c r="AD92" i="24"/>
  <c r="AD95" i="24"/>
  <c r="AD98" i="24"/>
  <c r="AD101" i="24"/>
  <c r="AD104" i="24"/>
  <c r="AD107" i="24"/>
  <c r="AD110" i="24"/>
  <c r="AD113" i="24"/>
  <c r="AD119" i="24"/>
  <c r="AD83" i="24"/>
  <c r="P76" i="24"/>
  <c r="BB136" i="4" l="1"/>
  <c r="BB137" i="4"/>
  <c r="AZ66" i="26"/>
  <c r="AZ5" i="26" s="1"/>
  <c r="L24" i="31"/>
  <c r="L25" i="31" s="1"/>
  <c r="M23" i="31"/>
  <c r="L22" i="31"/>
  <c r="BO236" i="26"/>
  <c r="BP237" i="26"/>
  <c r="BQ236" i="26"/>
  <c r="Y64" i="24"/>
  <c r="Y60" i="24"/>
  <c r="K60" i="24"/>
  <c r="K64" i="24"/>
  <c r="AM64" i="24"/>
  <c r="AM60" i="24"/>
  <c r="AT64" i="24"/>
  <c r="AT60" i="24"/>
  <c r="AF64" i="24"/>
  <c r="AF60" i="24"/>
  <c r="R64" i="24"/>
  <c r="R60" i="24"/>
  <c r="AM58" i="24"/>
  <c r="Y58" i="24"/>
  <c r="K58" i="24"/>
  <c r="AT58" i="24"/>
  <c r="AF58" i="24"/>
  <c r="R58" i="24"/>
  <c r="AU51" i="24"/>
  <c r="AU59" i="24" s="1"/>
  <c r="AT62" i="24"/>
  <c r="AF62" i="24"/>
  <c r="K62" i="24"/>
  <c r="S54" i="24"/>
  <c r="R62" i="24"/>
  <c r="Y62" i="24"/>
  <c r="AM62" i="24"/>
  <c r="L41" i="31" l="1"/>
  <c r="L40" i="31"/>
  <c r="L39" i="31"/>
  <c r="L38" i="31"/>
  <c r="L36" i="31"/>
  <c r="L34" i="31"/>
  <c r="L29" i="31"/>
  <c r="L37" i="31"/>
  <c r="L35" i="31"/>
  <c r="L33" i="31"/>
  <c r="L32" i="31"/>
  <c r="L31" i="31"/>
  <c r="L30" i="31"/>
  <c r="M24" i="31"/>
  <c r="M25" i="31" s="1"/>
  <c r="L42" i="31"/>
  <c r="L44" i="31"/>
  <c r="L43" i="31"/>
  <c r="O29" i="12"/>
  <c r="N23" i="31"/>
  <c r="M22" i="31"/>
  <c r="BO237" i="26"/>
  <c r="BP238" i="26"/>
  <c r="BQ237" i="26"/>
  <c r="AU63" i="24"/>
  <c r="AK28" i="24"/>
  <c r="AI28" i="24" s="1"/>
  <c r="F7" i="25"/>
  <c r="AB18" i="24"/>
  <c r="AA18" i="24"/>
  <c r="AB16" i="24"/>
  <c r="AA16" i="24"/>
  <c r="AA18" i="26"/>
  <c r="AB18" i="26"/>
  <c r="AB16" i="26"/>
  <c r="AA16" i="26"/>
  <c r="BQ87" i="26"/>
  <c r="BQ88" i="26"/>
  <c r="BQ89" i="26"/>
  <c r="BQ90" i="26"/>
  <c r="BQ91" i="26"/>
  <c r="BQ92" i="26"/>
  <c r="BQ93" i="26"/>
  <c r="BQ94" i="26"/>
  <c r="BQ95" i="26"/>
  <c r="BQ96" i="26"/>
  <c r="BQ97" i="26"/>
  <c r="BQ98" i="26"/>
  <c r="BQ99" i="26"/>
  <c r="BQ100" i="26"/>
  <c r="BQ101" i="26"/>
  <c r="BQ102" i="26"/>
  <c r="BQ103" i="26"/>
  <c r="BQ104" i="26"/>
  <c r="BQ105" i="26"/>
  <c r="BQ106" i="26"/>
  <c r="BQ107" i="26"/>
  <c r="BQ108" i="26"/>
  <c r="BQ109" i="26"/>
  <c r="BQ110" i="26"/>
  <c r="BQ111" i="26"/>
  <c r="BQ112" i="26"/>
  <c r="BQ113" i="26"/>
  <c r="BQ114" i="26"/>
  <c r="BQ115" i="26"/>
  <c r="BQ116" i="26"/>
  <c r="BQ117" i="26"/>
  <c r="BQ118" i="26"/>
  <c r="BQ119" i="26"/>
  <c r="BQ120" i="26"/>
  <c r="BQ121" i="26"/>
  <c r="BQ122" i="26"/>
  <c r="BQ123" i="26"/>
  <c r="BQ124" i="26"/>
  <c r="BQ125" i="26"/>
  <c r="BQ126" i="26"/>
  <c r="BQ127" i="26"/>
  <c r="BQ128" i="26"/>
  <c r="BQ129" i="26"/>
  <c r="BQ130" i="26"/>
  <c r="BQ131" i="26"/>
  <c r="BQ132" i="26"/>
  <c r="BQ133" i="26"/>
  <c r="BQ134" i="26"/>
  <c r="BQ135" i="26"/>
  <c r="BQ136" i="26"/>
  <c r="BQ137" i="26"/>
  <c r="BQ138" i="26"/>
  <c r="BQ139" i="26"/>
  <c r="BQ140" i="26"/>
  <c r="BQ141" i="26"/>
  <c r="BQ142" i="26"/>
  <c r="BQ143" i="26"/>
  <c r="BQ144" i="26"/>
  <c r="BQ145" i="26"/>
  <c r="BQ146" i="26"/>
  <c r="BQ147" i="26"/>
  <c r="BQ148" i="26"/>
  <c r="BQ149" i="26"/>
  <c r="BQ150" i="26"/>
  <c r="BQ151" i="26"/>
  <c r="BQ152" i="26"/>
  <c r="BQ153" i="26"/>
  <c r="BQ154" i="26"/>
  <c r="BQ155" i="26"/>
  <c r="BQ156" i="26"/>
  <c r="BQ157" i="26"/>
  <c r="BQ158" i="26"/>
  <c r="BQ159" i="26"/>
  <c r="BQ160" i="26"/>
  <c r="BQ161" i="26"/>
  <c r="BQ162" i="26"/>
  <c r="BQ163" i="26"/>
  <c r="BQ164" i="26"/>
  <c r="BQ165" i="26"/>
  <c r="BQ166" i="26"/>
  <c r="BQ167" i="26"/>
  <c r="BQ168" i="26"/>
  <c r="BQ169" i="26"/>
  <c r="BQ170" i="26"/>
  <c r="BQ171" i="26"/>
  <c r="BQ172" i="26"/>
  <c r="BQ173" i="26"/>
  <c r="BQ174" i="26"/>
  <c r="BQ175" i="26"/>
  <c r="BQ176" i="26"/>
  <c r="BQ177" i="26"/>
  <c r="BQ178" i="26"/>
  <c r="BQ179" i="26"/>
  <c r="BQ180" i="26"/>
  <c r="BQ181" i="26"/>
  <c r="BQ182" i="26"/>
  <c r="BQ183" i="26"/>
  <c r="BQ184" i="26"/>
  <c r="BQ185" i="26"/>
  <c r="BQ186" i="26"/>
  <c r="BQ187" i="26"/>
  <c r="BQ188" i="26"/>
  <c r="BQ189" i="26"/>
  <c r="BQ190" i="26"/>
  <c r="BQ191" i="26"/>
  <c r="BQ192" i="26"/>
  <c r="BQ193" i="26"/>
  <c r="BQ194" i="26"/>
  <c r="BQ195" i="26"/>
  <c r="BQ196" i="26"/>
  <c r="BQ197" i="26"/>
  <c r="BQ198" i="26"/>
  <c r="BQ199" i="26"/>
  <c r="BQ200" i="26"/>
  <c r="BQ201" i="26"/>
  <c r="BQ202" i="26"/>
  <c r="BQ203" i="26"/>
  <c r="BQ204" i="26"/>
  <c r="BQ205" i="26"/>
  <c r="BQ206" i="26"/>
  <c r="BQ207" i="26"/>
  <c r="BQ208" i="26"/>
  <c r="BQ209" i="26"/>
  <c r="BQ210" i="26"/>
  <c r="BQ211" i="26"/>
  <c r="BQ212" i="26"/>
  <c r="BQ213" i="26"/>
  <c r="BQ214" i="26"/>
  <c r="BQ215" i="26"/>
  <c r="BQ216" i="26"/>
  <c r="BQ217" i="26"/>
  <c r="BQ218" i="26"/>
  <c r="BQ219" i="26"/>
  <c r="BQ220" i="26"/>
  <c r="BQ221" i="26"/>
  <c r="BQ222" i="26"/>
  <c r="BQ223" i="26"/>
  <c r="BQ224" i="26"/>
  <c r="BQ225" i="26"/>
  <c r="BQ226" i="26"/>
  <c r="BQ227" i="26"/>
  <c r="BQ228" i="26"/>
  <c r="BQ229" i="26"/>
  <c r="BQ230" i="26"/>
  <c r="BQ231" i="26"/>
  <c r="BX96" i="26"/>
  <c r="BX95" i="26"/>
  <c r="BX94" i="26"/>
  <c r="BX93" i="26"/>
  <c r="BX92" i="26"/>
  <c r="BV92" i="26"/>
  <c r="BX91" i="26"/>
  <c r="BV91" i="26"/>
  <c r="BX90" i="26"/>
  <c r="BV90" i="26"/>
  <c r="BX89" i="26"/>
  <c r="BV89" i="26"/>
  <c r="BX88" i="26"/>
  <c r="BV88" i="26"/>
  <c r="BX87" i="26"/>
  <c r="BV87" i="26"/>
  <c r="BX86" i="26"/>
  <c r="BV86" i="26"/>
  <c r="BR86" i="26" s="1"/>
  <c r="BX85" i="26"/>
  <c r="BF28" i="26"/>
  <c r="BE28" i="26"/>
  <c r="BD28" i="26"/>
  <c r="BC28" i="26"/>
  <c r="BB28" i="26"/>
  <c r="BA28" i="26"/>
  <c r="BF27" i="26"/>
  <c r="BE27" i="26"/>
  <c r="BD27" i="26"/>
  <c r="BC27" i="26"/>
  <c r="BB27" i="26"/>
  <c r="BA27" i="26"/>
  <c r="BF26" i="26"/>
  <c r="BE26" i="26"/>
  <c r="BD26" i="26"/>
  <c r="BC26" i="26"/>
  <c r="BB26" i="26"/>
  <c r="BA26" i="26"/>
  <c r="BF25" i="26"/>
  <c r="BE25" i="26"/>
  <c r="BD25" i="26"/>
  <c r="BC25" i="26"/>
  <c r="BB25" i="26"/>
  <c r="BA25" i="26"/>
  <c r="BF24" i="26"/>
  <c r="BE24" i="26"/>
  <c r="BD24" i="26"/>
  <c r="BC24" i="26"/>
  <c r="BB24" i="26"/>
  <c r="BA24" i="26"/>
  <c r="BF23" i="26"/>
  <c r="BE23" i="26"/>
  <c r="BD23" i="26"/>
  <c r="BC23" i="26"/>
  <c r="BB23" i="26"/>
  <c r="BA23" i="26"/>
  <c r="BF22" i="26"/>
  <c r="BE22" i="26"/>
  <c r="BD22" i="26"/>
  <c r="BC22" i="26"/>
  <c r="BB22" i="26"/>
  <c r="BA22" i="26"/>
  <c r="BR208" i="26" l="1"/>
  <c r="BR236" i="26"/>
  <c r="BR234" i="26"/>
  <c r="BR235" i="26"/>
  <c r="BR209" i="26"/>
  <c r="BR160" i="26"/>
  <c r="BR232" i="26"/>
  <c r="BR174" i="26"/>
  <c r="BR195" i="26"/>
  <c r="BR223" i="26"/>
  <c r="N24" i="31"/>
  <c r="N25" i="31" s="1"/>
  <c r="AE25" i="26"/>
  <c r="BR211" i="26"/>
  <c r="BR187" i="26"/>
  <c r="BR175" i="26"/>
  <c r="BR163" i="26"/>
  <c r="BR151" i="26"/>
  <c r="BR139" i="26"/>
  <c r="BR127" i="26"/>
  <c r="BR103" i="26"/>
  <c r="BR91" i="26"/>
  <c r="BR222" i="26"/>
  <c r="BR210" i="26"/>
  <c r="BR198" i="26"/>
  <c r="BR186" i="26"/>
  <c r="BR162" i="26"/>
  <c r="BR138" i="26"/>
  <c r="BR126" i="26"/>
  <c r="BR114" i="26"/>
  <c r="BR102" i="26"/>
  <c r="BR90" i="26"/>
  <c r="BR221" i="26"/>
  <c r="BR197" i="26"/>
  <c r="BR173" i="26"/>
  <c r="BR161" i="26"/>
  <c r="BR149" i="26"/>
  <c r="BR125" i="26"/>
  <c r="BR113" i="26"/>
  <c r="BR89" i="26"/>
  <c r="BR196" i="26"/>
  <c r="BR184" i="26"/>
  <c r="BR148" i="26"/>
  <c r="BR124" i="26"/>
  <c r="BR112" i="26"/>
  <c r="BR100" i="26"/>
  <c r="BR231" i="26"/>
  <c r="BR219" i="26"/>
  <c r="BR183" i="26"/>
  <c r="BR147" i="26"/>
  <c r="BR135" i="26"/>
  <c r="BR111" i="26"/>
  <c r="BR99" i="26"/>
  <c r="BR218" i="26"/>
  <c r="BR182" i="26"/>
  <c r="BR217" i="26"/>
  <c r="BR205" i="26"/>
  <c r="BR133" i="26"/>
  <c r="BR204" i="26"/>
  <c r="BR168" i="26"/>
  <c r="BR156" i="26"/>
  <c r="BR120" i="26"/>
  <c r="AE26" i="26"/>
  <c r="BR230" i="26"/>
  <c r="BR170" i="26"/>
  <c r="BR146" i="26"/>
  <c r="BR134" i="26"/>
  <c r="BR98" i="26"/>
  <c r="BR169" i="26"/>
  <c r="BR121" i="26"/>
  <c r="BR191" i="26"/>
  <c r="O23" i="31"/>
  <c r="N22" i="31"/>
  <c r="BR87" i="26"/>
  <c r="BR194" i="26"/>
  <c r="BR158" i="26"/>
  <c r="BR110" i="26"/>
  <c r="BR96" i="26"/>
  <c r="BR227" i="26"/>
  <c r="BR215" i="26"/>
  <c r="BR203" i="26"/>
  <c r="BR179" i="26"/>
  <c r="BR167" i="26"/>
  <c r="BR155" i="26"/>
  <c r="BR143" i="26"/>
  <c r="BR131" i="26"/>
  <c r="BR119" i="26"/>
  <c r="BR107" i="26"/>
  <c r="BR95" i="26"/>
  <c r="BR199" i="26"/>
  <c r="BR115" i="26"/>
  <c r="BR185" i="26"/>
  <c r="BR137" i="26"/>
  <c r="BR101" i="26"/>
  <c r="BR220" i="26"/>
  <c r="BR172" i="26"/>
  <c r="BR132" i="26"/>
  <c r="BR226" i="26"/>
  <c r="BR214" i="26"/>
  <c r="BR202" i="26"/>
  <c r="BR190" i="26"/>
  <c r="BR178" i="26"/>
  <c r="BR166" i="26"/>
  <c r="BR154" i="26"/>
  <c r="BR142" i="26"/>
  <c r="BR130" i="26"/>
  <c r="BR118" i="26"/>
  <c r="BR106" i="26"/>
  <c r="BR94" i="26"/>
  <c r="BR150" i="26"/>
  <c r="BR171" i="26"/>
  <c r="BR123" i="26"/>
  <c r="BR206" i="26"/>
  <c r="BR229" i="26"/>
  <c r="BR181" i="26"/>
  <c r="BR157" i="26"/>
  <c r="BR109" i="26"/>
  <c r="BR228" i="26"/>
  <c r="BR192" i="26"/>
  <c r="BR144" i="26"/>
  <c r="BR108" i="26"/>
  <c r="BR233" i="26"/>
  <c r="BR225" i="26"/>
  <c r="BR213" i="26"/>
  <c r="BR201" i="26"/>
  <c r="BR189" i="26"/>
  <c r="BR177" i="26"/>
  <c r="BR165" i="26"/>
  <c r="BR153" i="26"/>
  <c r="BR141" i="26"/>
  <c r="BR129" i="26"/>
  <c r="BR117" i="26"/>
  <c r="BR105" i="26"/>
  <c r="BR93" i="26"/>
  <c r="BR237" i="26"/>
  <c r="BR136" i="26"/>
  <c r="BR88" i="26"/>
  <c r="BR207" i="26"/>
  <c r="BR159" i="26"/>
  <c r="BR122" i="26"/>
  <c r="BR193" i="26"/>
  <c r="BR145" i="26"/>
  <c r="BR97" i="26"/>
  <c r="BR216" i="26"/>
  <c r="BR180" i="26"/>
  <c r="BR224" i="26"/>
  <c r="BR212" i="26"/>
  <c r="BR200" i="26"/>
  <c r="BR188" i="26"/>
  <c r="BR176" i="26"/>
  <c r="BR164" i="26"/>
  <c r="BR152" i="26"/>
  <c r="BR140" i="26"/>
  <c r="BR128" i="26"/>
  <c r="BR116" i="26"/>
  <c r="BR104" i="26"/>
  <c r="BR92" i="26"/>
  <c r="BO238" i="26"/>
  <c r="BQ238" i="26"/>
  <c r="BP239" i="26"/>
  <c r="BG66" i="26"/>
  <c r="P29" i="12" s="1"/>
  <c r="BG66" i="24"/>
  <c r="AZ66" i="24"/>
  <c r="AC23" i="26"/>
  <c r="AC25" i="26"/>
  <c r="AC27" i="26"/>
  <c r="AC22" i="26"/>
  <c r="AE24" i="26"/>
  <c r="AC26" i="26"/>
  <c r="AE23" i="26"/>
  <c r="AE22" i="26"/>
  <c r="AC24" i="26"/>
  <c r="AG26" i="26"/>
  <c r="AG25" i="26"/>
  <c r="AG27" i="26"/>
  <c r="AK27" i="26" s="1"/>
  <c r="O51" i="12"/>
  <c r="AW35" i="24"/>
  <c r="AZ35" i="24" s="1"/>
  <c r="AZ61" i="24"/>
  <c r="AM28" i="24"/>
  <c r="AZ30" i="26"/>
  <c r="X76" i="24"/>
  <c r="O27" i="12" l="1"/>
  <c r="AZ3" i="26"/>
  <c r="O24" i="31"/>
  <c r="O25" i="31" s="1"/>
  <c r="AK24" i="26"/>
  <c r="AI24" i="26" s="1"/>
  <c r="AM24" i="26" s="1"/>
  <c r="P23" i="31"/>
  <c r="O22" i="31"/>
  <c r="AK25" i="26"/>
  <c r="AI25" i="26" s="1"/>
  <c r="AM25" i="26" s="1"/>
  <c r="AK23" i="26"/>
  <c r="AI23" i="26" s="1"/>
  <c r="AM23" i="26" s="1"/>
  <c r="BR238" i="26"/>
  <c r="Z107" i="24"/>
  <c r="Z101" i="24"/>
  <c r="Z116" i="24"/>
  <c r="Z113" i="24"/>
  <c r="Z92" i="24"/>
  <c r="Z95" i="24"/>
  <c r="Z104" i="24"/>
  <c r="Z98" i="24"/>
  <c r="Z119" i="24"/>
  <c r="Z110" i="24"/>
  <c r="Z83" i="24"/>
  <c r="Z86" i="24"/>
  <c r="AM56" i="24"/>
  <c r="K56" i="24"/>
  <c r="R56" i="24"/>
  <c r="AT56" i="24"/>
  <c r="AF56" i="24"/>
  <c r="Y56" i="24"/>
  <c r="BO239" i="26"/>
  <c r="BP240" i="26"/>
  <c r="BQ239" i="26"/>
  <c r="B30" i="26"/>
  <c r="B66" i="26"/>
  <c r="B66" i="24"/>
  <c r="AI27" i="26"/>
  <c r="AM27" i="26" s="1"/>
  <c r="AK26" i="26"/>
  <c r="AK22" i="26"/>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25" i="25"/>
  <c r="P26" i="25"/>
  <c r="P27" i="25"/>
  <c r="P28" i="25"/>
  <c r="P29" i="25"/>
  <c r="P30" i="25"/>
  <c r="P31" i="25"/>
  <c r="P24" i="31" l="1"/>
  <c r="P25" i="31" s="1"/>
  <c r="Q23" i="31"/>
  <c r="P22" i="31"/>
  <c r="AZ14" i="26"/>
  <c r="AZ2" i="26" s="1"/>
  <c r="BR239" i="26"/>
  <c r="BO240" i="26"/>
  <c r="BQ240" i="26"/>
  <c r="BP241" i="26"/>
  <c r="BS218" i="26"/>
  <c r="BS183" i="26"/>
  <c r="BS236" i="26"/>
  <c r="AE29" i="12"/>
  <c r="BS229" i="26"/>
  <c r="BS124" i="26"/>
  <c r="BS117" i="26"/>
  <c r="BS187" i="26"/>
  <c r="BS215" i="26"/>
  <c r="BS103" i="26"/>
  <c r="BS194" i="26"/>
  <c r="BS138" i="26"/>
  <c r="BS180" i="26"/>
  <c r="BS110" i="26"/>
  <c r="BS152" i="26"/>
  <c r="BS159" i="26"/>
  <c r="BS96" i="26"/>
  <c r="BS131" i="26"/>
  <c r="BS222" i="26"/>
  <c r="BS201" i="26"/>
  <c r="BS145" i="26"/>
  <c r="BS173" i="26"/>
  <c r="BS166" i="26"/>
  <c r="BS89" i="26"/>
  <c r="BS208" i="26"/>
  <c r="AI26" i="26"/>
  <c r="AM26" i="26" s="1"/>
  <c r="BS92" i="26" s="1"/>
  <c r="AI22" i="26"/>
  <c r="AM22" i="26" s="1"/>
  <c r="J14" i="2"/>
  <c r="I14" i="2"/>
  <c r="H14" i="2"/>
  <c r="G14" i="2"/>
  <c r="F14" i="2"/>
  <c r="E14" i="2"/>
  <c r="D14" i="2"/>
  <c r="C14" i="2"/>
  <c r="Q15" i="25"/>
  <c r="Q16" i="25"/>
  <c r="Q17"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O113" i="25"/>
  <c r="O112" i="25"/>
  <c r="O111" i="25"/>
  <c r="O110" i="25"/>
  <c r="O109" i="25"/>
  <c r="O108" i="25"/>
  <c r="O107" i="25"/>
  <c r="O106" i="25"/>
  <c r="O105" i="25"/>
  <c r="O104" i="25"/>
  <c r="O103" i="25"/>
  <c r="O102" i="25"/>
  <c r="O101" i="25"/>
  <c r="O100" i="25"/>
  <c r="O99" i="25"/>
  <c r="O98" i="25"/>
  <c r="O97" i="25"/>
  <c r="O96" i="25"/>
  <c r="O95" i="25"/>
  <c r="O94" i="25"/>
  <c r="O93" i="25"/>
  <c r="O92" i="25"/>
  <c r="O91" i="25"/>
  <c r="O90" i="25"/>
  <c r="O89" i="25"/>
  <c r="O88" i="25"/>
  <c r="O87" i="25"/>
  <c r="O86" i="25"/>
  <c r="O85" i="25"/>
  <c r="O84" i="25"/>
  <c r="O83" i="25"/>
  <c r="O82" i="25"/>
  <c r="O81" i="25"/>
  <c r="O80" i="25"/>
  <c r="O79" i="25"/>
  <c r="Q78" i="25"/>
  <c r="O78" i="25"/>
  <c r="O77" i="25"/>
  <c r="O76" i="25"/>
  <c r="O75" i="25"/>
  <c r="O74" i="25"/>
  <c r="O73" i="25"/>
  <c r="O72" i="25"/>
  <c r="O71" i="25"/>
  <c r="O70" i="25"/>
  <c r="O69" i="25"/>
  <c r="O68" i="25"/>
  <c r="O67" i="25"/>
  <c r="O66" i="25"/>
  <c r="O65" i="25"/>
  <c r="O64" i="25"/>
  <c r="O63" i="25"/>
  <c r="O62" i="25"/>
  <c r="O61" i="25"/>
  <c r="O60" i="25"/>
  <c r="O59" i="25"/>
  <c r="O58" i="25"/>
  <c r="O57" i="25"/>
  <c r="O56" i="25"/>
  <c r="O55" i="25"/>
  <c r="O54" i="25"/>
  <c r="O53" i="25"/>
  <c r="O52" i="25"/>
  <c r="O51" i="25"/>
  <c r="O50" i="25"/>
  <c r="O49" i="25"/>
  <c r="O48" i="25"/>
  <c r="O47" i="25"/>
  <c r="O46" i="25"/>
  <c r="O45" i="25"/>
  <c r="O44" i="25"/>
  <c r="O43" i="25"/>
  <c r="O42" i="25"/>
  <c r="O41" i="25"/>
  <c r="O40" i="25"/>
  <c r="O39" i="25"/>
  <c r="O38" i="25"/>
  <c r="O37" i="25"/>
  <c r="O36" i="25"/>
  <c r="O35" i="25"/>
  <c r="O34" i="25"/>
  <c r="O33" i="25"/>
  <c r="O32" i="25"/>
  <c r="O31" i="25"/>
  <c r="O30" i="25"/>
  <c r="O29" i="25"/>
  <c r="O28" i="25"/>
  <c r="O27" i="25"/>
  <c r="O26" i="25"/>
  <c r="O25" i="25"/>
  <c r="O24" i="25"/>
  <c r="O23" i="25"/>
  <c r="P23" i="25" s="1"/>
  <c r="O22" i="25"/>
  <c r="P22" i="25" s="1"/>
  <c r="O21" i="25"/>
  <c r="P21" i="25" s="1"/>
  <c r="O20" i="25"/>
  <c r="P20" i="25" s="1"/>
  <c r="O19" i="25"/>
  <c r="P19" i="25" s="1"/>
  <c r="O18" i="25"/>
  <c r="P18" i="25" s="1"/>
  <c r="O17" i="25"/>
  <c r="O16" i="25"/>
  <c r="P16" i="25" s="1"/>
  <c r="O15" i="25"/>
  <c r="P15" i="25" s="1"/>
  <c r="H8" i="25"/>
  <c r="BS161" i="26" l="1"/>
  <c r="BS98" i="26"/>
  <c r="BS140" i="26"/>
  <c r="AQ50" i="26"/>
  <c r="E6" i="25" s="1"/>
  <c r="AW49" i="26"/>
  <c r="AW50" i="26"/>
  <c r="AQ52" i="26" s="1"/>
  <c r="BR55" i="26"/>
  <c r="BU58" i="26"/>
  <c r="BT55" i="26"/>
  <c r="BQ55" i="26"/>
  <c r="BS55" i="26"/>
  <c r="BT58" i="26"/>
  <c r="BR58" i="26"/>
  <c r="BQ58" i="26"/>
  <c r="BU55" i="26"/>
  <c r="BS58" i="26"/>
  <c r="BP58" i="26"/>
  <c r="BP55" i="26"/>
  <c r="BS179" i="26"/>
  <c r="BS86" i="26"/>
  <c r="BS235" i="26"/>
  <c r="O26" i="12"/>
  <c r="BS196" i="26"/>
  <c r="BS162" i="26"/>
  <c r="BS113" i="26"/>
  <c r="BS197" i="26"/>
  <c r="BS225" i="26"/>
  <c r="BS141" i="26"/>
  <c r="BS176" i="26"/>
  <c r="BS134" i="26"/>
  <c r="BS120" i="26"/>
  <c r="BS99" i="26"/>
  <c r="BS106" i="26"/>
  <c r="BS127" i="26"/>
  <c r="BS190" i="26"/>
  <c r="BS232" i="26"/>
  <c r="BS169" i="26"/>
  <c r="BS148" i="26"/>
  <c r="BS204" i="26"/>
  <c r="BS211" i="26"/>
  <c r="BS239" i="26"/>
  <c r="BS155" i="26"/>
  <c r="Q24" i="31"/>
  <c r="Q25" i="31" s="1"/>
  <c r="R23" i="31"/>
  <c r="Q22" i="31"/>
  <c r="BS237" i="26"/>
  <c r="BS233" i="26"/>
  <c r="BR240" i="26"/>
  <c r="BQ241" i="26"/>
  <c r="BS241" i="26" s="1"/>
  <c r="BO241" i="26"/>
  <c r="BP242" i="26"/>
  <c r="BS240" i="26"/>
  <c r="BS217" i="26"/>
  <c r="BS154" i="26"/>
  <c r="BS119" i="26"/>
  <c r="BS133" i="26"/>
  <c r="BS203" i="26"/>
  <c r="BS112" i="26"/>
  <c r="BS168" i="26"/>
  <c r="BS231" i="26"/>
  <c r="BS126" i="26"/>
  <c r="BS175" i="26"/>
  <c r="BS238" i="26"/>
  <c r="BS189" i="26"/>
  <c r="BS91" i="26"/>
  <c r="BS147" i="26"/>
  <c r="BS182" i="26"/>
  <c r="BS224" i="26"/>
  <c r="BS105" i="26"/>
  <c r="BS210" i="26"/>
  <c r="AQ26" i="26"/>
  <c r="BS234" i="26"/>
  <c r="B14" i="26"/>
  <c r="BS158" i="26"/>
  <c r="BS172" i="26"/>
  <c r="BS200" i="26"/>
  <c r="BS135" i="26"/>
  <c r="BS170" i="26"/>
  <c r="BS184" i="26"/>
  <c r="BS100" i="26"/>
  <c r="BS128" i="26"/>
  <c r="BS156" i="26"/>
  <c r="BS114" i="26"/>
  <c r="BS121" i="26"/>
  <c r="BS212" i="26"/>
  <c r="BS177" i="26"/>
  <c r="BS163" i="26"/>
  <c r="BS149" i="26"/>
  <c r="BS192" i="26"/>
  <c r="BS94" i="26"/>
  <c r="BS122" i="26"/>
  <c r="BS164" i="26"/>
  <c r="BS136" i="26"/>
  <c r="BS227" i="26"/>
  <c r="BS206" i="26"/>
  <c r="BS150" i="26"/>
  <c r="BS171" i="26"/>
  <c r="BS129" i="26"/>
  <c r="BS87" i="26"/>
  <c r="BS101" i="26"/>
  <c r="BS213" i="26"/>
  <c r="BS178" i="26"/>
  <c r="BS185" i="26"/>
  <c r="BS108" i="26"/>
  <c r="BS157" i="26"/>
  <c r="BS143" i="26"/>
  <c r="BS220" i="26"/>
  <c r="BS115" i="26"/>
  <c r="BS199" i="26"/>
  <c r="BS228" i="26"/>
  <c r="BS123" i="26"/>
  <c r="BS186" i="26"/>
  <c r="BS165" i="26"/>
  <c r="BS221" i="26"/>
  <c r="BS116" i="26"/>
  <c r="BS95" i="26"/>
  <c r="BS130" i="26"/>
  <c r="BS151" i="26"/>
  <c r="BS102" i="26"/>
  <c r="BS205" i="26"/>
  <c r="BS207" i="26"/>
  <c r="BS107" i="26"/>
  <c r="BS137" i="26"/>
  <c r="BS226" i="26"/>
  <c r="BS219" i="26"/>
  <c r="BS193" i="26"/>
  <c r="BS88" i="26"/>
  <c r="BS142" i="26"/>
  <c r="BS144" i="26"/>
  <c r="BS109" i="26"/>
  <c r="BS93" i="26"/>
  <c r="BS216" i="26"/>
  <c r="BS118" i="26"/>
  <c r="BS223" i="26"/>
  <c r="BS230" i="26"/>
  <c r="BS97" i="26"/>
  <c r="BS188" i="26"/>
  <c r="BS167" i="26"/>
  <c r="BS90" i="26"/>
  <c r="BS209" i="26"/>
  <c r="BS181" i="26"/>
  <c r="BS146" i="26"/>
  <c r="BS160" i="26"/>
  <c r="BS139" i="26"/>
  <c r="BS104" i="26"/>
  <c r="BS195" i="26"/>
  <c r="BS132" i="26"/>
  <c r="BS125" i="26"/>
  <c r="BS111" i="26"/>
  <c r="BS174" i="26"/>
  <c r="BS153" i="26"/>
  <c r="BS202" i="26"/>
  <c r="BS214" i="26"/>
  <c r="BS198" i="26"/>
  <c r="BS191" i="26"/>
  <c r="AW55" i="26" l="1"/>
  <c r="AW58" i="26"/>
  <c r="AW52" i="26"/>
  <c r="R24" i="31"/>
  <c r="R25" i="31" s="1"/>
  <c r="BR241" i="26"/>
  <c r="S23" i="31"/>
  <c r="R22" i="31"/>
  <c r="X75" i="26"/>
  <c r="BQ242" i="26"/>
  <c r="BO242" i="26"/>
  <c r="BP243" i="26"/>
  <c r="AZ122" i="4" l="1"/>
  <c r="AU20" i="25"/>
  <c r="F6" i="25"/>
  <c r="S24" i="31"/>
  <c r="S25" i="31" s="1"/>
  <c r="T23" i="31"/>
  <c r="S22" i="31"/>
  <c r="BR242" i="26"/>
  <c r="Z103" i="26"/>
  <c r="Z115" i="26"/>
  <c r="Z112" i="26"/>
  <c r="Z109" i="26"/>
  <c r="Z100" i="26"/>
  <c r="Z91" i="26"/>
  <c r="Z106" i="26"/>
  <c r="Z94" i="26"/>
  <c r="Z82" i="26"/>
  <c r="Z85" i="26"/>
  <c r="Z97" i="26"/>
  <c r="Z118" i="26"/>
  <c r="BO243" i="26"/>
  <c r="BQ243" i="26"/>
  <c r="BP244" i="26"/>
  <c r="BS242" i="26"/>
  <c r="BR163" i="24"/>
  <c r="BR170" i="24"/>
  <c r="BR169" i="24"/>
  <c r="BR168" i="24"/>
  <c r="BR167" i="24"/>
  <c r="BR166" i="24"/>
  <c r="BR165" i="24"/>
  <c r="BR162" i="24"/>
  <c r="BR161" i="24"/>
  <c r="BR160" i="24"/>
  <c r="BR159" i="24"/>
  <c r="BR158" i="24"/>
  <c r="BR157" i="24"/>
  <c r="BR156" i="24"/>
  <c r="BR155" i="24"/>
  <c r="BR154" i="24"/>
  <c r="BR153" i="24"/>
  <c r="BR152" i="24"/>
  <c r="BR151" i="24"/>
  <c r="BR150" i="24"/>
  <c r="BR149" i="24"/>
  <c r="BR148" i="24"/>
  <c r="BR147" i="24"/>
  <c r="BR146" i="24"/>
  <c r="BR145" i="24"/>
  <c r="BR144" i="24"/>
  <c r="BR143" i="24"/>
  <c r="BR142" i="24"/>
  <c r="BR141" i="24"/>
  <c r="BR140" i="24"/>
  <c r="BR139" i="24"/>
  <c r="BR138" i="24"/>
  <c r="BR137" i="24"/>
  <c r="BY136" i="24"/>
  <c r="BR136" i="24"/>
  <c r="BY135" i="24"/>
  <c r="BR135" i="24"/>
  <c r="BY134" i="24"/>
  <c r="BR134" i="24"/>
  <c r="BY133" i="24"/>
  <c r="BR133" i="24"/>
  <c r="BY132" i="24"/>
  <c r="BW132" i="24"/>
  <c r="BR132" i="24"/>
  <c r="BY131" i="24"/>
  <c r="BW131" i="24"/>
  <c r="BR131" i="24"/>
  <c r="BY130" i="24"/>
  <c r="BW130" i="24"/>
  <c r="BR130" i="24"/>
  <c r="BY129" i="24"/>
  <c r="BW129" i="24"/>
  <c r="BR129" i="24"/>
  <c r="BY128" i="24"/>
  <c r="BW128" i="24"/>
  <c r="BR128" i="24"/>
  <c r="BY127" i="24"/>
  <c r="BW127" i="24"/>
  <c r="BR127" i="24"/>
  <c r="BY126" i="24"/>
  <c r="BW126" i="24"/>
  <c r="BR126" i="24"/>
  <c r="BY125" i="24"/>
  <c r="AS54" i="24"/>
  <c r="AR54" i="24"/>
  <c r="AP54" i="24"/>
  <c r="AO54" i="24"/>
  <c r="AN54" i="24"/>
  <c r="AL54" i="24"/>
  <c r="AK54" i="24"/>
  <c r="AI54" i="24"/>
  <c r="AH54" i="24"/>
  <c r="AG54" i="24"/>
  <c r="AE54" i="24"/>
  <c r="AD54" i="24"/>
  <c r="AB54" i="24"/>
  <c r="AA54" i="24"/>
  <c r="Z54" i="24"/>
  <c r="X54" i="24"/>
  <c r="W54" i="24"/>
  <c r="U54" i="24"/>
  <c r="T54" i="24"/>
  <c r="Q54" i="24"/>
  <c r="P54" i="24"/>
  <c r="N54" i="24"/>
  <c r="M54" i="24"/>
  <c r="L54" i="24"/>
  <c r="J54" i="24"/>
  <c r="BF28" i="24"/>
  <c r="BE28" i="24"/>
  <c r="BD28" i="24"/>
  <c r="BC28" i="24"/>
  <c r="BB28" i="24"/>
  <c r="BA28" i="24"/>
  <c r="BF27" i="24"/>
  <c r="BE27" i="24"/>
  <c r="BD27" i="24"/>
  <c r="BC27" i="24"/>
  <c r="BB27" i="24"/>
  <c r="BA27" i="24"/>
  <c r="BF26" i="24"/>
  <c r="BE26" i="24"/>
  <c r="BD26" i="24"/>
  <c r="BC26" i="24"/>
  <c r="BB26" i="24"/>
  <c r="BA26" i="24"/>
  <c r="BF25" i="24"/>
  <c r="BE25" i="24"/>
  <c r="BD25" i="24"/>
  <c r="BC25" i="24"/>
  <c r="BB25" i="24"/>
  <c r="BA25" i="24"/>
  <c r="BF24" i="24"/>
  <c r="BE24" i="24"/>
  <c r="BD24" i="24"/>
  <c r="BC24" i="24"/>
  <c r="BB24" i="24"/>
  <c r="BA24" i="24"/>
  <c r="BF23" i="24"/>
  <c r="BE23" i="24"/>
  <c r="BD23" i="24"/>
  <c r="BC23" i="24"/>
  <c r="BB23" i="24"/>
  <c r="BA23" i="24"/>
  <c r="BF22" i="24"/>
  <c r="BE22" i="24"/>
  <c r="BD22" i="24"/>
  <c r="BB22" i="24"/>
  <c r="BA22" i="24"/>
  <c r="E8" i="25" l="1"/>
  <c r="AH46" i="25" s="1"/>
  <c r="S41" i="31"/>
  <c r="S40" i="31"/>
  <c r="S39" i="31"/>
  <c r="S38" i="31"/>
  <c r="S37" i="31"/>
  <c r="S36" i="31"/>
  <c r="S35" i="31"/>
  <c r="S34" i="31"/>
  <c r="S33" i="31"/>
  <c r="S29" i="31"/>
  <c r="S32" i="31"/>
  <c r="S31" i="31"/>
  <c r="S30" i="31"/>
  <c r="S43" i="31"/>
  <c r="S44" i="31"/>
  <c r="S42" i="31"/>
  <c r="T24" i="31"/>
  <c r="T25" i="31" s="1"/>
  <c r="U23" i="31"/>
  <c r="T22" i="31"/>
  <c r="BR243" i="26"/>
  <c r="BO244" i="26"/>
  <c r="BP245" i="26"/>
  <c r="BQ244" i="26"/>
  <c r="BS243" i="26"/>
  <c r="AC22" i="24"/>
  <c r="AC23" i="24"/>
  <c r="AG27" i="24"/>
  <c r="AE22" i="24"/>
  <c r="AC24" i="24"/>
  <c r="AC26" i="24"/>
  <c r="AC27" i="24"/>
  <c r="AG25" i="24"/>
  <c r="AE24" i="24"/>
  <c r="AC25" i="24"/>
  <c r="AE23" i="24"/>
  <c r="AG26" i="24"/>
  <c r="AW32" i="24"/>
  <c r="AZ32" i="24" s="1"/>
  <c r="AZ57" i="24"/>
  <c r="AZ30" i="24"/>
  <c r="B30" i="24" s="1"/>
  <c r="AT54" i="24"/>
  <c r="K54" i="24"/>
  <c r="AJ54" i="24"/>
  <c r="Y54" i="24"/>
  <c r="AM54" i="24"/>
  <c r="AC54" i="24"/>
  <c r="O54" i="24"/>
  <c r="AQ54" i="24"/>
  <c r="V54" i="24"/>
  <c r="R54" i="24"/>
  <c r="AF54" i="24"/>
  <c r="AC76" i="24"/>
  <c r="Z89" i="24" s="1"/>
  <c r="BS161" i="24"/>
  <c r="BS148" i="24"/>
  <c r="BS169" i="24"/>
  <c r="BS158" i="24"/>
  <c r="BS127" i="24"/>
  <c r="BS131" i="24"/>
  <c r="BS138" i="24"/>
  <c r="BS141" i="24"/>
  <c r="BS159" i="24"/>
  <c r="BS147" i="24"/>
  <c r="BS146" i="24"/>
  <c r="BS157" i="24"/>
  <c r="BS128" i="24"/>
  <c r="BS132" i="24"/>
  <c r="BS162" i="24"/>
  <c r="BS139" i="24"/>
  <c r="BS160" i="24"/>
  <c r="BS152" i="24"/>
  <c r="BS135" i="24"/>
  <c r="BS145" i="24"/>
  <c r="BS167" i="24"/>
  <c r="BS150" i="24"/>
  <c r="BS163" i="24"/>
  <c r="BS133" i="24"/>
  <c r="BS165" i="24"/>
  <c r="BS126" i="24"/>
  <c r="BS142" i="24"/>
  <c r="BS154" i="24"/>
  <c r="BS166" i="24"/>
  <c r="BS136" i="24"/>
  <c r="BS170" i="24"/>
  <c r="BS140" i="24"/>
  <c r="BS149" i="24"/>
  <c r="BS130" i="24"/>
  <c r="BS143" i="24"/>
  <c r="BS155" i="24"/>
  <c r="BS151" i="24"/>
  <c r="BS153" i="24"/>
  <c r="BS144" i="24"/>
  <c r="BS156" i="24"/>
  <c r="BS137" i="24"/>
  <c r="BS168" i="24"/>
  <c r="BS129" i="24"/>
  <c r="BS134" i="24"/>
  <c r="U24" i="31" l="1"/>
  <c r="U25" i="31" s="1"/>
  <c r="AK27" i="24"/>
  <c r="AI27" i="24" s="1"/>
  <c r="AM27" i="24" s="1"/>
  <c r="AK25" i="24"/>
  <c r="AI25" i="24" s="1"/>
  <c r="AM25" i="24" s="1"/>
  <c r="O58" i="24" s="1"/>
  <c r="O60" i="24" s="1"/>
  <c r="V23" i="31"/>
  <c r="U22" i="31"/>
  <c r="BR244" i="26"/>
  <c r="AK22" i="24"/>
  <c r="AI22" i="24" s="1"/>
  <c r="AM22" i="24" s="1"/>
  <c r="BS244" i="26"/>
  <c r="BO245" i="26"/>
  <c r="BQ245" i="26"/>
  <c r="BP246" i="26"/>
  <c r="AI75" i="24"/>
  <c r="AK26" i="24"/>
  <c r="AK23" i="24"/>
  <c r="AK24" i="24"/>
  <c r="AQ58" i="24" l="1"/>
  <c r="AQ62" i="24"/>
  <c r="AQ64" i="24" s="1"/>
  <c r="V24" i="31"/>
  <c r="V25" i="31" s="1"/>
  <c r="AJ62" i="24"/>
  <c r="AJ64" i="24" s="1"/>
  <c r="AJ56" i="24"/>
  <c r="O62" i="24"/>
  <c r="O64" i="24" s="1"/>
  <c r="AC56" i="24"/>
  <c r="V62" i="24"/>
  <c r="V64" i="24" s="1"/>
  <c r="O56" i="24"/>
  <c r="AC58" i="24"/>
  <c r="AC60" i="24" s="1"/>
  <c r="V58" i="24"/>
  <c r="V60" i="24" s="1"/>
  <c r="AQ56" i="24"/>
  <c r="AC62" i="24"/>
  <c r="AC64" i="24" s="1"/>
  <c r="V56" i="24"/>
  <c r="AJ58" i="24"/>
  <c r="AJ60" i="24" s="1"/>
  <c r="W23" i="31"/>
  <c r="V22" i="31"/>
  <c r="J62" i="24"/>
  <c r="J64" i="24" s="1"/>
  <c r="AS56" i="24"/>
  <c r="Q56" i="24"/>
  <c r="AL56" i="24"/>
  <c r="X56" i="24"/>
  <c r="AE56" i="24"/>
  <c r="J56" i="24"/>
  <c r="BR245" i="26"/>
  <c r="BO246" i="26"/>
  <c r="BQ246" i="26"/>
  <c r="BP247" i="26"/>
  <c r="BS245" i="26"/>
  <c r="L56" i="24"/>
  <c r="Z56" i="24"/>
  <c r="S56" i="24"/>
  <c r="AN56" i="24"/>
  <c r="AG56" i="24"/>
  <c r="AQ60" i="24"/>
  <c r="Q58" i="24"/>
  <c r="Q60" i="24" s="1"/>
  <c r="AE58" i="24"/>
  <c r="AE60" i="24" s="1"/>
  <c r="AL58" i="24"/>
  <c r="AL60" i="24" s="1"/>
  <c r="AS58" i="24"/>
  <c r="AS60" i="24" s="1"/>
  <c r="J58" i="24"/>
  <c r="J60" i="24" s="1"/>
  <c r="X58" i="24"/>
  <c r="X60" i="24" s="1"/>
  <c r="AN58" i="24"/>
  <c r="AN60" i="24" s="1"/>
  <c r="S58" i="24"/>
  <c r="S60" i="24" s="1"/>
  <c r="L58" i="24"/>
  <c r="L60" i="24" s="1"/>
  <c r="AG58" i="24"/>
  <c r="AG60" i="24" s="1"/>
  <c r="Z58" i="24"/>
  <c r="Z60" i="24" s="1"/>
  <c r="AZ14" i="24"/>
  <c r="L62" i="24"/>
  <c r="L64" i="24" s="1"/>
  <c r="AN62" i="24"/>
  <c r="AN64" i="24" s="1"/>
  <c r="Z62" i="24"/>
  <c r="Z64" i="24" s="1"/>
  <c r="AG62" i="24"/>
  <c r="AG64" i="24" s="1"/>
  <c r="S62" i="24"/>
  <c r="S64" i="24" s="1"/>
  <c r="R27" i="12"/>
  <c r="AE27" i="12"/>
  <c r="Q62" i="24"/>
  <c r="Q64" i="24" s="1"/>
  <c r="AL62" i="24"/>
  <c r="AL64" i="24" s="1"/>
  <c r="AS62" i="24"/>
  <c r="AS64" i="24" s="1"/>
  <c r="AE62" i="24"/>
  <c r="AE64" i="24" s="1"/>
  <c r="X62" i="24"/>
  <c r="X64" i="24" s="1"/>
  <c r="AI24" i="24"/>
  <c r="AM24" i="24" s="1"/>
  <c r="AI23" i="24"/>
  <c r="AM23" i="24" s="1"/>
  <c r="AI26" i="24"/>
  <c r="AM26" i="24" s="1"/>
  <c r="AX52" i="24" l="1"/>
  <c r="AZ54" i="24" s="1"/>
  <c r="W24" i="31"/>
  <c r="W25" i="31" s="1"/>
  <c r="X23" i="31"/>
  <c r="W22" i="31"/>
  <c r="M56" i="24"/>
  <c r="AO56" i="24"/>
  <c r="T56" i="24"/>
  <c r="AH56" i="24"/>
  <c r="AA56" i="24"/>
  <c r="BR246" i="26"/>
  <c r="AD56" i="24"/>
  <c r="AR56" i="24"/>
  <c r="P56" i="24"/>
  <c r="AK56" i="24"/>
  <c r="W56" i="24"/>
  <c r="AQ26" i="24"/>
  <c r="N56" i="24"/>
  <c r="U56" i="24"/>
  <c r="AP56" i="24"/>
  <c r="AB56" i="24"/>
  <c r="AI56" i="24"/>
  <c r="BO247" i="26"/>
  <c r="BP248" i="26"/>
  <c r="BQ247" i="26"/>
  <c r="BS246" i="26"/>
  <c r="B14" i="24"/>
  <c r="AK58" i="24"/>
  <c r="AK60" i="24" s="1"/>
  <c r="AR58" i="24"/>
  <c r="AR60" i="24" s="1"/>
  <c r="AD58" i="24"/>
  <c r="AD60" i="24" s="1"/>
  <c r="P58" i="24"/>
  <c r="P60" i="24" s="1"/>
  <c r="W58" i="24"/>
  <c r="W60" i="24" s="1"/>
  <c r="AA58" i="24"/>
  <c r="AA60" i="24" s="1"/>
  <c r="M58" i="24"/>
  <c r="M60" i="24" s="1"/>
  <c r="T58" i="24"/>
  <c r="T60" i="24" s="1"/>
  <c r="AO58" i="24"/>
  <c r="AO60" i="24" s="1"/>
  <c r="AH58" i="24"/>
  <c r="AH60" i="24" s="1"/>
  <c r="AB58" i="24"/>
  <c r="AP58" i="24"/>
  <c r="U58" i="24"/>
  <c r="N58" i="24"/>
  <c r="AI58" i="24"/>
  <c r="M62" i="24"/>
  <c r="M64" i="24" s="1"/>
  <c r="AA62" i="24"/>
  <c r="AA64" i="24" s="1"/>
  <c r="T62" i="24"/>
  <c r="T64" i="24" s="1"/>
  <c r="AH62" i="24"/>
  <c r="AH64" i="24" s="1"/>
  <c r="AO62" i="24"/>
  <c r="AO64" i="24" s="1"/>
  <c r="P62" i="24"/>
  <c r="P64" i="24" s="1"/>
  <c r="AR62" i="24"/>
  <c r="AR64" i="24" s="1"/>
  <c r="AK62" i="24"/>
  <c r="AK64" i="24" s="1"/>
  <c r="W62" i="24"/>
  <c r="W64" i="24" s="1"/>
  <c r="AD62" i="24"/>
  <c r="AD64" i="24" s="1"/>
  <c r="AP62" i="24"/>
  <c r="AP64" i="24" s="1"/>
  <c r="N62" i="24"/>
  <c r="N64" i="24" s="1"/>
  <c r="AI62" i="24"/>
  <c r="AI64" i="24" s="1"/>
  <c r="U62" i="24"/>
  <c r="U64" i="24" s="1"/>
  <c r="AB62" i="24"/>
  <c r="AB64" i="24" s="1"/>
  <c r="AE26" i="12" l="1"/>
  <c r="X24" i="31"/>
  <c r="X25" i="31" s="1"/>
  <c r="AU56" i="24"/>
  <c r="Y23" i="31"/>
  <c r="X22" i="31"/>
  <c r="BR247" i="26"/>
  <c r="BS247" i="26"/>
  <c r="BO248" i="26"/>
  <c r="BP249" i="26"/>
  <c r="BQ248" i="26"/>
  <c r="AI60" i="24"/>
  <c r="U60" i="24"/>
  <c r="AB60" i="24"/>
  <c r="N60" i="24"/>
  <c r="AP60" i="24"/>
  <c r="AX61" i="24"/>
  <c r="AZ64" i="24" s="1"/>
  <c r="R26" i="12"/>
  <c r="Y24" i="31" l="1"/>
  <c r="Y25" i="31" s="1"/>
  <c r="Z23" i="31"/>
  <c r="Y22" i="31"/>
  <c r="BR248" i="26"/>
  <c r="BS248" i="26"/>
  <c r="BO249" i="26"/>
  <c r="BQ249" i="26"/>
  <c r="BP250" i="26"/>
  <c r="AX57" i="24"/>
  <c r="C32" i="21"/>
  <c r="C31" i="21"/>
  <c r="Z24" i="31" l="1"/>
  <c r="Z25" i="31" s="1"/>
  <c r="AA23" i="31"/>
  <c r="Z22" i="31"/>
  <c r="BR249" i="26"/>
  <c r="BS249" i="26"/>
  <c r="BO250" i="26"/>
  <c r="BQ250" i="26"/>
  <c r="BP251" i="26"/>
  <c r="AZ44" i="24"/>
  <c r="AZ60" i="24"/>
  <c r="Z41" i="31" l="1"/>
  <c r="Z40" i="31"/>
  <c r="Z39" i="31"/>
  <c r="Z38" i="31"/>
  <c r="Z37" i="31"/>
  <c r="Z35" i="31"/>
  <c r="Z33" i="31"/>
  <c r="Z29" i="31"/>
  <c r="Z36" i="31"/>
  <c r="Z34" i="31"/>
  <c r="Z32" i="31"/>
  <c r="Z31" i="31"/>
  <c r="Z30" i="31"/>
  <c r="Z42" i="31"/>
  <c r="Z43" i="31"/>
  <c r="Z44" i="31"/>
  <c r="AA24" i="31"/>
  <c r="AA25" i="31" s="1"/>
  <c r="AB23" i="31"/>
  <c r="AA22" i="31"/>
  <c r="BR250" i="26"/>
  <c r="BS250" i="26"/>
  <c r="BO251" i="26"/>
  <c r="BP252" i="26"/>
  <c r="BQ251" i="26"/>
  <c r="B44" i="24"/>
  <c r="C13" i="18"/>
  <c r="P36" i="12"/>
  <c r="AF24" i="12"/>
  <c r="B33" i="3" s="1"/>
  <c r="AF25" i="12"/>
  <c r="AB24" i="31" l="1"/>
  <c r="AB25" i="31" s="1"/>
  <c r="AC23" i="31"/>
  <c r="AB22" i="31"/>
  <c r="BR251" i="26"/>
  <c r="BS251" i="26"/>
  <c r="BO252" i="26"/>
  <c r="BP253" i="26"/>
  <c r="BQ252" i="26"/>
  <c r="D25" i="20"/>
  <c r="M49" i="20" s="1"/>
  <c r="AE25" i="12"/>
  <c r="P15" i="12"/>
  <c r="AC24" i="31" l="1"/>
  <c r="AC25" i="31" s="1"/>
  <c r="AD23" i="31"/>
  <c r="AC22" i="31"/>
  <c r="BR252" i="26"/>
  <c r="BS252" i="26"/>
  <c r="BQ253" i="26"/>
  <c r="BP254" i="26"/>
  <c r="BO253" i="26"/>
  <c r="BS12" i="19"/>
  <c r="BS13" i="19"/>
  <c r="BS14" i="19"/>
  <c r="BS15" i="19"/>
  <c r="BS16" i="19"/>
  <c r="BS17" i="19"/>
  <c r="BS18" i="19"/>
  <c r="BS19" i="19"/>
  <c r="BS20" i="19"/>
  <c r="BS21" i="19"/>
  <c r="BS22" i="19"/>
  <c r="BS23" i="19"/>
  <c r="BS24" i="19"/>
  <c r="BS25" i="19"/>
  <c r="BS26" i="19"/>
  <c r="BS27" i="19"/>
  <c r="BS28" i="19"/>
  <c r="BS29" i="19"/>
  <c r="BS30" i="19"/>
  <c r="BS31" i="19"/>
  <c r="BS32" i="19"/>
  <c r="BS33" i="19"/>
  <c r="BS34" i="19"/>
  <c r="BS35" i="19"/>
  <c r="BS36" i="19"/>
  <c r="BS37" i="19"/>
  <c r="BS38" i="19"/>
  <c r="BS39" i="19"/>
  <c r="BS40" i="19"/>
  <c r="BS41" i="19"/>
  <c r="BS42" i="19"/>
  <c r="BS44" i="19"/>
  <c r="BS45" i="19"/>
  <c r="BS46" i="19"/>
  <c r="BS47" i="19"/>
  <c r="BS48" i="19"/>
  <c r="BS49" i="19"/>
  <c r="BS50" i="19"/>
  <c r="BS51" i="19"/>
  <c r="BS52" i="19"/>
  <c r="BS53" i="19"/>
  <c r="BS54" i="19"/>
  <c r="BS55" i="19"/>
  <c r="BS56" i="19"/>
  <c r="BS57" i="19"/>
  <c r="BS58" i="19"/>
  <c r="BS59" i="19"/>
  <c r="BS60" i="19"/>
  <c r="BS61" i="19"/>
  <c r="BS62" i="19"/>
  <c r="BS63" i="19"/>
  <c r="BS64" i="19"/>
  <c r="BS65" i="19"/>
  <c r="BS66" i="19"/>
  <c r="BS67" i="19"/>
  <c r="BS68" i="19"/>
  <c r="BS69" i="19"/>
  <c r="BS70" i="19"/>
  <c r="BS71" i="19"/>
  <c r="BS72" i="19"/>
  <c r="BS73" i="19"/>
  <c r="BS74" i="19"/>
  <c r="BS75" i="19"/>
  <c r="BS76" i="19"/>
  <c r="BS77" i="19"/>
  <c r="BS78" i="19"/>
  <c r="BS79" i="19"/>
  <c r="BS80" i="19"/>
  <c r="BS81" i="19"/>
  <c r="BS82" i="19"/>
  <c r="BS83" i="19"/>
  <c r="BS84" i="19"/>
  <c r="BS85" i="19"/>
  <c r="BS86" i="19"/>
  <c r="BS87" i="19"/>
  <c r="BS88" i="19"/>
  <c r="BS89" i="19"/>
  <c r="BS90" i="19"/>
  <c r="BS91" i="19"/>
  <c r="BS92" i="19"/>
  <c r="BS93" i="19"/>
  <c r="BS94" i="19"/>
  <c r="BS95" i="19"/>
  <c r="BS96" i="19"/>
  <c r="BS97" i="19"/>
  <c r="BS98" i="19"/>
  <c r="BS99" i="19"/>
  <c r="BS100" i="19"/>
  <c r="BS101" i="19"/>
  <c r="BS102" i="19"/>
  <c r="BS103" i="19"/>
  <c r="BS104" i="19"/>
  <c r="BS105" i="19"/>
  <c r="BS106" i="19"/>
  <c r="BS107" i="19"/>
  <c r="BS108" i="19"/>
  <c r="BS109" i="19"/>
  <c r="BS110" i="19"/>
  <c r="BS111" i="19"/>
  <c r="BS112" i="19"/>
  <c r="BS113" i="19"/>
  <c r="BS114" i="19"/>
  <c r="BS115" i="19"/>
  <c r="BS116" i="19"/>
  <c r="BS117" i="19"/>
  <c r="BS118" i="19"/>
  <c r="BS119" i="19"/>
  <c r="BS120" i="19"/>
  <c r="BS121" i="19"/>
  <c r="BS122" i="19"/>
  <c r="BS123" i="19"/>
  <c r="BS124" i="19"/>
  <c r="BS125" i="19"/>
  <c r="BS126" i="19"/>
  <c r="BS127" i="19"/>
  <c r="BS128" i="19"/>
  <c r="BS129" i="19"/>
  <c r="BS130" i="19"/>
  <c r="BS131" i="19"/>
  <c r="BS132" i="19"/>
  <c r="BS133" i="19"/>
  <c r="BS134" i="19"/>
  <c r="BS135" i="19"/>
  <c r="BS136" i="19"/>
  <c r="BS137" i="19"/>
  <c r="BS138" i="19"/>
  <c r="BS139" i="19"/>
  <c r="BS140" i="19"/>
  <c r="BS141" i="19"/>
  <c r="BS142" i="19"/>
  <c r="BS143" i="19"/>
  <c r="BS144" i="19"/>
  <c r="BS145" i="19"/>
  <c r="BS146" i="19"/>
  <c r="BS147" i="19"/>
  <c r="BS148" i="19"/>
  <c r="BS149" i="19"/>
  <c r="BS150" i="19"/>
  <c r="BS151" i="19"/>
  <c r="BS152" i="19"/>
  <c r="BS153" i="19"/>
  <c r="BS154" i="19"/>
  <c r="BS155" i="19"/>
  <c r="BS156" i="19"/>
  <c r="BS157" i="19"/>
  <c r="BS158" i="19"/>
  <c r="BS159" i="19"/>
  <c r="BS160" i="19"/>
  <c r="BS161" i="19"/>
  <c r="BS162" i="19"/>
  <c r="BS163" i="19"/>
  <c r="BS164" i="19"/>
  <c r="BS165" i="19"/>
  <c r="BS166" i="19"/>
  <c r="BS167" i="19"/>
  <c r="BS168" i="19"/>
  <c r="BS169" i="19"/>
  <c r="BS170" i="19"/>
  <c r="BS171" i="19"/>
  <c r="BS172" i="19"/>
  <c r="BS173" i="19"/>
  <c r="BS174" i="19"/>
  <c r="BS175" i="19"/>
  <c r="BS176" i="19"/>
  <c r="BS177" i="19"/>
  <c r="BS178" i="19"/>
  <c r="BS179" i="19"/>
  <c r="BS180" i="19"/>
  <c r="BS181" i="19"/>
  <c r="BS182" i="19"/>
  <c r="BS183" i="19"/>
  <c r="BS184" i="19"/>
  <c r="BS185" i="19"/>
  <c r="BS186" i="19"/>
  <c r="BS187" i="19"/>
  <c r="BS188" i="19"/>
  <c r="BS189" i="19"/>
  <c r="BS190" i="19"/>
  <c r="BS191" i="19"/>
  <c r="BS192" i="19"/>
  <c r="BS193" i="19"/>
  <c r="BS194" i="19"/>
  <c r="BS195" i="19"/>
  <c r="BS196" i="19"/>
  <c r="BS197" i="19"/>
  <c r="BS198" i="19"/>
  <c r="BS199" i="19"/>
  <c r="BS200" i="19"/>
  <c r="BS201" i="19"/>
  <c r="BS202" i="19"/>
  <c r="BS203" i="19"/>
  <c r="BS204" i="19"/>
  <c r="BS205" i="19"/>
  <c r="BS206" i="19"/>
  <c r="BS207" i="19"/>
  <c r="BS208" i="19"/>
  <c r="BS209" i="19"/>
  <c r="BS210" i="19"/>
  <c r="BS211" i="19"/>
  <c r="BS212" i="19"/>
  <c r="BS213" i="19"/>
  <c r="BS214" i="19"/>
  <c r="BS215" i="19"/>
  <c r="BS216" i="19"/>
  <c r="BS217" i="19"/>
  <c r="BS218" i="19"/>
  <c r="BS219" i="19"/>
  <c r="BS220" i="19"/>
  <c r="BS222" i="19"/>
  <c r="BS223" i="19"/>
  <c r="BS224" i="19"/>
  <c r="BS225" i="19"/>
  <c r="BS226" i="19"/>
  <c r="BS227" i="19"/>
  <c r="BS228" i="19"/>
  <c r="BS229" i="19"/>
  <c r="BS230" i="19"/>
  <c r="BS231" i="19"/>
  <c r="BS232" i="19"/>
  <c r="BS233" i="19"/>
  <c r="BS234" i="19"/>
  <c r="BS235" i="19"/>
  <c r="BS236" i="19"/>
  <c r="BS237" i="19"/>
  <c r="BS238" i="19"/>
  <c r="BS239" i="19"/>
  <c r="BS240" i="19"/>
  <c r="BS241" i="19"/>
  <c r="BS242" i="19"/>
  <c r="BS243" i="19"/>
  <c r="BS244" i="19"/>
  <c r="BS245" i="19"/>
  <c r="BS246" i="19"/>
  <c r="BS247" i="19"/>
  <c r="BS248" i="19"/>
  <c r="BS249" i="19"/>
  <c r="BS250" i="19"/>
  <c r="BS251" i="19"/>
  <c r="BS252" i="19"/>
  <c r="BS253" i="19"/>
  <c r="BS254" i="19"/>
  <c r="BS255" i="19"/>
  <c r="BS256" i="19"/>
  <c r="BS257" i="19"/>
  <c r="BS258" i="19"/>
  <c r="BS259" i="19"/>
  <c r="BS260" i="19"/>
  <c r="BS261" i="19"/>
  <c r="BS262" i="19"/>
  <c r="BS263" i="19"/>
  <c r="BS264" i="19"/>
  <c r="BS265" i="19"/>
  <c r="BS266" i="19"/>
  <c r="BS267" i="19"/>
  <c r="BS268" i="19"/>
  <c r="BS269" i="19"/>
  <c r="BS270" i="19"/>
  <c r="BS271" i="19"/>
  <c r="BS272" i="19"/>
  <c r="BS273" i="19"/>
  <c r="BS274" i="19"/>
  <c r="BS275" i="19"/>
  <c r="BS276" i="19"/>
  <c r="BS277" i="19"/>
  <c r="BS278" i="19"/>
  <c r="BS279" i="19"/>
  <c r="BS280" i="19"/>
  <c r="BS281" i="19"/>
  <c r="BS282" i="19"/>
  <c r="BS283" i="19"/>
  <c r="BS284" i="19"/>
  <c r="BS285" i="19"/>
  <c r="BS286" i="19"/>
  <c r="BS287" i="19"/>
  <c r="BS288" i="19"/>
  <c r="BS289" i="19"/>
  <c r="BS290" i="19"/>
  <c r="BS291" i="19"/>
  <c r="BS292" i="19"/>
  <c r="BS293" i="19"/>
  <c r="BS294" i="19"/>
  <c r="BS295" i="19"/>
  <c r="BS296" i="19"/>
  <c r="BS297" i="19"/>
  <c r="BS298" i="19"/>
  <c r="BS299" i="19"/>
  <c r="BS300" i="19"/>
  <c r="BS301" i="19"/>
  <c r="BS302" i="19"/>
  <c r="BS303" i="19"/>
  <c r="BS304" i="19"/>
  <c r="BS305" i="19"/>
  <c r="BS306" i="19"/>
  <c r="BS307" i="19"/>
  <c r="BS308" i="19"/>
  <c r="BS309" i="19"/>
  <c r="BS310" i="19"/>
  <c r="BS311" i="19"/>
  <c r="BS312" i="19"/>
  <c r="BS313" i="19"/>
  <c r="BS314" i="19"/>
  <c r="BS315" i="19"/>
  <c r="BS316" i="19"/>
  <c r="BS317" i="19"/>
  <c r="BS318" i="19"/>
  <c r="BS319" i="19"/>
  <c r="BS320" i="19"/>
  <c r="BS321" i="19"/>
  <c r="BS322" i="19"/>
  <c r="BS323" i="19"/>
  <c r="BS324" i="19"/>
  <c r="BS325" i="19"/>
  <c r="BS326" i="19"/>
  <c r="BS327" i="19"/>
  <c r="BS328" i="19"/>
  <c r="BS329" i="19"/>
  <c r="BS330" i="19"/>
  <c r="BS331" i="19"/>
  <c r="BS332" i="19"/>
  <c r="BS333" i="19"/>
  <c r="BS334" i="19"/>
  <c r="BS335" i="19"/>
  <c r="BS336" i="19"/>
  <c r="BS337" i="19"/>
  <c r="BS338" i="19"/>
  <c r="BS339" i="19"/>
  <c r="BS340" i="19"/>
  <c r="BS341" i="19"/>
  <c r="BS342" i="19"/>
  <c r="BS343" i="19"/>
  <c r="BS344" i="19"/>
  <c r="BS345" i="19"/>
  <c r="BS346" i="19"/>
  <c r="BS347" i="19"/>
  <c r="BS348" i="19"/>
  <c r="BS349" i="19"/>
  <c r="BS350" i="19"/>
  <c r="BS351" i="19"/>
  <c r="BS352" i="19"/>
  <c r="BS353" i="19"/>
  <c r="BS354" i="19"/>
  <c r="BS355" i="19"/>
  <c r="BS356" i="19"/>
  <c r="BS357" i="19"/>
  <c r="BS358" i="19"/>
  <c r="BS359" i="19"/>
  <c r="BS360" i="19"/>
  <c r="BS361" i="19"/>
  <c r="BS362" i="19"/>
  <c r="BS363" i="19"/>
  <c r="BS364" i="19"/>
  <c r="BS365" i="19"/>
  <c r="BS366" i="19"/>
  <c r="BS367" i="19"/>
  <c r="BS368" i="19"/>
  <c r="BS369" i="19"/>
  <c r="BS370" i="19"/>
  <c r="BS371" i="19"/>
  <c r="BS372" i="19"/>
  <c r="BS373" i="19"/>
  <c r="BS374" i="19"/>
  <c r="BS375" i="19"/>
  <c r="BS376" i="19"/>
  <c r="BS377" i="19"/>
  <c r="BS378" i="19"/>
  <c r="BS379" i="19"/>
  <c r="BS380" i="19"/>
  <c r="BS381" i="19"/>
  <c r="BS382" i="19"/>
  <c r="BS383" i="19"/>
  <c r="BS384" i="19"/>
  <c r="BS385" i="19"/>
  <c r="BS386" i="19"/>
  <c r="BS387" i="19"/>
  <c r="BS388" i="19"/>
  <c r="BS389" i="19"/>
  <c r="BS390" i="19"/>
  <c r="BS391" i="19"/>
  <c r="BS392" i="19"/>
  <c r="BS393" i="19"/>
  <c r="BS394" i="19"/>
  <c r="BS395" i="19"/>
  <c r="BS396" i="19"/>
  <c r="BS397" i="19"/>
  <c r="BS398" i="19"/>
  <c r="BS399" i="19"/>
  <c r="BS400" i="19"/>
  <c r="BS401" i="19"/>
  <c r="BS402" i="19"/>
  <c r="BS403" i="19"/>
  <c r="BS404" i="19"/>
  <c r="BS405" i="19"/>
  <c r="BS407" i="19"/>
  <c r="BS408" i="19"/>
  <c r="BS409" i="19"/>
  <c r="BS410" i="19"/>
  <c r="BS411" i="19"/>
  <c r="BS412" i="19"/>
  <c r="BS413" i="19"/>
  <c r="BS414" i="19"/>
  <c r="BS415" i="19"/>
  <c r="BS416" i="19"/>
  <c r="BS417" i="19"/>
  <c r="BS418" i="19"/>
  <c r="BS419" i="19"/>
  <c r="BS420" i="19"/>
  <c r="BS421" i="19"/>
  <c r="BS422" i="19"/>
  <c r="BS423" i="19"/>
  <c r="BS424" i="19"/>
  <c r="BS425" i="19"/>
  <c r="BS426" i="19"/>
  <c r="BS427" i="19"/>
  <c r="BS428" i="19"/>
  <c r="BS429" i="19"/>
  <c r="BS430" i="19"/>
  <c r="BS431" i="19"/>
  <c r="BS432" i="19"/>
  <c r="BS433" i="19"/>
  <c r="BS434" i="19"/>
  <c r="BS435" i="19"/>
  <c r="BS436" i="19"/>
  <c r="BS437" i="19"/>
  <c r="BS438" i="19"/>
  <c r="BS439" i="19"/>
  <c r="BS440" i="19"/>
  <c r="BS441" i="19"/>
  <c r="BS442" i="19"/>
  <c r="BS443" i="19"/>
  <c r="BS444" i="19"/>
  <c r="BS445" i="19"/>
  <c r="BS446" i="19"/>
  <c r="BS447" i="19"/>
  <c r="BS448" i="19"/>
  <c r="BS449" i="19"/>
  <c r="BS450" i="19"/>
  <c r="BS451" i="19"/>
  <c r="BS452" i="19"/>
  <c r="BS453" i="19"/>
  <c r="BS454" i="19"/>
  <c r="BS455" i="19"/>
  <c r="BS456" i="19"/>
  <c r="BS457" i="19"/>
  <c r="BS458" i="19"/>
  <c r="BS459" i="19"/>
  <c r="BS460" i="19"/>
  <c r="BS461" i="19"/>
  <c r="BS462" i="19"/>
  <c r="BS463" i="19"/>
  <c r="BS464" i="19"/>
  <c r="BS465" i="19"/>
  <c r="BS466" i="19"/>
  <c r="BS467" i="19"/>
  <c r="BS468" i="19"/>
  <c r="BS469" i="19"/>
  <c r="BS470" i="19"/>
  <c r="BS471" i="19"/>
  <c r="BS472" i="19"/>
  <c r="BS473" i="19"/>
  <c r="BS474" i="19"/>
  <c r="BS475" i="19"/>
  <c r="BS476" i="19"/>
  <c r="BS477" i="19"/>
  <c r="BS478" i="19"/>
  <c r="BS479" i="19"/>
  <c r="BS480" i="19"/>
  <c r="BS481" i="19"/>
  <c r="BS482" i="19"/>
  <c r="BS483" i="19"/>
  <c r="BS484" i="19"/>
  <c r="BS485" i="19"/>
  <c r="BS486" i="19"/>
  <c r="BS487" i="19"/>
  <c r="BS488" i="19"/>
  <c r="BS489" i="19"/>
  <c r="BS490" i="19"/>
  <c r="BS491" i="19"/>
  <c r="BS492" i="19"/>
  <c r="BS493" i="19"/>
  <c r="BS494" i="19"/>
  <c r="BS495" i="19"/>
  <c r="BS496" i="19"/>
  <c r="BS497" i="19"/>
  <c r="BS498" i="19"/>
  <c r="BS499" i="19"/>
  <c r="BS501" i="19"/>
  <c r="BS502" i="19"/>
  <c r="BS503" i="19"/>
  <c r="BS504" i="19"/>
  <c r="BS505" i="19"/>
  <c r="BS506" i="19"/>
  <c r="BS507" i="19"/>
  <c r="BS508" i="19"/>
  <c r="BS509" i="19"/>
  <c r="BS510" i="19"/>
  <c r="BS511" i="19"/>
  <c r="BS512" i="19"/>
  <c r="BS513" i="19"/>
  <c r="BS514" i="19"/>
  <c r="BS515" i="19"/>
  <c r="BS516" i="19"/>
  <c r="BS517" i="19"/>
  <c r="BS518" i="19"/>
  <c r="BS519" i="19"/>
  <c r="BS520" i="19"/>
  <c r="BS521" i="19"/>
  <c r="BS522" i="19"/>
  <c r="BS523" i="19"/>
  <c r="BS524" i="19"/>
  <c r="BS525" i="19"/>
  <c r="BS526" i="19"/>
  <c r="BS527" i="19"/>
  <c r="BS528" i="19"/>
  <c r="BS529" i="19"/>
  <c r="BS530" i="19"/>
  <c r="BS531" i="19"/>
  <c r="BS532" i="19"/>
  <c r="BS533" i="19"/>
  <c r="BS534" i="19"/>
  <c r="BS535" i="19"/>
  <c r="BS536" i="19"/>
  <c r="BS537" i="19"/>
  <c r="BS538" i="19"/>
  <c r="BS539" i="19"/>
  <c r="BS540" i="19"/>
  <c r="BS541" i="19"/>
  <c r="BS542" i="19"/>
  <c r="BS543" i="19"/>
  <c r="BS544" i="19"/>
  <c r="BS545" i="19"/>
  <c r="BS546" i="19"/>
  <c r="BS547" i="19"/>
  <c r="BS548" i="19"/>
  <c r="BS549" i="19"/>
  <c r="BS550" i="19"/>
  <c r="BS551" i="19"/>
  <c r="BS552" i="19"/>
  <c r="BS553" i="19"/>
  <c r="BS554" i="19"/>
  <c r="BS555" i="19"/>
  <c r="BS556" i="19"/>
  <c r="BS557" i="19"/>
  <c r="BS558" i="19"/>
  <c r="BS559" i="19"/>
  <c r="BS560" i="19"/>
  <c r="BS561" i="19"/>
  <c r="BS562" i="19"/>
  <c r="BS563" i="19"/>
  <c r="BS564" i="19"/>
  <c r="BS565" i="19"/>
  <c r="BS566" i="19"/>
  <c r="BS567" i="19"/>
  <c r="BS568" i="19"/>
  <c r="BS569" i="19"/>
  <c r="BS570" i="19"/>
  <c r="BS571" i="19"/>
  <c r="BS572" i="19"/>
  <c r="BS573" i="19"/>
  <c r="BS574" i="19"/>
  <c r="BS575" i="19"/>
  <c r="BS576" i="19"/>
  <c r="BS577" i="19"/>
  <c r="BS578" i="19"/>
  <c r="BS579" i="19"/>
  <c r="BS580" i="19"/>
  <c r="BS581" i="19"/>
  <c r="BS582" i="19"/>
  <c r="BS583" i="19"/>
  <c r="BS584" i="19"/>
  <c r="BS585" i="19"/>
  <c r="BS586" i="19"/>
  <c r="BS587" i="19"/>
  <c r="BS588" i="19"/>
  <c r="BS589" i="19"/>
  <c r="BS590" i="19"/>
  <c r="BS591" i="19"/>
  <c r="BS592" i="19"/>
  <c r="BS593" i="19"/>
  <c r="BS594" i="19"/>
  <c r="BS595" i="19"/>
  <c r="BS596" i="19"/>
  <c r="BS597" i="19"/>
  <c r="BS598" i="19"/>
  <c r="BS599" i="19"/>
  <c r="BS600" i="19"/>
  <c r="BS601" i="19"/>
  <c r="BS602" i="19"/>
  <c r="BS603" i="19"/>
  <c r="BS604" i="19"/>
  <c r="BS605" i="19"/>
  <c r="BS606" i="19"/>
  <c r="BS607" i="19"/>
  <c r="BS608" i="19"/>
  <c r="BS609" i="19"/>
  <c r="BS610" i="19"/>
  <c r="BS611" i="19"/>
  <c r="BS612" i="19"/>
  <c r="BS613" i="19"/>
  <c r="BS614" i="19"/>
  <c r="BS615" i="19"/>
  <c r="BS616" i="19"/>
  <c r="BS617" i="19"/>
  <c r="BS618" i="19"/>
  <c r="BS619" i="19"/>
  <c r="BS620" i="19"/>
  <c r="BS621" i="19"/>
  <c r="BS622" i="19"/>
  <c r="BS623" i="19"/>
  <c r="BS624" i="19"/>
  <c r="BS625" i="19"/>
  <c r="BS626" i="19"/>
  <c r="BS627" i="19"/>
  <c r="BS628" i="19"/>
  <c r="BS629" i="19"/>
  <c r="BS630" i="19"/>
  <c r="BS631" i="19"/>
  <c r="BS632" i="19"/>
  <c r="BS633" i="19"/>
  <c r="BS634" i="19"/>
  <c r="BS635" i="19"/>
  <c r="BS636" i="19"/>
  <c r="BS637" i="19"/>
  <c r="BS638" i="19"/>
  <c r="BS639" i="19"/>
  <c r="BS640" i="19"/>
  <c r="BS641" i="19"/>
  <c r="BS642" i="19"/>
  <c r="BS643" i="19"/>
  <c r="BS644" i="19"/>
  <c r="BS645" i="19"/>
  <c r="BS646" i="19"/>
  <c r="BS647" i="19"/>
  <c r="BS648" i="19"/>
  <c r="BS649" i="19"/>
  <c r="BS650" i="19"/>
  <c r="BS651" i="19"/>
  <c r="BS652" i="19"/>
  <c r="BS653" i="19"/>
  <c r="BS654" i="19"/>
  <c r="BS655" i="19"/>
  <c r="BS656" i="19"/>
  <c r="BS657" i="19"/>
  <c r="BS4" i="19"/>
  <c r="BS5" i="19"/>
  <c r="BS6" i="19"/>
  <c r="BS7" i="19"/>
  <c r="BS8" i="19"/>
  <c r="BS9" i="19"/>
  <c r="BS10" i="19"/>
  <c r="BS11" i="19"/>
  <c r="BS3" i="19"/>
  <c r="D24" i="20"/>
  <c r="AG18" i="12"/>
  <c r="AD24" i="31" l="1"/>
  <c r="AD25" i="31" s="1"/>
  <c r="AE23" i="31"/>
  <c r="AD22" i="31"/>
  <c r="BR253" i="26"/>
  <c r="BQ254" i="26"/>
  <c r="BO254" i="26"/>
  <c r="BP255" i="26"/>
  <c r="BS253" i="26"/>
  <c r="M19" i="2"/>
  <c r="AE24" i="31" l="1"/>
  <c r="AE25" i="31" s="1"/>
  <c r="AF23" i="31"/>
  <c r="AE22" i="31"/>
  <c r="BR254" i="26"/>
  <c r="BO255" i="26"/>
  <c r="BQ255" i="26"/>
  <c r="BP256" i="26"/>
  <c r="BS254" i="26"/>
  <c r="AF23" i="12"/>
  <c r="AF22" i="12"/>
  <c r="AF21" i="12"/>
  <c r="AF20" i="12"/>
  <c r="AF17" i="12"/>
  <c r="AF24" i="31" l="1"/>
  <c r="AF25" i="31" s="1"/>
  <c r="AG23" i="31"/>
  <c r="AF22" i="31"/>
  <c r="BR255" i="26"/>
  <c r="BS255" i="26"/>
  <c r="BO256" i="26"/>
  <c r="BP257" i="26"/>
  <c r="BQ256" i="26"/>
  <c r="P17" i="12"/>
  <c r="AG24" i="31" l="1"/>
  <c r="AG25" i="31" s="1"/>
  <c r="AH23" i="31"/>
  <c r="AG22" i="31"/>
  <c r="BR256" i="26"/>
  <c r="BS256" i="26"/>
  <c r="BO257" i="26"/>
  <c r="BQ257" i="26"/>
  <c r="BP258" i="26"/>
  <c r="O16" i="12"/>
  <c r="AG41" i="31" l="1"/>
  <c r="AG40" i="31"/>
  <c r="AG39" i="31"/>
  <c r="AG38" i="31"/>
  <c r="AG37" i="31"/>
  <c r="AG36" i="31"/>
  <c r="AG35" i="31"/>
  <c r="AG34" i="31"/>
  <c r="AG33" i="31"/>
  <c r="AG29" i="31"/>
  <c r="AG32" i="31"/>
  <c r="AG31" i="31"/>
  <c r="AG30" i="31"/>
  <c r="AG42" i="31"/>
  <c r="AG43" i="31"/>
  <c r="AG44" i="31"/>
  <c r="AH24" i="31"/>
  <c r="AH25" i="31" s="1"/>
  <c r="AI23" i="31"/>
  <c r="AH22" i="31"/>
  <c r="BR257" i="26"/>
  <c r="BS257" i="26"/>
  <c r="BO258" i="26"/>
  <c r="BP259" i="26"/>
  <c r="BQ258" i="26"/>
  <c r="P16" i="12"/>
  <c r="L45" i="3"/>
  <c r="W53" i="21"/>
  <c r="W54" i="21"/>
  <c r="W52" i="21"/>
  <c r="AG61" i="5"/>
  <c r="AG62" i="5"/>
  <c r="AG63" i="5"/>
  <c r="AG64" i="5"/>
  <c r="AG65" i="5"/>
  <c r="AG66" i="5"/>
  <c r="AG67" i="5"/>
  <c r="AG68" i="5"/>
  <c r="AG69" i="5"/>
  <c r="AG70"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L70" i="5"/>
  <c r="M70" i="5" s="1"/>
  <c r="L71" i="5"/>
  <c r="M71" i="5" s="1"/>
  <c r="L62" i="5"/>
  <c r="M62" i="5" s="1"/>
  <c r="L63" i="5"/>
  <c r="M63" i="5" s="1"/>
  <c r="L64" i="5"/>
  <c r="M64" i="5" s="1"/>
  <c r="L65" i="5"/>
  <c r="M65" i="5" s="1"/>
  <c r="L66" i="5"/>
  <c r="M66" i="5" s="1"/>
  <c r="L67" i="5"/>
  <c r="M67" i="5" s="1"/>
  <c r="L68" i="5"/>
  <c r="M68" i="5" s="1"/>
  <c r="L69" i="5"/>
  <c r="M69" i="5" s="1"/>
  <c r="L33" i="5"/>
  <c r="M33" i="5" s="1"/>
  <c r="L34" i="5"/>
  <c r="M34" i="5" s="1"/>
  <c r="L35" i="5"/>
  <c r="M35" i="5" s="1"/>
  <c r="L36" i="5"/>
  <c r="M36" i="5" s="1"/>
  <c r="L37" i="5"/>
  <c r="M37" i="5" s="1"/>
  <c r="L38" i="5"/>
  <c r="M38" i="5" s="1"/>
  <c r="L39" i="5"/>
  <c r="M39" i="5" s="1"/>
  <c r="L40" i="5"/>
  <c r="M40" i="5" s="1"/>
  <c r="L41" i="5"/>
  <c r="M41" i="5" s="1"/>
  <c r="L42" i="5"/>
  <c r="M42" i="5" s="1"/>
  <c r="L43" i="5"/>
  <c r="M43" i="5" s="1"/>
  <c r="L44" i="5"/>
  <c r="M44" i="5" s="1"/>
  <c r="L45" i="5"/>
  <c r="M45" i="5" s="1"/>
  <c r="L46" i="5"/>
  <c r="M46" i="5" s="1"/>
  <c r="L47" i="5"/>
  <c r="M47" i="5" s="1"/>
  <c r="L48" i="5"/>
  <c r="M48" i="5" s="1"/>
  <c r="L49" i="5"/>
  <c r="M49" i="5" s="1"/>
  <c r="L50" i="5"/>
  <c r="M50" i="5" s="1"/>
  <c r="L51" i="5"/>
  <c r="M51" i="5" s="1"/>
  <c r="L52" i="5"/>
  <c r="M52" i="5" s="1"/>
  <c r="L53" i="5"/>
  <c r="M53" i="5" s="1"/>
  <c r="L54" i="5"/>
  <c r="M54" i="5" s="1"/>
  <c r="L55" i="5"/>
  <c r="M55" i="5" s="1"/>
  <c r="L56" i="5"/>
  <c r="M56" i="5" s="1"/>
  <c r="L57" i="5"/>
  <c r="M57" i="5" s="1"/>
  <c r="L58" i="5"/>
  <c r="M58" i="5" s="1"/>
  <c r="L59" i="5"/>
  <c r="M59" i="5" s="1"/>
  <c r="L60" i="5"/>
  <c r="M60" i="5" s="1"/>
  <c r="L61" i="5"/>
  <c r="M61" i="5" s="1"/>
  <c r="L32" i="5"/>
  <c r="M32" i="5" s="1"/>
  <c r="AA16" i="5"/>
  <c r="AG3" i="5"/>
  <c r="AG2" i="5"/>
  <c r="H8" i="4"/>
  <c r="AQ15" i="4"/>
  <c r="AQ16" i="4"/>
  <c r="AQ17" i="4"/>
  <c r="AQ18" i="4"/>
  <c r="AQ19" i="4"/>
  <c r="AQ20" i="4"/>
  <c r="AQ21" i="4"/>
  <c r="AQ22" i="4"/>
  <c r="AQ23" i="4"/>
  <c r="AQ24" i="4"/>
  <c r="AQ25" i="4"/>
  <c r="AQ26" i="4"/>
  <c r="AQ27" i="4"/>
  <c r="AQ28" i="4"/>
  <c r="AQ29" i="4"/>
  <c r="AQ30" i="4"/>
  <c r="AQ31" i="4"/>
  <c r="AQ32" i="4"/>
  <c r="AQ33" i="4"/>
  <c r="AQ34" i="4"/>
  <c r="AQ35" i="4"/>
  <c r="AQ36" i="4"/>
  <c r="AQ37" i="4"/>
  <c r="AQ38" i="4"/>
  <c r="AQ39" i="4"/>
  <c r="AQ40" i="4"/>
  <c r="AQ41" i="4"/>
  <c r="AQ42" i="4"/>
  <c r="AQ43" i="4"/>
  <c r="AQ44" i="4"/>
  <c r="AQ45" i="4"/>
  <c r="AQ46" i="4"/>
  <c r="AQ47" i="4"/>
  <c r="AQ48" i="4"/>
  <c r="AQ49" i="4"/>
  <c r="AQ50" i="4"/>
  <c r="AQ51" i="4"/>
  <c r="AQ52" i="4"/>
  <c r="AQ53" i="4"/>
  <c r="AQ54" i="4"/>
  <c r="AQ55" i="4"/>
  <c r="AQ56" i="4"/>
  <c r="AQ57" i="4"/>
  <c r="AQ58" i="4"/>
  <c r="AQ59" i="4"/>
  <c r="AQ60" i="4"/>
  <c r="AQ61" i="4"/>
  <c r="AQ62" i="4"/>
  <c r="AQ63" i="4"/>
  <c r="AQ64" i="4"/>
  <c r="AQ65" i="4"/>
  <c r="AQ66" i="4"/>
  <c r="AQ67" i="4"/>
  <c r="AQ68" i="4"/>
  <c r="AQ69" i="4"/>
  <c r="AQ70" i="4"/>
  <c r="AQ71" i="4"/>
  <c r="AQ72" i="4"/>
  <c r="AQ73" i="4"/>
  <c r="AQ74" i="4"/>
  <c r="AQ75" i="4"/>
  <c r="AQ76" i="4"/>
  <c r="AQ77" i="4"/>
  <c r="AQ78" i="4"/>
  <c r="AQ79" i="4"/>
  <c r="AQ80" i="4"/>
  <c r="AQ81" i="4"/>
  <c r="AQ82" i="4"/>
  <c r="AQ83" i="4"/>
  <c r="AQ84" i="4"/>
  <c r="AQ85" i="4"/>
  <c r="AQ86" i="4"/>
  <c r="AQ87" i="4"/>
  <c r="AQ88" i="4"/>
  <c r="AQ89" i="4"/>
  <c r="AQ90" i="4"/>
  <c r="AQ91" i="4"/>
  <c r="AQ92" i="4"/>
  <c r="AQ93" i="4"/>
  <c r="AQ94" i="4"/>
  <c r="AQ95" i="4"/>
  <c r="AQ96" i="4"/>
  <c r="AQ97" i="4"/>
  <c r="AQ98" i="4"/>
  <c r="AQ99" i="4"/>
  <c r="AQ100" i="4"/>
  <c r="AQ101" i="4"/>
  <c r="AQ102" i="4"/>
  <c r="AQ103" i="4"/>
  <c r="AQ104" i="4"/>
  <c r="AQ105" i="4"/>
  <c r="AQ106" i="4"/>
  <c r="AQ107" i="4"/>
  <c r="AQ108" i="4"/>
  <c r="AQ109" i="4"/>
  <c r="AQ110" i="4"/>
  <c r="AQ111" i="4"/>
  <c r="AQ112" i="4"/>
  <c r="AQ113" i="4"/>
  <c r="AQ14"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O15" i="4"/>
  <c r="U15" i="4" s="1"/>
  <c r="O16" i="4"/>
  <c r="U16" i="4" s="1"/>
  <c r="O17" i="4"/>
  <c r="U17" i="4" s="1"/>
  <c r="O18" i="4"/>
  <c r="U18" i="4" s="1"/>
  <c r="O19" i="4"/>
  <c r="U19" i="4" s="1"/>
  <c r="O20" i="4"/>
  <c r="U20" i="4" s="1"/>
  <c r="O21" i="4"/>
  <c r="U21" i="4" s="1"/>
  <c r="O22" i="4"/>
  <c r="U22" i="4" s="1"/>
  <c r="O23" i="4"/>
  <c r="U23" i="4" s="1"/>
  <c r="O24" i="4"/>
  <c r="U24" i="4" s="1"/>
  <c r="O25" i="4"/>
  <c r="U25" i="4" s="1"/>
  <c r="O26" i="4"/>
  <c r="U26" i="4" s="1"/>
  <c r="O27" i="4"/>
  <c r="U27" i="4" s="1"/>
  <c r="O28" i="4"/>
  <c r="U28" i="4" s="1"/>
  <c r="O29" i="4"/>
  <c r="U29" i="4" s="1"/>
  <c r="O30" i="4"/>
  <c r="U30" i="4" s="1"/>
  <c r="O31" i="4"/>
  <c r="U31" i="4" s="1"/>
  <c r="O32" i="4"/>
  <c r="U32" i="4" s="1"/>
  <c r="O33" i="4"/>
  <c r="U33" i="4" s="1"/>
  <c r="O34" i="4"/>
  <c r="U34" i="4" s="1"/>
  <c r="O35" i="4"/>
  <c r="U35" i="4" s="1"/>
  <c r="O36" i="4"/>
  <c r="U36" i="4" s="1"/>
  <c r="O37" i="4"/>
  <c r="U37" i="4" s="1"/>
  <c r="O38" i="4"/>
  <c r="U38" i="4" s="1"/>
  <c r="O39" i="4"/>
  <c r="U39" i="4" s="1"/>
  <c r="O40" i="4"/>
  <c r="U40" i="4" s="1"/>
  <c r="O41" i="4"/>
  <c r="U41" i="4" s="1"/>
  <c r="O42" i="4"/>
  <c r="U42" i="4" s="1"/>
  <c r="O43" i="4"/>
  <c r="U43" i="4" s="1"/>
  <c r="O44" i="4"/>
  <c r="U44" i="4" s="1"/>
  <c r="O45" i="4"/>
  <c r="U45" i="4" s="1"/>
  <c r="O46" i="4"/>
  <c r="U46" i="4" s="1"/>
  <c r="O47" i="4"/>
  <c r="U47" i="4" s="1"/>
  <c r="O48" i="4"/>
  <c r="U48" i="4" s="1"/>
  <c r="O49" i="4"/>
  <c r="U49" i="4" s="1"/>
  <c r="O50" i="4"/>
  <c r="U50" i="4" s="1"/>
  <c r="O51" i="4"/>
  <c r="U51" i="4" s="1"/>
  <c r="O52" i="4"/>
  <c r="U52" i="4" s="1"/>
  <c r="O53" i="4"/>
  <c r="U53" i="4" s="1"/>
  <c r="O54" i="4"/>
  <c r="U54" i="4" s="1"/>
  <c r="O55" i="4"/>
  <c r="U55" i="4" s="1"/>
  <c r="O56" i="4"/>
  <c r="U56" i="4" s="1"/>
  <c r="O57" i="4"/>
  <c r="U57" i="4" s="1"/>
  <c r="O58" i="4"/>
  <c r="U58" i="4" s="1"/>
  <c r="O59" i="4"/>
  <c r="U59" i="4" s="1"/>
  <c r="O60" i="4"/>
  <c r="U60" i="4" s="1"/>
  <c r="O61" i="4"/>
  <c r="U61" i="4" s="1"/>
  <c r="O62" i="4"/>
  <c r="U62" i="4" s="1"/>
  <c r="O63" i="4"/>
  <c r="U63" i="4" s="1"/>
  <c r="O64" i="4"/>
  <c r="U64" i="4" s="1"/>
  <c r="O65" i="4"/>
  <c r="U65" i="4" s="1"/>
  <c r="O66" i="4"/>
  <c r="U66" i="4" s="1"/>
  <c r="O67" i="4"/>
  <c r="U67" i="4" s="1"/>
  <c r="O68" i="4"/>
  <c r="U68" i="4" s="1"/>
  <c r="O69" i="4"/>
  <c r="U69" i="4" s="1"/>
  <c r="O70" i="4"/>
  <c r="U70" i="4" s="1"/>
  <c r="O71" i="4"/>
  <c r="U71" i="4" s="1"/>
  <c r="O72" i="4"/>
  <c r="U72" i="4" s="1"/>
  <c r="O73" i="4"/>
  <c r="U73" i="4" s="1"/>
  <c r="O74" i="4"/>
  <c r="U74" i="4" s="1"/>
  <c r="O75" i="4"/>
  <c r="U75" i="4" s="1"/>
  <c r="O76" i="4"/>
  <c r="U76" i="4" s="1"/>
  <c r="O77" i="4"/>
  <c r="U77" i="4" s="1"/>
  <c r="O78" i="4"/>
  <c r="U78" i="4" s="1"/>
  <c r="O79" i="4"/>
  <c r="U79" i="4" s="1"/>
  <c r="O80" i="4"/>
  <c r="U80" i="4" s="1"/>
  <c r="O81" i="4"/>
  <c r="U81" i="4" s="1"/>
  <c r="O82" i="4"/>
  <c r="U82" i="4" s="1"/>
  <c r="O83" i="4"/>
  <c r="U83" i="4" s="1"/>
  <c r="O84" i="4"/>
  <c r="U84" i="4" s="1"/>
  <c r="O85" i="4"/>
  <c r="U85" i="4" s="1"/>
  <c r="O86" i="4"/>
  <c r="U86" i="4" s="1"/>
  <c r="O87" i="4"/>
  <c r="U87" i="4" s="1"/>
  <c r="O88" i="4"/>
  <c r="U88" i="4" s="1"/>
  <c r="O89" i="4"/>
  <c r="U89" i="4" s="1"/>
  <c r="O90" i="4"/>
  <c r="U90" i="4" s="1"/>
  <c r="O91" i="4"/>
  <c r="U91" i="4" s="1"/>
  <c r="O92" i="4"/>
  <c r="U92" i="4" s="1"/>
  <c r="O93" i="4"/>
  <c r="U93" i="4" s="1"/>
  <c r="O94" i="4"/>
  <c r="U94" i="4" s="1"/>
  <c r="O95" i="4"/>
  <c r="U95" i="4" s="1"/>
  <c r="O96" i="4"/>
  <c r="U96" i="4" s="1"/>
  <c r="O97" i="4"/>
  <c r="U97" i="4" s="1"/>
  <c r="O98" i="4"/>
  <c r="U98" i="4" s="1"/>
  <c r="O99" i="4"/>
  <c r="U99" i="4" s="1"/>
  <c r="O100" i="4"/>
  <c r="U100" i="4" s="1"/>
  <c r="O101" i="4"/>
  <c r="U101" i="4" s="1"/>
  <c r="O102" i="4"/>
  <c r="U102" i="4" s="1"/>
  <c r="O103" i="4"/>
  <c r="U103" i="4" s="1"/>
  <c r="O104" i="4"/>
  <c r="U104" i="4" s="1"/>
  <c r="O105" i="4"/>
  <c r="U105" i="4" s="1"/>
  <c r="O106" i="4"/>
  <c r="U106" i="4" s="1"/>
  <c r="O107" i="4"/>
  <c r="U107" i="4" s="1"/>
  <c r="O108" i="4"/>
  <c r="U108" i="4" s="1"/>
  <c r="O109" i="4"/>
  <c r="U109" i="4" s="1"/>
  <c r="O110" i="4"/>
  <c r="U110" i="4" s="1"/>
  <c r="O111" i="4"/>
  <c r="U111" i="4" s="1"/>
  <c r="O112" i="4"/>
  <c r="U112" i="4" s="1"/>
  <c r="O113" i="4"/>
  <c r="U113" i="4" s="1"/>
  <c r="AG56" i="21" l="1"/>
  <c r="AI24" i="31"/>
  <c r="AI25" i="31" s="1"/>
  <c r="AJ23" i="31"/>
  <c r="AI22" i="31"/>
  <c r="BR258" i="26"/>
  <c r="BS258" i="26"/>
  <c r="BO259" i="26"/>
  <c r="BQ259" i="26"/>
  <c r="BP260" i="26"/>
  <c r="AB52" i="21"/>
  <c r="AG52" i="21" s="1"/>
  <c r="AI4" i="21"/>
  <c r="N68" i="5"/>
  <c r="P39" i="4"/>
  <c r="P110" i="4"/>
  <c r="P62" i="4"/>
  <c r="P26" i="4"/>
  <c r="P108" i="4"/>
  <c r="P99" i="4"/>
  <c r="P51" i="4"/>
  <c r="P15" i="4"/>
  <c r="P85" i="4"/>
  <c r="P49" i="4"/>
  <c r="P107" i="4"/>
  <c r="P47" i="4"/>
  <c r="P106" i="4"/>
  <c r="P94" i="4"/>
  <c r="P82" i="4"/>
  <c r="P70" i="4"/>
  <c r="P58" i="4"/>
  <c r="P46" i="4"/>
  <c r="P34" i="4"/>
  <c r="P22" i="4"/>
  <c r="P93" i="4"/>
  <c r="P45" i="4"/>
  <c r="P56" i="4"/>
  <c r="P75" i="4"/>
  <c r="P27" i="4"/>
  <c r="P86" i="4"/>
  <c r="P74" i="4"/>
  <c r="P38" i="4"/>
  <c r="P73" i="4"/>
  <c r="P37" i="4"/>
  <c r="P71" i="4"/>
  <c r="P69" i="4"/>
  <c r="P104" i="4"/>
  <c r="P92" i="4"/>
  <c r="P80" i="4"/>
  <c r="P68" i="4"/>
  <c r="P44" i="4"/>
  <c r="P32" i="4"/>
  <c r="P20" i="4"/>
  <c r="P103" i="4"/>
  <c r="P91" i="4"/>
  <c r="P79" i="4"/>
  <c r="P67" i="4"/>
  <c r="P55" i="4"/>
  <c r="P43" i="4"/>
  <c r="P31" i="4"/>
  <c r="P19" i="4"/>
  <c r="P111" i="4"/>
  <c r="P87" i="4"/>
  <c r="P97" i="4"/>
  <c r="P96" i="4"/>
  <c r="P84" i="4"/>
  <c r="P72" i="4"/>
  <c r="P60" i="4"/>
  <c r="P48" i="4"/>
  <c r="P36" i="4"/>
  <c r="P24" i="4"/>
  <c r="P95" i="4"/>
  <c r="P35" i="4"/>
  <c r="P81" i="4"/>
  <c r="P33" i="4"/>
  <c r="P113" i="4"/>
  <c r="P101" i="4"/>
  <c r="P89" i="4"/>
  <c r="P77" i="4"/>
  <c r="P65" i="4"/>
  <c r="P53" i="4"/>
  <c r="P41" i="4"/>
  <c r="P29" i="4"/>
  <c r="P17" i="4"/>
  <c r="P63" i="4"/>
  <c r="P98" i="4"/>
  <c r="P50" i="4"/>
  <c r="P109" i="4"/>
  <c r="P61" i="4"/>
  <c r="P25" i="4"/>
  <c r="P83" i="4"/>
  <c r="P59" i="4"/>
  <c r="P23" i="4"/>
  <c r="P105" i="4"/>
  <c r="P57" i="4"/>
  <c r="P21" i="4"/>
  <c r="P102" i="4"/>
  <c r="P90" i="4"/>
  <c r="P78" i="4"/>
  <c r="P66" i="4"/>
  <c r="P54" i="4"/>
  <c r="P42" i="4"/>
  <c r="P30" i="4"/>
  <c r="P18" i="4"/>
  <c r="P112" i="4"/>
  <c r="P100" i="4"/>
  <c r="P88" i="4"/>
  <c r="P76" i="4"/>
  <c r="P64" i="4"/>
  <c r="P52" i="4"/>
  <c r="P40" i="4"/>
  <c r="P28" i="4"/>
  <c r="P16" i="4"/>
  <c r="N69" i="5"/>
  <c r="AC19" i="5"/>
  <c r="AC18" i="5"/>
  <c r="AB19" i="5"/>
  <c r="AB18" i="5"/>
  <c r="N67" i="5"/>
  <c r="N66" i="5"/>
  <c r="N65" i="5"/>
  <c r="N64" i="5"/>
  <c r="N63" i="5"/>
  <c r="N62" i="5"/>
  <c r="N71" i="5"/>
  <c r="N70" i="5"/>
  <c r="N32" i="5"/>
  <c r="AG31" i="5"/>
  <c r="W39" i="21"/>
  <c r="AG22" i="21"/>
  <c r="BE53" i="21"/>
  <c r="BF53" i="21"/>
  <c r="BE54" i="21"/>
  <c r="BF54" i="21"/>
  <c r="BF52" i="21"/>
  <c r="BE52" i="21"/>
  <c r="AN21" i="21"/>
  <c r="AN22" i="21"/>
  <c r="AN20" i="21"/>
  <c r="AN17" i="21"/>
  <c r="AN16" i="21"/>
  <c r="BF40" i="21"/>
  <c r="BF41" i="21"/>
  <c r="BF39" i="21"/>
  <c r="BE40" i="21"/>
  <c r="BE41" i="21"/>
  <c r="BE39" i="21"/>
  <c r="AM21" i="21"/>
  <c r="AQ8" i="21" s="1"/>
  <c r="AM22" i="21"/>
  <c r="P55" i="21"/>
  <c r="AG4" i="21" s="1"/>
  <c r="AB53" i="21"/>
  <c r="AG53" i="21" s="1"/>
  <c r="P42" i="21"/>
  <c r="AG3" i="21" s="1"/>
  <c r="W41" i="21"/>
  <c r="AB41" i="21" s="1"/>
  <c r="W40" i="21"/>
  <c r="R45" i="4" l="1"/>
  <c r="R36" i="4"/>
  <c r="R48" i="4"/>
  <c r="R43" i="4"/>
  <c r="R34" i="4"/>
  <c r="R42" i="4"/>
  <c r="R35" i="4"/>
  <c r="R38" i="4"/>
  <c r="R46" i="4"/>
  <c r="R32" i="4"/>
  <c r="R47" i="4"/>
  <c r="R41" i="4"/>
  <c r="R37" i="4"/>
  <c r="R40" i="4"/>
  <c r="R33" i="4"/>
  <c r="R44" i="4"/>
  <c r="R39" i="4"/>
  <c r="BD132" i="4"/>
  <c r="BD125" i="4"/>
  <c r="BE125" i="4" s="1"/>
  <c r="R24" i="4"/>
  <c r="R26" i="4"/>
  <c r="R25" i="4"/>
  <c r="R20" i="4"/>
  <c r="R21" i="4"/>
  <c r="BD139" i="4"/>
  <c r="BE139" i="4" s="1"/>
  <c r="R29" i="4"/>
  <c r="R23" i="4"/>
  <c r="R30" i="4"/>
  <c r="BD138" i="4"/>
  <c r="BE138" i="4" s="1"/>
  <c r="R28" i="4"/>
  <c r="R22" i="4"/>
  <c r="BD137" i="4"/>
  <c r="BE137" i="4" s="1"/>
  <c r="R27" i="4"/>
  <c r="R19" i="4"/>
  <c r="BD136" i="4"/>
  <c r="BE136" i="4" s="1"/>
  <c r="R18" i="4"/>
  <c r="AR9" i="21"/>
  <c r="AQ9" i="21"/>
  <c r="BE3" i="21" s="1"/>
  <c r="BD3" i="21" s="1"/>
  <c r="P50" i="12" s="1"/>
  <c r="AG43" i="21"/>
  <c r="AI3" i="21" s="1"/>
  <c r="AJ24" i="31"/>
  <c r="AJ25" i="31" s="1"/>
  <c r="R17" i="4"/>
  <c r="BD127" i="4"/>
  <c r="R16" i="4"/>
  <c r="AK23" i="31"/>
  <c r="AJ22" i="31"/>
  <c r="BR259" i="26"/>
  <c r="BO260" i="26"/>
  <c r="BQ260" i="26"/>
  <c r="BP261" i="26"/>
  <c r="BS259" i="26"/>
  <c r="BD135" i="4"/>
  <c r="AB39" i="21"/>
  <c r="AG39" i="21" s="1"/>
  <c r="AG42" i="21" s="1"/>
  <c r="R15" i="4"/>
  <c r="BD128" i="4"/>
  <c r="BE128" i="4" s="1"/>
  <c r="BD140" i="4"/>
  <c r="BE140" i="4" s="1"/>
  <c r="BE23" i="21"/>
  <c r="BF23" i="21"/>
  <c r="BF18" i="21"/>
  <c r="AL80" i="5"/>
  <c r="BF55" i="21"/>
  <c r="BE55" i="21"/>
  <c r="BE42" i="21"/>
  <c r="BF42" i="21"/>
  <c r="AB40" i="21"/>
  <c r="AG40" i="21" s="1"/>
  <c r="AB54" i="21"/>
  <c r="AG54" i="21" s="1"/>
  <c r="AG55" i="21" s="1"/>
  <c r="AG41" i="21"/>
  <c r="AG26" i="21"/>
  <c r="AB21" i="21"/>
  <c r="AB22" i="21"/>
  <c r="AB20" i="21"/>
  <c r="AG20" i="21" s="1"/>
  <c r="G30" i="17"/>
  <c r="H29" i="17"/>
  <c r="I29" i="17"/>
  <c r="J29" i="17"/>
  <c r="K29" i="17"/>
  <c r="L29" i="17"/>
  <c r="M29" i="17"/>
  <c r="G29" i="17"/>
  <c r="G28" i="17"/>
  <c r="AE24" i="12"/>
  <c r="AE23" i="12"/>
  <c r="G26" i="17"/>
  <c r="G25" i="17"/>
  <c r="H24" i="17"/>
  <c r="I24" i="17"/>
  <c r="G24" i="17"/>
  <c r="H23" i="17"/>
  <c r="I23" i="17"/>
  <c r="J23" i="17"/>
  <c r="G23" i="17"/>
  <c r="AE22" i="12"/>
  <c r="AE20" i="12"/>
  <c r="BD131" i="4" l="1"/>
  <c r="BD124" i="4"/>
  <c r="BE124" i="4" s="1"/>
  <c r="BD133" i="4"/>
  <c r="BD130" i="4"/>
  <c r="BE130" i="4" s="1"/>
  <c r="BD129" i="4"/>
  <c r="BE129" i="4" s="1"/>
  <c r="B6" i="21"/>
  <c r="AK24" i="31"/>
  <c r="AK25" i="31" s="1"/>
  <c r="BD134" i="4"/>
  <c r="BE134" i="4" s="1"/>
  <c r="BD126" i="4"/>
  <c r="BE126" i="4" s="1"/>
  <c r="AL23" i="31"/>
  <c r="AK22" i="31"/>
  <c r="BR260" i="26"/>
  <c r="BO261" i="26"/>
  <c r="BP262" i="26"/>
  <c r="BQ261" i="26"/>
  <c r="BS260" i="26"/>
  <c r="AE18" i="12"/>
  <c r="AG21" i="21"/>
  <c r="AG27" i="21" s="1"/>
  <c r="AE21" i="12"/>
  <c r="AE19" i="12"/>
  <c r="BE131" i="4" l="1"/>
  <c r="AL24" i="31"/>
  <c r="AL25" i="31" s="1"/>
  <c r="AM23" i="31"/>
  <c r="AL22" i="31"/>
  <c r="BR261" i="26"/>
  <c r="BS261" i="26"/>
  <c r="BO262" i="26"/>
  <c r="BQ262" i="26"/>
  <c r="BP263" i="26"/>
  <c r="AG28" i="21"/>
  <c r="AI2" i="21" s="1"/>
  <c r="AM24" i="31" l="1"/>
  <c r="AM25" i="31" s="1"/>
  <c r="AN23" i="31"/>
  <c r="AM22" i="31"/>
  <c r="BR262" i="26"/>
  <c r="BS262" i="26"/>
  <c r="BQ263" i="26"/>
  <c r="BP264" i="26"/>
  <c r="BO263" i="26"/>
  <c r="O50" i="12"/>
  <c r="AE50" i="12" s="1"/>
  <c r="AN24" i="31" l="1"/>
  <c r="AN25" i="31" s="1"/>
  <c r="AO23" i="31"/>
  <c r="AN22" i="31"/>
  <c r="BR263" i="26"/>
  <c r="BQ264" i="26"/>
  <c r="BP265" i="26"/>
  <c r="BO264" i="26"/>
  <c r="BS263" i="26"/>
  <c r="AN41" i="31" l="1"/>
  <c r="AN40" i="31"/>
  <c r="AN39" i="31"/>
  <c r="AN38" i="31"/>
  <c r="AN36" i="31"/>
  <c r="AN34" i="31"/>
  <c r="AN33" i="31"/>
  <c r="AN29" i="31"/>
  <c r="AN37" i="31"/>
  <c r="AN35" i="31"/>
  <c r="AN32" i="31"/>
  <c r="AN31" i="31"/>
  <c r="AN30" i="31"/>
  <c r="AN43" i="31"/>
  <c r="AN44" i="31"/>
  <c r="AN42" i="31"/>
  <c r="AO24" i="31"/>
  <c r="AO25" i="31" s="1"/>
  <c r="AP23" i="31"/>
  <c r="AO22" i="31"/>
  <c r="BR264" i="26"/>
  <c r="BQ265" i="26"/>
  <c r="BP266" i="26"/>
  <c r="BO265" i="26"/>
  <c r="BS264" i="26"/>
  <c r="N49" i="20"/>
  <c r="AP24" i="31" l="1"/>
  <c r="AP25" i="31" s="1"/>
  <c r="AQ23" i="31"/>
  <c r="AP22" i="31"/>
  <c r="BR265" i="26"/>
  <c r="BP267" i="26"/>
  <c r="BQ266" i="26"/>
  <c r="BO266" i="26"/>
  <c r="BS265" i="26"/>
  <c r="AQ24" i="31" l="1"/>
  <c r="AQ25" i="31" s="1"/>
  <c r="AR23" i="31"/>
  <c r="AQ22" i="31"/>
  <c r="BR266" i="26"/>
  <c r="BS266" i="26"/>
  <c r="BO267" i="26"/>
  <c r="BQ267" i="26"/>
  <c r="BP268" i="26"/>
  <c r="O46" i="12"/>
  <c r="P46" i="12" s="1"/>
  <c r="I46" i="12"/>
  <c r="N5" i="3"/>
  <c r="E36" i="15" s="1"/>
  <c r="P14" i="12"/>
  <c r="AR24" i="31" l="1"/>
  <c r="AR25" i="31" s="1"/>
  <c r="AS23" i="31"/>
  <c r="AR22" i="31"/>
  <c r="BR267" i="26"/>
  <c r="BS267" i="26"/>
  <c r="BO268" i="26"/>
  <c r="BQ268" i="26"/>
  <c r="D23" i="20"/>
  <c r="D22" i="20"/>
  <c r="AS24" i="31" l="1"/>
  <c r="AS25" i="31" s="1"/>
  <c r="AT23" i="31"/>
  <c r="AS22" i="31"/>
  <c r="BR268" i="26"/>
  <c r="AL49" i="26" s="1"/>
  <c r="BS268" i="26"/>
  <c r="AA29" i="5"/>
  <c r="AA7" i="5"/>
  <c r="O4" i="31" l="1"/>
  <c r="O3" i="31"/>
  <c r="AL56" i="26"/>
  <c r="AL59" i="26"/>
  <c r="BU60" i="26" s="1"/>
  <c r="W49" i="26"/>
  <c r="R49" i="26"/>
  <c r="M49" i="26"/>
  <c r="AB49" i="26"/>
  <c r="AG49" i="26"/>
  <c r="AT24" i="31"/>
  <c r="AT25" i="31" s="1"/>
  <c r="AU23" i="31"/>
  <c r="AT22" i="31"/>
  <c r="N61" i="5"/>
  <c r="N59" i="5"/>
  <c r="N57" i="5"/>
  <c r="N55" i="5"/>
  <c r="N53" i="5"/>
  <c r="N60" i="5"/>
  <c r="N58" i="5"/>
  <c r="N56" i="5"/>
  <c r="N54" i="5"/>
  <c r="N52" i="5"/>
  <c r="K4" i="31" l="1"/>
  <c r="K3" i="31"/>
  <c r="M4" i="31"/>
  <c r="M3" i="31"/>
  <c r="G4" i="31"/>
  <c r="G3" i="31"/>
  <c r="G17" i="31" s="1"/>
  <c r="I4" i="31"/>
  <c r="I3" i="31"/>
  <c r="I15" i="31" s="1"/>
  <c r="E3" i="31"/>
  <c r="H96" i="31" s="1"/>
  <c r="E4" i="31"/>
  <c r="J101" i="31"/>
  <c r="O7" i="31"/>
  <c r="C163" i="31" s="1"/>
  <c r="I9" i="31"/>
  <c r="M17" i="31"/>
  <c r="M19" i="31"/>
  <c r="C187" i="31" s="1"/>
  <c r="M20" i="31"/>
  <c r="C188" i="31" s="1"/>
  <c r="M6" i="31"/>
  <c r="M16" i="31"/>
  <c r="M12" i="31"/>
  <c r="M18" i="31"/>
  <c r="C186" i="31" s="1"/>
  <c r="M8" i="31"/>
  <c r="M11" i="31"/>
  <c r="M10" i="31"/>
  <c r="M14" i="31"/>
  <c r="M13" i="31"/>
  <c r="M9" i="31"/>
  <c r="M5" i="31"/>
  <c r="M15" i="31"/>
  <c r="K17" i="31"/>
  <c r="K19" i="31"/>
  <c r="C184" i="31" s="1"/>
  <c r="K20" i="31"/>
  <c r="C185" i="31" s="1"/>
  <c r="K14" i="31"/>
  <c r="K16" i="31"/>
  <c r="K15" i="31"/>
  <c r="K13" i="31"/>
  <c r="K9" i="31"/>
  <c r="K6" i="31"/>
  <c r="K11" i="31"/>
  <c r="K5" i="31"/>
  <c r="K18" i="31"/>
  <c r="C183" i="31" s="1"/>
  <c r="K10" i="31"/>
  <c r="K12" i="31"/>
  <c r="K8" i="31"/>
  <c r="O17" i="31"/>
  <c r="C173" i="31" s="1"/>
  <c r="O19" i="31"/>
  <c r="C190" i="31" s="1"/>
  <c r="O20" i="31"/>
  <c r="C191" i="31" s="1"/>
  <c r="O5" i="31"/>
  <c r="C161" i="31" s="1"/>
  <c r="O18" i="31"/>
  <c r="C189" i="31" s="1"/>
  <c r="O12" i="31"/>
  <c r="O10" i="31"/>
  <c r="O15" i="31"/>
  <c r="O13" i="31"/>
  <c r="O16" i="31"/>
  <c r="O9" i="31"/>
  <c r="O6" i="31"/>
  <c r="O8" i="31"/>
  <c r="O14" i="31"/>
  <c r="O11" i="31"/>
  <c r="AQ49" i="26"/>
  <c r="AG59" i="26"/>
  <c r="BT60" i="26" s="1"/>
  <c r="AG56" i="26"/>
  <c r="BT57" i="26" s="1"/>
  <c r="AB59" i="26"/>
  <c r="BS60" i="26" s="1"/>
  <c r="AB56" i="26"/>
  <c r="BS57" i="26" s="1"/>
  <c r="AQ55" i="26"/>
  <c r="M56" i="26"/>
  <c r="M59" i="26"/>
  <c r="BP60" i="26" s="1"/>
  <c r="R59" i="26"/>
  <c r="BQ60" i="26" s="1"/>
  <c r="R56" i="26"/>
  <c r="W59" i="26"/>
  <c r="BR60" i="26" s="1"/>
  <c r="W56" i="26"/>
  <c r="BR57" i="26" s="1"/>
  <c r="AU24" i="31"/>
  <c r="AU25" i="31" s="1"/>
  <c r="AV23" i="31"/>
  <c r="AU22" i="31"/>
  <c r="AL81" i="5"/>
  <c r="I5" i="31" l="1"/>
  <c r="I10" i="31"/>
  <c r="I20" i="31"/>
  <c r="C182" i="31" s="1"/>
  <c r="I19" i="31"/>
  <c r="C181" i="31" s="1"/>
  <c r="E5" i="31"/>
  <c r="C96" i="31" s="1"/>
  <c r="G15" i="31"/>
  <c r="G14" i="31"/>
  <c r="G9" i="31"/>
  <c r="I16" i="31"/>
  <c r="I8" i="31"/>
  <c r="G8" i="31"/>
  <c r="E6" i="31"/>
  <c r="I14" i="31"/>
  <c r="G10" i="31"/>
  <c r="E9" i="31"/>
  <c r="I18" i="31"/>
  <c r="C180" i="31" s="1"/>
  <c r="G5" i="31"/>
  <c r="E10" i="31"/>
  <c r="I12" i="31"/>
  <c r="G12" i="31"/>
  <c r="E15" i="31"/>
  <c r="E7" i="31"/>
  <c r="C98" i="31" s="1"/>
  <c r="J96" i="31"/>
  <c r="E8" i="31"/>
  <c r="E13" i="31"/>
  <c r="G6" i="31"/>
  <c r="J97" i="31"/>
  <c r="G7" i="31"/>
  <c r="C111" i="31" s="1"/>
  <c r="J98" i="31"/>
  <c r="I7" i="31"/>
  <c r="C124" i="31" s="1"/>
  <c r="E14" i="31"/>
  <c r="I13" i="31"/>
  <c r="I17" i="31"/>
  <c r="G18" i="31"/>
  <c r="C177" i="31" s="1"/>
  <c r="G47" i="31"/>
  <c r="G45" i="31" s="1"/>
  <c r="F45" i="31"/>
  <c r="G46" i="31" s="1"/>
  <c r="E11" i="31"/>
  <c r="E20" i="31"/>
  <c r="C176" i="31" s="1"/>
  <c r="I6" i="31"/>
  <c r="G16" i="31"/>
  <c r="G19" i="31"/>
  <c r="C178" i="31" s="1"/>
  <c r="M7" i="31"/>
  <c r="C150" i="31" s="1"/>
  <c r="J100" i="31"/>
  <c r="E18" i="31"/>
  <c r="C174" i="31" s="1"/>
  <c r="F84" i="31" s="1"/>
  <c r="G85" i="31" s="1"/>
  <c r="E19" i="31"/>
  <c r="C175" i="31" s="1"/>
  <c r="I11" i="31"/>
  <c r="G13" i="31"/>
  <c r="G20" i="31"/>
  <c r="C179" i="31" s="1"/>
  <c r="F27" i="31"/>
  <c r="L27" i="31"/>
  <c r="S27" i="31"/>
  <c r="Z27" i="31"/>
  <c r="AG27" i="31"/>
  <c r="E16" i="31"/>
  <c r="E12" i="31"/>
  <c r="E17" i="31"/>
  <c r="G11" i="31"/>
  <c r="J99" i="31"/>
  <c r="K7" i="31"/>
  <c r="C137" i="31" s="1"/>
  <c r="F90" i="31"/>
  <c r="G91" i="31" s="1"/>
  <c r="G92" i="31"/>
  <c r="F87" i="31"/>
  <c r="G88" i="31" s="1"/>
  <c r="G89" i="31"/>
  <c r="G29" i="31"/>
  <c r="AU41" i="31"/>
  <c r="AU40" i="31"/>
  <c r="AU39" i="31"/>
  <c r="AU38" i="31"/>
  <c r="AU37" i="31"/>
  <c r="AU36" i="31"/>
  <c r="AU35" i="31"/>
  <c r="AU34" i="31"/>
  <c r="AU33" i="31"/>
  <c r="AU29" i="31"/>
  <c r="AU32" i="31"/>
  <c r="AU31" i="31"/>
  <c r="AU30" i="31"/>
  <c r="AU42" i="31"/>
  <c r="AU43" i="31"/>
  <c r="AU44" i="31"/>
  <c r="AW60" i="26"/>
  <c r="AQ60" i="26"/>
  <c r="AV24" i="31"/>
  <c r="AV25" i="31" s="1"/>
  <c r="AW23" i="31"/>
  <c r="AV22" i="31"/>
  <c r="AC8" i="15"/>
  <c r="AC6" i="15"/>
  <c r="AA8" i="15"/>
  <c r="AA6" i="15"/>
  <c r="Z8" i="15"/>
  <c r="Z6" i="15"/>
  <c r="Y6" i="15"/>
  <c r="Y8" i="15"/>
  <c r="O36" i="12"/>
  <c r="B36" i="3" s="1"/>
  <c r="H47" i="31" l="1"/>
  <c r="H45" i="31" s="1"/>
  <c r="G86" i="31"/>
  <c r="H46" i="31"/>
  <c r="F51" i="31"/>
  <c r="G52" i="31" s="1"/>
  <c r="G53" i="31"/>
  <c r="G87" i="31"/>
  <c r="H88" i="31" s="1"/>
  <c r="H89" i="31"/>
  <c r="G90" i="31"/>
  <c r="H91" i="31" s="1"/>
  <c r="H92" i="31"/>
  <c r="G84" i="31"/>
  <c r="H85" i="31" s="1"/>
  <c r="H86" i="31"/>
  <c r="AW24" i="31"/>
  <c r="AW25" i="31" s="1"/>
  <c r="AX23" i="31"/>
  <c r="AW22" i="31"/>
  <c r="AE36" i="12"/>
  <c r="AF6" i="15"/>
  <c r="AF13" i="15"/>
  <c r="I47" i="31" l="1"/>
  <c r="I46" i="31"/>
  <c r="J47" i="31"/>
  <c r="I45" i="31"/>
  <c r="J46" i="31" s="1"/>
  <c r="H90" i="31"/>
  <c r="I91" i="31" s="1"/>
  <c r="I92" i="31"/>
  <c r="H87" i="31"/>
  <c r="I88" i="31" s="1"/>
  <c r="I89" i="31"/>
  <c r="I86" i="31"/>
  <c r="H84" i="31"/>
  <c r="I85" i="31" s="1"/>
  <c r="AX24" i="31"/>
  <c r="AX25" i="31" s="1"/>
  <c r="AY23" i="31"/>
  <c r="AX22" i="31"/>
  <c r="AM5" i="12"/>
  <c r="AE48" i="12"/>
  <c r="K47" i="31" l="1"/>
  <c r="J45" i="31"/>
  <c r="K46" i="31" s="1"/>
  <c r="I90" i="31"/>
  <c r="J91" i="31" s="1"/>
  <c r="J92" i="31"/>
  <c r="I87" i="31"/>
  <c r="J88" i="31" s="1"/>
  <c r="J89" i="31"/>
  <c r="I84" i="31"/>
  <c r="J85" i="31" s="1"/>
  <c r="J86" i="31"/>
  <c r="AC75" i="26"/>
  <c r="AI74" i="26" s="1"/>
  <c r="AY24" i="31"/>
  <c r="AY25" i="31" s="1"/>
  <c r="AZ23" i="31"/>
  <c r="AY22" i="31"/>
  <c r="AM4" i="12"/>
  <c r="AM3" i="12"/>
  <c r="AE13" i="12"/>
  <c r="O6" i="12"/>
  <c r="P11" i="12"/>
  <c r="AF38" i="12"/>
  <c r="O11" i="12"/>
  <c r="AE11" i="12" s="1"/>
  <c r="L47" i="31" l="1"/>
  <c r="K45" i="31"/>
  <c r="L46" i="31" s="1"/>
  <c r="J84" i="31"/>
  <c r="K85" i="31" s="1"/>
  <c r="K86" i="31"/>
  <c r="J90" i="31"/>
  <c r="K91" i="31" s="1"/>
  <c r="K92" i="31"/>
  <c r="J87" i="31"/>
  <c r="K88" i="31" s="1"/>
  <c r="K89" i="31"/>
  <c r="M29" i="31"/>
  <c r="Z88" i="26"/>
  <c r="AZ24" i="31"/>
  <c r="AZ25" i="31" s="1"/>
  <c r="BA23" i="31"/>
  <c r="AZ22" i="31"/>
  <c r="O3" i="12"/>
  <c r="AE6" i="12"/>
  <c r="P6" i="12"/>
  <c r="C36" i="15"/>
  <c r="P3" i="12"/>
  <c r="O7" i="12"/>
  <c r="O8" i="12"/>
  <c r="P8" i="12" s="1"/>
  <c r="O9" i="12"/>
  <c r="P9" i="12" s="1"/>
  <c r="O14" i="12"/>
  <c r="O15" i="12"/>
  <c r="O17" i="12"/>
  <c r="M46" i="31" l="1"/>
  <c r="M47" i="31"/>
  <c r="L45" i="31"/>
  <c r="L89" i="31"/>
  <c r="K87" i="31"/>
  <c r="L88" i="31" s="1"/>
  <c r="L92" i="31"/>
  <c r="K90" i="31"/>
  <c r="L91" i="31" s="1"/>
  <c r="L86" i="31"/>
  <c r="K84" i="31"/>
  <c r="L85" i="31" s="1"/>
  <c r="BA24" i="31"/>
  <c r="BA25" i="31" s="1"/>
  <c r="BB23" i="31"/>
  <c r="BA22" i="31"/>
  <c r="AE3" i="12"/>
  <c r="AE7" i="12"/>
  <c r="P7" i="12"/>
  <c r="Z11" i="15"/>
  <c r="P54" i="12" s="1"/>
  <c r="AE15" i="12"/>
  <c r="L44" i="3"/>
  <c r="AE17" i="12"/>
  <c r="L46" i="3"/>
  <c r="AE14" i="12"/>
  <c r="L43" i="3"/>
  <c r="Y11" i="15"/>
  <c r="O54" i="12" s="1"/>
  <c r="L9" i="3"/>
  <c r="C1" i="1" s="1"/>
  <c r="AE10" i="12"/>
  <c r="P10" i="12"/>
  <c r="AE9" i="12"/>
  <c r="O10" i="12"/>
  <c r="AE16" i="12"/>
  <c r="AE8" i="12"/>
  <c r="AD3" i="5"/>
  <c r="AD4" i="5"/>
  <c r="AD2" i="5"/>
  <c r="M92" i="31" l="1"/>
  <c r="N92" i="31" s="1"/>
  <c r="O92" i="31" s="1"/>
  <c r="L90" i="31"/>
  <c r="M89" i="31"/>
  <c r="M87" i="31" s="1"/>
  <c r="L87" i="31"/>
  <c r="M86" i="31"/>
  <c r="M84" i="31" s="1"/>
  <c r="L84" i="31"/>
  <c r="M88" i="31"/>
  <c r="M91" i="31"/>
  <c r="M85" i="31"/>
  <c r="N85" i="31" s="1"/>
  <c r="N47" i="31"/>
  <c r="M45" i="31"/>
  <c r="N46" i="31"/>
  <c r="C1" i="15"/>
  <c r="C1" i="5"/>
  <c r="D1" i="4"/>
  <c r="B1" i="21"/>
  <c r="E2" i="29"/>
  <c r="D1" i="25"/>
  <c r="N88" i="31"/>
  <c r="BB24" i="31"/>
  <c r="BB25" i="31" s="1"/>
  <c r="BC23" i="31"/>
  <c r="BB22" i="31"/>
  <c r="AC10" i="5"/>
  <c r="AB10" i="5"/>
  <c r="AC9" i="5"/>
  <c r="AB9" i="5"/>
  <c r="AE54" i="12"/>
  <c r="N86" i="31" l="1"/>
  <c r="N84" i="31" s="1"/>
  <c r="O85" i="31" s="1"/>
  <c r="N89" i="31"/>
  <c r="O89" i="31" s="1"/>
  <c r="M90" i="31"/>
  <c r="N91" i="31"/>
  <c r="N90" i="31" s="1"/>
  <c r="N45" i="31"/>
  <c r="O46" i="31" s="1"/>
  <c r="O47" i="31"/>
  <c r="AQ122" i="25"/>
  <c r="AQ121" i="25"/>
  <c r="N87" i="31"/>
  <c r="O88" i="31" s="1"/>
  <c r="O87" i="31" s="1"/>
  <c r="O86" i="31"/>
  <c r="P86" i="31" s="1"/>
  <c r="AY24" i="25"/>
  <c r="AY23" i="25"/>
  <c r="AY22" i="25"/>
  <c r="O91" i="31"/>
  <c r="O90" i="31" s="1"/>
  <c r="P91" i="31" s="1"/>
  <c r="P92" i="31"/>
  <c r="P89" i="31"/>
  <c r="BB41" i="31"/>
  <c r="BB40" i="31"/>
  <c r="BB39" i="31"/>
  <c r="BB37" i="31"/>
  <c r="BB35" i="31"/>
  <c r="BB33" i="31"/>
  <c r="BB29" i="31"/>
  <c r="BB38" i="31"/>
  <c r="BB36" i="31"/>
  <c r="BB34" i="31"/>
  <c r="BB32" i="31"/>
  <c r="BB31" i="31"/>
  <c r="BB30" i="31"/>
  <c r="BC24" i="31"/>
  <c r="BC25" i="31" s="1"/>
  <c r="BD23" i="31"/>
  <c r="BC22" i="31"/>
  <c r="AE46" i="12"/>
  <c r="AL79" i="5"/>
  <c r="N11" i="17"/>
  <c r="N9" i="17"/>
  <c r="N7" i="17"/>
  <c r="O45" i="31" l="1"/>
  <c r="P46" i="31" s="1"/>
  <c r="P47" i="31"/>
  <c r="P88" i="31"/>
  <c r="P87" i="31" s="1"/>
  <c r="Q88" i="31" s="1"/>
  <c r="O84" i="31"/>
  <c r="P85" i="31" s="1"/>
  <c r="P84" i="31" s="1"/>
  <c r="Q89" i="31"/>
  <c r="P90" i="31"/>
  <c r="Q91" i="31" s="1"/>
  <c r="Q92" i="31"/>
  <c r="Q86" i="31"/>
  <c r="BD24" i="31"/>
  <c r="BD25" i="31" s="1"/>
  <c r="BE23" i="31"/>
  <c r="BD22" i="31"/>
  <c r="AN79" i="5"/>
  <c r="P53" i="12" s="1"/>
  <c r="AM79" i="5"/>
  <c r="S7" i="17"/>
  <c r="E38" i="15"/>
  <c r="Q47" i="31" l="1"/>
  <c r="P45" i="31"/>
  <c r="Q46" i="31" s="1"/>
  <c r="Q85" i="31"/>
  <c r="Q84" i="31" s="1"/>
  <c r="Q90" i="31"/>
  <c r="R91" i="31" s="1"/>
  <c r="R92" i="31"/>
  <c r="R86" i="31"/>
  <c r="Q87" i="31"/>
  <c r="R88" i="31" s="1"/>
  <c r="R89" i="31"/>
  <c r="BE24" i="31"/>
  <c r="BE25" i="31" s="1"/>
  <c r="BF23" i="31"/>
  <c r="BE22" i="31"/>
  <c r="M2" i="5"/>
  <c r="O53" i="12"/>
  <c r="AE53" i="12" s="1"/>
  <c r="R47" i="31" l="1"/>
  <c r="Q45" i="31"/>
  <c r="R46" i="31" s="1"/>
  <c r="R85" i="31"/>
  <c r="R84" i="31" s="1"/>
  <c r="S85" i="31" s="1"/>
  <c r="S89" i="31"/>
  <c r="R87" i="31"/>
  <c r="S88" i="31" s="1"/>
  <c r="S86" i="31"/>
  <c r="S92" i="31"/>
  <c r="R90" i="31"/>
  <c r="S91" i="31" s="1"/>
  <c r="BF24" i="31"/>
  <c r="BF25" i="31" s="1"/>
  <c r="BG23" i="31"/>
  <c r="BF22" i="31"/>
  <c r="N43" i="5"/>
  <c r="N51" i="5"/>
  <c r="N35" i="5"/>
  <c r="N34" i="5"/>
  <c r="N33" i="5"/>
  <c r="N36" i="5"/>
  <c r="N37" i="5"/>
  <c r="N38" i="5"/>
  <c r="N39" i="5"/>
  <c r="N40" i="5"/>
  <c r="N41" i="5"/>
  <c r="N42" i="5"/>
  <c r="N44" i="5"/>
  <c r="N45" i="5"/>
  <c r="N46" i="5"/>
  <c r="N47" i="5"/>
  <c r="N48" i="5"/>
  <c r="N49" i="5"/>
  <c r="N50" i="5"/>
  <c r="T86" i="31" l="1"/>
  <c r="U86" i="31" s="1"/>
  <c r="V86" i="31" s="1"/>
  <c r="S84" i="31"/>
  <c r="T92" i="31"/>
  <c r="U92" i="31" s="1"/>
  <c r="V92" i="31" s="1"/>
  <c r="S90" i="31"/>
  <c r="T85" i="31"/>
  <c r="T88" i="31"/>
  <c r="T89" i="31"/>
  <c r="U89" i="31" s="1"/>
  <c r="V89" i="31" s="1"/>
  <c r="S87" i="31"/>
  <c r="T91" i="31"/>
  <c r="S47" i="31"/>
  <c r="R45" i="31"/>
  <c r="S46" i="31" s="1"/>
  <c r="BG24" i="31"/>
  <c r="BG25" i="31" s="1"/>
  <c r="BH23" i="31"/>
  <c r="BG22" i="31"/>
  <c r="I3" i="2"/>
  <c r="T46" i="31" l="1"/>
  <c r="T47" i="31"/>
  <c r="S45" i="31"/>
  <c r="T84" i="31"/>
  <c r="U85" i="31" s="1"/>
  <c r="U84" i="31" s="1"/>
  <c r="T87" i="31"/>
  <c r="U88" i="31" s="1"/>
  <c r="U87" i="31" s="1"/>
  <c r="V88" i="31" s="1"/>
  <c r="V87" i="31" s="1"/>
  <c r="W88" i="31" s="1"/>
  <c r="T90" i="31"/>
  <c r="U91" i="31" s="1"/>
  <c r="U90" i="31" s="1"/>
  <c r="W92" i="31"/>
  <c r="W86" i="31"/>
  <c r="W89" i="31"/>
  <c r="BH24" i="31"/>
  <c r="BH25" i="31" s="1"/>
  <c r="BI23" i="31"/>
  <c r="BH22" i="31"/>
  <c r="C18" i="3"/>
  <c r="C17" i="3"/>
  <c r="V91" i="31" l="1"/>
  <c r="V90" i="31" s="1"/>
  <c r="W91" i="31" s="1"/>
  <c r="W90" i="31" s="1"/>
  <c r="X91" i="31" s="1"/>
  <c r="V85" i="31"/>
  <c r="V84" i="31" s="1"/>
  <c r="W85" i="31" s="1"/>
  <c r="W84" i="31" s="1"/>
  <c r="U47" i="31"/>
  <c r="T45" i="31"/>
  <c r="U46" i="31"/>
  <c r="W87" i="31"/>
  <c r="X88" i="31" s="1"/>
  <c r="X89" i="31"/>
  <c r="X86" i="31"/>
  <c r="X92" i="31"/>
  <c r="BI24" i="31"/>
  <c r="BI25" i="31" s="1"/>
  <c r="BJ23" i="31"/>
  <c r="BI22" i="31"/>
  <c r="E40" i="15"/>
  <c r="L10" i="3"/>
  <c r="S11" i="17" s="1"/>
  <c r="X85" i="31" l="1"/>
  <c r="U45" i="31"/>
  <c r="V46" i="31" s="1"/>
  <c r="V47" i="31"/>
  <c r="X84" i="31"/>
  <c r="Y85" i="31" s="1"/>
  <c r="Y86" i="31"/>
  <c r="X90" i="31"/>
  <c r="Y91" i="31" s="1"/>
  <c r="Y92" i="31"/>
  <c r="X87" i="31"/>
  <c r="Y88" i="31" s="1"/>
  <c r="Y89" i="31"/>
  <c r="BI41" i="31"/>
  <c r="BI40" i="31"/>
  <c r="BI39" i="31"/>
  <c r="BI38" i="31"/>
  <c r="BI37" i="31"/>
  <c r="BI36" i="31"/>
  <c r="BI35" i="31"/>
  <c r="BI34" i="31"/>
  <c r="BI33" i="31"/>
  <c r="BI29" i="31"/>
  <c r="BI32" i="31"/>
  <c r="BI31" i="31"/>
  <c r="BI30" i="31"/>
  <c r="BI43" i="31"/>
  <c r="BI44" i="31"/>
  <c r="BI42" i="31"/>
  <c r="BJ24" i="31"/>
  <c r="BJ25" i="31" s="1"/>
  <c r="BK23" i="31"/>
  <c r="BJ22" i="31"/>
  <c r="W17" i="17"/>
  <c r="W15" i="17"/>
  <c r="W13" i="17"/>
  <c r="N4" i="3"/>
  <c r="L8" i="3"/>
  <c r="S9" i="17" s="1"/>
  <c r="V45" i="31" l="1"/>
  <c r="W46" i="31" s="1"/>
  <c r="W47" i="31"/>
  <c r="Z89" i="31"/>
  <c r="Y87" i="31"/>
  <c r="Z88" i="31" s="1"/>
  <c r="Z92" i="31"/>
  <c r="Y90" i="31"/>
  <c r="Z91" i="31" s="1"/>
  <c r="Z86" i="31"/>
  <c r="Y84" i="31"/>
  <c r="Z85" i="31" s="1"/>
  <c r="BK24" i="31"/>
  <c r="BK25" i="31" s="1"/>
  <c r="BL23" i="31"/>
  <c r="BK22" i="31"/>
  <c r="P51" i="12"/>
  <c r="AA92" i="31" l="1"/>
  <c r="Z90" i="31"/>
  <c r="AA86" i="31"/>
  <c r="AB86" i="31" s="1"/>
  <c r="AC86" i="31" s="1"/>
  <c r="Z84" i="31"/>
  <c r="AA89" i="31"/>
  <c r="AA87" i="31" s="1"/>
  <c r="Z87" i="31"/>
  <c r="AA88" i="31" s="1"/>
  <c r="AB88" i="31" s="1"/>
  <c r="AA91" i="31"/>
  <c r="AA85" i="31"/>
  <c r="AA84" i="31" s="1"/>
  <c r="X47" i="31"/>
  <c r="W45" i="31"/>
  <c r="X46" i="31" s="1"/>
  <c r="BL24" i="31"/>
  <c r="BL25" i="31" s="1"/>
  <c r="BM23" i="31"/>
  <c r="BL22" i="31"/>
  <c r="AE51" i="12"/>
  <c r="Y47" i="31" l="1"/>
  <c r="X45" i="31"/>
  <c r="Y46" i="31" s="1"/>
  <c r="AB85" i="31"/>
  <c r="AB84" i="31" s="1"/>
  <c r="AC85" i="31" s="1"/>
  <c r="AC84" i="31" s="1"/>
  <c r="AD85" i="31" s="1"/>
  <c r="AB89" i="31"/>
  <c r="AC89" i="31" s="1"/>
  <c r="AB92" i="31"/>
  <c r="AC92" i="31" s="1"/>
  <c r="AD92" i="31" s="1"/>
  <c r="AA90" i="31"/>
  <c r="AB91" i="31" s="1"/>
  <c r="AB90" i="31" s="1"/>
  <c r="AC91" i="31" s="1"/>
  <c r="AD86" i="31"/>
  <c r="BM24" i="31"/>
  <c r="BM25" i="31" s="1"/>
  <c r="BN23" i="31"/>
  <c r="BM22" i="31"/>
  <c r="AE49" i="12"/>
  <c r="AB87" i="31" l="1"/>
  <c r="AC88" i="31" s="1"/>
  <c r="AC90" i="31"/>
  <c r="AD91" i="31" s="1"/>
  <c r="Y45" i="31"/>
  <c r="Z46" i="31" s="1"/>
  <c r="Z47" i="31"/>
  <c r="AC87" i="31"/>
  <c r="AD88" i="31" s="1"/>
  <c r="AD89" i="31"/>
  <c r="AD90" i="31"/>
  <c r="AE91" i="31" s="1"/>
  <c r="AE92" i="31"/>
  <c r="AD84" i="31"/>
  <c r="AE85" i="31" s="1"/>
  <c r="AE86" i="31"/>
  <c r="BN24" i="31"/>
  <c r="BN25" i="31" s="1"/>
  <c r="BO23" i="31"/>
  <c r="BN22" i="31"/>
  <c r="AA47" i="31" l="1"/>
  <c r="Z45" i="31"/>
  <c r="AA46" i="31"/>
  <c r="AD87" i="31"/>
  <c r="AE88" i="31" s="1"/>
  <c r="AE89" i="31"/>
  <c r="AE84" i="31"/>
  <c r="AF85" i="31" s="1"/>
  <c r="AF86" i="31"/>
  <c r="AE90" i="31"/>
  <c r="AF91" i="31" s="1"/>
  <c r="AF92" i="31"/>
  <c r="BO24" i="31"/>
  <c r="BO25" i="31" s="1"/>
  <c r="BP23" i="31"/>
  <c r="BO22" i="31"/>
  <c r="AB46" i="31" l="1"/>
  <c r="AB47" i="31"/>
  <c r="AA45" i="31"/>
  <c r="AE87" i="31"/>
  <c r="AF88" i="31" s="1"/>
  <c r="AF89" i="31"/>
  <c r="AG89" i="31" s="1"/>
  <c r="AG86" i="31"/>
  <c r="AF84" i="31"/>
  <c r="AG85" i="31" s="1"/>
  <c r="AG92" i="31"/>
  <c r="AF90" i="31"/>
  <c r="AG91" i="31" s="1"/>
  <c r="BP24" i="31"/>
  <c r="BP25" i="31" s="1"/>
  <c r="BQ23" i="31"/>
  <c r="BP22" i="31"/>
  <c r="AH86" i="31" l="1"/>
  <c r="AI86" i="31" s="1"/>
  <c r="AJ86" i="31" s="1"/>
  <c r="AG84" i="31"/>
  <c r="AH92" i="31"/>
  <c r="AI92" i="31" s="1"/>
  <c r="AG90" i="31"/>
  <c r="AH89" i="31"/>
  <c r="AI89" i="31" s="1"/>
  <c r="AJ89" i="31" s="1"/>
  <c r="AG87" i="31"/>
  <c r="AH85" i="31"/>
  <c r="AH84" i="31" s="1"/>
  <c r="AI85" i="31" s="1"/>
  <c r="AI84" i="31" s="1"/>
  <c r="AJ85" i="31" s="1"/>
  <c r="AH91" i="31"/>
  <c r="AB45" i="31"/>
  <c r="AC46" i="31" s="1"/>
  <c r="AC47" i="31"/>
  <c r="AF87" i="31"/>
  <c r="AG88" i="31" s="1"/>
  <c r="AH88" i="31" s="1"/>
  <c r="AH87" i="31"/>
  <c r="AH90" i="31"/>
  <c r="BP41" i="31"/>
  <c r="BP40" i="31"/>
  <c r="BP39" i="31"/>
  <c r="BP38" i="31"/>
  <c r="BP36" i="31"/>
  <c r="BP34" i="31"/>
  <c r="BP33" i="31"/>
  <c r="BP29" i="31"/>
  <c r="BP37" i="31"/>
  <c r="BP35" i="31"/>
  <c r="BP32" i="31"/>
  <c r="BP31" i="31"/>
  <c r="BP30" i="31"/>
  <c r="BQ24" i="31"/>
  <c r="BQ25" i="31" s="1"/>
  <c r="BR23" i="31"/>
  <c r="BQ22" i="31"/>
  <c r="AJ92" i="31" l="1"/>
  <c r="AK92" i="31" s="1"/>
  <c r="AI91" i="31"/>
  <c r="AI90" i="31" s="1"/>
  <c r="AJ91" i="31" s="1"/>
  <c r="AJ90" i="31" s="1"/>
  <c r="AK91" i="31" s="1"/>
  <c r="AC45" i="31"/>
  <c r="AD46" i="31" s="1"/>
  <c r="AD47" i="31"/>
  <c r="AI88" i="31"/>
  <c r="AJ84" i="31"/>
  <c r="AK85" i="31" s="1"/>
  <c r="AK86" i="31"/>
  <c r="AK89" i="31"/>
  <c r="BR24" i="31"/>
  <c r="BR25" i="31" s="1"/>
  <c r="BS23" i="31"/>
  <c r="BR22" i="31"/>
  <c r="AE47" i="31" l="1"/>
  <c r="AD45" i="31"/>
  <c r="AE46" i="31" s="1"/>
  <c r="AI87" i="31"/>
  <c r="AJ88" i="31" s="1"/>
  <c r="AJ87" i="31" s="1"/>
  <c r="AL89" i="31"/>
  <c r="AK90" i="31"/>
  <c r="AL91" i="31" s="1"/>
  <c r="AL92" i="31"/>
  <c r="AK84" i="31"/>
  <c r="AL85" i="31" s="1"/>
  <c r="AL86" i="31"/>
  <c r="BS24" i="31"/>
  <c r="BS25" i="31" s="1"/>
  <c r="BT23" i="31"/>
  <c r="BS22" i="31"/>
  <c r="AE45" i="31" l="1"/>
  <c r="AF46" i="31" s="1"/>
  <c r="AF47" i="31"/>
  <c r="AK88" i="31"/>
  <c r="AK87" i="31" s="1"/>
  <c r="AL88" i="31" s="1"/>
  <c r="AL87" i="31" s="1"/>
  <c r="AM88" i="31" s="1"/>
  <c r="AL84" i="31"/>
  <c r="AM85" i="31" s="1"/>
  <c r="AM86" i="31"/>
  <c r="AL90" i="31"/>
  <c r="AM91" i="31" s="1"/>
  <c r="AM92" i="31"/>
  <c r="AM89" i="31"/>
  <c r="BT24" i="31"/>
  <c r="BT25" i="31" s="1"/>
  <c r="BU23" i="31"/>
  <c r="BT22" i="31"/>
  <c r="AF45" i="31" l="1"/>
  <c r="AG46" i="31" s="1"/>
  <c r="AG47" i="31"/>
  <c r="AN89" i="31"/>
  <c r="AM87" i="31"/>
  <c r="AN88" i="31" s="1"/>
  <c r="AN92" i="31"/>
  <c r="AM90" i="31"/>
  <c r="AN91" i="31" s="1"/>
  <c r="AN86" i="31"/>
  <c r="AM84" i="31"/>
  <c r="AN85" i="31" s="1"/>
  <c r="BU24" i="31"/>
  <c r="BU25" i="31" s="1"/>
  <c r="BV23" i="31"/>
  <c r="BU22" i="31"/>
  <c r="AO91" i="31" l="1"/>
  <c r="AO90" i="31" s="1"/>
  <c r="AP91" i="31" s="1"/>
  <c r="AP90" i="31" s="1"/>
  <c r="AQ91" i="31" s="1"/>
  <c r="AO92" i="31"/>
  <c r="AP92" i="31" s="1"/>
  <c r="AQ92" i="31" s="1"/>
  <c r="AN90" i="31"/>
  <c r="AO88" i="31"/>
  <c r="AO89" i="31"/>
  <c r="AO87" i="31" s="1"/>
  <c r="AN87" i="31"/>
  <c r="AO86" i="31"/>
  <c r="AP86" i="31" s="1"/>
  <c r="AQ86" i="31" s="1"/>
  <c r="AN84" i="31"/>
  <c r="AO85" i="31" s="1"/>
  <c r="AH47" i="31"/>
  <c r="AG45" i="31"/>
  <c r="AH46" i="31"/>
  <c r="AP88" i="31"/>
  <c r="BV24" i="31"/>
  <c r="BV25" i="31" s="1"/>
  <c r="BW23" i="31"/>
  <c r="BV22" i="31"/>
  <c r="AO84" i="31" l="1"/>
  <c r="AP85" i="31"/>
  <c r="AP84" i="31" s="1"/>
  <c r="AQ85" i="31" s="1"/>
  <c r="AQ84" i="31" s="1"/>
  <c r="AI47" i="31"/>
  <c r="AH45" i="31"/>
  <c r="AI46" i="31"/>
  <c r="AP89" i="31"/>
  <c r="AP87" i="31" s="1"/>
  <c r="AQ88" i="31" s="1"/>
  <c r="AQ90" i="31"/>
  <c r="AR91" i="31" s="1"/>
  <c r="AR92" i="31"/>
  <c r="AR86" i="31"/>
  <c r="BW24" i="31"/>
  <c r="BW25" i="31" s="1"/>
  <c r="BX23" i="31"/>
  <c r="BW22" i="31"/>
  <c r="AR85" i="31" l="1"/>
  <c r="AQ89" i="31"/>
  <c r="AQ87" i="31" s="1"/>
  <c r="AR88" i="31" s="1"/>
  <c r="AJ47" i="31"/>
  <c r="AI45" i="31"/>
  <c r="AJ46" i="31" s="1"/>
  <c r="AR84" i="31"/>
  <c r="AS85" i="31" s="1"/>
  <c r="AS86" i="31"/>
  <c r="AR90" i="31"/>
  <c r="AS91" i="31" s="1"/>
  <c r="AS92" i="31"/>
  <c r="BW41" i="31"/>
  <c r="BW40" i="31"/>
  <c r="BW39" i="31"/>
  <c r="BW38" i="31"/>
  <c r="BW37" i="31"/>
  <c r="BW36" i="31"/>
  <c r="BW35" i="31"/>
  <c r="BW34" i="31"/>
  <c r="BW33" i="31"/>
  <c r="BW29" i="31"/>
  <c r="BW32" i="31"/>
  <c r="BW31" i="31"/>
  <c r="BW30" i="31"/>
  <c r="BW43" i="31"/>
  <c r="BW42" i="31"/>
  <c r="BW44" i="31"/>
  <c r="BX24" i="31"/>
  <c r="BX25" i="31" s="1"/>
  <c r="BY23" i="31"/>
  <c r="BX22" i="31"/>
  <c r="AR89" i="31" l="1"/>
  <c r="AS89" i="31" s="1"/>
  <c r="AT89" i="31" s="1"/>
  <c r="AK47" i="31"/>
  <c r="AJ45" i="31"/>
  <c r="AK46" i="31" s="1"/>
  <c r="AS90" i="31"/>
  <c r="AT91" i="31" s="1"/>
  <c r="AT92" i="31"/>
  <c r="AS84" i="31"/>
  <c r="AT85" i="31" s="1"/>
  <c r="AT86" i="31"/>
  <c r="BY24" i="31"/>
  <c r="BY25" i="31" s="1"/>
  <c r="BZ23" i="31"/>
  <c r="BY22" i="31"/>
  <c r="AR87" i="31" l="1"/>
  <c r="AS88" i="31" s="1"/>
  <c r="AS87" i="31" s="1"/>
  <c r="AU92" i="31"/>
  <c r="AT90" i="31"/>
  <c r="AU91" i="31" s="1"/>
  <c r="AU86" i="31"/>
  <c r="AT84" i="31"/>
  <c r="AU85" i="31" s="1"/>
  <c r="AU89" i="31"/>
  <c r="BZ24" i="31"/>
  <c r="BZ25" i="31" s="1"/>
  <c r="CA23" i="31"/>
  <c r="BZ22" i="31"/>
  <c r="AV89" i="31" l="1"/>
  <c r="AW89" i="31" s="1"/>
  <c r="AX89" i="31" s="1"/>
  <c r="AU87" i="31"/>
  <c r="AV85" i="31"/>
  <c r="AV86" i="31"/>
  <c r="AW86" i="31" s="1"/>
  <c r="AX86" i="31" s="1"/>
  <c r="AU84" i="31"/>
  <c r="AV91" i="31"/>
  <c r="AV90" i="31" s="1"/>
  <c r="AW91" i="31" s="1"/>
  <c r="AW90" i="31" s="1"/>
  <c r="AX91" i="31" s="1"/>
  <c r="AV92" i="31"/>
  <c r="AW92" i="31" s="1"/>
  <c r="AX92" i="31" s="1"/>
  <c r="AU90" i="31"/>
  <c r="AT88" i="31"/>
  <c r="AT87" i="31" s="1"/>
  <c r="AU88" i="31" s="1"/>
  <c r="AV88" i="31" s="1"/>
  <c r="AV87" i="31"/>
  <c r="CA24" i="31"/>
  <c r="CA25" i="31" s="1"/>
  <c r="CB23" i="31"/>
  <c r="CA22" i="31"/>
  <c r="AW88" i="31" l="1"/>
  <c r="AW87" i="31" s="1"/>
  <c r="AX88" i="31" s="1"/>
  <c r="AX87" i="31" s="1"/>
  <c r="AY88" i="31" s="1"/>
  <c r="AV84" i="31"/>
  <c r="AW85" i="31" s="1"/>
  <c r="AW84" i="31" s="1"/>
  <c r="AX85" i="31" s="1"/>
  <c r="AX84" i="31" s="1"/>
  <c r="AY86" i="31"/>
  <c r="AX90" i="31"/>
  <c r="AY91" i="31" s="1"/>
  <c r="AY92" i="31"/>
  <c r="AY89" i="31"/>
  <c r="CB24" i="31"/>
  <c r="CB25" i="31" s="1"/>
  <c r="CC23" i="31"/>
  <c r="CB22" i="31"/>
  <c r="AY85" i="31" l="1"/>
  <c r="AY87" i="31"/>
  <c r="AZ88" i="31" s="1"/>
  <c r="AZ89" i="31"/>
  <c r="AY90" i="31"/>
  <c r="AZ91" i="31" s="1"/>
  <c r="AZ92" i="31"/>
  <c r="AY84" i="31"/>
  <c r="AZ85" i="31" s="1"/>
  <c r="AZ86" i="31"/>
  <c r="CC24" i="31"/>
  <c r="CC25" i="31" s="1"/>
  <c r="CD23" i="31"/>
  <c r="CC22" i="31"/>
  <c r="AZ90" i="31" l="1"/>
  <c r="BA91" i="31" s="1"/>
  <c r="BA92" i="31"/>
  <c r="AZ84" i="31"/>
  <c r="BA85" i="31" s="1"/>
  <c r="BA86" i="31"/>
  <c r="AZ87" i="31"/>
  <c r="BA88" i="31" s="1"/>
  <c r="BA89" i="31"/>
  <c r="CD24" i="31"/>
  <c r="CD25" i="31" s="1"/>
  <c r="CE23" i="31"/>
  <c r="CD22" i="31"/>
  <c r="BB86" i="31" l="1"/>
  <c r="BA84" i="31"/>
  <c r="BB85" i="31" s="1"/>
  <c r="BB92" i="31"/>
  <c r="BA90" i="31"/>
  <c r="BB91" i="31" s="1"/>
  <c r="BB89" i="31"/>
  <c r="BA87" i="31"/>
  <c r="BB88" i="31" s="1"/>
  <c r="CD41" i="31"/>
  <c r="CD40" i="31"/>
  <c r="CD39" i="31"/>
  <c r="CD37" i="31"/>
  <c r="CD35" i="31"/>
  <c r="CD33" i="31"/>
  <c r="CD29" i="31"/>
  <c r="CD38" i="31"/>
  <c r="CD36" i="31"/>
  <c r="CD34" i="31"/>
  <c r="CD32" i="31"/>
  <c r="CD31" i="31"/>
  <c r="CD30" i="31"/>
  <c r="CE24" i="31"/>
  <c r="CE25" i="31" s="1"/>
  <c r="CF23" i="31"/>
  <c r="CE22" i="31"/>
  <c r="BC89" i="31" l="1"/>
  <c r="BD89" i="31" s="1"/>
  <c r="BE89" i="31" s="1"/>
  <c r="BB87" i="31"/>
  <c r="BB43" i="31" s="1"/>
  <c r="BC88" i="31"/>
  <c r="BC87" i="31" s="1"/>
  <c r="BD88" i="31" s="1"/>
  <c r="BD87" i="31" s="1"/>
  <c r="BE88" i="31" s="1"/>
  <c r="BC92" i="31"/>
  <c r="BD92" i="31" s="1"/>
  <c r="BE92" i="31" s="1"/>
  <c r="BB90" i="31"/>
  <c r="BB44" i="31" s="1"/>
  <c r="BC85" i="31"/>
  <c r="BC86" i="31"/>
  <c r="BD86" i="31" s="1"/>
  <c r="BE86" i="31" s="1"/>
  <c r="BB84" i="31"/>
  <c r="BB42" i="31" s="1"/>
  <c r="CF24" i="31"/>
  <c r="CF25" i="31" s="1"/>
  <c r="CG23" i="31"/>
  <c r="CF22" i="31"/>
  <c r="BC91" i="31" l="1"/>
  <c r="BC84" i="31"/>
  <c r="BD85" i="31" s="1"/>
  <c r="BD84" i="31" s="1"/>
  <c r="BE85" i="31" s="1"/>
  <c r="BE84" i="31" s="1"/>
  <c r="BE87" i="31"/>
  <c r="BF88" i="31" s="1"/>
  <c r="BF89" i="31"/>
  <c r="BE90" i="31"/>
  <c r="BF92" i="31"/>
  <c r="BF86" i="31"/>
  <c r="CG24" i="31"/>
  <c r="CG25" i="31" s="1"/>
  <c r="CH23" i="31"/>
  <c r="CG22" i="31"/>
  <c r="BC90" i="31" l="1"/>
  <c r="BD91" i="31"/>
  <c r="BD90" i="31" s="1"/>
  <c r="BE91" i="31" s="1"/>
  <c r="BF91" i="31" s="1"/>
  <c r="BF85" i="31"/>
  <c r="BF84" i="31"/>
  <c r="BG85" i="31" s="1"/>
  <c r="BG86" i="31"/>
  <c r="BF90" i="31"/>
  <c r="BG92" i="31"/>
  <c r="BF87" i="31"/>
  <c r="BG88" i="31" s="1"/>
  <c r="BG89" i="31"/>
  <c r="CH24" i="31"/>
  <c r="CH25" i="31" s="1"/>
  <c r="CI23" i="31"/>
  <c r="CH22" i="31"/>
  <c r="BG91" i="31" l="1"/>
  <c r="BG90" i="31"/>
  <c r="BH91" i="31" s="1"/>
  <c r="BH92" i="31"/>
  <c r="BG84" i="31"/>
  <c r="BH85" i="31" s="1"/>
  <c r="BH86" i="31"/>
  <c r="BG87" i="31"/>
  <c r="BH88" i="31" s="1"/>
  <c r="BH89" i="31"/>
  <c r="CI24" i="31"/>
  <c r="CI25" i="31" s="1"/>
  <c r="CJ23" i="31"/>
  <c r="CI22" i="31"/>
  <c r="BI89" i="31" l="1"/>
  <c r="BH87" i="31"/>
  <c r="BI88" i="31" s="1"/>
  <c r="BI86" i="31"/>
  <c r="BH84" i="31"/>
  <c r="BI85" i="31" s="1"/>
  <c r="BI92" i="31"/>
  <c r="BH90" i="31"/>
  <c r="BI91" i="31" s="1"/>
  <c r="CJ24" i="31"/>
  <c r="CJ25" i="31" s="1"/>
  <c r="CK23" i="31"/>
  <c r="CJ22" i="31"/>
  <c r="BJ91" i="31" l="1"/>
  <c r="BJ90" i="31" s="1"/>
  <c r="BJ92" i="31"/>
  <c r="BK92" i="31" s="1"/>
  <c r="BI90" i="31"/>
  <c r="BJ86" i="31"/>
  <c r="BK86" i="31" s="1"/>
  <c r="BL86" i="31" s="1"/>
  <c r="BI84" i="31"/>
  <c r="BJ85" i="31" s="1"/>
  <c r="BJ88" i="31"/>
  <c r="BJ87" i="31" s="1"/>
  <c r="BK88" i="31" s="1"/>
  <c r="BK87" i="31" s="1"/>
  <c r="BL88" i="31" s="1"/>
  <c r="BJ89" i="31"/>
  <c r="BK89" i="31" s="1"/>
  <c r="BL89" i="31" s="1"/>
  <c r="BI87" i="31"/>
  <c r="BK91" i="31"/>
  <c r="BK90" i="31" s="1"/>
  <c r="BL91" i="31" s="1"/>
  <c r="BL92" i="31"/>
  <c r="CK24" i="31"/>
  <c r="CK25" i="31" s="1"/>
  <c r="CL23" i="31"/>
  <c r="CK22" i="31"/>
  <c r="BJ84" i="31" l="1"/>
  <c r="BK85" i="31"/>
  <c r="BK84" i="31" s="1"/>
  <c r="BL85" i="31" s="1"/>
  <c r="BL84" i="31" s="1"/>
  <c r="BM85" i="31" s="1"/>
  <c r="BL87" i="31"/>
  <c r="BM88" i="31" s="1"/>
  <c r="BM89" i="31"/>
  <c r="BM86" i="31"/>
  <c r="BL90" i="31"/>
  <c r="BM91" i="31" s="1"/>
  <c r="BM92" i="31"/>
  <c r="CK41" i="31"/>
  <c r="CK40" i="31"/>
  <c r="CK39" i="31"/>
  <c r="CK38" i="31"/>
  <c r="CK37" i="31"/>
  <c r="CK36" i="31"/>
  <c r="CK35" i="31"/>
  <c r="CK34" i="31"/>
  <c r="CK33" i="31"/>
  <c r="CK29" i="31"/>
  <c r="CK32" i="31"/>
  <c r="CK31" i="31"/>
  <c r="CK30" i="31"/>
  <c r="CK42" i="31"/>
  <c r="CL24" i="31"/>
  <c r="CL25" i="31" s="1"/>
  <c r="CM23" i="31"/>
  <c r="CL22" i="31"/>
  <c r="BM90" i="31" l="1"/>
  <c r="BN91" i="31" s="1"/>
  <c r="BN92" i="31"/>
  <c r="BM84" i="31"/>
  <c r="BN85" i="31" s="1"/>
  <c r="BN86" i="31"/>
  <c r="BM87" i="31"/>
  <c r="BN88" i="31" s="1"/>
  <c r="BN89" i="31"/>
  <c r="CM24" i="31"/>
  <c r="CM25" i="31" s="1"/>
  <c r="CN23" i="31"/>
  <c r="CM22" i="31"/>
  <c r="BN87" i="31" l="1"/>
  <c r="BO88" i="31" s="1"/>
  <c r="BO89" i="31"/>
  <c r="BN84" i="31"/>
  <c r="BO85" i="31" s="1"/>
  <c r="BO86" i="31"/>
  <c r="BN90" i="31"/>
  <c r="BO91" i="31" s="1"/>
  <c r="BO92" i="31"/>
  <c r="CN24" i="31"/>
  <c r="CN25" i="31" s="1"/>
  <c r="CO23" i="31"/>
  <c r="CN22" i="31"/>
  <c r="BP92" i="31" l="1"/>
  <c r="BO90" i="31"/>
  <c r="BP91" i="31" s="1"/>
  <c r="BP86" i="31"/>
  <c r="BO84" i="31"/>
  <c r="BP85" i="31" s="1"/>
  <c r="BP89" i="31"/>
  <c r="BO87" i="31"/>
  <c r="BP88" i="31" s="1"/>
  <c r="CO24" i="31"/>
  <c r="CO25" i="31" s="1"/>
  <c r="CP23" i="31"/>
  <c r="CO22" i="31"/>
  <c r="BQ88" i="31" l="1"/>
  <c r="BQ89" i="31"/>
  <c r="BR89" i="31" s="1"/>
  <c r="BS89" i="31" s="1"/>
  <c r="BP87" i="31"/>
  <c r="BP43" i="31" s="1"/>
  <c r="BQ86" i="31"/>
  <c r="BR86" i="31" s="1"/>
  <c r="BP84" i="31"/>
  <c r="BP42" i="31" s="1"/>
  <c r="BQ92" i="31"/>
  <c r="BR92" i="31" s="1"/>
  <c r="BS92" i="31" s="1"/>
  <c r="BP90" i="31"/>
  <c r="BP44" i="31" s="1"/>
  <c r="CP24" i="31"/>
  <c r="CP25" i="31" s="1"/>
  <c r="CQ23" i="31"/>
  <c r="CP22" i="31"/>
  <c r="BQ85" i="31" l="1"/>
  <c r="BQ87" i="31"/>
  <c r="BR88" i="31" s="1"/>
  <c r="BR87" i="31" s="1"/>
  <c r="BS88" i="31" s="1"/>
  <c r="BQ91" i="31"/>
  <c r="BQ84" i="31"/>
  <c r="BR85" i="31" s="1"/>
  <c r="BS86" i="31"/>
  <c r="BT92" i="31"/>
  <c r="BS87" i="31"/>
  <c r="BT89" i="31"/>
  <c r="CQ24" i="31"/>
  <c r="CQ25" i="31" s="1"/>
  <c r="CR23" i="31"/>
  <c r="CQ22" i="31"/>
  <c r="BT88" i="31" l="1"/>
  <c r="BR84" i="31"/>
  <c r="BS85" i="31" s="1"/>
  <c r="BS84" i="31" s="1"/>
  <c r="BT85" i="31" s="1"/>
  <c r="BT86" i="31"/>
  <c r="BU86" i="31" s="1"/>
  <c r="BQ90" i="31"/>
  <c r="BR91" i="31"/>
  <c r="BR90" i="31" s="1"/>
  <c r="BS91" i="31" s="1"/>
  <c r="BT87" i="31"/>
  <c r="BU88" i="31" s="1"/>
  <c r="BU89" i="31"/>
  <c r="BU92" i="31"/>
  <c r="CR24" i="31"/>
  <c r="CR25" i="31" s="1"/>
  <c r="CS23" i="31"/>
  <c r="CR22" i="31"/>
  <c r="BS90" i="31" l="1"/>
  <c r="BT91" i="31" s="1"/>
  <c r="BT84" i="31"/>
  <c r="BU85" i="31" s="1"/>
  <c r="BU84" i="31" s="1"/>
  <c r="BV85" i="31" s="1"/>
  <c r="BV86" i="31"/>
  <c r="BV92" i="31"/>
  <c r="BU87" i="31"/>
  <c r="BV88" i="31" s="1"/>
  <c r="BV89" i="31"/>
  <c r="CR41" i="31"/>
  <c r="CR40" i="31"/>
  <c r="CR39" i="31"/>
  <c r="CR38" i="31"/>
  <c r="CR36" i="31"/>
  <c r="CR34" i="31"/>
  <c r="CR33" i="31"/>
  <c r="CR29" i="31"/>
  <c r="CR37" i="31"/>
  <c r="CR35" i="31"/>
  <c r="CR32" i="31"/>
  <c r="CR31" i="31"/>
  <c r="CR30" i="31"/>
  <c r="CR42" i="31"/>
  <c r="CR44" i="31"/>
  <c r="CR43" i="31"/>
  <c r="CS24" i="31"/>
  <c r="CS25" i="31" s="1"/>
  <c r="CT23" i="31"/>
  <c r="CS22" i="31"/>
  <c r="BT90" i="31" l="1"/>
  <c r="BU91" i="31"/>
  <c r="BU90" i="31" s="1"/>
  <c r="BV91" i="31" s="1"/>
  <c r="BV90" i="31" s="1"/>
  <c r="BW91" i="31" s="1"/>
  <c r="BW92" i="31"/>
  <c r="BW89" i="31"/>
  <c r="BV87" i="31"/>
  <c r="BW88" i="31" s="1"/>
  <c r="BW86" i="31"/>
  <c r="BV84" i="31"/>
  <c r="BW85" i="31" s="1"/>
  <c r="CT24" i="31"/>
  <c r="CT25" i="31" s="1"/>
  <c r="CU23" i="31"/>
  <c r="CT22" i="31"/>
  <c r="BX85" i="31" l="1"/>
  <c r="BX86" i="31"/>
  <c r="BY86" i="31" s="1"/>
  <c r="BZ86" i="31" s="1"/>
  <c r="BW84" i="31"/>
  <c r="BX88" i="31"/>
  <c r="BX89" i="31"/>
  <c r="BY89" i="31" s="1"/>
  <c r="BZ89" i="31" s="1"/>
  <c r="BW87" i="31"/>
  <c r="BX92" i="31"/>
  <c r="BY92" i="31" s="1"/>
  <c r="BZ92" i="31" s="1"/>
  <c r="BW90" i="31"/>
  <c r="BX91" i="31" s="1"/>
  <c r="CU24" i="31"/>
  <c r="CU25" i="31" s="1"/>
  <c r="CV23" i="31"/>
  <c r="CU22" i="31"/>
  <c r="BX90" i="31" l="1"/>
  <c r="BY91" i="31"/>
  <c r="BY90" i="31" s="1"/>
  <c r="BZ91" i="31" s="1"/>
  <c r="BZ90" i="31" s="1"/>
  <c r="BX87" i="31"/>
  <c r="BY88" i="31" s="1"/>
  <c r="BY87" i="31" s="1"/>
  <c r="BZ88" i="31" s="1"/>
  <c r="BZ87" i="31" s="1"/>
  <c r="BX84" i="31"/>
  <c r="BY85" i="31" s="1"/>
  <c r="BY84" i="31" s="1"/>
  <c r="BZ85" i="31" s="1"/>
  <c r="BZ84" i="31" s="1"/>
  <c r="CA92" i="31"/>
  <c r="CA89" i="31"/>
  <c r="CA86" i="31"/>
  <c r="CV24" i="31"/>
  <c r="CV25" i="31" s="1"/>
  <c r="CW23" i="31"/>
  <c r="CV22" i="31"/>
  <c r="CA85" i="31" l="1"/>
  <c r="CA84" i="31" s="1"/>
  <c r="CB85" i="31" s="1"/>
  <c r="CA91" i="31"/>
  <c r="CA88" i="31"/>
  <c r="CB86" i="31"/>
  <c r="CA87" i="31"/>
  <c r="CB88" i="31" s="1"/>
  <c r="CB89" i="31"/>
  <c r="CA90" i="31"/>
  <c r="CB91" i="31" s="1"/>
  <c r="CB92" i="31"/>
  <c r="CW24" i="31"/>
  <c r="CW25" i="31" s="1"/>
  <c r="CX23" i="31"/>
  <c r="CW22" i="31"/>
  <c r="CB90" i="31" l="1"/>
  <c r="CC91" i="31" s="1"/>
  <c r="CC92" i="31"/>
  <c r="CB87" i="31"/>
  <c r="CC88" i="31" s="1"/>
  <c r="CC89" i="31"/>
  <c r="CB84" i="31"/>
  <c r="CC85" i="31" s="1"/>
  <c r="CC86" i="31"/>
  <c r="CX24" i="31"/>
  <c r="CX25" i="31" s="1"/>
  <c r="CY23" i="31"/>
  <c r="CX22" i="31"/>
  <c r="CD86" i="31" l="1"/>
  <c r="CC84" i="31"/>
  <c r="CD85" i="31" s="1"/>
  <c r="CD89" i="31"/>
  <c r="CC87" i="31"/>
  <c r="CD88" i="31" s="1"/>
  <c r="CD92" i="31"/>
  <c r="CC90" i="31"/>
  <c r="CD91" i="31" s="1"/>
  <c r="CY24" i="31"/>
  <c r="CY25" i="31" s="1"/>
  <c r="CZ23" i="31"/>
  <c r="CY22" i="31"/>
  <c r="CE91" i="31" l="1"/>
  <c r="CE90" i="31" s="1"/>
  <c r="CE92" i="31"/>
  <c r="CF92" i="31" s="1"/>
  <c r="CD90" i="31"/>
  <c r="CD44" i="31" s="1"/>
  <c r="CE88" i="31"/>
  <c r="CE89" i="31"/>
  <c r="CF89" i="31" s="1"/>
  <c r="CG89" i="31" s="1"/>
  <c r="CD87" i="31"/>
  <c r="CD43" i="31" s="1"/>
  <c r="CE86" i="31"/>
  <c r="CF86" i="31" s="1"/>
  <c r="CD84" i="31"/>
  <c r="CD42" i="31" s="1"/>
  <c r="CF91" i="31"/>
  <c r="CF90" i="31" s="1"/>
  <c r="CG91" i="31" s="1"/>
  <c r="CG92" i="31"/>
  <c r="CY41" i="31"/>
  <c r="CY40" i="31"/>
  <c r="CY39" i="31"/>
  <c r="CY38" i="31"/>
  <c r="CY37" i="31"/>
  <c r="CY36" i="31"/>
  <c r="CY35" i="31"/>
  <c r="CY34" i="31"/>
  <c r="CY33" i="31"/>
  <c r="CY29" i="31"/>
  <c r="CY32" i="31"/>
  <c r="CY31" i="31"/>
  <c r="CY30" i="31"/>
  <c r="CY43" i="31"/>
  <c r="CY44" i="31"/>
  <c r="CY42" i="31"/>
  <c r="CZ24" i="31"/>
  <c r="CZ25" i="31" s="1"/>
  <c r="DA23" i="31"/>
  <c r="CZ22" i="31"/>
  <c r="CE87" i="31" l="1"/>
  <c r="CF88" i="31" s="1"/>
  <c r="CF87" i="31" s="1"/>
  <c r="CG88" i="31" s="1"/>
  <c r="CG86" i="31"/>
  <c r="CH86" i="31" s="1"/>
  <c r="CE85" i="31"/>
  <c r="CG87" i="31"/>
  <c r="CH89" i="31"/>
  <c r="CG90" i="31"/>
  <c r="CH91" i="31" s="1"/>
  <c r="CH92" i="31"/>
  <c r="DA24" i="31"/>
  <c r="DA25" i="31" s="1"/>
  <c r="DB23" i="31"/>
  <c r="DA22" i="31"/>
  <c r="CH88" i="31" l="1"/>
  <c r="CE84" i="31"/>
  <c r="CF85" i="31"/>
  <c r="CH90" i="31"/>
  <c r="CI91" i="31" s="1"/>
  <c r="CI92" i="31"/>
  <c r="CI86" i="31"/>
  <c r="CH87" i="31"/>
  <c r="CI88" i="31" s="1"/>
  <c r="CI89" i="31"/>
  <c r="DB24" i="31"/>
  <c r="DB25" i="31" s="1"/>
  <c r="DC23" i="31"/>
  <c r="DB22" i="31"/>
  <c r="CG85" i="31" l="1"/>
  <c r="CF84" i="31"/>
  <c r="CI87" i="31"/>
  <c r="CJ88" i="31" s="1"/>
  <c r="CJ89" i="31"/>
  <c r="CJ86" i="31"/>
  <c r="CI90" i="31"/>
  <c r="CJ91" i="31" s="1"/>
  <c r="CJ92" i="31"/>
  <c r="DC24" i="31"/>
  <c r="DC25" i="31" s="1"/>
  <c r="DD23" i="31"/>
  <c r="DC22" i="31"/>
  <c r="CG84" i="31" l="1"/>
  <c r="CH85" i="31" s="1"/>
  <c r="CK86" i="31"/>
  <c r="CK92" i="31"/>
  <c r="CJ90" i="31"/>
  <c r="CK91" i="31" s="1"/>
  <c r="CK89" i="31"/>
  <c r="CJ87" i="31"/>
  <c r="CK88" i="31" s="1"/>
  <c r="DD24" i="31"/>
  <c r="DD25" i="31" s="1"/>
  <c r="DE23" i="31"/>
  <c r="DD22" i="31"/>
  <c r="CH84" i="31" l="1"/>
  <c r="CI85" i="31" s="1"/>
  <c r="CI84" i="31" s="1"/>
  <c r="CJ85" i="31" s="1"/>
  <c r="CJ84" i="31" s="1"/>
  <c r="CK85" i="31" s="1"/>
  <c r="CL85" i="31" s="1"/>
  <c r="CL88" i="31"/>
  <c r="CL87" i="31" s="1"/>
  <c r="CL89" i="31"/>
  <c r="CM89" i="31" s="1"/>
  <c r="CK87" i="31"/>
  <c r="CK43" i="31" s="1"/>
  <c r="CL92" i="31"/>
  <c r="CM92" i="31" s="1"/>
  <c r="CN92" i="31" s="1"/>
  <c r="CK90" i="31"/>
  <c r="CK44" i="31" s="1"/>
  <c r="CL86" i="31"/>
  <c r="CM86" i="31" s="1"/>
  <c r="CN86" i="31" s="1"/>
  <c r="CK84" i="31"/>
  <c r="CM88" i="31"/>
  <c r="CM87" i="31" s="1"/>
  <c r="CN88" i="31" s="1"/>
  <c r="CN89" i="31"/>
  <c r="DE24" i="31"/>
  <c r="DE25" i="31" s="1"/>
  <c r="DF23" i="31"/>
  <c r="DE22" i="31"/>
  <c r="CL84" i="31" l="1"/>
  <c r="CM85" i="31" s="1"/>
  <c r="CM84" i="31" s="1"/>
  <c r="CN85" i="31" s="1"/>
  <c r="CN84" i="31" s="1"/>
  <c r="CL91" i="31"/>
  <c r="CO92" i="31"/>
  <c r="CN87" i="31"/>
  <c r="CO88" i="31" s="1"/>
  <c r="CO89" i="31"/>
  <c r="CO86" i="31"/>
  <c r="DF24" i="31"/>
  <c r="DF25" i="31" s="1"/>
  <c r="DG23" i="31"/>
  <c r="DF22" i="31"/>
  <c r="CO85" i="31" l="1"/>
  <c r="CL90" i="31"/>
  <c r="CM91" i="31"/>
  <c r="CM90" i="31" s="1"/>
  <c r="CN91" i="31" s="1"/>
  <c r="CO84" i="31"/>
  <c r="CP85" i="31" s="1"/>
  <c r="CP86" i="31"/>
  <c r="CO87" i="31"/>
  <c r="CP88" i="31" s="1"/>
  <c r="CP89" i="31"/>
  <c r="CP92" i="31"/>
  <c r="DF41" i="31"/>
  <c r="DF40" i="31"/>
  <c r="DF39" i="31"/>
  <c r="DF37" i="31"/>
  <c r="DF35" i="31"/>
  <c r="DF33" i="31"/>
  <c r="DF29" i="31"/>
  <c r="DF38" i="31"/>
  <c r="DF36" i="31"/>
  <c r="DF34" i="31"/>
  <c r="DF32" i="31"/>
  <c r="DF31" i="31"/>
  <c r="DF30" i="31"/>
  <c r="DF42" i="31"/>
  <c r="DF43" i="31"/>
  <c r="DF44" i="31"/>
  <c r="DG24" i="31"/>
  <c r="DG25" i="31" s="1"/>
  <c r="DH23" i="31"/>
  <c r="DG22" i="31"/>
  <c r="CN90" i="31" l="1"/>
  <c r="CO91" i="31" s="1"/>
  <c r="CQ92" i="31"/>
  <c r="CP87" i="31"/>
  <c r="CQ88" i="31" s="1"/>
  <c r="CQ89" i="31"/>
  <c r="CP84" i="31"/>
  <c r="CQ85" i="31" s="1"/>
  <c r="CQ86" i="31"/>
  <c r="DH24" i="31"/>
  <c r="DH25" i="31" s="1"/>
  <c r="DI23" i="31"/>
  <c r="DH22" i="31"/>
  <c r="CO90" i="31" l="1"/>
  <c r="CP91" i="31"/>
  <c r="CP90" i="31" s="1"/>
  <c r="CQ91" i="31" s="1"/>
  <c r="CQ90" i="31" s="1"/>
  <c r="CR91" i="31" s="1"/>
  <c r="CR86" i="31"/>
  <c r="CQ84" i="31"/>
  <c r="CR85" i="31" s="1"/>
  <c r="CR89" i="31"/>
  <c r="CQ87" i="31"/>
  <c r="CR88" i="31" s="1"/>
  <c r="CR92" i="31"/>
  <c r="DI24" i="31"/>
  <c r="DI25" i="31" s="1"/>
  <c r="DJ23" i="31"/>
  <c r="DI22" i="31"/>
  <c r="CS91" i="31" l="1"/>
  <c r="CS90" i="31" s="1"/>
  <c r="CS92" i="31"/>
  <c r="CT92" i="31" s="1"/>
  <c r="CR90" i="31"/>
  <c r="CS88" i="31"/>
  <c r="CS87" i="31" s="1"/>
  <c r="CS89" i="31"/>
  <c r="CT89" i="31" s="1"/>
  <c r="CU89" i="31" s="1"/>
  <c r="CR87" i="31"/>
  <c r="CS85" i="31"/>
  <c r="CS86" i="31"/>
  <c r="CT86" i="31" s="1"/>
  <c r="CU86" i="31" s="1"/>
  <c r="CR84" i="31"/>
  <c r="CT88" i="31"/>
  <c r="CT87" i="31" s="1"/>
  <c r="CU88" i="31" s="1"/>
  <c r="CT91" i="31"/>
  <c r="CT90" i="31" s="1"/>
  <c r="CU91" i="31" s="1"/>
  <c r="CU92" i="31"/>
  <c r="DJ24" i="31"/>
  <c r="DJ25" i="31" s="1"/>
  <c r="DK23" i="31"/>
  <c r="DJ22" i="31"/>
  <c r="CS84" i="31" l="1"/>
  <c r="CT85" i="31" s="1"/>
  <c r="CT84" i="31" s="1"/>
  <c r="CU85" i="31" s="1"/>
  <c r="CU84" i="31" s="1"/>
  <c r="CU90" i="31"/>
  <c r="CV91" i="31" s="1"/>
  <c r="CV92" i="31"/>
  <c r="CU87" i="31"/>
  <c r="CV88" i="31" s="1"/>
  <c r="CV89" i="31"/>
  <c r="CV86" i="31"/>
  <c r="DK24" i="31"/>
  <c r="DK25" i="31" s="1"/>
  <c r="DL23" i="31"/>
  <c r="DK22" i="31"/>
  <c r="CV85" i="31" l="1"/>
  <c r="CV87" i="31"/>
  <c r="CW88" i="31" s="1"/>
  <c r="CW89" i="31"/>
  <c r="CV84" i="31"/>
  <c r="CW85" i="31" s="1"/>
  <c r="CW86" i="31"/>
  <c r="CV90" i="31"/>
  <c r="CW91" i="31" s="1"/>
  <c r="CW92" i="31"/>
  <c r="DL24" i="31"/>
  <c r="DL25" i="31" s="1"/>
  <c r="DM23" i="31"/>
  <c r="DL22" i="31"/>
  <c r="CW90" i="31" l="1"/>
  <c r="CX91" i="31" s="1"/>
  <c r="CX92" i="31"/>
  <c r="CW84" i="31"/>
  <c r="CX85" i="31" s="1"/>
  <c r="CX86" i="31"/>
  <c r="CW87" i="31"/>
  <c r="CX88" i="31" s="1"/>
  <c r="CX89" i="31"/>
  <c r="DM24" i="31"/>
  <c r="DM25" i="31" s="1"/>
  <c r="DN23" i="31"/>
  <c r="DM22" i="31"/>
  <c r="CY89" i="31" l="1"/>
  <c r="CX87" i="31"/>
  <c r="CY88" i="31" s="1"/>
  <c r="CY86" i="31"/>
  <c r="CX84" i="31"/>
  <c r="CY85" i="31" s="1"/>
  <c r="CY92" i="31"/>
  <c r="CX90" i="31"/>
  <c r="CY91" i="31" s="1"/>
  <c r="DM41" i="31"/>
  <c r="DM40" i="31"/>
  <c r="DM39" i="31"/>
  <c r="DM38" i="31"/>
  <c r="DM37" i="31"/>
  <c r="DM36" i="31"/>
  <c r="DM35" i="31"/>
  <c r="DM34" i="31"/>
  <c r="DM33" i="31"/>
  <c r="DM29" i="31"/>
  <c r="DM32" i="31"/>
  <c r="DM31" i="31"/>
  <c r="DM30" i="31"/>
  <c r="DN24" i="31"/>
  <c r="DN25" i="31" s="1"/>
  <c r="DO23" i="31"/>
  <c r="DN22" i="31"/>
  <c r="CZ91" i="31" l="1"/>
  <c r="CZ92" i="31"/>
  <c r="DA92" i="31" s="1"/>
  <c r="DB92" i="31" s="1"/>
  <c r="CY90" i="31"/>
  <c r="CZ86" i="31"/>
  <c r="DA86" i="31" s="1"/>
  <c r="DB86" i="31" s="1"/>
  <c r="CY84" i="31"/>
  <c r="CZ85" i="31" s="1"/>
  <c r="CZ89" i="31"/>
  <c r="DA89" i="31" s="1"/>
  <c r="DB89" i="31" s="1"/>
  <c r="CY87" i="31"/>
  <c r="CZ88" i="31" s="1"/>
  <c r="CZ90" i="31"/>
  <c r="DA91" i="31" s="1"/>
  <c r="DA90" i="31" s="1"/>
  <c r="DB91" i="31" s="1"/>
  <c r="DO24" i="31"/>
  <c r="DO25" i="31" s="1"/>
  <c r="DP23" i="31"/>
  <c r="DO22" i="31"/>
  <c r="CZ84" i="31" l="1"/>
  <c r="DA85" i="31"/>
  <c r="DA84" i="31" s="1"/>
  <c r="DB85" i="31" s="1"/>
  <c r="DB84" i="31" s="1"/>
  <c r="CZ87" i="31"/>
  <c r="DA88" i="31" s="1"/>
  <c r="DA87" i="31" s="1"/>
  <c r="DB88" i="31" s="1"/>
  <c r="DB87" i="31" s="1"/>
  <c r="DC89" i="31"/>
  <c r="DC86" i="31"/>
  <c r="DB90" i="31"/>
  <c r="DC91" i="31" s="1"/>
  <c r="DC92" i="31"/>
  <c r="DP24" i="31"/>
  <c r="DP25" i="31" s="1"/>
  <c r="DQ23" i="31"/>
  <c r="DP22" i="31"/>
  <c r="DC85" i="31" l="1"/>
  <c r="DC88" i="31"/>
  <c r="DC90" i="31"/>
  <c r="DD91" i="31" s="1"/>
  <c r="DD92" i="31"/>
  <c r="DC84" i="31"/>
  <c r="DD85" i="31" s="1"/>
  <c r="DD86" i="31"/>
  <c r="DC87" i="31"/>
  <c r="DD88" i="31" s="1"/>
  <c r="DD89" i="31"/>
  <c r="DQ24" i="31"/>
  <c r="DQ25" i="31" s="1"/>
  <c r="DR23" i="31"/>
  <c r="DQ22" i="31"/>
  <c r="DD84" i="31" l="1"/>
  <c r="DE85" i="31" s="1"/>
  <c r="DE86" i="31"/>
  <c r="DD87" i="31"/>
  <c r="DE88" i="31" s="1"/>
  <c r="DE89" i="31"/>
  <c r="DD90" i="31"/>
  <c r="DE91" i="31" s="1"/>
  <c r="DE92" i="31"/>
  <c r="DR24" i="31"/>
  <c r="DR25" i="31" s="1"/>
  <c r="DS23" i="31"/>
  <c r="DR22" i="31"/>
  <c r="DF92" i="31" l="1"/>
  <c r="DE90" i="31"/>
  <c r="DF91" i="31" s="1"/>
  <c r="DF89" i="31"/>
  <c r="DE87" i="31"/>
  <c r="DF88" i="31" s="1"/>
  <c r="DF86" i="31"/>
  <c r="DE84" i="31"/>
  <c r="DF85" i="31" s="1"/>
  <c r="DS24" i="31"/>
  <c r="DS25" i="31" s="1"/>
  <c r="DT23" i="31"/>
  <c r="DS22" i="31"/>
  <c r="DG85" i="31" l="1"/>
  <c r="DG86" i="31"/>
  <c r="DH86" i="31" s="1"/>
  <c r="DI86" i="31" s="1"/>
  <c r="DF84" i="31"/>
  <c r="DG88" i="31"/>
  <c r="DG89" i="31"/>
  <c r="DH89" i="31" s="1"/>
  <c r="DI89" i="31" s="1"/>
  <c r="DF87" i="31"/>
  <c r="DG91" i="31"/>
  <c r="DG90" i="31" s="1"/>
  <c r="DG92" i="31"/>
  <c r="DH92" i="31" s="1"/>
  <c r="DI92" i="31" s="1"/>
  <c r="DF90" i="31"/>
  <c r="DT24" i="31"/>
  <c r="DT25" i="31" s="1"/>
  <c r="DU23" i="31"/>
  <c r="DT22" i="31"/>
  <c r="DG84" i="31" l="1"/>
  <c r="DH85" i="31" s="1"/>
  <c r="DH84" i="31" s="1"/>
  <c r="DI85" i="31" s="1"/>
  <c r="DH91" i="31"/>
  <c r="DH90" i="31" s="1"/>
  <c r="DI91" i="31" s="1"/>
  <c r="DI90" i="31" s="1"/>
  <c r="DJ91" i="31" s="1"/>
  <c r="DG87" i="31"/>
  <c r="DH88" i="31" s="1"/>
  <c r="DH87" i="31" s="1"/>
  <c r="DI88" i="31" s="1"/>
  <c r="DI87" i="31" s="1"/>
  <c r="DI84" i="31"/>
  <c r="DJ86" i="31"/>
  <c r="DJ92" i="31"/>
  <c r="DJ89" i="31"/>
  <c r="DU24" i="31"/>
  <c r="DU25" i="31" s="1"/>
  <c r="DV23" i="31"/>
  <c r="DU22" i="31"/>
  <c r="DJ85" i="31" l="1"/>
  <c r="DJ88" i="31"/>
  <c r="DJ90" i="31"/>
  <c r="DK91" i="31" s="1"/>
  <c r="DK92" i="31"/>
  <c r="DJ84" i="31"/>
  <c r="DK85" i="31" s="1"/>
  <c r="DK86" i="31"/>
  <c r="DJ87" i="31"/>
  <c r="DK88" i="31" s="1"/>
  <c r="DK89" i="31"/>
  <c r="DV24" i="31"/>
  <c r="DV25" i="31" s="1"/>
  <c r="DW23" i="31"/>
  <c r="DV22" i="31"/>
  <c r="DK87" i="31" l="1"/>
  <c r="DL88" i="31" s="1"/>
  <c r="DL89" i="31"/>
  <c r="DK84" i="31"/>
  <c r="DL85" i="31" s="1"/>
  <c r="DL86" i="31"/>
  <c r="DK90" i="31"/>
  <c r="DL91" i="31" s="1"/>
  <c r="DL92" i="31"/>
  <c r="DW24" i="31"/>
  <c r="DW25" i="31" s="1"/>
  <c r="DX23" i="31"/>
  <c r="DW22" i="31"/>
  <c r="DM92" i="31" l="1"/>
  <c r="DL90" i="31"/>
  <c r="DM91" i="31" s="1"/>
  <c r="DM86" i="31"/>
  <c r="DL84" i="31"/>
  <c r="DM85" i="31" s="1"/>
  <c r="DM89" i="31"/>
  <c r="DL87" i="31"/>
  <c r="DM88" i="31" s="1"/>
  <c r="DX24" i="31"/>
  <c r="DX25" i="31" s="1"/>
  <c r="DY23" i="31"/>
  <c r="DX22" i="31"/>
  <c r="DN88" i="31" l="1"/>
  <c r="DN87" i="31" s="1"/>
  <c r="DN89" i="31"/>
  <c r="DO89" i="31" s="1"/>
  <c r="DP89" i="31" s="1"/>
  <c r="DM87" i="31"/>
  <c r="DM43" i="31" s="1"/>
  <c r="DN86" i="31"/>
  <c r="DN84" i="31" s="1"/>
  <c r="DM84" i="31"/>
  <c r="DM42" i="31" s="1"/>
  <c r="DN91" i="31"/>
  <c r="DN92" i="31"/>
  <c r="DO92" i="31" s="1"/>
  <c r="DP92" i="31" s="1"/>
  <c r="DM90" i="31"/>
  <c r="DM44" i="31" s="1"/>
  <c r="DO88" i="31"/>
  <c r="DO87" i="31" s="1"/>
  <c r="DP88" i="31" s="1"/>
  <c r="DY24" i="31"/>
  <c r="DY25" i="31" s="1"/>
  <c r="DZ23" i="31"/>
  <c r="DY22" i="31"/>
  <c r="DO86" i="31" l="1"/>
  <c r="DP86" i="31" s="1"/>
  <c r="DQ86" i="31" s="1"/>
  <c r="DN90" i="31"/>
  <c r="DO91" i="31" s="1"/>
  <c r="DO90" i="31" s="1"/>
  <c r="DP91" i="31" s="1"/>
  <c r="DP90" i="31" s="1"/>
  <c r="DN85" i="31"/>
  <c r="DO85" i="31" s="1"/>
  <c r="DQ92" i="31"/>
  <c r="DP87" i="31"/>
  <c r="DQ88" i="31" s="1"/>
  <c r="DQ89" i="31"/>
  <c r="DZ24" i="31"/>
  <c r="DZ25" i="31" s="1"/>
  <c r="EA23" i="31"/>
  <c r="DZ22" i="31"/>
  <c r="DO84" i="31" l="1"/>
  <c r="DQ91" i="31"/>
  <c r="DP85" i="31"/>
  <c r="DP84" i="31" s="1"/>
  <c r="DQ85" i="31" s="1"/>
  <c r="DQ84" i="31" s="1"/>
  <c r="DQ87" i="31"/>
  <c r="DR88" i="31" s="1"/>
  <c r="DR89" i="31"/>
  <c r="DQ90" i="31"/>
  <c r="DR91" i="31" s="1"/>
  <c r="DR92" i="31"/>
  <c r="DR86" i="31"/>
  <c r="EA24" i="31"/>
  <c r="EA25" i="31" s="1"/>
  <c r="EB23" i="31"/>
  <c r="EA22" i="31"/>
  <c r="DR85" i="31" l="1"/>
  <c r="DR84" i="31"/>
  <c r="DS85" i="31" s="1"/>
  <c r="DS86" i="31"/>
  <c r="DR90" i="31"/>
  <c r="DS91" i="31" s="1"/>
  <c r="DS92" i="31"/>
  <c r="DR87" i="31"/>
  <c r="DS88" i="31" s="1"/>
  <c r="DS89" i="31"/>
  <c r="EB24" i="31"/>
  <c r="EB25" i="31" s="1"/>
  <c r="EC23" i="31"/>
  <c r="EB22" i="31"/>
  <c r="DT86" i="31" l="1"/>
  <c r="DS84" i="31"/>
  <c r="DT85" i="31" s="1"/>
  <c r="DT89" i="31"/>
  <c r="DS87" i="31"/>
  <c r="DT88" i="31" s="1"/>
  <c r="DT92" i="31"/>
  <c r="DS90" i="31"/>
  <c r="DT91" i="31" s="1"/>
  <c r="EC24" i="31"/>
  <c r="EC25" i="31" s="1"/>
  <c r="ED23" i="31"/>
  <c r="EC22" i="31"/>
  <c r="DU91" i="31" l="1"/>
  <c r="DU92" i="31"/>
  <c r="DT90" i="31"/>
  <c r="DT44" i="31" s="1"/>
  <c r="DU88" i="31"/>
  <c r="DU89" i="31"/>
  <c r="DV89" i="31" s="1"/>
  <c r="DW89" i="31" s="1"/>
  <c r="DT87" i="31"/>
  <c r="DT43" i="31" s="1"/>
  <c r="DU86" i="31"/>
  <c r="DV86" i="31" s="1"/>
  <c r="DW86" i="31" s="1"/>
  <c r="DT84" i="31"/>
  <c r="DT42" i="31" s="1"/>
  <c r="DU90" i="31"/>
  <c r="DV91" i="31" s="1"/>
  <c r="DV90" i="31" s="1"/>
  <c r="DW91" i="31" s="1"/>
  <c r="DV92" i="31"/>
  <c r="DW92" i="31" s="1"/>
  <c r="ED24" i="31"/>
  <c r="ED25" i="31" s="1"/>
  <c r="EE23" i="31"/>
  <c r="ED22" i="31"/>
  <c r="DU85" i="31" l="1"/>
  <c r="DU87" i="31"/>
  <c r="DV88" i="31" s="1"/>
  <c r="DV87" i="31" s="1"/>
  <c r="DW88" i="31" s="1"/>
  <c r="DW87" i="31" s="1"/>
  <c r="DX86" i="31"/>
  <c r="DW90" i="31"/>
  <c r="DX91" i="31" s="1"/>
  <c r="DX92" i="31"/>
  <c r="DX89" i="31"/>
  <c r="EE24" i="31"/>
  <c r="EE25" i="31" s="1"/>
  <c r="EF23" i="31"/>
  <c r="EE22" i="31"/>
  <c r="DX88" i="31" l="1"/>
  <c r="DU84" i="31"/>
  <c r="DV85" i="31"/>
  <c r="DV84" i="31" s="1"/>
  <c r="DW85" i="31" s="1"/>
  <c r="DX87" i="31"/>
  <c r="DY88" i="31" s="1"/>
  <c r="DY89" i="31"/>
  <c r="DX90" i="31"/>
  <c r="DY91" i="31" s="1"/>
  <c r="DY92" i="31"/>
  <c r="DY86" i="31"/>
  <c r="EF24" i="31"/>
  <c r="EF25" i="31" s="1"/>
  <c r="EG23" i="31"/>
  <c r="EF22" i="31"/>
  <c r="DW84" i="31" l="1"/>
  <c r="DX85" i="31" s="1"/>
  <c r="DZ86" i="31"/>
  <c r="DY90" i="31"/>
  <c r="DZ91" i="31" s="1"/>
  <c r="DZ92" i="31"/>
  <c r="DY87" i="31"/>
  <c r="DZ88" i="31" s="1"/>
  <c r="DZ89" i="31"/>
  <c r="EG24" i="31"/>
  <c r="EG25" i="31" s="1"/>
  <c r="EH23" i="31"/>
  <c r="EG22" i="31"/>
  <c r="DX84" i="31" l="1"/>
  <c r="DY85" i="31" s="1"/>
  <c r="DY84" i="31" s="1"/>
  <c r="DZ85" i="31" s="1"/>
  <c r="DZ84" i="31" s="1"/>
  <c r="EA85" i="31" s="1"/>
  <c r="EA89" i="31"/>
  <c r="DZ87" i="31"/>
  <c r="EA88" i="31" s="1"/>
  <c r="EA92" i="31"/>
  <c r="DZ90" i="31"/>
  <c r="EA91" i="31" s="1"/>
  <c r="EA86" i="31"/>
  <c r="EH24" i="31"/>
  <c r="EH25" i="31" s="1"/>
  <c r="EI23" i="31"/>
  <c r="EH22" i="31"/>
  <c r="EB86" i="31" l="1"/>
  <c r="EC86" i="31" s="1"/>
  <c r="ED86" i="31" s="1"/>
  <c r="EA84" i="31"/>
  <c r="EA42" i="31" s="1"/>
  <c r="EB91" i="31"/>
  <c r="EB92" i="31"/>
  <c r="EA90" i="31"/>
  <c r="EA44" i="31" s="1"/>
  <c r="EB88" i="31"/>
  <c r="EB89" i="31"/>
  <c r="EC89" i="31" s="1"/>
  <c r="ED89" i="31" s="1"/>
  <c r="EA87" i="31"/>
  <c r="EA43" i="31" s="1"/>
  <c r="EB90" i="31"/>
  <c r="EC91" i="31" s="1"/>
  <c r="EC90" i="31" s="1"/>
  <c r="ED91" i="31" s="1"/>
  <c r="EC92" i="31"/>
  <c r="ED92" i="31" s="1"/>
  <c r="EI24" i="31"/>
  <c r="EI25" i="31" s="1"/>
  <c r="EJ23" i="31"/>
  <c r="EI22" i="31"/>
  <c r="EB84" i="31" l="1"/>
  <c r="EB87" i="31"/>
  <c r="EC88" i="31" s="1"/>
  <c r="EC87" i="31"/>
  <c r="EB85" i="31"/>
  <c r="EC85" i="31" s="1"/>
  <c r="EC84" i="31" s="1"/>
  <c r="ED85" i="31" s="1"/>
  <c r="ED84" i="31" s="1"/>
  <c r="EE89" i="31"/>
  <c r="ED90" i="31"/>
  <c r="EE91" i="31" s="1"/>
  <c r="EE92" i="31"/>
  <c r="EE86" i="31"/>
  <c r="EJ24" i="31"/>
  <c r="EJ25" i="31" s="1"/>
  <c r="EK23" i="31"/>
  <c r="EJ22" i="31"/>
  <c r="ED88" i="31" l="1"/>
  <c r="ED87" i="31" s="1"/>
  <c r="EE88" i="31" s="1"/>
  <c r="EE85" i="31"/>
  <c r="EE90" i="31"/>
  <c r="EF91" i="31" s="1"/>
  <c r="EF92" i="31"/>
  <c r="EE84" i="31"/>
  <c r="EF85" i="31" s="1"/>
  <c r="EF86" i="31"/>
  <c r="EE87" i="31"/>
  <c r="EF89" i="31"/>
  <c r="EK24" i="31"/>
  <c r="EK25" i="31" s="1"/>
  <c r="EL23" i="31"/>
  <c r="EK22" i="31"/>
  <c r="EF88" i="31" l="1"/>
  <c r="EF84" i="31"/>
  <c r="EG85" i="31" s="1"/>
  <c r="EG86" i="31"/>
  <c r="EF87" i="31"/>
  <c r="EG88" i="31" s="1"/>
  <c r="EG89" i="31"/>
  <c r="EF90" i="31"/>
  <c r="EG91" i="31" s="1"/>
  <c r="EG92" i="31"/>
  <c r="EL24" i="31"/>
  <c r="EL25" i="31" s="1"/>
  <c r="EM23" i="31"/>
  <c r="EL22" i="31"/>
  <c r="EH92" i="31" l="1"/>
  <c r="EG90" i="31"/>
  <c r="EH91" i="31" s="1"/>
  <c r="EH89" i="31"/>
  <c r="EG87" i="31"/>
  <c r="EH88" i="31" s="1"/>
  <c r="EH86" i="31"/>
  <c r="EG84" i="31"/>
  <c r="EH85" i="31" s="1"/>
  <c r="EM24" i="31"/>
  <c r="EM25" i="31" s="1"/>
  <c r="EN23" i="31"/>
  <c r="EM22" i="31"/>
  <c r="EI86" i="31" l="1"/>
  <c r="EJ86" i="31" s="1"/>
  <c r="EK86" i="31" s="1"/>
  <c r="EH84" i="31"/>
  <c r="EH42" i="31" s="1"/>
  <c r="EI88" i="31"/>
  <c r="EI89" i="31"/>
  <c r="EJ89" i="31" s="1"/>
  <c r="EK89" i="31" s="1"/>
  <c r="EH87" i="31"/>
  <c r="EH43" i="31" s="1"/>
  <c r="EI91" i="31"/>
  <c r="EI92" i="31"/>
  <c r="EJ92" i="31" s="1"/>
  <c r="EK92" i="31" s="1"/>
  <c r="EH90" i="31"/>
  <c r="EH44" i="31" s="1"/>
  <c r="EI87" i="31"/>
  <c r="EJ88" i="31" s="1"/>
  <c r="EJ87" i="31" s="1"/>
  <c r="EK88" i="31" s="1"/>
  <c r="EN24" i="31"/>
  <c r="EN25" i="31" s="1"/>
  <c r="EO23" i="31"/>
  <c r="EN22" i="31"/>
  <c r="EI90" i="31" l="1"/>
  <c r="EJ91" i="31" s="1"/>
  <c r="EJ90" i="31" s="1"/>
  <c r="EK91" i="31" s="1"/>
  <c r="EK90" i="31" s="1"/>
  <c r="EI84" i="31"/>
  <c r="EI85" i="31"/>
  <c r="EL92" i="31"/>
  <c r="EL86" i="31"/>
  <c r="EK87" i="31"/>
  <c r="EL88" i="31" s="1"/>
  <c r="EL89" i="31"/>
  <c r="EO24" i="31"/>
  <c r="EO25" i="31" s="1"/>
  <c r="EP23" i="31"/>
  <c r="EO22" i="31"/>
  <c r="EJ85" i="31" l="1"/>
  <c r="EJ84" i="31" s="1"/>
  <c r="EK85" i="31" s="1"/>
  <c r="EK84" i="31" s="1"/>
  <c r="EL91" i="31"/>
  <c r="EM86" i="31"/>
  <c r="EL87" i="31"/>
  <c r="EM88" i="31" s="1"/>
  <c r="EM89" i="31"/>
  <c r="EL90" i="31"/>
  <c r="EM91" i="31" s="1"/>
  <c r="EM92" i="31"/>
  <c r="EP24" i="31"/>
  <c r="EP25" i="31" s="1"/>
  <c r="EQ23" i="31"/>
  <c r="EP22" i="31"/>
  <c r="EL85" i="31" l="1"/>
  <c r="EL84" i="31" s="1"/>
  <c r="EM85" i="31" s="1"/>
  <c r="EM84" i="31" s="1"/>
  <c r="EN85" i="31" s="1"/>
  <c r="EM90" i="31"/>
  <c r="EN91" i="31" s="1"/>
  <c r="EN92" i="31"/>
  <c r="EM87" i="31"/>
  <c r="EN88" i="31" s="1"/>
  <c r="EN89" i="31"/>
  <c r="EN86" i="31"/>
  <c r="EQ24" i="31"/>
  <c r="EQ25" i="31" s="1"/>
  <c r="ER23" i="31"/>
  <c r="EQ22" i="31"/>
  <c r="EO86" i="31" l="1"/>
  <c r="EN84" i="31"/>
  <c r="EO85" i="31" s="1"/>
  <c r="EO89" i="31"/>
  <c r="EN87" i="31"/>
  <c r="EO88" i="31" s="1"/>
  <c r="EO92" i="31"/>
  <c r="EN90" i="31"/>
  <c r="EO91" i="31" s="1"/>
  <c r="ER24" i="31"/>
  <c r="ER25" i="31" s="1"/>
  <c r="ES23" i="31"/>
  <c r="ER22" i="31"/>
  <c r="EP91" i="31" l="1"/>
  <c r="EP92" i="31"/>
  <c r="EQ92" i="31" s="1"/>
  <c r="ER92" i="31" s="1"/>
  <c r="EO90" i="31"/>
  <c r="EO44" i="31" s="1"/>
  <c r="EP88" i="31"/>
  <c r="EP89" i="31"/>
  <c r="EQ89" i="31" s="1"/>
  <c r="ER89" i="31" s="1"/>
  <c r="EO87" i="31"/>
  <c r="EO43" i="31" s="1"/>
  <c r="EP86" i="31"/>
  <c r="EQ86" i="31" s="1"/>
  <c r="ER86" i="31" s="1"/>
  <c r="EO84" i="31"/>
  <c r="EO42" i="31" s="1"/>
  <c r="EP90" i="31"/>
  <c r="EQ91" i="31" s="1"/>
  <c r="EQ90" i="31" s="1"/>
  <c r="ER91" i="31" s="1"/>
  <c r="ES24" i="31"/>
  <c r="ES25" i="31" s="1"/>
  <c r="ET23" i="31"/>
  <c r="ES22" i="31"/>
  <c r="EP85" i="31" l="1"/>
  <c r="EP84" i="31"/>
  <c r="EQ85" i="31" s="1"/>
  <c r="EP87" i="31"/>
  <c r="EQ88" i="31" s="1"/>
  <c r="EQ87" i="31" s="1"/>
  <c r="ER88" i="31" s="1"/>
  <c r="ER87" i="31" s="1"/>
  <c r="EQ84" i="31"/>
  <c r="ER85" i="31" s="1"/>
  <c r="ER84" i="31" s="1"/>
  <c r="ES85" i="31" s="1"/>
  <c r="ER90" i="31"/>
  <c r="ES91" i="31" s="1"/>
  <c r="ES92" i="31"/>
  <c r="ES89" i="31"/>
  <c r="ES86" i="31"/>
  <c r="ET24" i="31"/>
  <c r="ET25" i="31" s="1"/>
  <c r="EU23" i="31"/>
  <c r="ET22" i="31"/>
  <c r="ES88" i="31" l="1"/>
  <c r="ES84" i="31"/>
  <c r="ET85" i="31" s="1"/>
  <c r="ES87" i="31"/>
  <c r="ET88" i="31" s="1"/>
  <c r="ES90" i="31"/>
  <c r="ET91" i="31" s="1"/>
  <c r="ET89" i="31"/>
  <c r="ET92" i="31"/>
  <c r="ET86" i="31"/>
  <c r="EU24" i="31"/>
  <c r="EU25" i="31" s="1"/>
  <c r="EV23" i="31"/>
  <c r="EU22" i="31"/>
  <c r="ET84" i="31" l="1"/>
  <c r="EU85" i="31" s="1"/>
  <c r="ET90" i="31"/>
  <c r="EU91" i="31" s="1"/>
  <c r="ET87" i="31"/>
  <c r="EU88" i="31" s="1"/>
  <c r="EU92" i="31"/>
  <c r="EU89" i="31"/>
  <c r="EU86" i="31"/>
  <c r="EV24" i="31"/>
  <c r="EV25" i="31" s="1"/>
  <c r="EW23" i="31"/>
  <c r="EV22" i="31"/>
  <c r="EU84" i="31" l="1"/>
  <c r="EV85" i="31" s="1"/>
  <c r="EU87" i="31"/>
  <c r="EV88" i="31" s="1"/>
  <c r="EU90" i="31"/>
  <c r="EV91" i="31" s="1"/>
  <c r="EV92" i="31"/>
  <c r="EV90" i="31" s="1"/>
  <c r="EV44" i="31" s="1"/>
  <c r="EV86" i="31"/>
  <c r="EV84" i="31" s="1"/>
  <c r="EV42" i="31" s="1"/>
  <c r="EV89" i="31"/>
  <c r="EV87" i="31" s="1"/>
  <c r="EV43" i="31" s="1"/>
  <c r="EW24" i="31"/>
  <c r="EW25" i="31" s="1"/>
  <c r="EX23" i="31"/>
  <c r="EW22" i="31"/>
  <c r="EW85" i="31" l="1"/>
  <c r="EW88" i="31"/>
  <c r="EW91" i="31"/>
  <c r="EW92" i="31"/>
  <c r="EW90" i="31" s="1"/>
  <c r="EW89" i="31"/>
  <c r="EW87" i="31" s="1"/>
  <c r="EW86" i="31"/>
  <c r="EW84" i="31" s="1"/>
  <c r="EX85" i="31" s="1"/>
  <c r="EX24" i="31"/>
  <c r="EX25" i="31" s="1"/>
  <c r="EY23" i="31"/>
  <c r="EX22" i="31"/>
  <c r="EX88" i="31" l="1"/>
  <c r="EX91" i="31"/>
  <c r="EX92" i="31"/>
  <c r="EX89" i="31"/>
  <c r="EX87" i="31" s="1"/>
  <c r="EY88" i="31" s="1"/>
  <c r="EX86" i="31"/>
  <c r="EX84" i="31" s="1"/>
  <c r="EY85" i="31" s="1"/>
  <c r="EY24" i="31"/>
  <c r="EY25" i="31" s="1"/>
  <c r="EZ23" i="31"/>
  <c r="EY22" i="31"/>
  <c r="EX90" i="31" l="1"/>
  <c r="EY91" i="31" s="1"/>
  <c r="EY89" i="31"/>
  <c r="EY87" i="31" s="1"/>
  <c r="EZ88" i="31" s="1"/>
  <c r="EY92" i="31"/>
  <c r="EY86" i="31"/>
  <c r="EY84" i="31" s="1"/>
  <c r="EZ85" i="31" s="1"/>
  <c r="EZ24" i="31"/>
  <c r="EZ25" i="31" s="1"/>
  <c r="FA23" i="31"/>
  <c r="EZ22" i="31"/>
  <c r="EY90" i="31" l="1"/>
  <c r="EZ91" i="31" s="1"/>
  <c r="EZ89" i="31"/>
  <c r="EZ87" i="31" s="1"/>
  <c r="FA88" i="31" s="1"/>
  <c r="EZ92" i="31"/>
  <c r="EZ86" i="31"/>
  <c r="EZ84" i="31" s="1"/>
  <c r="FA85" i="31" s="1"/>
  <c r="FA24" i="31"/>
  <c r="FA25" i="31" s="1"/>
  <c r="FB23" i="31"/>
  <c r="FA22" i="31"/>
  <c r="EZ90" i="31" l="1"/>
  <c r="FA91" i="31" s="1"/>
  <c r="FA92" i="31"/>
  <c r="FA89" i="31"/>
  <c r="FA87" i="31" s="1"/>
  <c r="FB88" i="31" s="1"/>
  <c r="FA86" i="31"/>
  <c r="FA84" i="31" s="1"/>
  <c r="FB85" i="31" s="1"/>
  <c r="FB24" i="31"/>
  <c r="FB25" i="31" s="1"/>
  <c r="FC23" i="31"/>
  <c r="FB22" i="31"/>
  <c r="FA90" i="31" l="1"/>
  <c r="FB91" i="31" s="1"/>
  <c r="FB89" i="31"/>
  <c r="FB87" i="31" s="1"/>
  <c r="FC88" i="31" s="1"/>
  <c r="FB92" i="31"/>
  <c r="FB86" i="31"/>
  <c r="FB84" i="31" s="1"/>
  <c r="FC85" i="31" s="1"/>
  <c r="FC24" i="31"/>
  <c r="FC25" i="31" s="1"/>
  <c r="FD23" i="31"/>
  <c r="FC22" i="31"/>
  <c r="FB90" i="31" l="1"/>
  <c r="FC91" i="31" s="1"/>
  <c r="FC89" i="31"/>
  <c r="FC87" i="31" s="1"/>
  <c r="FC86" i="31"/>
  <c r="FC84" i="31" s="1"/>
  <c r="FD85" i="31" s="1"/>
  <c r="FC92" i="31"/>
  <c r="FC90" i="31" s="1"/>
  <c r="FC44" i="31" s="1"/>
  <c r="FD24" i="31"/>
  <c r="FD25" i="31" s="1"/>
  <c r="FE23" i="31"/>
  <c r="FD22" i="31"/>
  <c r="FD88" i="31" l="1"/>
  <c r="FC43" i="31"/>
  <c r="FD91" i="31"/>
  <c r="FD89" i="31"/>
  <c r="FD87" i="31" s="1"/>
  <c r="FE88" i="31" s="1"/>
  <c r="FD86" i="31"/>
  <c r="FD84" i="31" s="1"/>
  <c r="FE85" i="31" s="1"/>
  <c r="FD92" i="31"/>
  <c r="FD90" i="31" s="1"/>
  <c r="FC42" i="31"/>
  <c r="FE24" i="31"/>
  <c r="FE25" i="31" s="1"/>
  <c r="FF23" i="31"/>
  <c r="FE22" i="31"/>
  <c r="FE91" i="31" l="1"/>
  <c r="FE92" i="31"/>
  <c r="FE89" i="31"/>
  <c r="FE87" i="31" s="1"/>
  <c r="FF88" i="31" s="1"/>
  <c r="FE86" i="31"/>
  <c r="FE84" i="31" s="1"/>
  <c r="FF85" i="31" s="1"/>
  <c r="FF24" i="31"/>
  <c r="FF25" i="31" s="1"/>
  <c r="FG23" i="31"/>
  <c r="FF22" i="31"/>
  <c r="FE90" i="31" l="1"/>
  <c r="FF91" i="31" s="1"/>
  <c r="FF89" i="31"/>
  <c r="FF87" i="31" s="1"/>
  <c r="FG88" i="31" s="1"/>
  <c r="FF92" i="31"/>
  <c r="FF86" i="31"/>
  <c r="FF84" i="31" s="1"/>
  <c r="FG85" i="31" s="1"/>
  <c r="FG24" i="31"/>
  <c r="FG25" i="31" s="1"/>
  <c r="FH23" i="31"/>
  <c r="FG22" i="31"/>
  <c r="FF90" i="31" l="1"/>
  <c r="FG91" i="31" s="1"/>
  <c r="FG89" i="31"/>
  <c r="FG87" i="31" s="1"/>
  <c r="FH88" i="31" s="1"/>
  <c r="FG92" i="31"/>
  <c r="FG86" i="31"/>
  <c r="FG84" i="31" s="1"/>
  <c r="FH85" i="31" s="1"/>
  <c r="FH24" i="31"/>
  <c r="FH25" i="31" s="1"/>
  <c r="FI23" i="31"/>
  <c r="FH22" i="31"/>
  <c r="FG90" i="31" l="1"/>
  <c r="FH91" i="31" s="1"/>
  <c r="FH89" i="31"/>
  <c r="FH87" i="31" s="1"/>
  <c r="FI88" i="31" s="1"/>
  <c r="FH92" i="31"/>
  <c r="FH86" i="31"/>
  <c r="FH84" i="31" s="1"/>
  <c r="FI85" i="31" s="1"/>
  <c r="FI24" i="31"/>
  <c r="FI25" i="31" s="1"/>
  <c r="FJ23" i="31"/>
  <c r="FI22" i="31"/>
  <c r="FH90" i="31" l="1"/>
  <c r="FI91" i="31" s="1"/>
  <c r="FI92" i="31"/>
  <c r="FI89" i="31"/>
  <c r="FI87" i="31" s="1"/>
  <c r="FJ88" i="31" s="1"/>
  <c r="FI86" i="31"/>
  <c r="FI84" i="31" s="1"/>
  <c r="FJ85" i="31" s="1"/>
  <c r="FJ24" i="31"/>
  <c r="FJ25" i="31" s="1"/>
  <c r="FK23" i="31"/>
  <c r="FJ22" i="31"/>
  <c r="FI90" i="31" l="1"/>
  <c r="FJ91" i="31" s="1"/>
  <c r="FJ92" i="31"/>
  <c r="FJ90" i="31" s="1"/>
  <c r="FJ44" i="31" s="1"/>
  <c r="FJ86" i="31"/>
  <c r="FJ84" i="31" s="1"/>
  <c r="FJ42" i="31" s="1"/>
  <c r="FJ89" i="31"/>
  <c r="FJ87" i="31" s="1"/>
  <c r="FK24" i="31"/>
  <c r="FK25" i="31" s="1"/>
  <c r="FL23" i="31"/>
  <c r="FK22" i="31"/>
  <c r="FK88" i="31" l="1"/>
  <c r="FJ43" i="31"/>
  <c r="FK91" i="31"/>
  <c r="FK92" i="31"/>
  <c r="FK90" i="31" s="1"/>
  <c r="FK89" i="31"/>
  <c r="FK87" i="31" s="1"/>
  <c r="FL88" i="31" s="1"/>
  <c r="FK85" i="31"/>
  <c r="FK86" i="31"/>
  <c r="FK84" i="31" s="1"/>
  <c r="FL24" i="31"/>
  <c r="FL25" i="31" s="1"/>
  <c r="FM23" i="31"/>
  <c r="FL22" i="31"/>
  <c r="FL91" i="31" l="1"/>
  <c r="FL85" i="31"/>
  <c r="FL92" i="31"/>
  <c r="FL89" i="31"/>
  <c r="FL87" i="31" s="1"/>
  <c r="FM88" i="31" s="1"/>
  <c r="FL86" i="31"/>
  <c r="FL84" i="31" s="1"/>
  <c r="FM85" i="31" s="1"/>
  <c r="FM24" i="31"/>
  <c r="FM25" i="31" s="1"/>
  <c r="FN23" i="31"/>
  <c r="FM22" i="31"/>
  <c r="FL90" i="31" l="1"/>
  <c r="FM91" i="31" s="1"/>
  <c r="FM92" i="31"/>
  <c r="FM89" i="31"/>
  <c r="FM87" i="31" s="1"/>
  <c r="FN88" i="31" s="1"/>
  <c r="FM86" i="31"/>
  <c r="FM84" i="31" s="1"/>
  <c r="FN85" i="31" s="1"/>
  <c r="FN24" i="31"/>
  <c r="FN25" i="31" s="1"/>
  <c r="FO23" i="31"/>
  <c r="FN22" i="31"/>
  <c r="FM90" i="31" l="1"/>
  <c r="FN91" i="31" s="1"/>
  <c r="FN92" i="31"/>
  <c r="FN89" i="31"/>
  <c r="FN87" i="31" s="1"/>
  <c r="FO88" i="31" s="1"/>
  <c r="FN86" i="31"/>
  <c r="FN84" i="31" s="1"/>
  <c r="FO85" i="31" s="1"/>
  <c r="FO24" i="31"/>
  <c r="FO25" i="31" s="1"/>
  <c r="FP23" i="31"/>
  <c r="FO22" i="31"/>
  <c r="FN90" i="31" l="1"/>
  <c r="FO91" i="31" s="1"/>
  <c r="FO92" i="31"/>
  <c r="FO89" i="31"/>
  <c r="FO87" i="31" s="1"/>
  <c r="FP88" i="31" s="1"/>
  <c r="FO86" i="31"/>
  <c r="FO84" i="31" s="1"/>
  <c r="FP85" i="31" s="1"/>
  <c r="FP24" i="31"/>
  <c r="FP25" i="31" s="1"/>
  <c r="FQ23" i="31"/>
  <c r="FP22" i="31"/>
  <c r="FO90" i="31" l="1"/>
  <c r="FP91" i="31" s="1"/>
  <c r="FP92" i="31"/>
  <c r="FP89" i="31"/>
  <c r="FP87" i="31" s="1"/>
  <c r="FQ88" i="31" s="1"/>
  <c r="FP86" i="31"/>
  <c r="FP84" i="31" s="1"/>
  <c r="FQ85" i="31" s="1"/>
  <c r="FQ24" i="31"/>
  <c r="FQ25" i="31" s="1"/>
  <c r="FR23" i="31"/>
  <c r="FQ22" i="31"/>
  <c r="FP90" i="31" l="1"/>
  <c r="FQ91" i="31" s="1"/>
  <c r="FQ86" i="31"/>
  <c r="FQ84" i="31" s="1"/>
  <c r="FQ92" i="31"/>
  <c r="FQ90" i="31" s="1"/>
  <c r="FQ44" i="31" s="1"/>
  <c r="FQ89" i="31"/>
  <c r="FQ87" i="31" s="1"/>
  <c r="FQ43" i="31" s="1"/>
  <c r="FR24" i="31"/>
  <c r="FR25" i="31" s="1"/>
  <c r="FS23" i="31"/>
  <c r="FR22" i="31"/>
  <c r="FR85" i="31" l="1"/>
  <c r="FQ42" i="31"/>
  <c r="FR91" i="31"/>
  <c r="FR89" i="31"/>
  <c r="FR87" i="31" s="1"/>
  <c r="FR92" i="31"/>
  <c r="FR90" i="31" s="1"/>
  <c r="FS91" i="31" s="1"/>
  <c r="FR86" i="31"/>
  <c r="FR84" i="31" s="1"/>
  <c r="FS85" i="31" s="1"/>
  <c r="FR88" i="31"/>
  <c r="FS24" i="31"/>
  <c r="FS25" i="31" s="1"/>
  <c r="FT23" i="31"/>
  <c r="FS22" i="31"/>
  <c r="FS88" i="31" l="1"/>
  <c r="FS89" i="31"/>
  <c r="FS92" i="31"/>
  <c r="FS90" i="31" s="1"/>
  <c r="FT91" i="31" s="1"/>
  <c r="FS86" i="31"/>
  <c r="FS84" i="31" s="1"/>
  <c r="FT85" i="31" s="1"/>
  <c r="FT24" i="31"/>
  <c r="FT25" i="31" s="1"/>
  <c r="FU23" i="31"/>
  <c r="FT22" i="31"/>
  <c r="FS87" i="31" l="1"/>
  <c r="FT88" i="31" s="1"/>
  <c r="FT89" i="31"/>
  <c r="FT92" i="31"/>
  <c r="FT90" i="31" s="1"/>
  <c r="FU91" i="31" s="1"/>
  <c r="FT86" i="31"/>
  <c r="FT84" i="31" s="1"/>
  <c r="FU85" i="31" s="1"/>
  <c r="FU24" i="31"/>
  <c r="FU25" i="31" s="1"/>
  <c r="FV23" i="31"/>
  <c r="FU22" i="31"/>
  <c r="FT87" i="31" l="1"/>
  <c r="FU88" i="31" s="1"/>
  <c r="FU92" i="31"/>
  <c r="FU90" i="31" s="1"/>
  <c r="FV91" i="31" s="1"/>
  <c r="FU89" i="31"/>
  <c r="FU86" i="31"/>
  <c r="FU84" i="31" s="1"/>
  <c r="FV85" i="31" s="1"/>
  <c r="FV24" i="31"/>
  <c r="FV25" i="31" s="1"/>
  <c r="FW23" i="31"/>
  <c r="FV22" i="31"/>
  <c r="FU87" i="31" l="1"/>
  <c r="FV88" i="31" s="1"/>
  <c r="FV89" i="31"/>
  <c r="FV92" i="31"/>
  <c r="FV90" i="31" s="1"/>
  <c r="FW91" i="31" s="1"/>
  <c r="FV86" i="31"/>
  <c r="FV84" i="31" s="1"/>
  <c r="FW85" i="31" s="1"/>
  <c r="FW24" i="31"/>
  <c r="FW25" i="31" s="1"/>
  <c r="FX23" i="31"/>
  <c r="FW22" i="31"/>
  <c r="FV87" i="31" l="1"/>
  <c r="FW88" i="31" s="1"/>
  <c r="FW92" i="31"/>
  <c r="FW90" i="31" s="1"/>
  <c r="FX91" i="31" s="1"/>
  <c r="FW89" i="31"/>
  <c r="FW86" i="31"/>
  <c r="FW84" i="31" s="1"/>
  <c r="FX85" i="31" s="1"/>
  <c r="FX24" i="31"/>
  <c r="FX25" i="31" s="1"/>
  <c r="FY23" i="31"/>
  <c r="FX22" i="31"/>
  <c r="FW87" i="31" l="1"/>
  <c r="FX88" i="31" s="1"/>
  <c r="FX92" i="31"/>
  <c r="FX90" i="31" s="1"/>
  <c r="FX44" i="31" s="1"/>
  <c r="FX86" i="31"/>
  <c r="FX84" i="31" s="1"/>
  <c r="FX89" i="31"/>
  <c r="FX87" i="31" s="1"/>
  <c r="FX43" i="31" s="1"/>
  <c r="FY24" i="31"/>
  <c r="FY25" i="31" s="1"/>
  <c r="FZ23" i="31"/>
  <c r="FY22" i="31"/>
  <c r="FY85" i="31" l="1"/>
  <c r="FX42" i="31"/>
  <c r="FY88" i="31"/>
  <c r="FY92" i="31"/>
  <c r="FY90" i="31" s="1"/>
  <c r="FY89" i="31"/>
  <c r="FY87" i="31" s="1"/>
  <c r="FY86" i="31"/>
  <c r="FY84" i="31" s="1"/>
  <c r="FZ85" i="31" s="1"/>
  <c r="FY91" i="31"/>
  <c r="FZ24" i="31"/>
  <c r="FZ25" i="31" s="1"/>
  <c r="GA23" i="31"/>
  <c r="FZ22" i="31"/>
  <c r="FZ88" i="31" l="1"/>
  <c r="FZ91" i="31"/>
  <c r="FZ92" i="31"/>
  <c r="FZ89" i="31"/>
  <c r="FZ87" i="31" s="1"/>
  <c r="GA88" i="31" s="1"/>
  <c r="FZ86" i="31"/>
  <c r="FZ84" i="31" s="1"/>
  <c r="GA85" i="31" s="1"/>
  <c r="GA24" i="31"/>
  <c r="GA25" i="31" s="1"/>
  <c r="GB23" i="31"/>
  <c r="GA22" i="31"/>
  <c r="FZ90" i="31" l="1"/>
  <c r="GA91" i="31" s="1"/>
  <c r="GA89" i="31"/>
  <c r="GA87" i="31" s="1"/>
  <c r="GB88" i="31" s="1"/>
  <c r="GA92" i="31"/>
  <c r="GA86" i="31"/>
  <c r="GA84" i="31" s="1"/>
  <c r="GB85" i="31" s="1"/>
  <c r="GB24" i="31"/>
  <c r="GB25" i="31" s="1"/>
  <c r="GC23" i="31"/>
  <c r="GB22" i="31"/>
  <c r="GA90" i="31" l="1"/>
  <c r="GB91" i="31" s="1"/>
  <c r="GB92" i="31"/>
  <c r="GB89" i="31"/>
  <c r="GB87" i="31" s="1"/>
  <c r="GC88" i="31" s="1"/>
  <c r="GB86" i="31"/>
  <c r="GB84" i="31" s="1"/>
  <c r="GC85" i="31" s="1"/>
  <c r="GC24" i="31"/>
  <c r="GC25" i="31" s="1"/>
  <c r="GD23" i="31"/>
  <c r="GC22" i="31"/>
  <c r="GB90" i="31" l="1"/>
  <c r="GC91" i="31" s="1"/>
  <c r="GC92" i="31"/>
  <c r="GC89" i="31"/>
  <c r="GC87" i="31" s="1"/>
  <c r="GD88" i="31" s="1"/>
  <c r="GC86" i="31"/>
  <c r="GC84" i="31" s="1"/>
  <c r="GD85" i="31" s="1"/>
  <c r="GD24" i="31"/>
  <c r="GD25" i="31" s="1"/>
  <c r="GE23" i="31"/>
  <c r="GD22" i="31"/>
  <c r="GC90" i="31" l="1"/>
  <c r="GD91" i="31" s="1"/>
  <c r="GD89" i="31"/>
  <c r="GD87" i="31" s="1"/>
  <c r="GE88" i="31" s="1"/>
  <c r="GD92" i="31"/>
  <c r="GD86" i="31"/>
  <c r="GD84" i="31" s="1"/>
  <c r="GE85" i="31" s="1"/>
  <c r="GE24" i="31"/>
  <c r="GE25" i="31" s="1"/>
  <c r="GF23" i="31"/>
  <c r="GE22" i="31"/>
  <c r="GD90" i="31" l="1"/>
  <c r="GE91" i="31" s="1"/>
  <c r="GE86" i="31"/>
  <c r="GE84" i="31" s="1"/>
  <c r="GE42" i="31" s="1"/>
  <c r="GE92" i="31"/>
  <c r="GE90" i="31" s="1"/>
  <c r="GE89" i="31"/>
  <c r="GE87" i="31" s="1"/>
  <c r="GF24" i="31"/>
  <c r="GF25" i="31" s="1"/>
  <c r="GF22" i="31"/>
  <c r="GF88" i="31" l="1"/>
  <c r="GE43" i="31"/>
  <c r="GF91" i="31"/>
  <c r="GF92" i="31"/>
  <c r="GF90" i="31" s="1"/>
  <c r="GF86" i="31"/>
  <c r="GF84" i="31" s="1"/>
  <c r="GE44" i="31"/>
  <c r="GF89" i="31"/>
  <c r="GF87" i="31" s="1"/>
  <c r="GF85" i="31"/>
  <c r="BU57" i="26"/>
  <c r="C169" i="31" l="1"/>
  <c r="H101" i="31"/>
  <c r="C97" i="31"/>
  <c r="G27" i="31"/>
  <c r="C172" i="31"/>
  <c r="C106" i="31"/>
  <c r="C167" i="31"/>
  <c r="BP57" i="26"/>
  <c r="C162" i="31"/>
  <c r="C103" i="31"/>
  <c r="F66" i="31" s="1"/>
  <c r="G67" i="31" s="1"/>
  <c r="C102" i="31"/>
  <c r="C105" i="31"/>
  <c r="C100" i="31"/>
  <c r="C108" i="31"/>
  <c r="G51" i="31"/>
  <c r="C107" i="31"/>
  <c r="C101" i="31"/>
  <c r="C104" i="31"/>
  <c r="C99" i="31"/>
  <c r="C168" i="31"/>
  <c r="C165" i="31"/>
  <c r="C164" i="31"/>
  <c r="C166" i="31"/>
  <c r="AQ58" i="26"/>
  <c r="C171" i="31"/>
  <c r="C131" i="31"/>
  <c r="C132" i="31"/>
  <c r="C170" i="31"/>
  <c r="G74" i="31" l="1"/>
  <c r="F72" i="31"/>
  <c r="G73" i="31" s="1"/>
  <c r="G65" i="31"/>
  <c r="F63" i="31"/>
  <c r="G64" i="31" s="1"/>
  <c r="G71" i="31"/>
  <c r="F69" i="31"/>
  <c r="G70" i="31" s="1"/>
  <c r="G62" i="31"/>
  <c r="G60" i="31" s="1"/>
  <c r="F60" i="31"/>
  <c r="G61" i="31" s="1"/>
  <c r="G50" i="31"/>
  <c r="G48" i="31" s="1"/>
  <c r="F48" i="31"/>
  <c r="G49" i="31" s="1"/>
  <c r="G56" i="31"/>
  <c r="H56" i="31" s="1"/>
  <c r="F54" i="31"/>
  <c r="G55" i="31" s="1"/>
  <c r="G77" i="31"/>
  <c r="F75" i="31"/>
  <c r="G76" i="31" s="1"/>
  <c r="G80" i="31"/>
  <c r="F78" i="31"/>
  <c r="G79" i="31" s="1"/>
  <c r="FC27" i="31"/>
  <c r="FD27" i="31"/>
  <c r="FJ27" i="31"/>
  <c r="FK27" i="31"/>
  <c r="FQ27" i="31"/>
  <c r="FR27" i="31"/>
  <c r="FX27" i="31"/>
  <c r="FY27" i="31"/>
  <c r="GE27" i="31"/>
  <c r="GF27" i="31"/>
  <c r="G83" i="31"/>
  <c r="F81" i="31"/>
  <c r="G82" i="31" s="1"/>
  <c r="G81" i="31" s="1"/>
  <c r="H82" i="31" s="1"/>
  <c r="G59" i="31"/>
  <c r="F57" i="31"/>
  <c r="G58" i="31" s="1"/>
  <c r="G72" i="31"/>
  <c r="H73" i="31" s="1"/>
  <c r="H74" i="31"/>
  <c r="H83" i="31"/>
  <c r="G78" i="31"/>
  <c r="H80" i="31"/>
  <c r="G75" i="31"/>
  <c r="H77" i="31"/>
  <c r="G69" i="31"/>
  <c r="H70" i="31" s="1"/>
  <c r="H71" i="31"/>
  <c r="G57" i="31"/>
  <c r="H59" i="31"/>
  <c r="F36" i="31"/>
  <c r="G68" i="31"/>
  <c r="G63" i="31"/>
  <c r="H64" i="31" s="1"/>
  <c r="H65" i="31"/>
  <c r="H53" i="31"/>
  <c r="H52" i="31"/>
  <c r="F41" i="31"/>
  <c r="F32" i="31"/>
  <c r="F34" i="31"/>
  <c r="F31" i="31"/>
  <c r="F33" i="31"/>
  <c r="F35" i="31"/>
  <c r="F39" i="31"/>
  <c r="G37" i="31"/>
  <c r="F37" i="31"/>
  <c r="F40" i="31"/>
  <c r="F38" i="31"/>
  <c r="F30" i="31"/>
  <c r="M27" i="31"/>
  <c r="T27" i="31"/>
  <c r="AA27" i="31"/>
  <c r="H27" i="31"/>
  <c r="I27" i="31"/>
  <c r="J27" i="31"/>
  <c r="K27" i="31"/>
  <c r="N27" i="31"/>
  <c r="O27" i="31"/>
  <c r="P27" i="31"/>
  <c r="Q27" i="31"/>
  <c r="R27" i="31"/>
  <c r="U27" i="31"/>
  <c r="V27" i="31"/>
  <c r="W27" i="31"/>
  <c r="X27" i="31"/>
  <c r="Y27" i="31"/>
  <c r="AB27" i="31"/>
  <c r="AC27" i="31"/>
  <c r="AF27" i="31"/>
  <c r="FB27" i="31"/>
  <c r="FE27" i="31"/>
  <c r="FF27" i="31"/>
  <c r="FG27" i="31"/>
  <c r="FH27" i="31"/>
  <c r="FI27" i="31"/>
  <c r="FL27" i="31"/>
  <c r="FM27" i="31"/>
  <c r="FN27" i="31"/>
  <c r="FO27" i="31"/>
  <c r="FP27" i="31"/>
  <c r="FS27" i="31"/>
  <c r="FT27" i="31"/>
  <c r="FU27" i="31"/>
  <c r="FV27" i="31"/>
  <c r="FW27" i="31"/>
  <c r="FZ27" i="31"/>
  <c r="GA27" i="31"/>
  <c r="GB27" i="31"/>
  <c r="GC27" i="31"/>
  <c r="GD27" i="31"/>
  <c r="E6" i="4"/>
  <c r="C143" i="31"/>
  <c r="H99" i="31"/>
  <c r="C119" i="31"/>
  <c r="H97" i="31"/>
  <c r="C128" i="31"/>
  <c r="H98" i="31"/>
  <c r="H100" i="31"/>
  <c r="C122" i="31"/>
  <c r="C121" i="31"/>
  <c r="C117" i="31"/>
  <c r="C113" i="31"/>
  <c r="C127" i="31"/>
  <c r="C125" i="31"/>
  <c r="C134" i="31"/>
  <c r="C129" i="31"/>
  <c r="C133" i="31"/>
  <c r="C139" i="31"/>
  <c r="C144" i="31"/>
  <c r="C135" i="31"/>
  <c r="C136" i="31"/>
  <c r="C141" i="31"/>
  <c r="C140" i="31"/>
  <c r="C147" i="31"/>
  <c r="C145" i="31"/>
  <c r="C146" i="31"/>
  <c r="C142" i="31"/>
  <c r="C138" i="31"/>
  <c r="C123" i="31"/>
  <c r="C126" i="31"/>
  <c r="BQ57" i="26"/>
  <c r="AW57" i="26" s="1"/>
  <c r="C118" i="31"/>
  <c r="C112" i="31"/>
  <c r="C120" i="31"/>
  <c r="C110" i="31"/>
  <c r="C114" i="31"/>
  <c r="C115" i="31"/>
  <c r="C109" i="31"/>
  <c r="C116" i="31"/>
  <c r="C130" i="31"/>
  <c r="C151" i="31"/>
  <c r="C149" i="31"/>
  <c r="C158" i="31"/>
  <c r="C157" i="31"/>
  <c r="C156" i="31"/>
  <c r="C155" i="31"/>
  <c r="C159" i="31"/>
  <c r="C154" i="31"/>
  <c r="C148" i="31"/>
  <c r="C160" i="31"/>
  <c r="C152" i="31"/>
  <c r="C153" i="31"/>
  <c r="H79" i="31" l="1"/>
  <c r="H49" i="31"/>
  <c r="H61" i="31"/>
  <c r="H58" i="31"/>
  <c r="G54" i="31"/>
  <c r="H55" i="31" s="1"/>
  <c r="BP27" i="31"/>
  <c r="BW27" i="31"/>
  <c r="CD27" i="31"/>
  <c r="CK27" i="31"/>
  <c r="CR27" i="31"/>
  <c r="H50" i="31"/>
  <c r="H48" i="31" s="1"/>
  <c r="I49" i="31" s="1"/>
  <c r="H62" i="31"/>
  <c r="H60" i="31" s="1"/>
  <c r="I61" i="31" s="1"/>
  <c r="EA27" i="31"/>
  <c r="EH27" i="31"/>
  <c r="EO27" i="31"/>
  <c r="EV27" i="31"/>
  <c r="EW27" i="31"/>
  <c r="AN27" i="31"/>
  <c r="AU27" i="31"/>
  <c r="BB27" i="31"/>
  <c r="BI27" i="31"/>
  <c r="CY27" i="31"/>
  <c r="DF27" i="31"/>
  <c r="DM27" i="31"/>
  <c r="DT27" i="31"/>
  <c r="H76" i="31"/>
  <c r="AK45" i="31"/>
  <c r="AL46" i="31" s="1"/>
  <c r="AL47" i="31"/>
  <c r="H72" i="31"/>
  <c r="I73" i="31" s="1"/>
  <c r="I74" i="31"/>
  <c r="I83" i="31"/>
  <c r="H81" i="31"/>
  <c r="I82" i="31" s="1"/>
  <c r="I80" i="31"/>
  <c r="H78" i="31"/>
  <c r="I79" i="31" s="1"/>
  <c r="H75" i="31"/>
  <c r="I77" i="31"/>
  <c r="H69" i="31"/>
  <c r="I70" i="31" s="1"/>
  <c r="I71" i="31"/>
  <c r="H57" i="31"/>
  <c r="I59" i="31"/>
  <c r="H54" i="31"/>
  <c r="I55" i="31" s="1"/>
  <c r="I56" i="31"/>
  <c r="G66" i="31"/>
  <c r="H67" i="31" s="1"/>
  <c r="H68" i="31"/>
  <c r="H63" i="31"/>
  <c r="I64" i="31" s="1"/>
  <c r="I65" i="31"/>
  <c r="H51" i="31"/>
  <c r="I52" i="31" s="1"/>
  <c r="I53" i="31"/>
  <c r="G32" i="31"/>
  <c r="I29" i="31"/>
  <c r="H29" i="31"/>
  <c r="G31" i="31"/>
  <c r="G35" i="31"/>
  <c r="H41" i="31"/>
  <c r="H37" i="31"/>
  <c r="H31" i="31"/>
  <c r="G41" i="31"/>
  <c r="G39" i="31"/>
  <c r="G33" i="31"/>
  <c r="G34" i="31"/>
  <c r="G38" i="31"/>
  <c r="G40" i="31"/>
  <c r="G36" i="31"/>
  <c r="H38" i="31"/>
  <c r="H40" i="31"/>
  <c r="H39" i="31"/>
  <c r="H35" i="31"/>
  <c r="H33" i="31"/>
  <c r="H34" i="31"/>
  <c r="H32" i="31"/>
  <c r="BJ27" i="31"/>
  <c r="BQ27" i="31"/>
  <c r="BX27" i="31"/>
  <c r="CE27" i="31"/>
  <c r="CL27" i="31"/>
  <c r="AH27" i="31"/>
  <c r="AO27" i="31"/>
  <c r="AV27" i="31"/>
  <c r="BC27" i="31"/>
  <c r="CS27" i="31"/>
  <c r="CZ27" i="31"/>
  <c r="DG27" i="31"/>
  <c r="DN27" i="31"/>
  <c r="DU27" i="31"/>
  <c r="EB27" i="31"/>
  <c r="EI27" i="31"/>
  <c r="EP27" i="31"/>
  <c r="AJ27" i="31"/>
  <c r="AD27" i="31"/>
  <c r="AI27" i="31"/>
  <c r="AE27" i="31"/>
  <c r="AK27" i="31"/>
  <c r="AL27" i="31"/>
  <c r="AM27" i="31"/>
  <c r="AP27" i="31"/>
  <c r="AQ27" i="31"/>
  <c r="AR27" i="31"/>
  <c r="AS27" i="31"/>
  <c r="AT27" i="31"/>
  <c r="AW27" i="31"/>
  <c r="AX27" i="31"/>
  <c r="AY27" i="31"/>
  <c r="AZ27" i="31"/>
  <c r="BA27" i="31"/>
  <c r="BD27" i="31"/>
  <c r="BE27" i="31"/>
  <c r="BF27" i="31"/>
  <c r="BG27" i="31"/>
  <c r="BH27" i="31"/>
  <c r="BK27" i="31"/>
  <c r="BL27" i="31"/>
  <c r="BM27" i="31"/>
  <c r="BN27" i="31"/>
  <c r="BO27" i="31"/>
  <c r="BR27" i="31"/>
  <c r="BS27" i="31"/>
  <c r="BT27" i="31"/>
  <c r="BU27" i="31"/>
  <c r="BV27" i="31"/>
  <c r="BY27" i="31"/>
  <c r="BZ27" i="31"/>
  <c r="CA27" i="31"/>
  <c r="CB27" i="31"/>
  <c r="CC27" i="31"/>
  <c r="CF27" i="31"/>
  <c r="CG27" i="31"/>
  <c r="CH27" i="31"/>
  <c r="CI27" i="31"/>
  <c r="CJ27" i="31"/>
  <c r="CM27" i="31"/>
  <c r="CN27" i="31"/>
  <c r="CO27" i="31"/>
  <c r="CP27" i="31"/>
  <c r="CQ27" i="31"/>
  <c r="DY27" i="31"/>
  <c r="DZ27" i="31"/>
  <c r="EC27" i="31"/>
  <c r="ED27" i="31"/>
  <c r="EE27" i="31"/>
  <c r="EF27" i="31"/>
  <c r="EG27" i="31"/>
  <c r="EJ27" i="31"/>
  <c r="EK27" i="31"/>
  <c r="EL27" i="31"/>
  <c r="EM27" i="31"/>
  <c r="EN27" i="31"/>
  <c r="EQ27" i="31"/>
  <c r="ER27" i="31"/>
  <c r="ES27" i="31"/>
  <c r="ET27" i="31"/>
  <c r="EU27" i="31"/>
  <c r="EX27" i="31"/>
  <c r="EY27" i="31"/>
  <c r="EZ27" i="31"/>
  <c r="FA27" i="31"/>
  <c r="CT27" i="31"/>
  <c r="CU27" i="31"/>
  <c r="CV27" i="31"/>
  <c r="CW27" i="31"/>
  <c r="CX27" i="31"/>
  <c r="DA27" i="31"/>
  <c r="DB27" i="31"/>
  <c r="DC27" i="31"/>
  <c r="DD27" i="31"/>
  <c r="DE27" i="31"/>
  <c r="DH27" i="31"/>
  <c r="DI27" i="31"/>
  <c r="DJ27" i="31"/>
  <c r="DK27" i="31"/>
  <c r="DL27" i="31"/>
  <c r="DO27" i="31"/>
  <c r="DP27" i="31"/>
  <c r="DQ27" i="31"/>
  <c r="DR27" i="31"/>
  <c r="DS27" i="31"/>
  <c r="DV27" i="31"/>
  <c r="DW27" i="31"/>
  <c r="DX27" i="31"/>
  <c r="AQ57" i="26"/>
  <c r="AL53" i="26"/>
  <c r="AG53" i="26"/>
  <c r="I58" i="31" l="1"/>
  <c r="I50" i="31"/>
  <c r="I62" i="31"/>
  <c r="I76" i="31"/>
  <c r="I72" i="31"/>
  <c r="J73" i="31" s="1"/>
  <c r="J74" i="31"/>
  <c r="AL45" i="31"/>
  <c r="AM46" i="31" s="1"/>
  <c r="AM47" i="31"/>
  <c r="J83" i="31"/>
  <c r="I81" i="31"/>
  <c r="J82" i="31" s="1"/>
  <c r="I78" i="31"/>
  <c r="J79" i="31" s="1"/>
  <c r="J80" i="31"/>
  <c r="I75" i="31"/>
  <c r="J76" i="31" s="1"/>
  <c r="J77" i="31"/>
  <c r="I69" i="31"/>
  <c r="J70" i="31" s="1"/>
  <c r="J71" i="31"/>
  <c r="I60" i="31"/>
  <c r="J61" i="31" s="1"/>
  <c r="J62" i="31"/>
  <c r="J59" i="31"/>
  <c r="I57" i="31"/>
  <c r="J58" i="31" s="1"/>
  <c r="I54" i="31"/>
  <c r="J55" i="31" s="1"/>
  <c r="J56" i="31"/>
  <c r="H66" i="31"/>
  <c r="I67" i="31" s="1"/>
  <c r="I68" i="31"/>
  <c r="I63" i="31"/>
  <c r="J65" i="31"/>
  <c r="J64" i="31"/>
  <c r="I51" i="31"/>
  <c r="J52" i="31" s="1"/>
  <c r="J53" i="31"/>
  <c r="I48" i="31"/>
  <c r="J49" i="31" s="1"/>
  <c r="J50" i="31"/>
  <c r="H30" i="31"/>
  <c r="G30" i="31"/>
  <c r="C27" i="31"/>
  <c r="I31" i="31"/>
  <c r="I32" i="31"/>
  <c r="I33" i="31"/>
  <c r="I35" i="31"/>
  <c r="I39" i="31"/>
  <c r="I40" i="31"/>
  <c r="I38" i="31"/>
  <c r="H36" i="31"/>
  <c r="I34" i="31"/>
  <c r="J29" i="31"/>
  <c r="F43" i="31"/>
  <c r="F42" i="31"/>
  <c r="W53" i="26"/>
  <c r="AW53" i="26"/>
  <c r="AB53" i="26"/>
  <c r="M53" i="26"/>
  <c r="R53" i="26"/>
  <c r="F44" i="31"/>
  <c r="AM45" i="31" l="1"/>
  <c r="AN46" i="31" s="1"/>
  <c r="AN47" i="31"/>
  <c r="J72" i="31"/>
  <c r="K73" i="31" s="1"/>
  <c r="K74" i="31"/>
  <c r="J81" i="31"/>
  <c r="K82" i="31" s="1"/>
  <c r="K83" i="31"/>
  <c r="J78" i="31"/>
  <c r="K79" i="31" s="1"/>
  <c r="K80" i="31"/>
  <c r="K77" i="31"/>
  <c r="J75" i="31"/>
  <c r="K76" i="31" s="1"/>
  <c r="J69" i="31"/>
  <c r="K70" i="31" s="1"/>
  <c r="K71" i="31"/>
  <c r="J60" i="31"/>
  <c r="K61" i="31" s="1"/>
  <c r="K62" i="31"/>
  <c r="J57" i="31"/>
  <c r="K58" i="31" s="1"/>
  <c r="K59" i="31"/>
  <c r="J54" i="31"/>
  <c r="K55" i="31" s="1"/>
  <c r="K56" i="31"/>
  <c r="J68" i="31"/>
  <c r="I66" i="31"/>
  <c r="J67" i="31" s="1"/>
  <c r="J63" i="31"/>
  <c r="K64" i="31" s="1"/>
  <c r="K65" i="31"/>
  <c r="J51" i="31"/>
  <c r="K52" i="31" s="1"/>
  <c r="K53" i="31"/>
  <c r="J48" i="31"/>
  <c r="K49" i="31" s="1"/>
  <c r="K50" i="31"/>
  <c r="I41" i="31"/>
  <c r="I37" i="31"/>
  <c r="I30" i="31"/>
  <c r="J31" i="31"/>
  <c r="J34" i="31"/>
  <c r="J37" i="31"/>
  <c r="I36" i="31"/>
  <c r="J38" i="31"/>
  <c r="J41" i="31"/>
  <c r="J40" i="31"/>
  <c r="J39" i="31"/>
  <c r="J35" i="31"/>
  <c r="J33" i="31"/>
  <c r="J32" i="31"/>
  <c r="AQ53" i="26"/>
  <c r="AQ54" i="26"/>
  <c r="E7" i="4" s="1"/>
  <c r="E8" i="4" s="1"/>
  <c r="AK46" i="4" s="1"/>
  <c r="R54" i="26"/>
  <c r="W54" i="26"/>
  <c r="AW54" i="26"/>
  <c r="AZ44" i="26" s="1"/>
  <c r="AZ4" i="26" s="1"/>
  <c r="AS119" i="25" s="1"/>
  <c r="AL54" i="26"/>
  <c r="M54" i="26"/>
  <c r="AB54" i="26"/>
  <c r="AG54" i="26"/>
  <c r="G44" i="31"/>
  <c r="K29" i="31"/>
  <c r="G43" i="31"/>
  <c r="G42" i="31"/>
  <c r="AO47" i="31" l="1"/>
  <c r="AN45" i="31"/>
  <c r="AO46" i="31"/>
  <c r="L74" i="31"/>
  <c r="K72" i="31"/>
  <c r="L73" i="31" s="1"/>
  <c r="K81" i="31"/>
  <c r="L82" i="31" s="1"/>
  <c r="L83" i="31"/>
  <c r="K78" i="31"/>
  <c r="L79" i="31" s="1"/>
  <c r="L80" i="31"/>
  <c r="K75" i="31"/>
  <c r="L76" i="31" s="1"/>
  <c r="L77" i="31"/>
  <c r="K69" i="31"/>
  <c r="L70" i="31" s="1"/>
  <c r="L71" i="31"/>
  <c r="K60" i="31"/>
  <c r="L61" i="31" s="1"/>
  <c r="L62" i="31"/>
  <c r="L59" i="31"/>
  <c r="K57" i="31"/>
  <c r="L58" i="31" s="1"/>
  <c r="K54" i="31"/>
  <c r="L55" i="31" s="1"/>
  <c r="L56" i="31"/>
  <c r="J66" i="31"/>
  <c r="K67" i="31" s="1"/>
  <c r="K68" i="31"/>
  <c r="K63" i="31"/>
  <c r="L64" i="31" s="1"/>
  <c r="L65" i="31"/>
  <c r="K51" i="31"/>
  <c r="L52" i="31" s="1"/>
  <c r="L53" i="31"/>
  <c r="L50" i="31"/>
  <c r="K48" i="31"/>
  <c r="L49" i="31" s="1"/>
  <c r="J30" i="31"/>
  <c r="K31" i="31"/>
  <c r="U76" i="29"/>
  <c r="K32" i="31"/>
  <c r="K33" i="31"/>
  <c r="K35" i="31"/>
  <c r="K39" i="31"/>
  <c r="K40" i="31"/>
  <c r="K41" i="31"/>
  <c r="K38" i="31"/>
  <c r="J36" i="31"/>
  <c r="K37" i="31"/>
  <c r="K34" i="31"/>
  <c r="O28" i="12"/>
  <c r="R28" i="12" s="1"/>
  <c r="B44" i="26"/>
  <c r="H44" i="31"/>
  <c r="H42" i="31"/>
  <c r="H43" i="31"/>
  <c r="M80" i="31" l="1"/>
  <c r="L78" i="31"/>
  <c r="M79" i="31"/>
  <c r="M56" i="31"/>
  <c r="L54" i="31"/>
  <c r="M83" i="31"/>
  <c r="L81" i="31"/>
  <c r="M55" i="31"/>
  <c r="M82" i="31"/>
  <c r="M59" i="31"/>
  <c r="L57" i="31"/>
  <c r="M58" i="31" s="1"/>
  <c r="M62" i="31"/>
  <c r="L60" i="31"/>
  <c r="M64" i="31"/>
  <c r="M50" i="31"/>
  <c r="L48" i="31"/>
  <c r="M49" i="31" s="1"/>
  <c r="M61" i="31"/>
  <c r="M74" i="31"/>
  <c r="L72" i="31"/>
  <c r="M73" i="31" s="1"/>
  <c r="M53" i="31"/>
  <c r="L51" i="31"/>
  <c r="M52" i="31" s="1"/>
  <c r="M71" i="31"/>
  <c r="L69" i="31"/>
  <c r="M70" i="31" s="1"/>
  <c r="M65" i="31"/>
  <c r="L63" i="31"/>
  <c r="M77" i="31"/>
  <c r="L75" i="31"/>
  <c r="M76" i="31" s="1"/>
  <c r="AP47" i="31"/>
  <c r="AO45" i="31"/>
  <c r="AP46" i="31" s="1"/>
  <c r="L68" i="31"/>
  <c r="K66" i="31"/>
  <c r="L67" i="31" s="1"/>
  <c r="K30" i="31"/>
  <c r="P26" i="12"/>
  <c r="P34" i="12" s="1"/>
  <c r="P32" i="12"/>
  <c r="M30" i="31"/>
  <c r="N34" i="31"/>
  <c r="M34" i="31"/>
  <c r="M37" i="31"/>
  <c r="M38" i="31"/>
  <c r="M41" i="31"/>
  <c r="N40" i="31"/>
  <c r="M40" i="31"/>
  <c r="N39" i="31"/>
  <c r="M39" i="31"/>
  <c r="M35" i="31"/>
  <c r="N33" i="31"/>
  <c r="M33" i="31"/>
  <c r="M31" i="31"/>
  <c r="N32" i="31"/>
  <c r="M32" i="31"/>
  <c r="AE28" i="12"/>
  <c r="O32" i="12"/>
  <c r="AV175" i="4"/>
  <c r="AW175" i="4" s="1"/>
  <c r="T2" i="4" s="1"/>
  <c r="I43" i="31"/>
  <c r="I44" i="31"/>
  <c r="I42" i="31"/>
  <c r="N73" i="31" l="1"/>
  <c r="N59" i="31"/>
  <c r="M57" i="31"/>
  <c r="N74" i="31"/>
  <c r="M72" i="31"/>
  <c r="M68" i="31"/>
  <c r="L66" i="31"/>
  <c r="M67" i="31" s="1"/>
  <c r="N65" i="31"/>
  <c r="M63" i="31"/>
  <c r="N64" i="31" s="1"/>
  <c r="N50" i="31"/>
  <c r="M48" i="31"/>
  <c r="N49" i="31" s="1"/>
  <c r="N83" i="31"/>
  <c r="M81" i="31"/>
  <c r="N56" i="31"/>
  <c r="M54" i="31"/>
  <c r="N55" i="31" s="1"/>
  <c r="N82" i="31"/>
  <c r="N77" i="31"/>
  <c r="M75" i="31"/>
  <c r="N76" i="31" s="1"/>
  <c r="N62" i="31"/>
  <c r="M60" i="31"/>
  <c r="N61" i="31" s="1"/>
  <c r="N53" i="31"/>
  <c r="M51" i="31"/>
  <c r="N52" i="31" s="1"/>
  <c r="AP45" i="31"/>
  <c r="AQ46" i="31" s="1"/>
  <c r="AQ47" i="31"/>
  <c r="N71" i="31"/>
  <c r="M69" i="31"/>
  <c r="N70" i="31" s="1"/>
  <c r="N80" i="31"/>
  <c r="M78" i="31"/>
  <c r="N79" i="31" s="1"/>
  <c r="N58" i="31"/>
  <c r="N29" i="31"/>
  <c r="P30" i="12"/>
  <c r="AT80" i="29"/>
  <c r="O35" i="12"/>
  <c r="D12" i="1" s="1"/>
  <c r="O30" i="12"/>
  <c r="P35" i="12"/>
  <c r="O34" i="12"/>
  <c r="O31" i="12"/>
  <c r="P31" i="12"/>
  <c r="N38" i="31"/>
  <c r="O39" i="31"/>
  <c r="O35" i="31"/>
  <c r="N35" i="31"/>
  <c r="N41" i="31"/>
  <c r="N37" i="31"/>
  <c r="O41" i="31"/>
  <c r="O38" i="31"/>
  <c r="AX175" i="4"/>
  <c r="AE32" i="12"/>
  <c r="S9" i="1"/>
  <c r="D9" i="1"/>
  <c r="J42" i="31"/>
  <c r="J44" i="31"/>
  <c r="P9" i="1" l="1"/>
  <c r="N9" i="1"/>
  <c r="L9" i="1"/>
  <c r="I32" i="12" s="1"/>
  <c r="AH32" i="12" s="1"/>
  <c r="AR47" i="31"/>
  <c r="AQ45" i="31"/>
  <c r="AR46" i="31" s="1"/>
  <c r="N54" i="31"/>
  <c r="O55" i="31" s="1"/>
  <c r="O56" i="31"/>
  <c r="N51" i="31"/>
  <c r="O52" i="31" s="1"/>
  <c r="O53" i="31"/>
  <c r="O74" i="31"/>
  <c r="N72" i="31"/>
  <c r="O73" i="31" s="1"/>
  <c r="N78" i="31"/>
  <c r="O79" i="31" s="1"/>
  <c r="O80" i="31"/>
  <c r="N81" i="31"/>
  <c r="O82" i="31" s="1"/>
  <c r="O83" i="31"/>
  <c r="O62" i="31"/>
  <c r="N60" i="31"/>
  <c r="O61" i="31" s="1"/>
  <c r="N57" i="31"/>
  <c r="O58" i="31" s="1"/>
  <c r="O59" i="31"/>
  <c r="O71" i="31"/>
  <c r="N69" i="31"/>
  <c r="O70" i="31" s="1"/>
  <c r="P12" i="1"/>
  <c r="M35" i="12" s="1"/>
  <c r="AJ35" i="12" s="1"/>
  <c r="N12" i="1"/>
  <c r="K35" i="12" s="1"/>
  <c r="AI35" i="12" s="1"/>
  <c r="L12" i="1"/>
  <c r="I35" i="12" s="1"/>
  <c r="AH35" i="12" s="1"/>
  <c r="N48" i="31"/>
  <c r="O49" i="31" s="1"/>
  <c r="O50" i="31"/>
  <c r="N68" i="31"/>
  <c r="M66" i="31"/>
  <c r="N67" i="31" s="1"/>
  <c r="N75" i="31"/>
  <c r="O76" i="31" s="1"/>
  <c r="O77" i="31"/>
  <c r="N63" i="31"/>
  <c r="O64" i="31" s="1"/>
  <c r="O65" i="31"/>
  <c r="C12" i="1"/>
  <c r="G12" i="1" s="1"/>
  <c r="AE30" i="12"/>
  <c r="D7" i="1"/>
  <c r="N7" i="1" s="1"/>
  <c r="K30" i="12" s="1"/>
  <c r="AI30" i="12" s="1"/>
  <c r="S7" i="1"/>
  <c r="AE34" i="12"/>
  <c r="D11" i="1"/>
  <c r="L11" i="1" s="1"/>
  <c r="O37" i="31"/>
  <c r="N31" i="31"/>
  <c r="O30" i="31"/>
  <c r="N30" i="31"/>
  <c r="O29" i="31"/>
  <c r="E12" i="1"/>
  <c r="H12" i="1" s="1"/>
  <c r="AE35" i="12"/>
  <c r="I12" i="1"/>
  <c r="AE31" i="12"/>
  <c r="S12" i="1"/>
  <c r="S11" i="1"/>
  <c r="S8" i="1"/>
  <c r="D8" i="1"/>
  <c r="C8" i="1" s="1"/>
  <c r="G8" i="1" s="1"/>
  <c r="O40" i="31"/>
  <c r="O32" i="31"/>
  <c r="O34" i="31"/>
  <c r="O33" i="31"/>
  <c r="J43" i="31"/>
  <c r="P34" i="31"/>
  <c r="P37" i="31"/>
  <c r="P38" i="31"/>
  <c r="P41" i="31"/>
  <c r="P40" i="31"/>
  <c r="P33" i="31"/>
  <c r="P32" i="31"/>
  <c r="K36" i="31"/>
  <c r="M36" i="31"/>
  <c r="E9" i="1"/>
  <c r="F9" i="1" s="1"/>
  <c r="G11" i="2" s="1"/>
  <c r="C9" i="1"/>
  <c r="G9" i="1" s="1"/>
  <c r="K32" i="12"/>
  <c r="AI32" i="12" s="1"/>
  <c r="M32" i="12"/>
  <c r="AJ32" i="12" s="1"/>
  <c r="H9" i="1"/>
  <c r="I9" i="1"/>
  <c r="K42" i="31"/>
  <c r="K44" i="31"/>
  <c r="P7" i="1" l="1"/>
  <c r="M30" i="12" s="1"/>
  <c r="AJ30" i="12" s="1"/>
  <c r="L7" i="1"/>
  <c r="C7" i="1"/>
  <c r="G7" i="1" s="1"/>
  <c r="I7" i="1"/>
  <c r="H7" i="1"/>
  <c r="E7" i="1"/>
  <c r="F7" i="1" s="1"/>
  <c r="G7" i="2" s="1"/>
  <c r="P74" i="31"/>
  <c r="O72" i="31"/>
  <c r="P73" i="31" s="1"/>
  <c r="O51" i="31"/>
  <c r="P52" i="31" s="1"/>
  <c r="P53" i="31"/>
  <c r="P50" i="31"/>
  <c r="O48" i="31"/>
  <c r="P49" i="31" s="1"/>
  <c r="O63" i="31"/>
  <c r="P64" i="31" s="1"/>
  <c r="P65" i="31"/>
  <c r="O69" i="31"/>
  <c r="P70" i="31" s="1"/>
  <c r="P71" i="31"/>
  <c r="O57" i="31"/>
  <c r="P58" i="31" s="1"/>
  <c r="P59" i="31"/>
  <c r="P56" i="31"/>
  <c r="O54" i="31"/>
  <c r="P55" i="31" s="1"/>
  <c r="P77" i="31"/>
  <c r="O75" i="31"/>
  <c r="P76" i="31" s="1"/>
  <c r="O60" i="31"/>
  <c r="P61" i="31" s="1"/>
  <c r="P62" i="31"/>
  <c r="AR45" i="31"/>
  <c r="AS46" i="31" s="1"/>
  <c r="AS47" i="31"/>
  <c r="O78" i="31"/>
  <c r="P79" i="31" s="1"/>
  <c r="P80" i="31"/>
  <c r="O68" i="31"/>
  <c r="N66" i="31"/>
  <c r="O67" i="31" s="1"/>
  <c r="P83" i="31"/>
  <c r="O81" i="31"/>
  <c r="P82" i="31" s="1"/>
  <c r="J12" i="1"/>
  <c r="C17" i="2" s="1"/>
  <c r="E17" i="2" s="1"/>
  <c r="F17" i="2" s="1"/>
  <c r="F12" i="1"/>
  <c r="G17" i="2" s="1"/>
  <c r="I11" i="1"/>
  <c r="H11" i="1"/>
  <c r="J11" i="1" s="1"/>
  <c r="C15" i="2" s="1"/>
  <c r="E15" i="2" s="1"/>
  <c r="F15" i="2" s="1"/>
  <c r="P11" i="1"/>
  <c r="M34" i="12" s="1"/>
  <c r="AJ34" i="12" s="1"/>
  <c r="C11" i="1"/>
  <c r="G11" i="1" s="1"/>
  <c r="N11" i="1"/>
  <c r="K34" i="12" s="1"/>
  <c r="AI34" i="12" s="1"/>
  <c r="E11" i="1"/>
  <c r="F11" i="1" s="1"/>
  <c r="G15" i="2" s="1"/>
  <c r="I34" i="12"/>
  <c r="P39" i="31"/>
  <c r="P35" i="31"/>
  <c r="P31" i="31"/>
  <c r="O31" i="31"/>
  <c r="P29" i="31"/>
  <c r="P30" i="31"/>
  <c r="AF35" i="12"/>
  <c r="AG35" i="12"/>
  <c r="I8" i="1"/>
  <c r="E8" i="1"/>
  <c r="F8" i="1" s="1"/>
  <c r="G9" i="2" s="1"/>
  <c r="N8" i="1"/>
  <c r="K31" i="12" s="1"/>
  <c r="AI31" i="12" s="1"/>
  <c r="P8" i="1"/>
  <c r="M31" i="12" s="1"/>
  <c r="AJ31" i="12" s="1"/>
  <c r="L8" i="1"/>
  <c r="I31" i="12" s="1"/>
  <c r="AH31" i="12" s="1"/>
  <c r="H8" i="1"/>
  <c r="J7" i="1"/>
  <c r="C7" i="2" s="1"/>
  <c r="E7" i="2" s="1"/>
  <c r="I30" i="12"/>
  <c r="AF30" i="12" s="1"/>
  <c r="Q31" i="31"/>
  <c r="AG32" i="12"/>
  <c r="K43" i="31"/>
  <c r="AF32" i="12"/>
  <c r="Q32" i="31"/>
  <c r="Q33" i="31"/>
  <c r="Q35" i="31"/>
  <c r="Q39" i="31"/>
  <c r="Q40" i="31"/>
  <c r="Q41" i="31"/>
  <c r="Q38" i="31"/>
  <c r="Q37" i="31"/>
  <c r="Q34" i="31"/>
  <c r="J9" i="1"/>
  <c r="C11" i="2" s="1"/>
  <c r="E11" i="2" s="1"/>
  <c r="F11" i="2" s="1"/>
  <c r="H11" i="2" s="1"/>
  <c r="I11" i="2" s="1"/>
  <c r="J11" i="2" s="1"/>
  <c r="M12" i="2" s="1"/>
  <c r="AG30" i="12"/>
  <c r="M44" i="31"/>
  <c r="M43" i="31"/>
  <c r="M42" i="31"/>
  <c r="H17" i="2" l="1"/>
  <c r="I17" i="2" s="1"/>
  <c r="J17" i="2" s="1"/>
  <c r="M18" i="2" s="1"/>
  <c r="P57" i="31"/>
  <c r="Q58" i="31" s="1"/>
  <c r="Q59" i="31"/>
  <c r="Q80" i="31"/>
  <c r="P78" i="31"/>
  <c r="Q79" i="31" s="1"/>
  <c r="P63" i="31"/>
  <c r="Q64" i="31" s="1"/>
  <c r="Q65" i="31"/>
  <c r="Q62" i="31"/>
  <c r="P60" i="31"/>
  <c r="Q61" i="31" s="1"/>
  <c r="P48" i="31"/>
  <c r="Q49" i="31" s="1"/>
  <c r="Q50" i="31"/>
  <c r="Q53" i="31"/>
  <c r="P51" i="31"/>
  <c r="Q52" i="31" s="1"/>
  <c r="Q71" i="31"/>
  <c r="P69" i="31"/>
  <c r="Q70" i="31" s="1"/>
  <c r="Q77" i="31"/>
  <c r="P75" i="31"/>
  <c r="Q76" i="31" s="1"/>
  <c r="P68" i="31"/>
  <c r="O66" i="31"/>
  <c r="P67" i="31" s="1"/>
  <c r="AT47" i="31"/>
  <c r="AS45" i="31"/>
  <c r="AT46" i="31" s="1"/>
  <c r="Q83" i="31"/>
  <c r="P81" i="31"/>
  <c r="Q82" i="31" s="1"/>
  <c r="P54" i="31"/>
  <c r="Q55" i="31" s="1"/>
  <c r="Q56" i="31"/>
  <c r="P72" i="31"/>
  <c r="Q73" i="31" s="1"/>
  <c r="Q74" i="31"/>
  <c r="H15" i="2"/>
  <c r="I15" i="2" s="1"/>
  <c r="J15" i="2" s="1"/>
  <c r="M16" i="2" s="1"/>
  <c r="AH34" i="12"/>
  <c r="AF34" i="12"/>
  <c r="AG34" i="12"/>
  <c r="J8" i="1"/>
  <c r="C9" i="2" s="1"/>
  <c r="E9" i="2" s="1"/>
  <c r="F9" i="2" s="1"/>
  <c r="Q29" i="31"/>
  <c r="Q30" i="31"/>
  <c r="H9" i="2"/>
  <c r="I9" i="2" s="1"/>
  <c r="J9" i="2" s="1"/>
  <c r="M10" i="2" s="1"/>
  <c r="AF31" i="12"/>
  <c r="AG31" i="12"/>
  <c r="AH30" i="12"/>
  <c r="R31" i="31"/>
  <c r="R34" i="31"/>
  <c r="R37" i="31"/>
  <c r="R38" i="31"/>
  <c r="R41" i="31"/>
  <c r="R40" i="31"/>
  <c r="R39" i="31"/>
  <c r="R35" i="31"/>
  <c r="R33" i="31"/>
  <c r="R32" i="31"/>
  <c r="N43" i="31"/>
  <c r="O43" i="31"/>
  <c r="O42" i="31"/>
  <c r="O44" i="31"/>
  <c r="F7" i="2"/>
  <c r="R50" i="31" l="1"/>
  <c r="Q48" i="31"/>
  <c r="R49" i="31" s="1"/>
  <c r="R83" i="31"/>
  <c r="Q81" i="31"/>
  <c r="R82" i="31" s="1"/>
  <c r="AT45" i="31"/>
  <c r="AU46" i="31" s="1"/>
  <c r="AU47" i="31"/>
  <c r="R62" i="31"/>
  <c r="Q60" i="31"/>
  <c r="R61" i="31" s="1"/>
  <c r="R53" i="31"/>
  <c r="Q51" i="31"/>
  <c r="R52" i="31" s="1"/>
  <c r="Q63" i="31"/>
  <c r="R64" i="31" s="1"/>
  <c r="R65" i="31"/>
  <c r="Q54" i="31"/>
  <c r="R55" i="31" s="1"/>
  <c r="R56" i="31"/>
  <c r="Q68" i="31"/>
  <c r="P66" i="31"/>
  <c r="Q67" i="31" s="1"/>
  <c r="Q75" i="31"/>
  <c r="R76" i="31" s="1"/>
  <c r="R77" i="31"/>
  <c r="R80" i="31"/>
  <c r="Q78" i="31"/>
  <c r="R79" i="31" s="1"/>
  <c r="Q72" i="31"/>
  <c r="R73" i="31" s="1"/>
  <c r="R74" i="31"/>
  <c r="R59" i="31"/>
  <c r="Q57" i="31"/>
  <c r="R58" i="31" s="1"/>
  <c r="R71" i="31"/>
  <c r="Q69" i="31"/>
  <c r="R70" i="31" s="1"/>
  <c r="R30" i="31"/>
  <c r="T31" i="31"/>
  <c r="N42" i="31"/>
  <c r="N44" i="31"/>
  <c r="U32" i="31"/>
  <c r="T32" i="31"/>
  <c r="U33" i="31"/>
  <c r="T33" i="31"/>
  <c r="U35" i="31"/>
  <c r="T35" i="31"/>
  <c r="U39" i="31"/>
  <c r="T39" i="31"/>
  <c r="U40" i="31"/>
  <c r="T40" i="31"/>
  <c r="U41" i="31"/>
  <c r="T41" i="31"/>
  <c r="U38" i="31"/>
  <c r="T38" i="31"/>
  <c r="U37" i="31"/>
  <c r="T37" i="31"/>
  <c r="U34" i="31"/>
  <c r="T34" i="31"/>
  <c r="P42" i="31"/>
  <c r="H7" i="2"/>
  <c r="S53" i="31" l="1"/>
  <c r="R51" i="31"/>
  <c r="S52" i="31" s="1"/>
  <c r="R78" i="31"/>
  <c r="S79" i="31" s="1"/>
  <c r="S80" i="31"/>
  <c r="S62" i="31"/>
  <c r="R60" i="31"/>
  <c r="S61" i="31" s="1"/>
  <c r="R63" i="31"/>
  <c r="S64" i="31" s="1"/>
  <c r="S65" i="31"/>
  <c r="S77" i="31"/>
  <c r="R75" i="31"/>
  <c r="S76" i="31" s="1"/>
  <c r="AV47" i="31"/>
  <c r="AU45" i="31"/>
  <c r="AV46" i="31" s="1"/>
  <c r="R72" i="31"/>
  <c r="S73" i="31" s="1"/>
  <c r="S74" i="31"/>
  <c r="R68" i="31"/>
  <c r="Q66" i="31"/>
  <c r="R67" i="31" s="1"/>
  <c r="R81" i="31"/>
  <c r="S82" i="31" s="1"/>
  <c r="S83" i="31"/>
  <c r="S56" i="31"/>
  <c r="R54" i="31"/>
  <c r="S55" i="31" s="1"/>
  <c r="R57" i="31"/>
  <c r="S58" i="31" s="1"/>
  <c r="S59" i="31"/>
  <c r="R69" i="31"/>
  <c r="S70" i="31" s="1"/>
  <c r="S71" i="31"/>
  <c r="S50" i="31"/>
  <c r="R48" i="31"/>
  <c r="S49" i="31" s="1"/>
  <c r="T30" i="31"/>
  <c r="V39" i="31"/>
  <c r="U31" i="31"/>
  <c r="V41" i="31"/>
  <c r="V38" i="31"/>
  <c r="P44" i="31"/>
  <c r="P43" i="31"/>
  <c r="N36" i="31"/>
  <c r="Q42" i="31"/>
  <c r="I7" i="2"/>
  <c r="AW46" i="31" l="1"/>
  <c r="AW47" i="31"/>
  <c r="AV45" i="31"/>
  <c r="T77" i="31"/>
  <c r="S75" i="31"/>
  <c r="T65" i="31"/>
  <c r="S63" i="31"/>
  <c r="T64" i="31" s="1"/>
  <c r="T61" i="31"/>
  <c r="T76" i="31"/>
  <c r="T56" i="31"/>
  <c r="S54" i="31"/>
  <c r="T55" i="31" s="1"/>
  <c r="T83" i="31"/>
  <c r="S81" i="31"/>
  <c r="T62" i="31"/>
  <c r="S60" i="31"/>
  <c r="T59" i="31"/>
  <c r="S57" i="31"/>
  <c r="T58" i="31" s="1"/>
  <c r="T82" i="31"/>
  <c r="R66" i="31"/>
  <c r="S67" i="31" s="1"/>
  <c r="S68" i="31"/>
  <c r="T80" i="31"/>
  <c r="S78" i="31"/>
  <c r="T79" i="31" s="1"/>
  <c r="T49" i="31"/>
  <c r="T50" i="31"/>
  <c r="S48" i="31"/>
  <c r="T74" i="31"/>
  <c r="S72" i="31"/>
  <c r="T71" i="31"/>
  <c r="S69" i="31"/>
  <c r="T70" i="31" s="1"/>
  <c r="T73" i="31"/>
  <c r="T53" i="31"/>
  <c r="S51" i="31"/>
  <c r="T52" i="31" s="1"/>
  <c r="V33" i="31"/>
  <c r="V32" i="31"/>
  <c r="V31" i="31"/>
  <c r="U30" i="31"/>
  <c r="V35" i="31"/>
  <c r="V34" i="31"/>
  <c r="V40" i="31"/>
  <c r="W38" i="31"/>
  <c r="V37" i="31"/>
  <c r="Q43" i="31"/>
  <c r="Q44" i="31"/>
  <c r="W33" i="31"/>
  <c r="W35" i="31"/>
  <c r="W40" i="31"/>
  <c r="W37" i="31"/>
  <c r="W34" i="31"/>
  <c r="W32" i="31"/>
  <c r="O36" i="31"/>
  <c r="R44" i="31"/>
  <c r="R43" i="31"/>
  <c r="R42" i="31"/>
  <c r="J7" i="2"/>
  <c r="U64" i="31" l="1"/>
  <c r="T68" i="31"/>
  <c r="S66" i="31"/>
  <c r="U65" i="31"/>
  <c r="T63" i="31"/>
  <c r="U59" i="31"/>
  <c r="T57" i="31"/>
  <c r="U58" i="31" s="1"/>
  <c r="U74" i="31"/>
  <c r="T72" i="31"/>
  <c r="U73" i="31" s="1"/>
  <c r="U50" i="31"/>
  <c r="T48" i="31"/>
  <c r="U49" i="31" s="1"/>
  <c r="U62" i="31"/>
  <c r="T60" i="31"/>
  <c r="U61" i="31" s="1"/>
  <c r="U77" i="31"/>
  <c r="T75" i="31"/>
  <c r="U55" i="31"/>
  <c r="U83" i="31"/>
  <c r="T81" i="31"/>
  <c r="U82" i="31" s="1"/>
  <c r="T67" i="31"/>
  <c r="AW45" i="31"/>
  <c r="AX46" i="31" s="1"/>
  <c r="AX47" i="31"/>
  <c r="U71" i="31"/>
  <c r="T69" i="31"/>
  <c r="U70" i="31" s="1"/>
  <c r="U56" i="31"/>
  <c r="T54" i="31"/>
  <c r="U53" i="31"/>
  <c r="T51" i="31"/>
  <c r="U52" i="31" s="1"/>
  <c r="U80" i="31"/>
  <c r="T78" i="31"/>
  <c r="U79" i="31" s="1"/>
  <c r="U76" i="31"/>
  <c r="W41" i="31"/>
  <c r="W39" i="31"/>
  <c r="W31" i="31"/>
  <c r="R29" i="31"/>
  <c r="X32" i="31"/>
  <c r="X34" i="31"/>
  <c r="X37" i="31"/>
  <c r="X38" i="31"/>
  <c r="X41" i="31"/>
  <c r="X40" i="31"/>
  <c r="X39" i="31"/>
  <c r="X35" i="31"/>
  <c r="X33" i="31"/>
  <c r="P36" i="31"/>
  <c r="T43" i="31"/>
  <c r="T42" i="31"/>
  <c r="M8" i="2"/>
  <c r="U72" i="31" l="1"/>
  <c r="V73" i="31" s="1"/>
  <c r="V74" i="31"/>
  <c r="U51" i="31"/>
  <c r="V52" i="31" s="1"/>
  <c r="V53" i="31"/>
  <c r="U78" i="31"/>
  <c r="V79" i="31" s="1"/>
  <c r="V80" i="31"/>
  <c r="U81" i="31"/>
  <c r="V82" i="31" s="1"/>
  <c r="V83" i="31"/>
  <c r="V56" i="31"/>
  <c r="U54" i="31"/>
  <c r="V55" i="31" s="1"/>
  <c r="U69" i="31"/>
  <c r="V70" i="31" s="1"/>
  <c r="V71" i="31"/>
  <c r="U75" i="31"/>
  <c r="V76" i="31" s="1"/>
  <c r="V77" i="31"/>
  <c r="V65" i="31"/>
  <c r="U63" i="31"/>
  <c r="V64" i="31" s="1"/>
  <c r="U57" i="31"/>
  <c r="V58" i="31" s="1"/>
  <c r="V59" i="31"/>
  <c r="AX45" i="31"/>
  <c r="AY46" i="31" s="1"/>
  <c r="AY47" i="31"/>
  <c r="V62" i="31"/>
  <c r="U60" i="31"/>
  <c r="V61" i="31" s="1"/>
  <c r="U68" i="31"/>
  <c r="T66" i="31"/>
  <c r="U67" i="31" s="1"/>
  <c r="U48" i="31"/>
  <c r="V49" i="31" s="1"/>
  <c r="V50" i="31"/>
  <c r="X31" i="31"/>
  <c r="T29" i="31"/>
  <c r="T44" i="31"/>
  <c r="V30" i="31"/>
  <c r="U42" i="31"/>
  <c r="Y33" i="31"/>
  <c r="Y35" i="31"/>
  <c r="Y39" i="31"/>
  <c r="Y40" i="31"/>
  <c r="Y41" i="31"/>
  <c r="Y38" i="31"/>
  <c r="Y37" i="31"/>
  <c r="Y34" i="31"/>
  <c r="Y32" i="31"/>
  <c r="Q36" i="31"/>
  <c r="U43" i="31"/>
  <c r="V44" i="31"/>
  <c r="V42" i="31"/>
  <c r="V60" i="31" l="1"/>
  <c r="W61" i="31" s="1"/>
  <c r="W62" i="31"/>
  <c r="V54" i="31"/>
  <c r="W55" i="31" s="1"/>
  <c r="W56" i="31"/>
  <c r="U66" i="31"/>
  <c r="V67" i="31" s="1"/>
  <c r="V68" i="31"/>
  <c r="V81" i="31"/>
  <c r="W82" i="31" s="1"/>
  <c r="W83" i="31"/>
  <c r="V57" i="31"/>
  <c r="W58" i="31" s="1"/>
  <c r="W59" i="31"/>
  <c r="W80" i="31"/>
  <c r="V78" i="31"/>
  <c r="W79" i="31" s="1"/>
  <c r="W53" i="31"/>
  <c r="V51" i="31"/>
  <c r="W52" i="31" s="1"/>
  <c r="V69" i="31"/>
  <c r="W70" i="31" s="1"/>
  <c r="W71" i="31"/>
  <c r="AY45" i="31"/>
  <c r="AZ46" i="31" s="1"/>
  <c r="AZ47" i="31"/>
  <c r="W65" i="31"/>
  <c r="V63" i="31"/>
  <c r="W64" i="31" s="1"/>
  <c r="W50" i="31"/>
  <c r="V48" i="31"/>
  <c r="W49" i="31" s="1"/>
  <c r="W77" i="31"/>
  <c r="V75" i="31"/>
  <c r="W76" i="31" s="1"/>
  <c r="V72" i="31"/>
  <c r="W73" i="31" s="1"/>
  <c r="W74" i="31"/>
  <c r="Y31" i="31"/>
  <c r="AA35" i="31"/>
  <c r="AA40" i="31"/>
  <c r="AA34" i="31"/>
  <c r="V43" i="31"/>
  <c r="U44" i="31"/>
  <c r="X30" i="31"/>
  <c r="W30" i="31"/>
  <c r="AB32" i="31"/>
  <c r="AA32" i="31"/>
  <c r="AA37" i="31"/>
  <c r="AA38" i="31"/>
  <c r="AA41" i="31"/>
  <c r="AB39" i="31"/>
  <c r="AA39" i="31"/>
  <c r="AA33" i="31"/>
  <c r="W42" i="31"/>
  <c r="W44" i="31"/>
  <c r="W57" i="31" l="1"/>
  <c r="X58" i="31" s="1"/>
  <c r="X59" i="31"/>
  <c r="X50" i="31"/>
  <c r="W48" i="31"/>
  <c r="X49" i="31" s="1"/>
  <c r="W81" i="31"/>
  <c r="X82" i="31" s="1"/>
  <c r="X83" i="31"/>
  <c r="W63" i="31"/>
  <c r="X64" i="31" s="1"/>
  <c r="X65" i="31"/>
  <c r="AZ45" i="31"/>
  <c r="BA46" i="31" s="1"/>
  <c r="BA47" i="31"/>
  <c r="W68" i="31"/>
  <c r="V66" i="31"/>
  <c r="W67" i="31" s="1"/>
  <c r="W69" i="31"/>
  <c r="X70" i="31" s="1"/>
  <c r="X71" i="31"/>
  <c r="X56" i="31"/>
  <c r="W54" i="31"/>
  <c r="X55" i="31" s="1"/>
  <c r="X77" i="31"/>
  <c r="W75" i="31"/>
  <c r="X76" i="31" s="1"/>
  <c r="X74" i="31"/>
  <c r="W72" i="31"/>
  <c r="X73" i="31" s="1"/>
  <c r="X62" i="31"/>
  <c r="W60" i="31"/>
  <c r="X61" i="31" s="1"/>
  <c r="X80" i="31"/>
  <c r="W78" i="31"/>
  <c r="X79" i="31" s="1"/>
  <c r="X53" i="31"/>
  <c r="W51" i="31"/>
  <c r="X52" i="31" s="1"/>
  <c r="AA31" i="31"/>
  <c r="AB41" i="31"/>
  <c r="AB33" i="31"/>
  <c r="AB37" i="31"/>
  <c r="AB34" i="31"/>
  <c r="AB38" i="31"/>
  <c r="AB40" i="31"/>
  <c r="W43" i="31"/>
  <c r="AC33" i="31"/>
  <c r="AC41" i="31"/>
  <c r="R36" i="31"/>
  <c r="T36" i="31"/>
  <c r="AB35" i="31"/>
  <c r="U29" i="31"/>
  <c r="X42" i="31"/>
  <c r="BB47" i="31" l="1"/>
  <c r="BA45" i="31"/>
  <c r="BB46" i="31" s="1"/>
  <c r="Y62" i="31"/>
  <c r="X60" i="31"/>
  <c r="Y61" i="31" s="1"/>
  <c r="X68" i="31"/>
  <c r="W66" i="31"/>
  <c r="X67" i="31" s="1"/>
  <c r="X63" i="31"/>
  <c r="Y64" i="31" s="1"/>
  <c r="Y65" i="31"/>
  <c r="X81" i="31"/>
  <c r="Y82" i="31" s="1"/>
  <c r="Y83" i="31"/>
  <c r="X75" i="31"/>
  <c r="Y76" i="31" s="1"/>
  <c r="Y77" i="31"/>
  <c r="X78" i="31"/>
  <c r="Y79" i="31" s="1"/>
  <c r="Y80" i="31"/>
  <c r="X72" i="31"/>
  <c r="Y73" i="31" s="1"/>
  <c r="Y74" i="31"/>
  <c r="X54" i="31"/>
  <c r="Y55" i="31" s="1"/>
  <c r="Y56" i="31"/>
  <c r="X48" i="31"/>
  <c r="Y49" i="31" s="1"/>
  <c r="Y50" i="31"/>
  <c r="X69" i="31"/>
  <c r="Y70" i="31" s="1"/>
  <c r="Y71" i="31"/>
  <c r="Y59" i="31"/>
  <c r="X57" i="31"/>
  <c r="Y58" i="31" s="1"/>
  <c r="Y53" i="31"/>
  <c r="X51" i="31"/>
  <c r="Y52" i="31" s="1"/>
  <c r="AC39" i="31"/>
  <c r="AC32" i="31"/>
  <c r="AC37" i="31"/>
  <c r="X44" i="31"/>
  <c r="X43" i="31"/>
  <c r="AC34" i="31"/>
  <c r="AC38" i="31"/>
  <c r="AC40" i="31"/>
  <c r="AA30" i="31"/>
  <c r="Y30" i="31"/>
  <c r="AD39" i="31"/>
  <c r="AD32" i="31"/>
  <c r="AB31" i="31"/>
  <c r="V29" i="31"/>
  <c r="Y43" i="31"/>
  <c r="Y57" i="31" l="1"/>
  <c r="Z58" i="31" s="1"/>
  <c r="Z59" i="31"/>
  <c r="Z65" i="31"/>
  <c r="Y63" i="31"/>
  <c r="Z64" i="31" s="1"/>
  <c r="Y54" i="31"/>
  <c r="Z55" i="31" s="1"/>
  <c r="Z56" i="31"/>
  <c r="Y68" i="31"/>
  <c r="X66" i="31"/>
  <c r="Y67" i="31" s="1"/>
  <c r="Z74" i="31"/>
  <c r="Y72" i="31"/>
  <c r="Z73" i="31" s="1"/>
  <c r="Y69" i="31"/>
  <c r="Z70" i="31" s="1"/>
  <c r="Z71" i="31"/>
  <c r="Y48" i="31"/>
  <c r="Z49" i="31" s="1"/>
  <c r="Z50" i="31"/>
  <c r="Z62" i="31"/>
  <c r="Y60" i="31"/>
  <c r="Z61" i="31" s="1"/>
  <c r="BC46" i="31"/>
  <c r="Y75" i="31"/>
  <c r="Z76" i="31" s="1"/>
  <c r="Z77" i="31"/>
  <c r="Z83" i="31"/>
  <c r="Y81" i="31"/>
  <c r="Z82" i="31" s="1"/>
  <c r="Y78" i="31"/>
  <c r="Z79" i="31" s="1"/>
  <c r="Z80" i="31"/>
  <c r="Z53" i="31"/>
  <c r="Y51" i="31"/>
  <c r="Z52" i="31" s="1"/>
  <c r="BC47" i="31"/>
  <c r="BB45" i="31"/>
  <c r="AB30" i="31"/>
  <c r="AD37" i="31"/>
  <c r="AD34" i="31"/>
  <c r="Y44" i="31"/>
  <c r="AD33" i="31"/>
  <c r="AD41" i="31"/>
  <c r="Y42" i="31"/>
  <c r="AC35" i="31"/>
  <c r="AE33" i="31"/>
  <c r="AE32" i="31"/>
  <c r="AE39" i="31"/>
  <c r="AE41" i="31"/>
  <c r="AC31" i="31"/>
  <c r="AA44" i="31"/>
  <c r="AA73" i="31" l="1"/>
  <c r="AA82" i="31"/>
  <c r="AA74" i="31"/>
  <c r="Z72" i="31"/>
  <c r="AA53" i="31"/>
  <c r="Z51" i="31"/>
  <c r="AA77" i="31"/>
  <c r="Z75" i="31"/>
  <c r="Z68" i="31"/>
  <c r="Y66" i="31"/>
  <c r="Z67" i="31" s="1"/>
  <c r="AA76" i="31"/>
  <c r="AA56" i="31"/>
  <c r="Z54" i="31"/>
  <c r="AA55" i="31" s="1"/>
  <c r="AA70" i="31"/>
  <c r="AA83" i="31"/>
  <c r="Z81" i="31"/>
  <c r="AA71" i="31"/>
  <c r="Z69" i="31"/>
  <c r="BD46" i="31"/>
  <c r="AA62" i="31"/>
  <c r="Z60" i="31"/>
  <c r="AA61" i="31" s="1"/>
  <c r="AA65" i="31"/>
  <c r="Z63" i="31"/>
  <c r="AA64" i="31" s="1"/>
  <c r="AA80" i="31"/>
  <c r="Z78" i="31"/>
  <c r="AA79" i="31" s="1"/>
  <c r="BD47" i="31"/>
  <c r="BC45" i="31"/>
  <c r="AA50" i="31"/>
  <c r="Z48" i="31"/>
  <c r="AA59" i="31"/>
  <c r="Z57" i="31"/>
  <c r="AA52" i="31"/>
  <c r="AA49" i="31"/>
  <c r="AA58" i="31"/>
  <c r="AC30" i="31"/>
  <c r="AE34" i="31"/>
  <c r="AA43" i="31"/>
  <c r="AD40" i="31"/>
  <c r="AA42" i="31"/>
  <c r="AD38" i="31"/>
  <c r="AF41" i="31"/>
  <c r="AF39" i="31"/>
  <c r="AF32" i="31"/>
  <c r="AF33" i="31"/>
  <c r="AD31" i="31"/>
  <c r="U36" i="31"/>
  <c r="W29" i="31"/>
  <c r="AB43" i="31"/>
  <c r="AA67" i="31" l="1"/>
  <c r="AA68" i="31"/>
  <c r="Z66" i="31"/>
  <c r="AB77" i="31"/>
  <c r="AA75" i="31"/>
  <c r="AB76" i="31" s="1"/>
  <c r="BD45" i="31"/>
  <c r="BE46" i="31" s="1"/>
  <c r="BE47" i="31"/>
  <c r="AB52" i="31"/>
  <c r="AB62" i="31"/>
  <c r="AA60" i="31"/>
  <c r="AB61" i="31" s="1"/>
  <c r="AB50" i="31"/>
  <c r="AA48" i="31"/>
  <c r="AB49" i="31" s="1"/>
  <c r="AB53" i="31"/>
  <c r="AA51" i="31"/>
  <c r="AB59" i="31"/>
  <c r="AA57" i="31"/>
  <c r="AB58" i="31" s="1"/>
  <c r="AB71" i="31"/>
  <c r="AA69" i="31"/>
  <c r="AB70" i="31" s="1"/>
  <c r="AB83" i="31"/>
  <c r="AA81" i="31"/>
  <c r="AB82" i="31" s="1"/>
  <c r="AB80" i="31"/>
  <c r="AA78" i="31"/>
  <c r="AB79" i="31" s="1"/>
  <c r="AB74" i="31"/>
  <c r="AA72" i="31"/>
  <c r="AB73" i="31" s="1"/>
  <c r="AB65" i="31"/>
  <c r="AA63" i="31"/>
  <c r="AB64" i="31" s="1"/>
  <c r="AB56" i="31"/>
  <c r="AA54" i="31"/>
  <c r="AB55" i="31" s="1"/>
  <c r="AE37" i="31"/>
  <c r="AB42" i="31"/>
  <c r="AC42" i="31"/>
  <c r="AC43" i="31"/>
  <c r="AE38" i="31"/>
  <c r="AC44" i="31"/>
  <c r="AB44" i="31"/>
  <c r="AI33" i="31"/>
  <c r="AH33" i="31"/>
  <c r="AH32" i="31"/>
  <c r="AH39" i="31"/>
  <c r="AH41" i="31"/>
  <c r="AD35" i="31"/>
  <c r="AE31" i="31"/>
  <c r="X29" i="31"/>
  <c r="AD43" i="31"/>
  <c r="AB54" i="31" l="1"/>
  <c r="AC55" i="31" s="1"/>
  <c r="AC56" i="31"/>
  <c r="AB63" i="31"/>
  <c r="AC64" i="31" s="1"/>
  <c r="AC65" i="31"/>
  <c r="AB69" i="31"/>
  <c r="AC70" i="31" s="1"/>
  <c r="AC71" i="31"/>
  <c r="AC62" i="31"/>
  <c r="AB60" i="31"/>
  <c r="AC61" i="31" s="1"/>
  <c r="AB57" i="31"/>
  <c r="AC58" i="31" s="1"/>
  <c r="AC59" i="31"/>
  <c r="AC77" i="31"/>
  <c r="AB75" i="31"/>
  <c r="AC76" i="31" s="1"/>
  <c r="AC83" i="31"/>
  <c r="AB81" i="31"/>
  <c r="AC82" i="31" s="1"/>
  <c r="BE45" i="31"/>
  <c r="BF46" i="31" s="1"/>
  <c r="BF47" i="31"/>
  <c r="AB72" i="31"/>
  <c r="AC73" i="31" s="1"/>
  <c r="AC74" i="31"/>
  <c r="AC53" i="31"/>
  <c r="AB51" i="31"/>
  <c r="AC52" i="31" s="1"/>
  <c r="AB68" i="31"/>
  <c r="AA66" i="31"/>
  <c r="AB67" i="31" s="1"/>
  <c r="AB78" i="31"/>
  <c r="AC79" i="31" s="1"/>
  <c r="AC80" i="31"/>
  <c r="AC50" i="31"/>
  <c r="AB48" i="31"/>
  <c r="AC49" i="31" s="1"/>
  <c r="AJ33" i="31"/>
  <c r="AF34" i="31"/>
  <c r="AI41" i="31"/>
  <c r="AI39" i="31"/>
  <c r="AI32" i="31"/>
  <c r="AF37" i="31"/>
  <c r="AD42" i="31"/>
  <c r="AF38" i="31"/>
  <c r="AD44" i="31"/>
  <c r="AD30" i="31"/>
  <c r="AE40" i="31"/>
  <c r="AJ41" i="31"/>
  <c r="AJ39" i="31"/>
  <c r="AJ32" i="31"/>
  <c r="AF31" i="31"/>
  <c r="V36" i="31"/>
  <c r="AE43" i="31"/>
  <c r="AC68" i="31" l="1"/>
  <c r="AB66" i="31"/>
  <c r="AC67" i="31" s="1"/>
  <c r="AD53" i="31"/>
  <c r="AC51" i="31"/>
  <c r="AD52" i="31" s="1"/>
  <c r="AD62" i="31"/>
  <c r="AC60" i="31"/>
  <c r="AD61" i="31" s="1"/>
  <c r="AC72" i="31"/>
  <c r="AD73" i="31" s="1"/>
  <c r="AD74" i="31"/>
  <c r="AC69" i="31"/>
  <c r="AD70" i="31" s="1"/>
  <c r="AD71" i="31"/>
  <c r="AD77" i="31"/>
  <c r="AC75" i="31"/>
  <c r="AD76" i="31" s="1"/>
  <c r="AC57" i="31"/>
  <c r="AD58" i="31" s="1"/>
  <c r="AD59" i="31"/>
  <c r="BF45" i="31"/>
  <c r="BG46" i="31" s="1"/>
  <c r="BG47" i="31"/>
  <c r="AD65" i="31"/>
  <c r="AC63" i="31"/>
  <c r="AD64" i="31" s="1"/>
  <c r="AD50" i="31"/>
  <c r="AC48" i="31"/>
  <c r="AD49" i="31" s="1"/>
  <c r="AD56" i="31"/>
  <c r="AC54" i="31"/>
  <c r="AD55" i="31" s="1"/>
  <c r="AC78" i="31"/>
  <c r="AD79" i="31" s="1"/>
  <c r="AD80" i="31"/>
  <c r="AD83" i="31"/>
  <c r="AC81" i="31"/>
  <c r="AD82" i="31" s="1"/>
  <c r="AH34" i="31"/>
  <c r="AH37" i="31"/>
  <c r="AE42" i="31"/>
  <c r="AF40" i="31"/>
  <c r="AH38" i="31"/>
  <c r="AF30" i="31"/>
  <c r="AE30" i="31"/>
  <c r="AE44" i="31"/>
  <c r="AE35" i="31"/>
  <c r="AK33" i="31"/>
  <c r="AK32" i="31"/>
  <c r="AK39" i="31"/>
  <c r="AK41" i="31"/>
  <c r="W36" i="31"/>
  <c r="AF43" i="31"/>
  <c r="AE71" i="31" l="1"/>
  <c r="AD69" i="31"/>
  <c r="AE70" i="31" s="1"/>
  <c r="AE56" i="31"/>
  <c r="AD54" i="31"/>
  <c r="AE55" i="31" s="1"/>
  <c r="AD48" i="31"/>
  <c r="AE49" i="31" s="1"/>
  <c r="AE50" i="31"/>
  <c r="AD78" i="31"/>
  <c r="AE79" i="31" s="1"/>
  <c r="AE80" i="31"/>
  <c r="AD72" i="31"/>
  <c r="AE73" i="31" s="1"/>
  <c r="AE74" i="31"/>
  <c r="AE65" i="31"/>
  <c r="AD63" i="31"/>
  <c r="AE64" i="31" s="1"/>
  <c r="AE62" i="31"/>
  <c r="AD60" i="31"/>
  <c r="AE61" i="31" s="1"/>
  <c r="BH47" i="31"/>
  <c r="BG45" i="31"/>
  <c r="BH46" i="31" s="1"/>
  <c r="AE53" i="31"/>
  <c r="AD51" i="31"/>
  <c r="AE52" i="31" s="1"/>
  <c r="AD75" i="31"/>
  <c r="AE76" i="31" s="1"/>
  <c r="AE77" i="31"/>
  <c r="AD57" i="31"/>
  <c r="AE58" i="31" s="1"/>
  <c r="AE59" i="31"/>
  <c r="AD81" i="31"/>
  <c r="AE82" i="31" s="1"/>
  <c r="AE83" i="31"/>
  <c r="AC66" i="31"/>
  <c r="AD67" i="31" s="1"/>
  <c r="AD68" i="31"/>
  <c r="AI34" i="31"/>
  <c r="AI37" i="31"/>
  <c r="AJ37" i="31"/>
  <c r="AH40" i="31"/>
  <c r="AH30" i="31"/>
  <c r="AH31" i="31"/>
  <c r="AF44" i="31"/>
  <c r="AF42" i="31"/>
  <c r="AL41" i="31"/>
  <c r="AL39" i="31"/>
  <c r="AL32" i="31"/>
  <c r="AL33" i="31"/>
  <c r="Y29" i="31"/>
  <c r="AH43" i="31"/>
  <c r="AF77" i="31" l="1"/>
  <c r="AE75" i="31"/>
  <c r="AF76" i="31" s="1"/>
  <c r="AF80" i="31"/>
  <c r="AE78" i="31"/>
  <c r="AF79" i="31" s="1"/>
  <c r="AF50" i="31"/>
  <c r="AE48" i="31"/>
  <c r="AF49" i="31" s="1"/>
  <c r="AF53" i="31"/>
  <c r="AE51" i="31"/>
  <c r="AF52" i="31" s="1"/>
  <c r="AE72" i="31"/>
  <c r="AF73" i="31" s="1"/>
  <c r="AF74" i="31"/>
  <c r="AF65" i="31"/>
  <c r="AE63" i="31"/>
  <c r="AF64" i="31" s="1"/>
  <c r="AF59" i="31"/>
  <c r="AE57" i="31"/>
  <c r="AF58" i="31" s="1"/>
  <c r="BH45" i="31"/>
  <c r="BI46" i="31" s="1"/>
  <c r="BI47" i="31"/>
  <c r="AF56" i="31"/>
  <c r="AE54" i="31"/>
  <c r="AF55" i="31" s="1"/>
  <c r="AD66" i="31"/>
  <c r="AE67" i="31" s="1"/>
  <c r="AE68" i="31"/>
  <c r="AF83" i="31"/>
  <c r="AE81" i="31"/>
  <c r="AF82" i="31" s="1"/>
  <c r="AF62" i="31"/>
  <c r="AE60" i="31"/>
  <c r="AF61" i="31" s="1"/>
  <c r="AF71" i="31"/>
  <c r="AE69" i="31"/>
  <c r="AF70" i="31" s="1"/>
  <c r="X36" i="31"/>
  <c r="AF35" i="31"/>
  <c r="AI38" i="31"/>
  <c r="AH42" i="31"/>
  <c r="AH44" i="31"/>
  <c r="AM33" i="31"/>
  <c r="AM32" i="31"/>
  <c r="AM39" i="31"/>
  <c r="AM41" i="31"/>
  <c r="AJ44" i="31"/>
  <c r="AJ43" i="31"/>
  <c r="AF60" i="31" l="1"/>
  <c r="AG61" i="31" s="1"/>
  <c r="AG62" i="31"/>
  <c r="AG74" i="31"/>
  <c r="AF72" i="31"/>
  <c r="AG73" i="31" s="1"/>
  <c r="AG83" i="31"/>
  <c r="AF81" i="31"/>
  <c r="AG82" i="31" s="1"/>
  <c r="AG53" i="31"/>
  <c r="AF51" i="31"/>
  <c r="AG52" i="31" s="1"/>
  <c r="AF54" i="31"/>
  <c r="AG55" i="31" s="1"/>
  <c r="AG56" i="31"/>
  <c r="AF48" i="31"/>
  <c r="AG49" i="31" s="1"/>
  <c r="AG50" i="31"/>
  <c r="AE66" i="31"/>
  <c r="AF67" i="31" s="1"/>
  <c r="AF68" i="31"/>
  <c r="BJ47" i="31"/>
  <c r="BI45" i="31"/>
  <c r="BJ46" i="31" s="1"/>
  <c r="AF78" i="31"/>
  <c r="AG79" i="31" s="1"/>
  <c r="AG80" i="31"/>
  <c r="AF63" i="31"/>
  <c r="AG64" i="31" s="1"/>
  <c r="AG65" i="31"/>
  <c r="AG71" i="31"/>
  <c r="AF69" i="31"/>
  <c r="AG70" i="31" s="1"/>
  <c r="AF57" i="31"/>
  <c r="AG58" i="31" s="1"/>
  <c r="AG59" i="31"/>
  <c r="AF75" i="31"/>
  <c r="AG76" i="31" s="1"/>
  <c r="AG77" i="31"/>
  <c r="AJ34" i="31"/>
  <c r="AI42" i="31"/>
  <c r="AJ42" i="31"/>
  <c r="AI31" i="31"/>
  <c r="AJ38" i="31"/>
  <c r="AH35" i="31"/>
  <c r="AI30" i="31"/>
  <c r="AJ30" i="31"/>
  <c r="AI43" i="31"/>
  <c r="AA29" i="31"/>
  <c r="AK37" i="31"/>
  <c r="AP41" i="31"/>
  <c r="AO41" i="31"/>
  <c r="AP39" i="31"/>
  <c r="AO39" i="31"/>
  <c r="AO32" i="31"/>
  <c r="AP33" i="31"/>
  <c r="AO33" i="31"/>
  <c r="AI44" i="31"/>
  <c r="AI40" i="31"/>
  <c r="Y36" i="31"/>
  <c r="AK44" i="31"/>
  <c r="AH56" i="31" l="1"/>
  <c r="AG54" i="31"/>
  <c r="AH65" i="31"/>
  <c r="AG63" i="31"/>
  <c r="AH55" i="31"/>
  <c r="AH80" i="31"/>
  <c r="AG78" i="31"/>
  <c r="AH79" i="31" s="1"/>
  <c r="AH53" i="31"/>
  <c r="AG51" i="31"/>
  <c r="AH52" i="31" s="1"/>
  <c r="AH64" i="31"/>
  <c r="AH82" i="31"/>
  <c r="AH83" i="31"/>
  <c r="AG81" i="31"/>
  <c r="AH50" i="31"/>
  <c r="AG48" i="31"/>
  <c r="AH49" i="31" s="1"/>
  <c r="AH71" i="31"/>
  <c r="AG69" i="31"/>
  <c r="AH70" i="31" s="1"/>
  <c r="AH77" i="31"/>
  <c r="AG75" i="31"/>
  <c r="AH76" i="31" s="1"/>
  <c r="BK47" i="31"/>
  <c r="BJ45" i="31"/>
  <c r="BK46" i="31" s="1"/>
  <c r="AH74" i="31"/>
  <c r="AG72" i="31"/>
  <c r="AH73" i="31" s="1"/>
  <c r="AF66" i="31"/>
  <c r="AG67" i="31" s="1"/>
  <c r="AG68" i="31"/>
  <c r="AH62" i="31"/>
  <c r="AG60" i="31"/>
  <c r="AH59" i="31"/>
  <c r="AG57" i="31"/>
  <c r="AH58" i="31" s="1"/>
  <c r="AH61" i="31"/>
  <c r="AK34" i="31"/>
  <c r="AK42" i="31"/>
  <c r="AQ39" i="31"/>
  <c r="AK30" i="31"/>
  <c r="AQ33" i="31"/>
  <c r="AB29" i="31"/>
  <c r="AP32" i="31"/>
  <c r="AL37" i="31"/>
  <c r="AK43" i="31"/>
  <c r="AA36" i="31"/>
  <c r="AI58" i="31" l="1"/>
  <c r="AI59" i="31"/>
  <c r="AH57" i="31"/>
  <c r="AI53" i="31"/>
  <c r="AH51" i="31"/>
  <c r="AI62" i="31"/>
  <c r="AH60" i="31"/>
  <c r="AI61" i="31" s="1"/>
  <c r="AI71" i="31"/>
  <c r="AH69" i="31"/>
  <c r="AI70" i="31" s="1"/>
  <c r="AH68" i="31"/>
  <c r="AG66" i="31"/>
  <c r="AH67" i="31" s="1"/>
  <c r="AI80" i="31"/>
  <c r="AH78" i="31"/>
  <c r="AI79" i="31" s="1"/>
  <c r="AI52" i="31"/>
  <c r="AI50" i="31"/>
  <c r="AH48" i="31"/>
  <c r="AI49" i="31" s="1"/>
  <c r="AI65" i="31"/>
  <c r="AH63" i="31"/>
  <c r="AI74" i="31"/>
  <c r="AH72" i="31"/>
  <c r="AI73" i="31" s="1"/>
  <c r="AI83" i="31"/>
  <c r="AH81" i="31"/>
  <c r="AI82" i="31" s="1"/>
  <c r="AI77" i="31"/>
  <c r="AH75" i="31"/>
  <c r="AI76" i="31" s="1"/>
  <c r="AI56" i="31"/>
  <c r="AH54" i="31"/>
  <c r="AI55" i="31" s="1"/>
  <c r="BL47" i="31"/>
  <c r="BK45" i="31"/>
  <c r="BL46" i="31" s="1"/>
  <c r="AI64" i="31"/>
  <c r="AQ41" i="31"/>
  <c r="AQ32" i="31"/>
  <c r="AR33" i="31"/>
  <c r="AL34" i="31"/>
  <c r="AM34" i="31"/>
  <c r="AM30" i="31"/>
  <c r="AL42" i="31"/>
  <c r="AC29" i="31"/>
  <c r="AB36" i="31"/>
  <c r="AJ31" i="31"/>
  <c r="AM37" i="31"/>
  <c r="AK38" i="31"/>
  <c r="AJ40" i="31"/>
  <c r="AL43" i="31"/>
  <c r="AL44" i="31"/>
  <c r="AI35" i="31"/>
  <c r="AR41" i="31"/>
  <c r="AR32" i="31"/>
  <c r="AI60" i="31" l="1"/>
  <c r="AJ61" i="31" s="1"/>
  <c r="AJ62" i="31"/>
  <c r="AJ56" i="31"/>
  <c r="AI54" i="31"/>
  <c r="AJ55" i="31" s="1"/>
  <c r="BM47" i="31"/>
  <c r="BL45" i="31"/>
  <c r="BM46" i="31" s="1"/>
  <c r="AJ53" i="31"/>
  <c r="AI51" i="31"/>
  <c r="AJ52" i="31" s="1"/>
  <c r="AJ71" i="31"/>
  <c r="AI69" i="31"/>
  <c r="AJ70" i="31" s="1"/>
  <c r="AI75" i="31"/>
  <c r="AJ76" i="31" s="1"/>
  <c r="AJ77" i="31"/>
  <c r="AI67" i="31"/>
  <c r="AI57" i="31"/>
  <c r="AJ58" i="31" s="1"/>
  <c r="AJ59" i="31"/>
  <c r="AI48" i="31"/>
  <c r="AJ49" i="31" s="1"/>
  <c r="AJ50" i="31"/>
  <c r="AJ83" i="31"/>
  <c r="AI81" i="31"/>
  <c r="AJ82" i="31" s="1"/>
  <c r="AJ65" i="31"/>
  <c r="AI63" i="31"/>
  <c r="AJ64" i="31" s="1"/>
  <c r="AJ80" i="31"/>
  <c r="AI78" i="31"/>
  <c r="AJ79" i="31" s="1"/>
  <c r="AI72" i="31"/>
  <c r="AJ73" i="31" s="1"/>
  <c r="AJ74" i="31"/>
  <c r="AI68" i="31"/>
  <c r="AH66" i="31"/>
  <c r="AR39" i="31"/>
  <c r="AO34" i="31"/>
  <c r="AD29" i="31"/>
  <c r="AL30" i="31"/>
  <c r="AK40" i="31"/>
  <c r="AO42" i="31"/>
  <c r="AK31" i="31"/>
  <c r="AL31" i="31"/>
  <c r="AO30" i="31"/>
  <c r="AM44" i="31"/>
  <c r="AM42" i="31"/>
  <c r="AM43" i="31"/>
  <c r="AL38" i="31"/>
  <c r="AO37" i="31"/>
  <c r="AS32" i="31"/>
  <c r="AS39" i="31"/>
  <c r="AS41" i="31"/>
  <c r="AJ69" i="31" l="1"/>
  <c r="AK70" i="31" s="1"/>
  <c r="AK71" i="31"/>
  <c r="AJ51" i="31"/>
  <c r="AK52" i="31" s="1"/>
  <c r="AK53" i="31"/>
  <c r="AJ81" i="31"/>
  <c r="AK82" i="31" s="1"/>
  <c r="AK83" i="31"/>
  <c r="AJ48" i="31"/>
  <c r="AK49" i="31" s="1"/>
  <c r="AK50" i="31"/>
  <c r="BN47" i="31"/>
  <c r="BM45" i="31"/>
  <c r="BN46" i="31" s="1"/>
  <c r="AJ75" i="31"/>
  <c r="AK76" i="31" s="1"/>
  <c r="AK77" i="31"/>
  <c r="AK80" i="31"/>
  <c r="AJ78" i="31"/>
  <c r="AK79" i="31" s="1"/>
  <c r="AK65" i="31"/>
  <c r="AJ63" i="31"/>
  <c r="AK64" i="31" s="1"/>
  <c r="AK59" i="31"/>
  <c r="AJ57" i="31"/>
  <c r="AK58" i="31" s="1"/>
  <c r="AK56" i="31"/>
  <c r="AJ54" i="31"/>
  <c r="AK55" i="31" s="1"/>
  <c r="AI66" i="31"/>
  <c r="AJ67" i="31" s="1"/>
  <c r="AJ68" i="31"/>
  <c r="AK62" i="31"/>
  <c r="AJ60" i="31"/>
  <c r="AK61" i="31" s="1"/>
  <c r="AJ72" i="31"/>
  <c r="AK73" i="31" s="1"/>
  <c r="AK74" i="31"/>
  <c r="AS33" i="31"/>
  <c r="AE29" i="31"/>
  <c r="AM31" i="31"/>
  <c r="AP37" i="31"/>
  <c r="AO43" i="31"/>
  <c r="AO44" i="31"/>
  <c r="AJ35" i="31"/>
  <c r="AT41" i="31"/>
  <c r="AT39" i="31"/>
  <c r="AT32" i="31"/>
  <c r="AT33" i="31"/>
  <c r="AC36" i="31"/>
  <c r="AP34" i="31"/>
  <c r="AL77" i="31" l="1"/>
  <c r="AK75" i="31"/>
  <c r="AL76" i="31" s="1"/>
  <c r="BO47" i="31"/>
  <c r="BN45" i="31"/>
  <c r="BO46" i="31" s="1"/>
  <c r="AL56" i="31"/>
  <c r="AK54" i="31"/>
  <c r="AL55" i="31" s="1"/>
  <c r="AK48" i="31"/>
  <c r="AL49" i="31" s="1"/>
  <c r="AL50" i="31"/>
  <c r="AL83" i="31"/>
  <c r="AK81" i="31"/>
  <c r="AL82" i="31" s="1"/>
  <c r="AL59" i="31"/>
  <c r="AK57" i="31"/>
  <c r="AL58" i="31" s="1"/>
  <c r="AK51" i="31"/>
  <c r="AL52" i="31" s="1"/>
  <c r="AL53" i="31"/>
  <c r="AK68" i="31"/>
  <c r="AJ66" i="31"/>
  <c r="AK67" i="31" s="1"/>
  <c r="AL65" i="31"/>
  <c r="AK63" i="31"/>
  <c r="AL64" i="31" s="1"/>
  <c r="AL62" i="31"/>
  <c r="AK60" i="31"/>
  <c r="AL61" i="31" s="1"/>
  <c r="AL74" i="31"/>
  <c r="AK72" i="31"/>
  <c r="AL73" i="31" s="1"/>
  <c r="AK69" i="31"/>
  <c r="AL70" i="31" s="1"/>
  <c r="AL71" i="31"/>
  <c r="AK78" i="31"/>
  <c r="AL79" i="31" s="1"/>
  <c r="AL80" i="31"/>
  <c r="AF29" i="31"/>
  <c r="AO31" i="31"/>
  <c r="AK35" i="31"/>
  <c r="AV33" i="31"/>
  <c r="AV32" i="31"/>
  <c r="AV39" i="31"/>
  <c r="AV41" i="31"/>
  <c r="AM38" i="31"/>
  <c r="AQ43" i="31"/>
  <c r="AQ42" i="31"/>
  <c r="AP42" i="31"/>
  <c r="AP43" i="31"/>
  <c r="AP44" i="31"/>
  <c r="AL40" i="31"/>
  <c r="AP30" i="31"/>
  <c r="AQ34" i="31"/>
  <c r="AM71" i="31" l="1"/>
  <c r="AL69" i="31"/>
  <c r="AM70" i="31" s="1"/>
  <c r="AL72" i="31"/>
  <c r="AM73" i="31" s="1"/>
  <c r="AM74" i="31"/>
  <c r="AL81" i="31"/>
  <c r="AM82" i="31" s="1"/>
  <c r="AM83" i="31"/>
  <c r="AL60" i="31"/>
  <c r="AM61" i="31" s="1"/>
  <c r="AM62" i="31"/>
  <c r="AM65" i="31"/>
  <c r="AL63" i="31"/>
  <c r="AM64" i="31" s="1"/>
  <c r="AL54" i="31"/>
  <c r="AM55" i="31" s="1"/>
  <c r="AM56" i="31"/>
  <c r="AL57" i="31"/>
  <c r="AM58" i="31" s="1"/>
  <c r="AM59" i="31"/>
  <c r="AL48" i="31"/>
  <c r="AM49" i="31" s="1"/>
  <c r="AM50" i="31"/>
  <c r="AK66" i="31"/>
  <c r="AL67" i="31" s="1"/>
  <c r="AL68" i="31"/>
  <c r="BP47" i="31"/>
  <c r="BO45" i="31"/>
  <c r="BP46" i="31" s="1"/>
  <c r="AM80" i="31"/>
  <c r="AL78" i="31"/>
  <c r="AM79" i="31" s="1"/>
  <c r="AL51" i="31"/>
  <c r="AM52" i="31" s="1"/>
  <c r="AM53" i="31"/>
  <c r="AL75" i="31"/>
  <c r="AM76" i="31" s="1"/>
  <c r="AM77" i="31"/>
  <c r="AW33" i="31"/>
  <c r="AM40" i="31"/>
  <c r="AW39" i="31"/>
  <c r="AR42" i="31"/>
  <c r="AW41" i="31"/>
  <c r="AW32" i="31"/>
  <c r="AQ44" i="31"/>
  <c r="AP31" i="31"/>
  <c r="AD36" i="31"/>
  <c r="AQ30" i="31"/>
  <c r="AR43" i="31"/>
  <c r="AQ37" i="31"/>
  <c r="AX41" i="31"/>
  <c r="AX39" i="31"/>
  <c r="AX32" i="31"/>
  <c r="AX33" i="31"/>
  <c r="AR34" i="31"/>
  <c r="AH29" i="31"/>
  <c r="AN80" i="31" l="1"/>
  <c r="AM78" i="31"/>
  <c r="AN79" i="31" s="1"/>
  <c r="AM63" i="31"/>
  <c r="AN64" i="31" s="1"/>
  <c r="AN65" i="31"/>
  <c r="BQ47" i="31"/>
  <c r="BP45" i="31"/>
  <c r="BQ46" i="31" s="1"/>
  <c r="AM68" i="31"/>
  <c r="AL66" i="31"/>
  <c r="AM67" i="31" s="1"/>
  <c r="AN83" i="31"/>
  <c r="AM81" i="31"/>
  <c r="AN82" i="31" s="1"/>
  <c r="AM60" i="31"/>
  <c r="AN61" i="31" s="1"/>
  <c r="AN62" i="31"/>
  <c r="AN50" i="31"/>
  <c r="AM48" i="31"/>
  <c r="AN49" i="31" s="1"/>
  <c r="AN74" i="31"/>
  <c r="AM72" i="31"/>
  <c r="AN73" i="31" s="1"/>
  <c r="AN56" i="31"/>
  <c r="AM54" i="31"/>
  <c r="AN55" i="31" s="1"/>
  <c r="AN77" i="31"/>
  <c r="AM75" i="31"/>
  <c r="AN76" i="31" s="1"/>
  <c r="AM57" i="31"/>
  <c r="AN58" i="31" s="1"/>
  <c r="AN59" i="31"/>
  <c r="AM51" i="31"/>
  <c r="AN52" i="31" s="1"/>
  <c r="AN53" i="31"/>
  <c r="AM69" i="31"/>
  <c r="AN70" i="31" s="1"/>
  <c r="AN71" i="31"/>
  <c r="AO40" i="31"/>
  <c r="AR30" i="31"/>
  <c r="AM35" i="31"/>
  <c r="AL35" i="31"/>
  <c r="AS42" i="31"/>
  <c r="AE36" i="31"/>
  <c r="AR37" i="31"/>
  <c r="AS43" i="31"/>
  <c r="AO38" i="31"/>
  <c r="AY33" i="31"/>
  <c r="AY32" i="31"/>
  <c r="AY39" i="31"/>
  <c r="AY41" i="31"/>
  <c r="AS34" i="31"/>
  <c r="AT42" i="31"/>
  <c r="AO82" i="31" l="1"/>
  <c r="AO83" i="31"/>
  <c r="AN81" i="31"/>
  <c r="AN68" i="31"/>
  <c r="AM66" i="31"/>
  <c r="AN67" i="31" s="1"/>
  <c r="AO56" i="31"/>
  <c r="AN54" i="31"/>
  <c r="AO55" i="31" s="1"/>
  <c r="BR47" i="31"/>
  <c r="BQ45" i="31"/>
  <c r="BR46" i="31" s="1"/>
  <c r="AO59" i="31"/>
  <c r="AN57" i="31"/>
  <c r="AO58" i="31" s="1"/>
  <c r="AO77" i="31"/>
  <c r="AN75" i="31"/>
  <c r="AO76" i="31" s="1"/>
  <c r="AO74" i="31"/>
  <c r="AN72" i="31"/>
  <c r="AO73" i="31" s="1"/>
  <c r="AO65" i="31"/>
  <c r="AN63" i="31"/>
  <c r="AO64" i="31" s="1"/>
  <c r="AO71" i="31"/>
  <c r="AN69" i="31"/>
  <c r="AO70" i="31"/>
  <c r="AO50" i="31"/>
  <c r="AN48" i="31"/>
  <c r="AO49" i="31" s="1"/>
  <c r="AO53" i="31"/>
  <c r="AN51" i="31"/>
  <c r="AO52" i="31" s="1"/>
  <c r="AO62" i="31"/>
  <c r="AN60" i="31"/>
  <c r="AO61" i="31" s="1"/>
  <c r="AO80" i="31"/>
  <c r="AN78" i="31"/>
  <c r="AO79" i="31" s="1"/>
  <c r="AP40" i="31"/>
  <c r="AO35" i="31"/>
  <c r="AR44" i="31"/>
  <c r="AQ31" i="31"/>
  <c r="AT43" i="31"/>
  <c r="AT44" i="31"/>
  <c r="AZ41" i="31"/>
  <c r="AZ39" i="31"/>
  <c r="AZ32" i="31"/>
  <c r="AZ33" i="31"/>
  <c r="AF36" i="31"/>
  <c r="AH36" i="31"/>
  <c r="AT34" i="31"/>
  <c r="AI29" i="31"/>
  <c r="AP61" i="31" l="1"/>
  <c r="AP62" i="31"/>
  <c r="AO60" i="31"/>
  <c r="AP65" i="31"/>
  <c r="AO63" i="31"/>
  <c r="AP64" i="31" s="1"/>
  <c r="BR45" i="31"/>
  <c r="BS46" i="31" s="1"/>
  <c r="BS47" i="31"/>
  <c r="AP53" i="31"/>
  <c r="AO51" i="31"/>
  <c r="AP52" i="31" s="1"/>
  <c r="AP74" i="31"/>
  <c r="AO72" i="31"/>
  <c r="AP73" i="31" s="1"/>
  <c r="AP56" i="31"/>
  <c r="AO54" i="31"/>
  <c r="AP55" i="31" s="1"/>
  <c r="AP50" i="31"/>
  <c r="AO48" i="31"/>
  <c r="AP49" i="31" s="1"/>
  <c r="AO68" i="31"/>
  <c r="AN66" i="31"/>
  <c r="AO67" i="31" s="1"/>
  <c r="AP71" i="31"/>
  <c r="AO69" i="31"/>
  <c r="AP70" i="31" s="1"/>
  <c r="AP77" i="31"/>
  <c r="AO75" i="31"/>
  <c r="AP76" i="31" s="1"/>
  <c r="AP83" i="31"/>
  <c r="AO81" i="31"/>
  <c r="AP82" i="31" s="1"/>
  <c r="AP59" i="31"/>
  <c r="AO57" i="31"/>
  <c r="AP58" i="31" s="1"/>
  <c r="AP80" i="31"/>
  <c r="AO78" i="31"/>
  <c r="AP79" i="31" s="1"/>
  <c r="AQ40" i="31"/>
  <c r="AP35" i="31"/>
  <c r="AR31" i="31"/>
  <c r="AS31" i="31"/>
  <c r="AS30" i="31"/>
  <c r="AP38" i="31"/>
  <c r="AV43" i="31"/>
  <c r="AS37" i="31"/>
  <c r="BA33" i="31"/>
  <c r="BA32" i="31"/>
  <c r="BA39" i="31"/>
  <c r="BA41" i="31"/>
  <c r="AV34" i="31"/>
  <c r="AJ29" i="31"/>
  <c r="AQ59" i="31" l="1"/>
  <c r="AP57" i="31"/>
  <c r="AQ58" i="31" s="1"/>
  <c r="AQ65" i="31"/>
  <c r="AP63" i="31"/>
  <c r="AQ64" i="31" s="1"/>
  <c r="AQ50" i="31"/>
  <c r="AP48" i="31"/>
  <c r="AQ49" i="31" s="1"/>
  <c r="AQ62" i="31"/>
  <c r="AP60" i="31"/>
  <c r="AQ61" i="31" s="1"/>
  <c r="AP81" i="31"/>
  <c r="AQ82" i="31" s="1"/>
  <c r="AQ83" i="31"/>
  <c r="AQ56" i="31"/>
  <c r="AP54" i="31"/>
  <c r="AQ55" i="31" s="1"/>
  <c r="AP67" i="31"/>
  <c r="AP75" i="31"/>
  <c r="AQ76" i="31" s="1"/>
  <c r="AQ77" i="31"/>
  <c r="AQ74" i="31"/>
  <c r="AP72" i="31"/>
  <c r="AQ73" i="31" s="1"/>
  <c r="AP68" i="31"/>
  <c r="AO66" i="31"/>
  <c r="AQ71" i="31"/>
  <c r="AP69" i="31"/>
  <c r="AQ70" i="31" s="1"/>
  <c r="AP51" i="31"/>
  <c r="AQ52" i="31" s="1"/>
  <c r="AQ53" i="31"/>
  <c r="AQ80" i="31"/>
  <c r="AP78" i="31"/>
  <c r="AQ79" i="31" s="1"/>
  <c r="BT47" i="31"/>
  <c r="BS45" i="31"/>
  <c r="BT46" i="31" s="1"/>
  <c r="AQ35" i="31"/>
  <c r="AT30" i="31"/>
  <c r="AR40" i="31"/>
  <c r="AS44" i="31"/>
  <c r="AT31" i="31"/>
  <c r="AQ38" i="31"/>
  <c r="AX43" i="31"/>
  <c r="AW43" i="31"/>
  <c r="BC41" i="31"/>
  <c r="BC39" i="31"/>
  <c r="BC32" i="31"/>
  <c r="BC33" i="31"/>
  <c r="AV42" i="31"/>
  <c r="AQ81" i="31" l="1"/>
  <c r="AR82" i="31" s="1"/>
  <c r="AR83" i="31"/>
  <c r="AQ54" i="31"/>
  <c r="AR55" i="31" s="1"/>
  <c r="AR56" i="31"/>
  <c r="AR62" i="31"/>
  <c r="AQ60" i="31"/>
  <c r="AR61" i="31" s="1"/>
  <c r="AQ68" i="31"/>
  <c r="AP66" i="31"/>
  <c r="AQ67" i="31" s="1"/>
  <c r="AQ78" i="31"/>
  <c r="AR79" i="31" s="1"/>
  <c r="AR80" i="31"/>
  <c r="AR71" i="31"/>
  <c r="AQ69" i="31"/>
  <c r="AR70" i="31" s="1"/>
  <c r="AR50" i="31"/>
  <c r="AQ48" i="31"/>
  <c r="AR49" i="31" s="1"/>
  <c r="AQ72" i="31"/>
  <c r="AR73" i="31" s="1"/>
  <c r="AR74" i="31"/>
  <c r="AR53" i="31"/>
  <c r="AQ51" i="31"/>
  <c r="AR52" i="31" s="1"/>
  <c r="AR77" i="31"/>
  <c r="AQ75" i="31"/>
  <c r="AR76" i="31" s="1"/>
  <c r="AR65" i="31"/>
  <c r="AQ63" i="31"/>
  <c r="AR64" i="31" s="1"/>
  <c r="BU47" i="31"/>
  <c r="BT45" i="31"/>
  <c r="BU46" i="31" s="1"/>
  <c r="AQ57" i="31"/>
  <c r="AR58" i="31" s="1"/>
  <c r="AR59" i="31"/>
  <c r="BD33" i="31"/>
  <c r="BD41" i="31"/>
  <c r="AV30" i="31"/>
  <c r="AV37" i="31"/>
  <c r="AT37" i="31"/>
  <c r="BD32" i="31"/>
  <c r="BD39" i="31"/>
  <c r="AY43" i="31"/>
  <c r="AS40" i="31"/>
  <c r="AR35" i="31"/>
  <c r="AW42" i="31"/>
  <c r="BE33" i="31"/>
  <c r="BE32" i="31"/>
  <c r="BE39" i="31"/>
  <c r="BE41" i="31"/>
  <c r="AI36" i="31"/>
  <c r="AW34" i="31"/>
  <c r="AK29" i="31"/>
  <c r="AR63" i="31" l="1"/>
  <c r="AS64" i="31" s="1"/>
  <c r="AS65" i="31"/>
  <c r="AR75" i="31"/>
  <c r="AS76" i="31" s="1"/>
  <c r="AS77" i="31"/>
  <c r="AR68" i="31"/>
  <c r="AQ66" i="31"/>
  <c r="AR67" i="31" s="1"/>
  <c r="AR51" i="31"/>
  <c r="AS52" i="31" s="1"/>
  <c r="AS53" i="31"/>
  <c r="AR60" i="31"/>
  <c r="AS61" i="31" s="1"/>
  <c r="AS62" i="31"/>
  <c r="AR72" i="31"/>
  <c r="AS73" i="31" s="1"/>
  <c r="AS74" i="31"/>
  <c r="AR54" i="31"/>
  <c r="AS55" i="31" s="1"/>
  <c r="AS56" i="31"/>
  <c r="AR78" i="31"/>
  <c r="AS79" i="31" s="1"/>
  <c r="AS80" i="31"/>
  <c r="AR69" i="31"/>
  <c r="AS70" i="31" s="1"/>
  <c r="AS71" i="31"/>
  <c r="AR57" i="31"/>
  <c r="AS58" i="31" s="1"/>
  <c r="AS59" i="31"/>
  <c r="AS83" i="31"/>
  <c r="AR81" i="31"/>
  <c r="AS82" i="31" s="1"/>
  <c r="BU45" i="31"/>
  <c r="BV46" i="31" s="1"/>
  <c r="BV47" i="31"/>
  <c r="AS50" i="31"/>
  <c r="AR48" i="31"/>
  <c r="AS49" i="31" s="1"/>
  <c r="AW30" i="31"/>
  <c r="AW37" i="31"/>
  <c r="AT40" i="31"/>
  <c r="AZ43" i="31"/>
  <c r="AV44" i="31"/>
  <c r="AV31" i="31"/>
  <c r="AR38" i="31"/>
  <c r="AX42" i="31"/>
  <c r="BF41" i="31"/>
  <c r="BF39" i="31"/>
  <c r="BF32" i="31"/>
  <c r="BF33" i="31"/>
  <c r="AX34" i="31"/>
  <c r="BA43" i="31"/>
  <c r="AT74" i="31" l="1"/>
  <c r="AS72" i="31"/>
  <c r="AT73" i="31" s="1"/>
  <c r="AT62" i="31"/>
  <c r="AS60" i="31"/>
  <c r="AT61" i="31" s="1"/>
  <c r="AS68" i="31"/>
  <c r="AR66" i="31"/>
  <c r="AS67" i="31" s="1"/>
  <c r="AS57" i="31"/>
  <c r="AT58" i="31" s="1"/>
  <c r="AT59" i="31"/>
  <c r="AS69" i="31"/>
  <c r="AT70" i="31" s="1"/>
  <c r="AT71" i="31"/>
  <c r="AT80" i="31"/>
  <c r="AS78" i="31"/>
  <c r="AT79" i="31" s="1"/>
  <c r="AT77" i="31"/>
  <c r="AS75" i="31"/>
  <c r="AT76" i="31" s="1"/>
  <c r="AT83" i="31"/>
  <c r="AS81" i="31"/>
  <c r="AT82" i="31" s="1"/>
  <c r="BV45" i="31"/>
  <c r="BW46" i="31" s="1"/>
  <c r="BW47" i="31"/>
  <c r="AT53" i="31"/>
  <c r="AS51" i="31"/>
  <c r="AT52" i="31" s="1"/>
  <c r="AS54" i="31"/>
  <c r="AT55" i="31" s="1"/>
  <c r="AT56" i="31"/>
  <c r="AS63" i="31"/>
  <c r="AT64" i="31" s="1"/>
  <c r="AT65" i="31"/>
  <c r="AT50" i="31"/>
  <c r="AS48" i="31"/>
  <c r="AT49" i="31" s="1"/>
  <c r="AV40" i="31"/>
  <c r="AT35" i="31"/>
  <c r="AS35" i="31"/>
  <c r="AW31" i="31"/>
  <c r="AX31" i="31"/>
  <c r="BA42" i="31"/>
  <c r="AX30" i="31"/>
  <c r="BA44" i="31"/>
  <c r="AY42" i="31"/>
  <c r="AS38" i="31"/>
  <c r="BG33" i="31"/>
  <c r="BG32" i="31"/>
  <c r="BG39" i="31"/>
  <c r="BG41" i="31"/>
  <c r="AJ36" i="31"/>
  <c r="AY34" i="31"/>
  <c r="AL29" i="31"/>
  <c r="AT57" i="31" l="1"/>
  <c r="AU58" i="31" s="1"/>
  <c r="AU59" i="31"/>
  <c r="AT51" i="31"/>
  <c r="AU52" i="31" s="1"/>
  <c r="AU53" i="31"/>
  <c r="AT69" i="31"/>
  <c r="AU70" i="31" s="1"/>
  <c r="AU71" i="31"/>
  <c r="AU65" i="31"/>
  <c r="AT63" i="31"/>
  <c r="AU64" i="31" s="1"/>
  <c r="AU56" i="31"/>
  <c r="AT54" i="31"/>
  <c r="AU55" i="31" s="1"/>
  <c r="AS66" i="31"/>
  <c r="AT67" i="31" s="1"/>
  <c r="AT68" i="31"/>
  <c r="AT78" i="31"/>
  <c r="AU79" i="31" s="1"/>
  <c r="AU80" i="31"/>
  <c r="BX47" i="31"/>
  <c r="BW45" i="31"/>
  <c r="BX46" i="31" s="1"/>
  <c r="AU83" i="31"/>
  <c r="AT81" i="31"/>
  <c r="AU82" i="31" s="1"/>
  <c r="AU62" i="31"/>
  <c r="AT60" i="31"/>
  <c r="AU61" i="31" s="1"/>
  <c r="AT48" i="31"/>
  <c r="AU49" i="31" s="1"/>
  <c r="AU50" i="31"/>
  <c r="AU77" i="31"/>
  <c r="AT75" i="31"/>
  <c r="AU76" i="31" s="1"/>
  <c r="AT72" i="31"/>
  <c r="AU73" i="31" s="1"/>
  <c r="AU74" i="31"/>
  <c r="AV35" i="31"/>
  <c r="AX37" i="31"/>
  <c r="AZ42" i="31"/>
  <c r="AW44" i="31"/>
  <c r="BC43" i="31"/>
  <c r="AW40" i="31"/>
  <c r="AY30" i="31"/>
  <c r="BH41" i="31"/>
  <c r="BH39" i="31"/>
  <c r="BH32" i="31"/>
  <c r="BH33" i="31"/>
  <c r="AZ34" i="31"/>
  <c r="AV82" i="31" l="1"/>
  <c r="AV65" i="31"/>
  <c r="AU63" i="31"/>
  <c r="AV64" i="31"/>
  <c r="AV83" i="31"/>
  <c r="AU81" i="31"/>
  <c r="AV71" i="31"/>
  <c r="AU69" i="31"/>
  <c r="AV70" i="31" s="1"/>
  <c r="AV50" i="31"/>
  <c r="AU48" i="31"/>
  <c r="AV49" i="31" s="1"/>
  <c r="AV61" i="31"/>
  <c r="AV55" i="31"/>
  <c r="AV56" i="31"/>
  <c r="AU54" i="31"/>
  <c r="AV62" i="31"/>
  <c r="AU60" i="31"/>
  <c r="BY47" i="31"/>
  <c r="BX45" i="31"/>
  <c r="AV53" i="31"/>
  <c r="AU51" i="31"/>
  <c r="AV52" i="31" s="1"/>
  <c r="BY46" i="31"/>
  <c r="AV74" i="31"/>
  <c r="AU72" i="31"/>
  <c r="AV73" i="31" s="1"/>
  <c r="AV80" i="31"/>
  <c r="AU78" i="31"/>
  <c r="AV79" i="31" s="1"/>
  <c r="AV59" i="31"/>
  <c r="AU57" i="31"/>
  <c r="AV77" i="31"/>
  <c r="AU75" i="31"/>
  <c r="AV76" i="31"/>
  <c r="AU68" i="31"/>
  <c r="AT66" i="31"/>
  <c r="AU67" i="31" s="1"/>
  <c r="AV58" i="31"/>
  <c r="AW35" i="31"/>
  <c r="AY37" i="31"/>
  <c r="AT38" i="31"/>
  <c r="AX44" i="31"/>
  <c r="AY31" i="31"/>
  <c r="BE43" i="31"/>
  <c r="BD43" i="31"/>
  <c r="BJ33" i="31"/>
  <c r="BJ32" i="31"/>
  <c r="BJ39" i="31"/>
  <c r="BJ41" i="31"/>
  <c r="AZ30" i="31"/>
  <c r="AK36" i="31"/>
  <c r="AM29" i="31"/>
  <c r="AW74" i="31" l="1"/>
  <c r="AV72" i="31"/>
  <c r="AW71" i="31"/>
  <c r="AV69" i="31"/>
  <c r="AW70" i="31" s="1"/>
  <c r="AW59" i="31"/>
  <c r="AV57" i="31"/>
  <c r="BY45" i="31"/>
  <c r="BZ46" i="31" s="1"/>
  <c r="BZ47" i="31"/>
  <c r="AW77" i="31"/>
  <c r="AV75" i="31"/>
  <c r="AW76" i="31" s="1"/>
  <c r="AW83" i="31"/>
  <c r="AV81" i="31"/>
  <c r="AW82" i="31" s="1"/>
  <c r="AV68" i="31"/>
  <c r="AU66" i="31"/>
  <c r="AW64" i="31"/>
  <c r="AW50" i="31"/>
  <c r="AV48" i="31"/>
  <c r="AW49" i="31" s="1"/>
  <c r="AW53" i="31"/>
  <c r="AV51" i="31"/>
  <c r="AW52" i="31" s="1"/>
  <c r="AW73" i="31"/>
  <c r="AW62" i="31"/>
  <c r="AV60" i="31"/>
  <c r="AW61" i="31" s="1"/>
  <c r="AW56" i="31"/>
  <c r="AV54" i="31"/>
  <c r="AW55" i="31" s="1"/>
  <c r="AW65" i="31"/>
  <c r="AV63" i="31"/>
  <c r="AW58" i="31"/>
  <c r="AW80" i="31"/>
  <c r="AV78" i="31"/>
  <c r="AW79" i="31" s="1"/>
  <c r="AV67" i="31"/>
  <c r="AV38" i="31"/>
  <c r="AZ37" i="31"/>
  <c r="BA30" i="31"/>
  <c r="BF43" i="31"/>
  <c r="BC42" i="31"/>
  <c r="BK41" i="31"/>
  <c r="BK32" i="31"/>
  <c r="AZ31" i="31"/>
  <c r="BA31" i="31"/>
  <c r="BK39" i="31"/>
  <c r="BK33" i="31"/>
  <c r="AX40" i="31"/>
  <c r="BL41" i="31"/>
  <c r="BL39" i="31"/>
  <c r="BL32" i="31"/>
  <c r="BL33" i="31"/>
  <c r="AW75" i="31" l="1"/>
  <c r="AX76" i="31" s="1"/>
  <c r="AX77" i="31"/>
  <c r="AW51" i="31"/>
  <c r="AX52" i="31" s="1"/>
  <c r="AX53" i="31"/>
  <c r="AX59" i="31"/>
  <c r="AW57" i="31"/>
  <c r="AX58" i="31" s="1"/>
  <c r="AW78" i="31"/>
  <c r="AX79" i="31" s="1"/>
  <c r="AX80" i="31"/>
  <c r="AW48" i="31"/>
  <c r="AX49" i="31" s="1"/>
  <c r="AX50" i="31"/>
  <c r="AX65" i="31"/>
  <c r="AW63" i="31"/>
  <c r="AX64" i="31" s="1"/>
  <c r="AX71" i="31"/>
  <c r="AW69" i="31"/>
  <c r="AX70" i="31" s="1"/>
  <c r="CA47" i="31"/>
  <c r="BZ45" i="31"/>
  <c r="CA46" i="31" s="1"/>
  <c r="AW54" i="31"/>
  <c r="AX55" i="31" s="1"/>
  <c r="AX56" i="31"/>
  <c r="AW68" i="31"/>
  <c r="AV66" i="31"/>
  <c r="AW72" i="31"/>
  <c r="AX73" i="31" s="1"/>
  <c r="AX74" i="31"/>
  <c r="AX62" i="31"/>
  <c r="AW60" i="31"/>
  <c r="AX61" i="31" s="1"/>
  <c r="AX83" i="31"/>
  <c r="AW81" i="31"/>
  <c r="AX82" i="31" s="1"/>
  <c r="AW67" i="31"/>
  <c r="BA37" i="31"/>
  <c r="AW38" i="31"/>
  <c r="BC37" i="31"/>
  <c r="BC30" i="31"/>
  <c r="BC31" i="31"/>
  <c r="AX35" i="31"/>
  <c r="BG43" i="31"/>
  <c r="BD42" i="31"/>
  <c r="AY44" i="31"/>
  <c r="BA34" i="31"/>
  <c r="AY35" i="31"/>
  <c r="BD37" i="31"/>
  <c r="BM33" i="31"/>
  <c r="BM32" i="31"/>
  <c r="BM39" i="31"/>
  <c r="BM41" i="31"/>
  <c r="AL36" i="31"/>
  <c r="BH42" i="31"/>
  <c r="AO29" i="31"/>
  <c r="AY74" i="31" l="1"/>
  <c r="AX72" i="31"/>
  <c r="AY73" i="31" s="1"/>
  <c r="AX78" i="31"/>
  <c r="AY79" i="31" s="1"/>
  <c r="AY80" i="31"/>
  <c r="AY62" i="31"/>
  <c r="AX60" i="31"/>
  <c r="AY61" i="31" s="1"/>
  <c r="AY65" i="31"/>
  <c r="AX63" i="31"/>
  <c r="AY64" i="31" s="1"/>
  <c r="AX57" i="31"/>
  <c r="AY58" i="31" s="1"/>
  <c r="AY59" i="31"/>
  <c r="AX48" i="31"/>
  <c r="AY49" i="31" s="1"/>
  <c r="AY50" i="31"/>
  <c r="AX68" i="31"/>
  <c r="AW66" i="31"/>
  <c r="AX67" i="31" s="1"/>
  <c r="AY56" i="31"/>
  <c r="AX54" i="31"/>
  <c r="AY55" i="31" s="1"/>
  <c r="AX51" i="31"/>
  <c r="AY52" i="31" s="1"/>
  <c r="AY53" i="31"/>
  <c r="CB47" i="31"/>
  <c r="CA45" i="31"/>
  <c r="CB46" i="31" s="1"/>
  <c r="AY83" i="31"/>
  <c r="AX81" i="31"/>
  <c r="AY82" i="31" s="1"/>
  <c r="AY77" i="31"/>
  <c r="AX75" i="31"/>
  <c r="AY76" i="31" s="1"/>
  <c r="AX69" i="31"/>
  <c r="AY70" i="31" s="1"/>
  <c r="AY71" i="31"/>
  <c r="BD30" i="31"/>
  <c r="AX38" i="31"/>
  <c r="BH43" i="31"/>
  <c r="BH44" i="31"/>
  <c r="BE37" i="31"/>
  <c r="AZ35" i="31"/>
  <c r="AY40" i="31"/>
  <c r="BC34" i="31"/>
  <c r="BN41" i="31"/>
  <c r="BN39" i="31"/>
  <c r="AZ77" i="31" l="1"/>
  <c r="AY75" i="31"/>
  <c r="AZ76" i="31" s="1"/>
  <c r="AY81" i="31"/>
  <c r="AZ82" i="31" s="1"/>
  <c r="AZ83" i="31"/>
  <c r="CB45" i="31"/>
  <c r="CC46" i="31" s="1"/>
  <c r="CC47" i="31"/>
  <c r="AZ65" i="31"/>
  <c r="AY63" i="31"/>
  <c r="AZ64" i="31" s="1"/>
  <c r="AZ53" i="31"/>
  <c r="AY51" i="31"/>
  <c r="AZ52" i="31" s="1"/>
  <c r="AZ62" i="31"/>
  <c r="AY60" i="31"/>
  <c r="AZ61" i="31" s="1"/>
  <c r="AZ50" i="31"/>
  <c r="AY48" i="31"/>
  <c r="AZ49" i="31" s="1"/>
  <c r="AY57" i="31"/>
  <c r="AZ58" i="31" s="1"/>
  <c r="AZ59" i="31"/>
  <c r="AZ80" i="31"/>
  <c r="AY78" i="31"/>
  <c r="AZ79" i="31" s="1"/>
  <c r="AY54" i="31"/>
  <c r="AZ55" i="31" s="1"/>
  <c r="AZ56" i="31"/>
  <c r="AZ71" i="31"/>
  <c r="AY69" i="31"/>
  <c r="AZ70" i="31" s="1"/>
  <c r="AY68" i="31"/>
  <c r="AX66" i="31"/>
  <c r="AY67" i="31" s="1"/>
  <c r="AZ74" i="31"/>
  <c r="AY72" i="31"/>
  <c r="AZ73" i="31" s="1"/>
  <c r="AY38" i="31"/>
  <c r="BD31" i="31"/>
  <c r="AZ44" i="31"/>
  <c r="BE42" i="31"/>
  <c r="BD34" i="31"/>
  <c r="BN33" i="31"/>
  <c r="BN32" i="31"/>
  <c r="BJ43" i="31"/>
  <c r="BF37" i="31"/>
  <c r="BO32" i="31"/>
  <c r="AM36" i="31"/>
  <c r="AO36" i="31"/>
  <c r="AP29" i="31"/>
  <c r="AZ69" i="31" l="1"/>
  <c r="BA70" i="31" s="1"/>
  <c r="BA71" i="31"/>
  <c r="BA53" i="31"/>
  <c r="AZ51" i="31"/>
  <c r="BA52" i="31" s="1"/>
  <c r="AZ60" i="31"/>
  <c r="BA61" i="31" s="1"/>
  <c r="BA62" i="31"/>
  <c r="AZ63" i="31"/>
  <c r="BA64" i="31" s="1"/>
  <c r="BA65" i="31"/>
  <c r="BA56" i="31"/>
  <c r="AZ54" i="31"/>
  <c r="BA55" i="31" s="1"/>
  <c r="CD47" i="31"/>
  <c r="CC45" i="31"/>
  <c r="CD46" i="31" s="1"/>
  <c r="AZ78" i="31"/>
  <c r="BA79" i="31" s="1"/>
  <c r="BA80" i="31"/>
  <c r="AZ57" i="31"/>
  <c r="BA58" i="31" s="1"/>
  <c r="BA59" i="31"/>
  <c r="BA83" i="31"/>
  <c r="AZ81" i="31"/>
  <c r="BA82" i="31" s="1"/>
  <c r="AY66" i="31"/>
  <c r="AZ67" i="31" s="1"/>
  <c r="AZ68" i="31"/>
  <c r="BA74" i="31"/>
  <c r="AZ72" i="31"/>
  <c r="BA73" i="31" s="1"/>
  <c r="AZ48" i="31"/>
  <c r="BA49" i="31" s="1"/>
  <c r="BA50" i="31"/>
  <c r="BA77" i="31"/>
  <c r="AZ75" i="31"/>
  <c r="BA76" i="31" s="1"/>
  <c r="BA35" i="31"/>
  <c r="BE31" i="31"/>
  <c r="BF31" i="31"/>
  <c r="BC44" i="31"/>
  <c r="BQ41" i="31"/>
  <c r="BQ32" i="31"/>
  <c r="BQ33" i="31"/>
  <c r="BK43" i="31"/>
  <c r="BR39" i="31"/>
  <c r="BQ39" i="31"/>
  <c r="BG37" i="31"/>
  <c r="BO41" i="31"/>
  <c r="BO39" i="31"/>
  <c r="BO33" i="31"/>
  <c r="BE30" i="31"/>
  <c r="AZ40" i="31"/>
  <c r="BB74" i="31" l="1"/>
  <c r="BA72" i="31"/>
  <c r="BB73" i="31" s="1"/>
  <c r="BA54" i="31"/>
  <c r="BB55" i="31" s="1"/>
  <c r="BB56" i="31"/>
  <c r="BB50" i="31"/>
  <c r="BA48" i="31"/>
  <c r="BB49" i="31" s="1"/>
  <c r="AZ66" i="31"/>
  <c r="BA67" i="31" s="1"/>
  <c r="BA68" i="31"/>
  <c r="BB62" i="31"/>
  <c r="BA60" i="31"/>
  <c r="BB61" i="31" s="1"/>
  <c r="BB65" i="31"/>
  <c r="BA63" i="31"/>
  <c r="BB64" i="31" s="1"/>
  <c r="BA81" i="31"/>
  <c r="BB82" i="31" s="1"/>
  <c r="BB83" i="31"/>
  <c r="BB59" i="31"/>
  <c r="BA57" i="31"/>
  <c r="BB58" i="31" s="1"/>
  <c r="BB53" i="31"/>
  <c r="BA51" i="31"/>
  <c r="BB52" i="31" s="1"/>
  <c r="CE47" i="31"/>
  <c r="CD45" i="31"/>
  <c r="CE46" i="31" s="1"/>
  <c r="BA78" i="31"/>
  <c r="BB79" i="31" s="1"/>
  <c r="BB80" i="31"/>
  <c r="BB71" i="31"/>
  <c r="BA69" i="31"/>
  <c r="BB70" i="31" s="1"/>
  <c r="BA75" i="31"/>
  <c r="BB76" i="31" s="1"/>
  <c r="BB77" i="31"/>
  <c r="BC35" i="31"/>
  <c r="BR32" i="31"/>
  <c r="BR33" i="31"/>
  <c r="BR41" i="31"/>
  <c r="BL43" i="31"/>
  <c r="BG31" i="31"/>
  <c r="BF42" i="31"/>
  <c r="BF30" i="31"/>
  <c r="BE34" i="31"/>
  <c r="AZ38" i="31"/>
  <c r="BS33" i="31"/>
  <c r="BS32" i="31"/>
  <c r="BS41" i="31"/>
  <c r="AQ29" i="31"/>
  <c r="BC65" i="31" l="1"/>
  <c r="BB63" i="31"/>
  <c r="BC79" i="31"/>
  <c r="BC62" i="31"/>
  <c r="BB60" i="31"/>
  <c r="BA66" i="31"/>
  <c r="BB67" i="31" s="1"/>
  <c r="BB68" i="31"/>
  <c r="BC52" i="31"/>
  <c r="BC49" i="31"/>
  <c r="BC71" i="31"/>
  <c r="BB69" i="31"/>
  <c r="BC70" i="31" s="1"/>
  <c r="BC80" i="31"/>
  <c r="BB78" i="31"/>
  <c r="CF47" i="31"/>
  <c r="CE45" i="31"/>
  <c r="CF46" i="31" s="1"/>
  <c r="BC53" i="31"/>
  <c r="BB51" i="31"/>
  <c r="BC50" i="31"/>
  <c r="BB48" i="31"/>
  <c r="BC59" i="31"/>
  <c r="BB57" i="31"/>
  <c r="BC58" i="31" s="1"/>
  <c r="BC56" i="31"/>
  <c r="BB54" i="31"/>
  <c r="BC55" i="31" s="1"/>
  <c r="BC61" i="31"/>
  <c r="BC77" i="31"/>
  <c r="BB75" i="31"/>
  <c r="BC76" i="31" s="1"/>
  <c r="BC83" i="31"/>
  <c r="BB81" i="31"/>
  <c r="BC82" i="31"/>
  <c r="BC64" i="31"/>
  <c r="BC74" i="31"/>
  <c r="BB72" i="31"/>
  <c r="BC73" i="31" s="1"/>
  <c r="BD35" i="31"/>
  <c r="BH37" i="31"/>
  <c r="BS39" i="31"/>
  <c r="BA38" i="31"/>
  <c r="BA40" i="31"/>
  <c r="BH31" i="31"/>
  <c r="BG42" i="31"/>
  <c r="BD44" i="31"/>
  <c r="BF34" i="31"/>
  <c r="BG30" i="31"/>
  <c r="BT41" i="31"/>
  <c r="BT39" i="31"/>
  <c r="BT32" i="31"/>
  <c r="BT33" i="31"/>
  <c r="BO44" i="31"/>
  <c r="BD50" i="31" l="1"/>
  <c r="BC48" i="31"/>
  <c r="BC68" i="31"/>
  <c r="BB66" i="31"/>
  <c r="BC67" i="31"/>
  <c r="BD53" i="31"/>
  <c r="BC51" i="31"/>
  <c r="BD52" i="31" s="1"/>
  <c r="BD83" i="31"/>
  <c r="BC81" i="31"/>
  <c r="BD82" i="31" s="1"/>
  <c r="BD62" i="31"/>
  <c r="BC60" i="31"/>
  <c r="BD61" i="31" s="1"/>
  <c r="BD77" i="31"/>
  <c r="BC75" i="31"/>
  <c r="BD76" i="31" s="1"/>
  <c r="CF45" i="31"/>
  <c r="CG46" i="31" s="1"/>
  <c r="CG47" i="31"/>
  <c r="BD49" i="31"/>
  <c r="BD65" i="31"/>
  <c r="BC63" i="31"/>
  <c r="BD64" i="31" s="1"/>
  <c r="BD56" i="31"/>
  <c r="BC54" i="31"/>
  <c r="BD55" i="31" s="1"/>
  <c r="BD71" i="31"/>
  <c r="BC69" i="31"/>
  <c r="BD70" i="31" s="1"/>
  <c r="BD59" i="31"/>
  <c r="BC57" i="31"/>
  <c r="BD58" i="31" s="1"/>
  <c r="BD74" i="31"/>
  <c r="BC72" i="31"/>
  <c r="BD73" i="31" s="1"/>
  <c r="BD80" i="31"/>
  <c r="BC78" i="31"/>
  <c r="BD79" i="31" s="1"/>
  <c r="BC38" i="31"/>
  <c r="BC40" i="31"/>
  <c r="BH30" i="31"/>
  <c r="BM43" i="31"/>
  <c r="BE44" i="31"/>
  <c r="BO43" i="31"/>
  <c r="BO42" i="31"/>
  <c r="BG34" i="31"/>
  <c r="BU33" i="31"/>
  <c r="BU39" i="31"/>
  <c r="AP36" i="31"/>
  <c r="AR29" i="31"/>
  <c r="BD57" i="31" l="1"/>
  <c r="BE58" i="31" s="1"/>
  <c r="BE59" i="31"/>
  <c r="BE77" i="31"/>
  <c r="BD75" i="31"/>
  <c r="BE76" i="31" s="1"/>
  <c r="BD51" i="31"/>
  <c r="BE52" i="31" s="1"/>
  <c r="BE53" i="31"/>
  <c r="BE71" i="31"/>
  <c r="BD69" i="31"/>
  <c r="BE70" i="31" s="1"/>
  <c r="BD68" i="31"/>
  <c r="BC66" i="31"/>
  <c r="BD67" i="31" s="1"/>
  <c r="BD54" i="31"/>
  <c r="BE55" i="31" s="1"/>
  <c r="BE56" i="31"/>
  <c r="BD48" i="31"/>
  <c r="BE49" i="31" s="1"/>
  <c r="BE50" i="31"/>
  <c r="CH47" i="31"/>
  <c r="CG45" i="31"/>
  <c r="CH46" i="31" s="1"/>
  <c r="BD63" i="31"/>
  <c r="BE64" i="31" s="1"/>
  <c r="BE65" i="31"/>
  <c r="BD60" i="31"/>
  <c r="BE61" i="31" s="1"/>
  <c r="BE62" i="31"/>
  <c r="BD72" i="31"/>
  <c r="BE73" i="31" s="1"/>
  <c r="BE74" i="31"/>
  <c r="BE80" i="31"/>
  <c r="BD78" i="31"/>
  <c r="BE79" i="31" s="1"/>
  <c r="BD81" i="31"/>
  <c r="BE82" i="31" s="1"/>
  <c r="BE83" i="31"/>
  <c r="BD38" i="31"/>
  <c r="BE35" i="31"/>
  <c r="BJ30" i="31"/>
  <c r="BD40" i="31"/>
  <c r="BH34" i="31"/>
  <c r="BJ31" i="31"/>
  <c r="BK31" i="31"/>
  <c r="BN43" i="31"/>
  <c r="BQ43" i="31"/>
  <c r="BJ42" i="31"/>
  <c r="BU41" i="31"/>
  <c r="BU32" i="31"/>
  <c r="BF35" i="31"/>
  <c r="BV41" i="31"/>
  <c r="BV39" i="31"/>
  <c r="BV32" i="31"/>
  <c r="BV33" i="31"/>
  <c r="BE60" i="31" l="1"/>
  <c r="BF61" i="31" s="1"/>
  <c r="BF62" i="31"/>
  <c r="BE68" i="31"/>
  <c r="BD66" i="31"/>
  <c r="BE67" i="31" s="1"/>
  <c r="BF65" i="31"/>
  <c r="BE63" i="31"/>
  <c r="BF64" i="31" s="1"/>
  <c r="BE69" i="31"/>
  <c r="BF70" i="31" s="1"/>
  <c r="BF71" i="31"/>
  <c r="BE78" i="31"/>
  <c r="BF79" i="31" s="1"/>
  <c r="BF80" i="31"/>
  <c r="BF53" i="31"/>
  <c r="BE51" i="31"/>
  <c r="BF52" i="31" s="1"/>
  <c r="BE72" i="31"/>
  <c r="BF73" i="31" s="1"/>
  <c r="BF74" i="31"/>
  <c r="CH45" i="31"/>
  <c r="CI46" i="31" s="1"/>
  <c r="CI47" i="31"/>
  <c r="BE81" i="31"/>
  <c r="BF82" i="31" s="1"/>
  <c r="BF83" i="31"/>
  <c r="BE48" i="31"/>
  <c r="BF49" i="31" s="1"/>
  <c r="BF50" i="31"/>
  <c r="BF77" i="31"/>
  <c r="BE75" i="31"/>
  <c r="BF76" i="31" s="1"/>
  <c r="BF59" i="31"/>
  <c r="BE57" i="31"/>
  <c r="BF58" i="31" s="1"/>
  <c r="BF56" i="31"/>
  <c r="BE54" i="31"/>
  <c r="BF55" i="31" s="1"/>
  <c r="BK30" i="31"/>
  <c r="BE38" i="31"/>
  <c r="BJ37" i="31"/>
  <c r="BJ34" i="31"/>
  <c r="BL37" i="31"/>
  <c r="BR43" i="31"/>
  <c r="BE40" i="31"/>
  <c r="BL31" i="31"/>
  <c r="BF44" i="31"/>
  <c r="BX41" i="31"/>
  <c r="BG35" i="31"/>
  <c r="BX39" i="31"/>
  <c r="BX33" i="31"/>
  <c r="AQ36" i="31"/>
  <c r="AS29" i="31"/>
  <c r="BF78" i="31" l="1"/>
  <c r="BG79" i="31" s="1"/>
  <c r="BG80" i="31"/>
  <c r="BG77" i="31"/>
  <c r="BF75" i="31"/>
  <c r="BG76" i="31" s="1"/>
  <c r="BF51" i="31"/>
  <c r="BG52" i="31" s="1"/>
  <c r="BG53" i="31"/>
  <c r="BF57" i="31"/>
  <c r="BG58" i="31" s="1"/>
  <c r="BG59" i="31"/>
  <c r="BF48" i="31"/>
  <c r="BG49" i="31" s="1"/>
  <c r="BG50" i="31"/>
  <c r="BG65" i="31"/>
  <c r="BF63" i="31"/>
  <c r="BG64" i="31" s="1"/>
  <c r="CI45" i="31"/>
  <c r="CJ46" i="31" s="1"/>
  <c r="CJ47" i="31"/>
  <c r="BF68" i="31"/>
  <c r="BE66" i="31"/>
  <c r="BF67" i="31" s="1"/>
  <c r="BG83" i="31"/>
  <c r="BF81" i="31"/>
  <c r="BG82" i="31" s="1"/>
  <c r="BF72" i="31"/>
  <c r="BG73" i="31" s="1"/>
  <c r="BG74" i="31"/>
  <c r="BF60" i="31"/>
  <c r="BG61" i="31" s="1"/>
  <c r="BG62" i="31"/>
  <c r="BF69" i="31"/>
  <c r="BG70" i="31" s="1"/>
  <c r="BG71" i="31"/>
  <c r="BF54" i="31"/>
  <c r="BG55" i="31" s="1"/>
  <c r="BG56" i="31"/>
  <c r="BK37" i="31"/>
  <c r="BK34" i="31"/>
  <c r="BM37" i="31"/>
  <c r="BX32" i="31"/>
  <c r="BS43" i="31"/>
  <c r="BM31" i="31"/>
  <c r="BK42" i="31"/>
  <c r="BY33" i="31"/>
  <c r="BY32" i="31"/>
  <c r="BF40" i="31"/>
  <c r="BY39" i="31"/>
  <c r="BH74" i="31" l="1"/>
  <c r="BG72" i="31"/>
  <c r="BH73" i="31" s="1"/>
  <c r="BG57" i="31"/>
  <c r="BH58" i="31" s="1"/>
  <c r="BH59" i="31"/>
  <c r="BH71" i="31"/>
  <c r="BG69" i="31"/>
  <c r="BH70" i="31" s="1"/>
  <c r="BH62" i="31"/>
  <c r="BG60" i="31"/>
  <c r="BH61" i="31" s="1"/>
  <c r="BH53" i="31"/>
  <c r="BG51" i="31"/>
  <c r="BH52" i="31" s="1"/>
  <c r="BG63" i="31"/>
  <c r="BH64" i="31" s="1"/>
  <c r="BH65" i="31"/>
  <c r="BG48" i="31"/>
  <c r="BH49" i="31" s="1"/>
  <c r="BH50" i="31"/>
  <c r="BG68" i="31"/>
  <c r="BF66" i="31"/>
  <c r="BG67" i="31" s="1"/>
  <c r="BG75" i="31"/>
  <c r="BH76" i="31" s="1"/>
  <c r="BH77" i="31"/>
  <c r="BG81" i="31"/>
  <c r="BH82" i="31" s="1"/>
  <c r="BH83" i="31"/>
  <c r="BH56" i="31"/>
  <c r="BG54" i="31"/>
  <c r="BH55" i="31" s="1"/>
  <c r="CK47" i="31"/>
  <c r="CJ45" i="31"/>
  <c r="CK46" i="31" s="1"/>
  <c r="BH80" i="31"/>
  <c r="BG78" i="31"/>
  <c r="BH79" i="31" s="1"/>
  <c r="BN37" i="31"/>
  <c r="BO37" i="31"/>
  <c r="BH35" i="31"/>
  <c r="BL34" i="31"/>
  <c r="BZ32" i="31"/>
  <c r="BG44" i="31"/>
  <c r="BL42" i="31"/>
  <c r="BL30" i="31"/>
  <c r="BF38" i="31"/>
  <c r="BM34" i="31"/>
  <c r="BY41" i="31"/>
  <c r="BZ39" i="31"/>
  <c r="AR36" i="31"/>
  <c r="AT29" i="31"/>
  <c r="CL47" i="31" l="1"/>
  <c r="CK45" i="31"/>
  <c r="CL46" i="31" s="1"/>
  <c r="BH54" i="31"/>
  <c r="BI55" i="31" s="1"/>
  <c r="BI56" i="31"/>
  <c r="BI83" i="31"/>
  <c r="BH81" i="31"/>
  <c r="BI82" i="31" s="1"/>
  <c r="BH51" i="31"/>
  <c r="BI52" i="31" s="1"/>
  <c r="BI53" i="31"/>
  <c r="BH60" i="31"/>
  <c r="BI61" i="31" s="1"/>
  <c r="BI62" i="31"/>
  <c r="BI77" i="31"/>
  <c r="BH75" i="31"/>
  <c r="BI76" i="31" s="1"/>
  <c r="BI71" i="31"/>
  <c r="BH69" i="31"/>
  <c r="BI70" i="31" s="1"/>
  <c r="BH63" i="31"/>
  <c r="BI64" i="31" s="1"/>
  <c r="BI65" i="31"/>
  <c r="BI59" i="31"/>
  <c r="BH57" i="31"/>
  <c r="BI58" i="31" s="1"/>
  <c r="BH68" i="31"/>
  <c r="BG66" i="31"/>
  <c r="BH67" i="31" s="1"/>
  <c r="BH48" i="31"/>
  <c r="BI49" i="31" s="1"/>
  <c r="BI50" i="31"/>
  <c r="BH78" i="31"/>
  <c r="BI79" i="31" s="1"/>
  <c r="BI80" i="31"/>
  <c r="BH72" i="31"/>
  <c r="BI73" i="31" s="1"/>
  <c r="BI74" i="31"/>
  <c r="BJ35" i="31"/>
  <c r="BZ33" i="31"/>
  <c r="CA33" i="31"/>
  <c r="CA32" i="31"/>
  <c r="BJ44" i="31"/>
  <c r="BT43" i="31"/>
  <c r="BN31" i="31"/>
  <c r="BG38" i="31"/>
  <c r="BM30" i="31"/>
  <c r="BV43" i="31"/>
  <c r="BV42" i="31"/>
  <c r="BV44" i="31"/>
  <c r="BN34" i="31"/>
  <c r="BG40" i="31"/>
  <c r="BZ41" i="31"/>
  <c r="BJ53" i="31" l="1"/>
  <c r="BI51" i="31"/>
  <c r="BJ52" i="31"/>
  <c r="BJ62" i="31"/>
  <c r="BI60" i="31"/>
  <c r="BJ61" i="31" s="1"/>
  <c r="BH66" i="31"/>
  <c r="BI67" i="31" s="1"/>
  <c r="BI68" i="31"/>
  <c r="BJ77" i="31"/>
  <c r="BI75" i="31"/>
  <c r="BJ76" i="31" s="1"/>
  <c r="BJ58" i="31"/>
  <c r="BJ59" i="31"/>
  <c r="BI57" i="31"/>
  <c r="BJ65" i="31"/>
  <c r="BI63" i="31"/>
  <c r="BJ83" i="31"/>
  <c r="BI81" i="31"/>
  <c r="BJ82" i="31" s="1"/>
  <c r="BJ64" i="31"/>
  <c r="BJ56" i="31"/>
  <c r="BI54" i="31"/>
  <c r="BJ55" i="31" s="1"/>
  <c r="BJ50" i="31"/>
  <c r="BI48" i="31"/>
  <c r="BJ49" i="31" s="1"/>
  <c r="BJ70" i="31"/>
  <c r="BJ74" i="31"/>
  <c r="BI72" i="31"/>
  <c r="BJ73" i="31"/>
  <c r="BJ71" i="31"/>
  <c r="BI69" i="31"/>
  <c r="BJ80" i="31"/>
  <c r="BI78" i="31"/>
  <c r="BJ79" i="31" s="1"/>
  <c r="CM47" i="31"/>
  <c r="CL45" i="31"/>
  <c r="CM46" i="31" s="1"/>
  <c r="BO31" i="31"/>
  <c r="BK35" i="31"/>
  <c r="CB33" i="31"/>
  <c r="CB32" i="31"/>
  <c r="BK44" i="31"/>
  <c r="BM42" i="31"/>
  <c r="BQ31" i="31"/>
  <c r="CA39" i="31"/>
  <c r="AS36" i="31"/>
  <c r="AV29" i="31"/>
  <c r="BK71" i="31" l="1"/>
  <c r="BJ69" i="31"/>
  <c r="BK80" i="31"/>
  <c r="BJ78" i="31"/>
  <c r="BK79" i="31" s="1"/>
  <c r="BK83" i="31"/>
  <c r="BJ81" i="31"/>
  <c r="BK62" i="31"/>
  <c r="BJ60" i="31"/>
  <c r="BK50" i="31"/>
  <c r="BJ48" i="31"/>
  <c r="BK49" i="31" s="1"/>
  <c r="BK56" i="31"/>
  <c r="BJ54" i="31"/>
  <c r="BK55" i="31" s="1"/>
  <c r="BK77" i="31"/>
  <c r="BJ75" i="31"/>
  <c r="BK76" i="31" s="1"/>
  <c r="BK52" i="31"/>
  <c r="BK82" i="31"/>
  <c r="BJ68" i="31"/>
  <c r="BI66" i="31"/>
  <c r="BJ67" i="31" s="1"/>
  <c r="BK74" i="31"/>
  <c r="BJ72" i="31"/>
  <c r="BK73" i="31" s="1"/>
  <c r="BK65" i="31"/>
  <c r="BJ63" i="31"/>
  <c r="BK64" i="31"/>
  <c r="BK59" i="31"/>
  <c r="BJ57" i="31"/>
  <c r="BK53" i="31"/>
  <c r="BJ51" i="31"/>
  <c r="CM45" i="31"/>
  <c r="CN46" i="31" s="1"/>
  <c r="CN47" i="31"/>
  <c r="BK70" i="31"/>
  <c r="BK58" i="31"/>
  <c r="BK61" i="31"/>
  <c r="BR31" i="31"/>
  <c r="BL35" i="31"/>
  <c r="BQ34" i="31"/>
  <c r="BO34" i="31"/>
  <c r="BH38" i="31"/>
  <c r="BH40" i="31"/>
  <c r="CC32" i="31"/>
  <c r="BU43" i="31"/>
  <c r="BL44" i="31"/>
  <c r="CA41" i="31"/>
  <c r="BN30" i="31"/>
  <c r="AW29" i="31"/>
  <c r="BK60" i="31" l="1"/>
  <c r="BL61" i="31" s="1"/>
  <c r="BL62" i="31"/>
  <c r="BL83" i="31"/>
  <c r="BK81" i="31"/>
  <c r="BL82" i="31" s="1"/>
  <c r="BK75" i="31"/>
  <c r="BL76" i="31" s="1"/>
  <c r="BL77" i="31"/>
  <c r="BK78" i="31"/>
  <c r="BL79" i="31" s="1"/>
  <c r="BL80" i="31"/>
  <c r="BK51" i="31"/>
  <c r="BL52" i="31" s="1"/>
  <c r="BL53" i="31"/>
  <c r="BK57" i="31"/>
  <c r="BL58" i="31" s="1"/>
  <c r="BL59" i="31"/>
  <c r="BL56" i="31"/>
  <c r="BK54" i="31"/>
  <c r="BL55" i="31" s="1"/>
  <c r="BK69" i="31"/>
  <c r="BL70" i="31" s="1"/>
  <c r="BL71" i="31"/>
  <c r="BK68" i="31"/>
  <c r="BJ66" i="31"/>
  <c r="BK67" i="31" s="1"/>
  <c r="BK63" i="31"/>
  <c r="BL64" i="31" s="1"/>
  <c r="BL65" i="31"/>
  <c r="BL50" i="31"/>
  <c r="BK48" i="31"/>
  <c r="BL49" i="31" s="1"/>
  <c r="CN45" i="31"/>
  <c r="CO46" i="31" s="1"/>
  <c r="CO47" i="31"/>
  <c r="BL74" i="31"/>
  <c r="BK72" i="31"/>
  <c r="BL73" i="31" s="1"/>
  <c r="BQ37" i="31"/>
  <c r="BR34" i="31"/>
  <c r="BJ40" i="31"/>
  <c r="BM35" i="31"/>
  <c r="CC33" i="31"/>
  <c r="BU37" i="31"/>
  <c r="BM44" i="31"/>
  <c r="BN42" i="31"/>
  <c r="BS31" i="31"/>
  <c r="CB39" i="31"/>
  <c r="AT36" i="31"/>
  <c r="AV36" i="31"/>
  <c r="BL63" i="31" l="1"/>
  <c r="BM64" i="31" s="1"/>
  <c r="BM65" i="31"/>
  <c r="BM80" i="31"/>
  <c r="BL78" i="31"/>
  <c r="BM79" i="31" s="1"/>
  <c r="BM77" i="31"/>
  <c r="BL75" i="31"/>
  <c r="BM76" i="31" s="1"/>
  <c r="BM53" i="31"/>
  <c r="BL51" i="31"/>
  <c r="BM52" i="31" s="1"/>
  <c r="BK66" i="31"/>
  <c r="BL67" i="31" s="1"/>
  <c r="BL68" i="31"/>
  <c r="BL48" i="31"/>
  <c r="BM49" i="31" s="1"/>
  <c r="BM50" i="31"/>
  <c r="BM71" i="31"/>
  <c r="BL69" i="31"/>
  <c r="BM70" i="31" s="1"/>
  <c r="BL81" i="31"/>
  <c r="BM82" i="31" s="1"/>
  <c r="BM83" i="31"/>
  <c r="BM62" i="31"/>
  <c r="BL60" i="31"/>
  <c r="BM61" i="31" s="1"/>
  <c r="BM74" i="31"/>
  <c r="BL72" i="31"/>
  <c r="BM73" i="31" s="1"/>
  <c r="BL54" i="31"/>
  <c r="BM55" i="31" s="1"/>
  <c r="BM56" i="31"/>
  <c r="CO45" i="31"/>
  <c r="CP46" i="31" s="1"/>
  <c r="CP47" i="31"/>
  <c r="BL57" i="31"/>
  <c r="BM58" i="31" s="1"/>
  <c r="BM59" i="31"/>
  <c r="BR37" i="31"/>
  <c r="CE33" i="31"/>
  <c r="BN35" i="31"/>
  <c r="BJ38" i="31"/>
  <c r="BK40" i="31"/>
  <c r="BV37" i="31"/>
  <c r="BO30" i="31"/>
  <c r="BS34" i="31"/>
  <c r="CE32" i="31"/>
  <c r="CF32" i="31"/>
  <c r="BX43" i="31"/>
  <c r="CB41" i="31"/>
  <c r="CC41" i="31"/>
  <c r="BT34" i="31"/>
  <c r="BL40" i="31"/>
  <c r="CC39" i="31"/>
  <c r="AX29" i="31"/>
  <c r="CQ47" i="31" l="1"/>
  <c r="CP45" i="31"/>
  <c r="CQ46" i="31" s="1"/>
  <c r="BN74" i="31"/>
  <c r="BM72" i="31"/>
  <c r="BN73" i="31" s="1"/>
  <c r="BN53" i="31"/>
  <c r="BM51" i="31"/>
  <c r="BN52" i="31" s="1"/>
  <c r="BN62" i="31"/>
  <c r="BM60" i="31"/>
  <c r="BN61" i="31" s="1"/>
  <c r="BN77" i="31"/>
  <c r="BM75" i="31"/>
  <c r="BN76" i="31" s="1"/>
  <c r="BN50" i="31"/>
  <c r="BM48" i="31"/>
  <c r="BN49" i="31" s="1"/>
  <c r="BM68" i="31"/>
  <c r="BL66" i="31"/>
  <c r="BM67" i="31" s="1"/>
  <c r="BN83" i="31"/>
  <c r="BM81" i="31"/>
  <c r="BN82" i="31" s="1"/>
  <c r="BN56" i="31"/>
  <c r="BM54" i="31"/>
  <c r="BN55" i="31" s="1"/>
  <c r="BM78" i="31"/>
  <c r="BN79" i="31" s="1"/>
  <c r="BN80" i="31"/>
  <c r="BM57" i="31"/>
  <c r="BN58" i="31" s="1"/>
  <c r="BN59" i="31"/>
  <c r="BM63" i="31"/>
  <c r="BN64" i="31" s="1"/>
  <c r="BN65" i="31"/>
  <c r="BN71" i="31"/>
  <c r="BM69" i="31"/>
  <c r="BN70" i="31" s="1"/>
  <c r="CF33" i="31"/>
  <c r="BQ30" i="31"/>
  <c r="BK38" i="31"/>
  <c r="BY43" i="31"/>
  <c r="BQ42" i="31"/>
  <c r="BN44" i="31"/>
  <c r="BT31" i="31"/>
  <c r="CC44" i="31"/>
  <c r="CC43" i="31"/>
  <c r="CC42" i="31"/>
  <c r="BM40" i="31"/>
  <c r="BU34" i="31"/>
  <c r="CE41" i="31"/>
  <c r="BO50" i="31" l="1"/>
  <c r="BN48" i="31"/>
  <c r="BO49" i="31" s="1"/>
  <c r="BO77" i="31"/>
  <c r="BN75" i="31"/>
  <c r="BO76" i="31" s="1"/>
  <c r="BN60" i="31"/>
  <c r="BO61" i="31" s="1"/>
  <c r="BO62" i="31"/>
  <c r="BO59" i="31"/>
  <c r="BN57" i="31"/>
  <c r="BO58" i="31" s="1"/>
  <c r="BO56" i="31"/>
  <c r="BN54" i="31"/>
  <c r="BO55" i="31" s="1"/>
  <c r="BN51" i="31"/>
  <c r="BO52" i="31" s="1"/>
  <c r="BO53" i="31"/>
  <c r="BO65" i="31"/>
  <c r="BN63" i="31"/>
  <c r="BO64" i="31" s="1"/>
  <c r="BO80" i="31"/>
  <c r="BN78" i="31"/>
  <c r="BO79" i="31" s="1"/>
  <c r="BN81" i="31"/>
  <c r="BO82" i="31" s="1"/>
  <c r="BO83" i="31"/>
  <c r="BO74" i="31"/>
  <c r="BN72" i="31"/>
  <c r="BO73" i="31" s="1"/>
  <c r="BO71" i="31"/>
  <c r="BN69" i="31"/>
  <c r="BO70" i="31" s="1"/>
  <c r="BN68" i="31"/>
  <c r="BM66" i="31"/>
  <c r="BN67" i="31" s="1"/>
  <c r="CR47" i="31"/>
  <c r="CQ45" i="31"/>
  <c r="CR46" i="31" s="1"/>
  <c r="BS37" i="31"/>
  <c r="BR30" i="31"/>
  <c r="BM38" i="31"/>
  <c r="BL38" i="31"/>
  <c r="BY37" i="31"/>
  <c r="BO35" i="31"/>
  <c r="BQ44" i="31"/>
  <c r="BU31" i="31"/>
  <c r="BN40" i="31"/>
  <c r="CG32" i="31"/>
  <c r="CE39" i="31"/>
  <c r="AW36" i="31"/>
  <c r="AY29" i="31"/>
  <c r="BN66" i="31" l="1"/>
  <c r="BO67" i="31" s="1"/>
  <c r="BO68" i="31"/>
  <c r="BO69" i="31"/>
  <c r="BP70" i="31" s="1"/>
  <c r="BP71" i="31"/>
  <c r="BP56" i="31"/>
  <c r="BO54" i="31"/>
  <c r="BP55" i="31" s="1"/>
  <c r="BP74" i="31"/>
  <c r="BO72" i="31"/>
  <c r="BP73" i="31" s="1"/>
  <c r="BO57" i="31"/>
  <c r="BP58" i="31" s="1"/>
  <c r="BP59" i="31"/>
  <c r="BO81" i="31"/>
  <c r="BP82" i="31" s="1"/>
  <c r="BP83" i="31"/>
  <c r="BP62" i="31"/>
  <c r="BO60" i="31"/>
  <c r="BP61" i="31" s="1"/>
  <c r="BO51" i="31"/>
  <c r="BP52" i="31" s="1"/>
  <c r="BP53" i="31"/>
  <c r="BP80" i="31"/>
  <c r="BO78" i="31"/>
  <c r="BP79" i="31" s="1"/>
  <c r="BO75" i="31"/>
  <c r="BP76" i="31" s="1"/>
  <c r="BP77" i="31"/>
  <c r="CS47" i="31"/>
  <c r="CR45" i="31"/>
  <c r="CS46" i="31" s="1"/>
  <c r="BO63" i="31"/>
  <c r="BP64" i="31" s="1"/>
  <c r="BP65" i="31"/>
  <c r="BP50" i="31"/>
  <c r="BO48" i="31"/>
  <c r="BP49" i="31" s="1"/>
  <c r="BQ35" i="31"/>
  <c r="CA37" i="31"/>
  <c r="BX34" i="31"/>
  <c r="BV34" i="31"/>
  <c r="BZ43" i="31"/>
  <c r="BR42" i="31"/>
  <c r="CF41" i="31"/>
  <c r="CG41" i="31"/>
  <c r="CI32" i="31"/>
  <c r="CH32" i="31"/>
  <c r="CG33" i="31"/>
  <c r="BN38" i="31"/>
  <c r="BS30" i="31"/>
  <c r="CB37" i="31"/>
  <c r="CT46" i="31" l="1"/>
  <c r="CT47" i="31"/>
  <c r="CS45" i="31"/>
  <c r="BQ74" i="31"/>
  <c r="BP72" i="31"/>
  <c r="BQ73" i="31" s="1"/>
  <c r="BQ83" i="31"/>
  <c r="BP81" i="31"/>
  <c r="BQ82" i="31" s="1"/>
  <c r="BQ59" i="31"/>
  <c r="BP57" i="31"/>
  <c r="BQ58" i="31" s="1"/>
  <c r="BQ77" i="31"/>
  <c r="BP75" i="31"/>
  <c r="BQ76" i="31" s="1"/>
  <c r="BQ79" i="31"/>
  <c r="BQ80" i="31"/>
  <c r="BP78" i="31"/>
  <c r="BQ56" i="31"/>
  <c r="BP54" i="31"/>
  <c r="BQ55" i="31" s="1"/>
  <c r="BQ53" i="31"/>
  <c r="BP51" i="31"/>
  <c r="BQ52" i="31" s="1"/>
  <c r="BQ71" i="31"/>
  <c r="BP69" i="31"/>
  <c r="BQ70" i="31"/>
  <c r="BQ50" i="31"/>
  <c r="BP48" i="31"/>
  <c r="BQ49" i="31" s="1"/>
  <c r="BO66" i="31"/>
  <c r="BP67" i="31" s="1"/>
  <c r="BP68" i="31"/>
  <c r="BQ64" i="31"/>
  <c r="BQ65" i="31"/>
  <c r="BP63" i="31"/>
  <c r="BQ62" i="31"/>
  <c r="BP60" i="31"/>
  <c r="BQ61" i="31" s="1"/>
  <c r="BT37" i="31"/>
  <c r="BR35" i="31"/>
  <c r="BQ40" i="31"/>
  <c r="BO40" i="31"/>
  <c r="BV31" i="31"/>
  <c r="CF39" i="31"/>
  <c r="CA43" i="31"/>
  <c r="CB43" i="31"/>
  <c r="BR44" i="31"/>
  <c r="CG39" i="31"/>
  <c r="BT30" i="31"/>
  <c r="CH33" i="31"/>
  <c r="BY34" i="31"/>
  <c r="AX36" i="31"/>
  <c r="AZ29" i="31"/>
  <c r="BR58" i="31" l="1"/>
  <c r="BR59" i="31"/>
  <c r="BQ57" i="31"/>
  <c r="BQ68" i="31"/>
  <c r="BP66" i="31"/>
  <c r="BR83" i="31"/>
  <c r="BQ81" i="31"/>
  <c r="BR82" i="31" s="1"/>
  <c r="BR53" i="31"/>
  <c r="BQ51" i="31"/>
  <c r="BR52" i="31" s="1"/>
  <c r="BR56" i="31"/>
  <c r="BQ54" i="31"/>
  <c r="BR55" i="31" s="1"/>
  <c r="BR74" i="31"/>
  <c r="BQ72" i="31"/>
  <c r="BR73" i="31" s="1"/>
  <c r="BQ67" i="31"/>
  <c r="BR50" i="31"/>
  <c r="BQ48" i="31"/>
  <c r="BR49" i="31" s="1"/>
  <c r="BR80" i="31"/>
  <c r="BQ78" i="31"/>
  <c r="BR79" i="31" s="1"/>
  <c r="CU47" i="31"/>
  <c r="CT45" i="31"/>
  <c r="CU46" i="31" s="1"/>
  <c r="BR65" i="31"/>
  <c r="BQ63" i="31"/>
  <c r="BR64" i="31" s="1"/>
  <c r="BR71" i="31"/>
  <c r="BQ69" i="31"/>
  <c r="BR70" i="31" s="1"/>
  <c r="BR62" i="31"/>
  <c r="BQ60" i="31"/>
  <c r="BR61" i="31" s="1"/>
  <c r="BR77" i="31"/>
  <c r="BQ75" i="31"/>
  <c r="BR76" i="31" s="1"/>
  <c r="BR40" i="31"/>
  <c r="BX31" i="31"/>
  <c r="BQ38" i="31"/>
  <c r="BO38" i="31"/>
  <c r="CC37" i="31"/>
  <c r="BS42" i="31"/>
  <c r="BZ34" i="31"/>
  <c r="CJ32" i="31"/>
  <c r="CH41" i="31"/>
  <c r="CI33" i="31"/>
  <c r="BU30" i="31"/>
  <c r="CH39" i="31"/>
  <c r="CJ44" i="31"/>
  <c r="BS83" i="31" l="1"/>
  <c r="BR81" i="31"/>
  <c r="BS82" i="31" s="1"/>
  <c r="BS50" i="31"/>
  <c r="BR48" i="31"/>
  <c r="BS49" i="31" s="1"/>
  <c r="BS59" i="31"/>
  <c r="BR57" i="31"/>
  <c r="BS58" i="31" s="1"/>
  <c r="BR60" i="31"/>
  <c r="BS61" i="31" s="1"/>
  <c r="BS62" i="31"/>
  <c r="BS65" i="31"/>
  <c r="BR63" i="31"/>
  <c r="BS64" i="31" s="1"/>
  <c r="BR72" i="31"/>
  <c r="BS73" i="31" s="1"/>
  <c r="BS74" i="31"/>
  <c r="BR78" i="31"/>
  <c r="BS79" i="31" s="1"/>
  <c r="BS80" i="31"/>
  <c r="CU45" i="31"/>
  <c r="CV46" i="31" s="1"/>
  <c r="CV47" i="31"/>
  <c r="BS56" i="31"/>
  <c r="BR54" i="31"/>
  <c r="BS55" i="31" s="1"/>
  <c r="BR68" i="31"/>
  <c r="BQ66" i="31"/>
  <c r="BR67" i="31" s="1"/>
  <c r="BR51" i="31"/>
  <c r="BS52" i="31" s="1"/>
  <c r="BS53" i="31"/>
  <c r="BR69" i="31"/>
  <c r="BS70" i="31" s="1"/>
  <c r="BS71" i="31"/>
  <c r="BR75" i="31"/>
  <c r="BS76" i="31" s="1"/>
  <c r="BS77" i="31"/>
  <c r="BS40" i="31"/>
  <c r="BS35" i="31"/>
  <c r="BY31" i="31"/>
  <c r="BR38" i="31"/>
  <c r="BV30" i="31"/>
  <c r="CE43" i="31"/>
  <c r="BS44" i="31"/>
  <c r="CJ43" i="31"/>
  <c r="CJ42" i="31"/>
  <c r="CI39" i="31"/>
  <c r="CJ33" i="31"/>
  <c r="BT35" i="31"/>
  <c r="CL32" i="31"/>
  <c r="CA34" i="31"/>
  <c r="AY36" i="31"/>
  <c r="BA29" i="31"/>
  <c r="BT65" i="31" l="1"/>
  <c r="BS63" i="31"/>
  <c r="BT64" i="31" s="1"/>
  <c r="BS72" i="31"/>
  <c r="BT73" i="31" s="1"/>
  <c r="BT74" i="31"/>
  <c r="BR66" i="31"/>
  <c r="BS67" i="31" s="1"/>
  <c r="BS68" i="31"/>
  <c r="BS54" i="31"/>
  <c r="BT55" i="31" s="1"/>
  <c r="BT56" i="31"/>
  <c r="BS60" i="31"/>
  <c r="BT61" i="31" s="1"/>
  <c r="BT62" i="31"/>
  <c r="CV45" i="31"/>
  <c r="CW46" i="31" s="1"/>
  <c r="CW47" i="31"/>
  <c r="BT59" i="31"/>
  <c r="BS57" i="31"/>
  <c r="BT58" i="31" s="1"/>
  <c r="BT53" i="31"/>
  <c r="BS51" i="31"/>
  <c r="BT52" i="31" s="1"/>
  <c r="BS75" i="31"/>
  <c r="BT76" i="31" s="1"/>
  <c r="BT77" i="31"/>
  <c r="BS48" i="31"/>
  <c r="BT49" i="31" s="1"/>
  <c r="BT50" i="31"/>
  <c r="BT80" i="31"/>
  <c r="BS78" i="31"/>
  <c r="BT79" i="31" s="1"/>
  <c r="BT71" i="31"/>
  <c r="BS69" i="31"/>
  <c r="BT70" i="31" s="1"/>
  <c r="BS81" i="31"/>
  <c r="BT82" i="31" s="1"/>
  <c r="BT83" i="31"/>
  <c r="BT40" i="31"/>
  <c r="BX37" i="31"/>
  <c r="BX30" i="31"/>
  <c r="BZ31" i="31"/>
  <c r="CF43" i="31"/>
  <c r="BT42" i="31"/>
  <c r="CB34" i="31"/>
  <c r="CM32" i="31"/>
  <c r="BU35" i="31"/>
  <c r="CL33" i="31"/>
  <c r="BS38" i="31"/>
  <c r="CG37" i="31"/>
  <c r="BU62" i="31" l="1"/>
  <c r="BT60" i="31"/>
  <c r="BU61" i="31" s="1"/>
  <c r="BU80" i="31"/>
  <c r="BT78" i="31"/>
  <c r="BU79" i="31" s="1"/>
  <c r="BT69" i="31"/>
  <c r="BU70" i="31" s="1"/>
  <c r="BU71" i="31"/>
  <c r="BU56" i="31"/>
  <c r="BT54" i="31"/>
  <c r="BU55" i="31" s="1"/>
  <c r="BU77" i="31"/>
  <c r="BT75" i="31"/>
  <c r="BU76" i="31" s="1"/>
  <c r="BS66" i="31"/>
  <c r="BT67" i="31" s="1"/>
  <c r="BT68" i="31"/>
  <c r="CW45" i="31"/>
  <c r="CX46" i="31" s="1"/>
  <c r="CX47" i="31"/>
  <c r="BT48" i="31"/>
  <c r="BU49" i="31" s="1"/>
  <c r="BU50" i="31"/>
  <c r="BU74" i="31"/>
  <c r="BT72" i="31"/>
  <c r="BU73" i="31" s="1"/>
  <c r="BU53" i="31"/>
  <c r="BT51" i="31"/>
  <c r="BU52" i="31" s="1"/>
  <c r="BU83" i="31"/>
  <c r="BT81" i="31"/>
  <c r="BU82" i="31" s="1"/>
  <c r="BU59" i="31"/>
  <c r="BT57" i="31"/>
  <c r="BU58" i="31" s="1"/>
  <c r="BT63" i="31"/>
  <c r="BU64" i="31" s="1"/>
  <c r="BU65" i="31"/>
  <c r="BY30" i="31"/>
  <c r="BU40" i="31"/>
  <c r="BZ37" i="31"/>
  <c r="CA31" i="31"/>
  <c r="CL39" i="31"/>
  <c r="CJ39" i="31"/>
  <c r="BV35" i="31"/>
  <c r="CI41" i="31"/>
  <c r="CG43" i="31"/>
  <c r="BU42" i="31"/>
  <c r="BT44" i="31"/>
  <c r="CJ41" i="31"/>
  <c r="CH37" i="31"/>
  <c r="BT38" i="31"/>
  <c r="CN32" i="31"/>
  <c r="AZ36" i="31"/>
  <c r="BC29" i="31"/>
  <c r="BU81" i="31" l="1"/>
  <c r="BV82" i="31" s="1"/>
  <c r="BV83" i="31"/>
  <c r="BV77" i="31"/>
  <c r="BU75" i="31"/>
  <c r="BV76" i="31" s="1"/>
  <c r="BU51" i="31"/>
  <c r="BV52" i="31" s="1"/>
  <c r="BV53" i="31"/>
  <c r="BU54" i="31"/>
  <c r="BV55" i="31" s="1"/>
  <c r="BV56" i="31"/>
  <c r="BU69" i="31"/>
  <c r="BV70" i="31" s="1"/>
  <c r="BV71" i="31"/>
  <c r="BV74" i="31"/>
  <c r="BU72" i="31"/>
  <c r="BV73" i="31" s="1"/>
  <c r="BU57" i="31"/>
  <c r="BV58" i="31" s="1"/>
  <c r="BV59" i="31"/>
  <c r="BU48" i="31"/>
  <c r="BV49" i="31" s="1"/>
  <c r="BV50" i="31"/>
  <c r="BU78" i="31"/>
  <c r="BV79" i="31" s="1"/>
  <c r="BV80" i="31"/>
  <c r="BT66" i="31"/>
  <c r="BU67" i="31" s="1"/>
  <c r="BU68" i="31"/>
  <c r="BU63" i="31"/>
  <c r="BV64" i="31" s="1"/>
  <c r="BV65" i="31"/>
  <c r="CY47" i="31"/>
  <c r="CX45" i="31"/>
  <c r="CY46" i="31" s="1"/>
  <c r="BU60" i="31"/>
  <c r="BV61" i="31" s="1"/>
  <c r="BV62" i="31"/>
  <c r="CB31" i="31"/>
  <c r="BX35" i="31"/>
  <c r="CE34" i="31"/>
  <c r="CC34" i="31"/>
  <c r="CM39" i="31"/>
  <c r="CH43" i="31"/>
  <c r="BU44" i="31"/>
  <c r="CO32" i="31"/>
  <c r="CM33" i="31"/>
  <c r="BU38" i="31"/>
  <c r="CI37" i="31"/>
  <c r="BW65" i="31" l="1"/>
  <c r="BV63" i="31"/>
  <c r="BW64" i="31" s="1"/>
  <c r="BV54" i="31"/>
  <c r="BW55" i="31" s="1"/>
  <c r="BW56" i="31"/>
  <c r="BV78" i="31"/>
  <c r="BW79" i="31" s="1"/>
  <c r="BW80" i="31"/>
  <c r="BV51" i="31"/>
  <c r="BW52" i="31" s="1"/>
  <c r="BW53" i="31"/>
  <c r="CZ47" i="31"/>
  <c r="CY45" i="31"/>
  <c r="CZ46" i="31" s="1"/>
  <c r="BV68" i="31"/>
  <c r="BU66" i="31"/>
  <c r="BV67" i="31" s="1"/>
  <c r="BW50" i="31"/>
  <c r="BV48" i="31"/>
  <c r="BW49" i="31" s="1"/>
  <c r="BW71" i="31"/>
  <c r="BV69" i="31"/>
  <c r="BW70" i="31" s="1"/>
  <c r="BW77" i="31"/>
  <c r="BV75" i="31"/>
  <c r="BW76" i="31" s="1"/>
  <c r="BV72" i="31"/>
  <c r="BW73" i="31" s="1"/>
  <c r="BW74" i="31"/>
  <c r="BW62" i="31"/>
  <c r="BV60" i="31"/>
  <c r="BW61" i="31" s="1"/>
  <c r="BV57" i="31"/>
  <c r="BW58" i="31" s="1"/>
  <c r="BW59" i="31"/>
  <c r="BV81" i="31"/>
  <c r="BW82" i="31" s="1"/>
  <c r="BW83" i="31"/>
  <c r="CC31" i="31"/>
  <c r="BY35" i="31"/>
  <c r="CG34" i="31"/>
  <c r="BX40" i="31"/>
  <c r="BV40" i="31"/>
  <c r="CN33" i="31"/>
  <c r="BX44" i="31"/>
  <c r="CI43" i="31"/>
  <c r="BX42" i="31"/>
  <c r="BZ30" i="31"/>
  <c r="CP32" i="31"/>
  <c r="BA36" i="31"/>
  <c r="BC36" i="31"/>
  <c r="BD29" i="31"/>
  <c r="CQ44" i="31"/>
  <c r="DA47" i="31" l="1"/>
  <c r="CZ45" i="31"/>
  <c r="DA46" i="31" s="1"/>
  <c r="BX53" i="31"/>
  <c r="BW51" i="31"/>
  <c r="BX52" i="31" s="1"/>
  <c r="BX80" i="31"/>
  <c r="BW78" i="31"/>
  <c r="BX79" i="31" s="1"/>
  <c r="BW68" i="31"/>
  <c r="BV66" i="31"/>
  <c r="BW67" i="31" s="1"/>
  <c r="BX62" i="31"/>
  <c r="BW60" i="31"/>
  <c r="BX61" i="31" s="1"/>
  <c r="BX74" i="31"/>
  <c r="BW72" i="31"/>
  <c r="BX73" i="31" s="1"/>
  <c r="BX77" i="31"/>
  <c r="BW75" i="31"/>
  <c r="BX76" i="31" s="1"/>
  <c r="BX71" i="31"/>
  <c r="BW69" i="31"/>
  <c r="BX70" i="31" s="1"/>
  <c r="BX56" i="31"/>
  <c r="BW54" i="31"/>
  <c r="BX55" i="31" s="1"/>
  <c r="BX83" i="31"/>
  <c r="BW81" i="31"/>
  <c r="BX82" i="31" s="1"/>
  <c r="BX64" i="31"/>
  <c r="BX50" i="31"/>
  <c r="BW48" i="31"/>
  <c r="BX49" i="31" s="1"/>
  <c r="BX59" i="31"/>
  <c r="BW57" i="31"/>
  <c r="BX58" i="31" s="1"/>
  <c r="BX65" i="31"/>
  <c r="BW63" i="31"/>
  <c r="CF34" i="31"/>
  <c r="CJ37" i="31"/>
  <c r="BX38" i="31"/>
  <c r="BV38" i="31"/>
  <c r="CL41" i="31"/>
  <c r="CL43" i="31"/>
  <c r="CO33" i="31"/>
  <c r="CQ42" i="31"/>
  <c r="CQ43" i="31"/>
  <c r="CH34" i="31"/>
  <c r="CA30" i="31"/>
  <c r="CN39" i="31"/>
  <c r="BE29" i="31"/>
  <c r="BY59" i="31" l="1"/>
  <c r="BX57" i="31"/>
  <c r="BY58" i="31" s="1"/>
  <c r="BY50" i="31"/>
  <c r="BX48" i="31"/>
  <c r="BY49" i="31" s="1"/>
  <c r="BY77" i="31"/>
  <c r="BX75" i="31"/>
  <c r="BY76" i="31" s="1"/>
  <c r="BY53" i="31"/>
  <c r="BX51" i="31"/>
  <c r="BY52" i="31" s="1"/>
  <c r="BY74" i="31"/>
  <c r="BX72" i="31"/>
  <c r="BY73" i="31" s="1"/>
  <c r="BY64" i="31"/>
  <c r="BY71" i="31"/>
  <c r="BX69" i="31"/>
  <c r="BY70" i="31" s="1"/>
  <c r="BY83" i="31"/>
  <c r="BX81" i="31"/>
  <c r="BY82" i="31" s="1"/>
  <c r="BY65" i="31"/>
  <c r="BX63" i="31"/>
  <c r="DA45" i="31"/>
  <c r="DB46" i="31" s="1"/>
  <c r="DB47" i="31"/>
  <c r="BX68" i="31"/>
  <c r="BW66" i="31"/>
  <c r="BY80" i="31"/>
  <c r="BX78" i="31"/>
  <c r="BY79" i="31" s="1"/>
  <c r="BY56" i="31"/>
  <c r="BX54" i="31"/>
  <c r="BY55" i="31" s="1"/>
  <c r="BY62" i="31"/>
  <c r="BX60" i="31"/>
  <c r="BY61" i="31" s="1"/>
  <c r="BX67" i="31"/>
  <c r="CE37" i="31"/>
  <c r="BZ35" i="31"/>
  <c r="BY38" i="31"/>
  <c r="BY40" i="31"/>
  <c r="CM43" i="31"/>
  <c r="BY44" i="31"/>
  <c r="BY42" i="31"/>
  <c r="CO39" i="31"/>
  <c r="CB30" i="31"/>
  <c r="CI34" i="31"/>
  <c r="CE31" i="31"/>
  <c r="CA35" i="31"/>
  <c r="CQ32" i="31"/>
  <c r="CP33" i="31"/>
  <c r="BZ62" i="31" l="1"/>
  <c r="BY60" i="31"/>
  <c r="BZ61" i="31" s="1"/>
  <c r="BY54" i="31"/>
  <c r="BZ55" i="31" s="1"/>
  <c r="BZ56" i="31"/>
  <c r="BZ71" i="31"/>
  <c r="BY69" i="31"/>
  <c r="BZ70" i="31" s="1"/>
  <c r="BZ50" i="31"/>
  <c r="BY48" i="31"/>
  <c r="BZ49" i="31" s="1"/>
  <c r="BZ59" i="31"/>
  <c r="BY57" i="31"/>
  <c r="BZ58" i="31" s="1"/>
  <c r="BZ80" i="31"/>
  <c r="BY78" i="31"/>
  <c r="BZ79" i="31" s="1"/>
  <c r="BY68" i="31"/>
  <c r="BX66" i="31"/>
  <c r="BY67" i="31" s="1"/>
  <c r="DB45" i="31"/>
  <c r="DC46" i="31" s="1"/>
  <c r="DC47" i="31"/>
  <c r="BY72" i="31"/>
  <c r="BZ73" i="31" s="1"/>
  <c r="BZ74" i="31"/>
  <c r="BY81" i="31"/>
  <c r="BZ82" i="31" s="1"/>
  <c r="BZ83" i="31"/>
  <c r="BZ77" i="31"/>
  <c r="BY75" i="31"/>
  <c r="BZ76" i="31" s="1"/>
  <c r="BZ53" i="31"/>
  <c r="BY51" i="31"/>
  <c r="BZ52" i="31" s="1"/>
  <c r="BZ65" i="31"/>
  <c r="BY63" i="31"/>
  <c r="BZ64" i="31" s="1"/>
  <c r="CF37" i="31"/>
  <c r="BZ38" i="31"/>
  <c r="CC30" i="31"/>
  <c r="CM41" i="31"/>
  <c r="BZ44" i="31"/>
  <c r="CN43" i="31"/>
  <c r="CB35" i="31"/>
  <c r="CP39" i="31"/>
  <c r="BD36" i="31"/>
  <c r="BF29" i="31"/>
  <c r="BZ75" i="31" l="1"/>
  <c r="CA76" i="31" s="1"/>
  <c r="CA77" i="31"/>
  <c r="BZ57" i="31"/>
  <c r="CA58" i="31" s="1"/>
  <c r="CA59" i="31"/>
  <c r="CA53" i="31"/>
  <c r="BZ51" i="31"/>
  <c r="CA52" i="31" s="1"/>
  <c r="CA50" i="31"/>
  <c r="BZ48" i="31"/>
  <c r="CA49" i="31" s="1"/>
  <c r="BZ78" i="31"/>
  <c r="CA79" i="31" s="1"/>
  <c r="CA80" i="31"/>
  <c r="CA83" i="31"/>
  <c r="BZ81" i="31"/>
  <c r="CA82" i="31" s="1"/>
  <c r="BZ69" i="31"/>
  <c r="CA70" i="31" s="1"/>
  <c r="CA71" i="31"/>
  <c r="BZ72" i="31"/>
  <c r="CA73" i="31" s="1"/>
  <c r="CA74" i="31"/>
  <c r="DC45" i="31"/>
  <c r="DD46" i="31" s="1"/>
  <c r="DD47" i="31"/>
  <c r="CA56" i="31"/>
  <c r="BZ54" i="31"/>
  <c r="CA55" i="31" s="1"/>
  <c r="CA65" i="31"/>
  <c r="BZ63" i="31"/>
  <c r="CA64" i="31" s="1"/>
  <c r="BZ68" i="31"/>
  <c r="BY66" i="31"/>
  <c r="BZ67" i="31" s="1"/>
  <c r="CA62" i="31"/>
  <c r="BZ60" i="31"/>
  <c r="CA61" i="31" s="1"/>
  <c r="BZ40" i="31"/>
  <c r="CA40" i="31"/>
  <c r="CE30" i="31"/>
  <c r="CA38" i="31"/>
  <c r="CS33" i="31"/>
  <c r="CQ33" i="31"/>
  <c r="CL34" i="31"/>
  <c r="CJ34" i="31"/>
  <c r="CC35" i="31"/>
  <c r="CO43" i="31"/>
  <c r="CS32" i="31"/>
  <c r="CT32" i="31"/>
  <c r="CA44" i="31"/>
  <c r="BZ42" i="31"/>
  <c r="CN41" i="31"/>
  <c r="CF31" i="31"/>
  <c r="CA68" i="31" l="1"/>
  <c r="BZ66" i="31"/>
  <c r="CA67" i="31" s="1"/>
  <c r="CB80" i="31"/>
  <c r="CA78" i="31"/>
  <c r="CB79" i="31" s="1"/>
  <c r="CA63" i="31"/>
  <c r="CB64" i="31" s="1"/>
  <c r="CB65" i="31"/>
  <c r="CB83" i="31"/>
  <c r="CA81" i="31"/>
  <c r="CB82" i="31" s="1"/>
  <c r="CB56" i="31"/>
  <c r="CA54" i="31"/>
  <c r="CB55" i="31" s="1"/>
  <c r="CB50" i="31"/>
  <c r="CA48" i="31"/>
  <c r="CB49" i="31" s="1"/>
  <c r="DD45" i="31"/>
  <c r="DE46" i="31" s="1"/>
  <c r="DE47" i="31"/>
  <c r="CB53" i="31"/>
  <c r="CA51" i="31"/>
  <c r="CB52" i="31" s="1"/>
  <c r="CB74" i="31"/>
  <c r="CA72" i="31"/>
  <c r="CB73" i="31" s="1"/>
  <c r="CB59" i="31"/>
  <c r="CA57" i="31"/>
  <c r="CB58" i="31" s="1"/>
  <c r="CB71" i="31"/>
  <c r="CA69" i="31"/>
  <c r="CB70" i="31" s="1"/>
  <c r="CB77" i="31"/>
  <c r="CA75" i="31"/>
  <c r="CB76" i="31" s="1"/>
  <c r="CB62" i="31"/>
  <c r="CA60" i="31"/>
  <c r="CB61" i="31" s="1"/>
  <c r="CG30" i="31"/>
  <c r="CE35" i="31"/>
  <c r="CS39" i="31"/>
  <c r="CQ39" i="31"/>
  <c r="CC40" i="31"/>
  <c r="CT33" i="31"/>
  <c r="CB40" i="31"/>
  <c r="CN34" i="31"/>
  <c r="CP43" i="31"/>
  <c r="CB44" i="31"/>
  <c r="CB38" i="31"/>
  <c r="BE36" i="31"/>
  <c r="CX43" i="31"/>
  <c r="BG29" i="31"/>
  <c r="CC77" i="31" l="1"/>
  <c r="CB75" i="31"/>
  <c r="CC76" i="31" s="1"/>
  <c r="CB69" i="31"/>
  <c r="CC70" i="31" s="1"/>
  <c r="CC71" i="31"/>
  <c r="CB54" i="31"/>
  <c r="CC55" i="31" s="1"/>
  <c r="CC56" i="31"/>
  <c r="CB57" i="31"/>
  <c r="CC58" i="31" s="1"/>
  <c r="CC59" i="31"/>
  <c r="CC83" i="31"/>
  <c r="CB81" i="31"/>
  <c r="CC82" i="31" s="1"/>
  <c r="CB63" i="31"/>
  <c r="CC64" i="31" s="1"/>
  <c r="CC65" i="31"/>
  <c r="CB48" i="31"/>
  <c r="CC49" i="31" s="1"/>
  <c r="CC50" i="31"/>
  <c r="CB72" i="31"/>
  <c r="CC73" i="31" s="1"/>
  <c r="CC74" i="31"/>
  <c r="CC53" i="31"/>
  <c r="CB51" i="31"/>
  <c r="CC52" i="31" s="1"/>
  <c r="CB78" i="31"/>
  <c r="CC79" i="31" s="1"/>
  <c r="CC80" i="31"/>
  <c r="DE45" i="31"/>
  <c r="DF46" i="31" s="1"/>
  <c r="DF47" i="31"/>
  <c r="CB60" i="31"/>
  <c r="CC61" i="31" s="1"/>
  <c r="CC62" i="31"/>
  <c r="CA66" i="31"/>
  <c r="CB67" i="31" s="1"/>
  <c r="CB68" i="31"/>
  <c r="CC38" i="31"/>
  <c r="CF35" i="31"/>
  <c r="CF30" i="31"/>
  <c r="CU33" i="31"/>
  <c r="CM34" i="31"/>
  <c r="CT39" i="31"/>
  <c r="CO34" i="31"/>
  <c r="CS43" i="31"/>
  <c r="CA42" i="31"/>
  <c r="CX42" i="31"/>
  <c r="CX44" i="31"/>
  <c r="CH30" i="31"/>
  <c r="CU32" i="31"/>
  <c r="CO41" i="31"/>
  <c r="CG31" i="31"/>
  <c r="CC81" i="31" l="1"/>
  <c r="CD82" i="31" s="1"/>
  <c r="CD83" i="31"/>
  <c r="CD80" i="31"/>
  <c r="CC78" i="31"/>
  <c r="CD79" i="31" s="1"/>
  <c r="CC57" i="31"/>
  <c r="CD58" i="31" s="1"/>
  <c r="CD59" i="31"/>
  <c r="CD56" i="31"/>
  <c r="CC54" i="31"/>
  <c r="CD55" i="31" s="1"/>
  <c r="DG47" i="31"/>
  <c r="DF45" i="31"/>
  <c r="DG46" i="31" s="1"/>
  <c r="CD53" i="31"/>
  <c r="CC51" i="31"/>
  <c r="CD52" i="31" s="1"/>
  <c r="CD74" i="31"/>
  <c r="CC72" i="31"/>
  <c r="CD73" i="31" s="1"/>
  <c r="CD71" i="31"/>
  <c r="CC69" i="31"/>
  <c r="CD70" i="31" s="1"/>
  <c r="CD65" i="31"/>
  <c r="CC63" i="31"/>
  <c r="CD64" i="31" s="1"/>
  <c r="CC60" i="31"/>
  <c r="CD61" i="31" s="1"/>
  <c r="CD62" i="31"/>
  <c r="CB66" i="31"/>
  <c r="CC67" i="31" s="1"/>
  <c r="CC68" i="31"/>
  <c r="CD50" i="31"/>
  <c r="CC48" i="31"/>
  <c r="CD49" i="31" s="1"/>
  <c r="CC75" i="31"/>
  <c r="CD76" i="31" s="1"/>
  <c r="CD77" i="31"/>
  <c r="CE40" i="31"/>
  <c r="CG35" i="31"/>
  <c r="CV33" i="31"/>
  <c r="CE38" i="31"/>
  <c r="CQ37" i="31"/>
  <c r="CE44" i="31"/>
  <c r="CF44" i="31"/>
  <c r="CV32" i="31"/>
  <c r="CI30" i="31"/>
  <c r="BF36" i="31"/>
  <c r="BH29" i="31"/>
  <c r="CE52" i="31" l="1"/>
  <c r="CD68" i="31"/>
  <c r="CC66" i="31"/>
  <c r="CD67" i="31" s="1"/>
  <c r="CE53" i="31"/>
  <c r="CD51" i="31"/>
  <c r="CE56" i="31"/>
  <c r="CD54" i="31"/>
  <c r="CE55" i="31" s="1"/>
  <c r="CE65" i="31"/>
  <c r="CD63" i="31"/>
  <c r="CE64" i="31" s="1"/>
  <c r="CE59" i="31"/>
  <c r="CD57" i="31"/>
  <c r="CE58" i="31" s="1"/>
  <c r="CE70" i="31"/>
  <c r="DH47" i="31"/>
  <c r="DG45" i="31"/>
  <c r="DH46" i="31" s="1"/>
  <c r="CE71" i="31"/>
  <c r="CD69" i="31"/>
  <c r="CE50" i="31"/>
  <c r="CD48" i="31"/>
  <c r="CE49" i="31" s="1"/>
  <c r="CE77" i="31"/>
  <c r="CD75" i="31"/>
  <c r="CE76" i="31" s="1"/>
  <c r="CE80" i="31"/>
  <c r="CD78" i="31"/>
  <c r="CE79" i="31" s="1"/>
  <c r="CE62" i="31"/>
  <c r="CD60" i="31"/>
  <c r="CE61" i="31" s="1"/>
  <c r="CE74" i="31"/>
  <c r="CD72" i="31"/>
  <c r="CE73" i="31" s="1"/>
  <c r="CE83" i="31"/>
  <c r="CD81" i="31"/>
  <c r="CE82" i="31" s="1"/>
  <c r="CF40" i="31"/>
  <c r="CP34" i="31"/>
  <c r="CS37" i="31"/>
  <c r="CJ30" i="31"/>
  <c r="CT43" i="31"/>
  <c r="CG44" i="31"/>
  <c r="CB42" i="31"/>
  <c r="CP41" i="31"/>
  <c r="CU39" i="31"/>
  <c r="CH31" i="31"/>
  <c r="CW32" i="31"/>
  <c r="CF71" i="31" l="1"/>
  <c r="CE69" i="31"/>
  <c r="CF83" i="31"/>
  <c r="CE81" i="31"/>
  <c r="CF82" i="31" s="1"/>
  <c r="CF56" i="31"/>
  <c r="CE54" i="31"/>
  <c r="CF55" i="31" s="1"/>
  <c r="CF62" i="31"/>
  <c r="CE60" i="31"/>
  <c r="CF61" i="31" s="1"/>
  <c r="DH45" i="31"/>
  <c r="DI46" i="31" s="1"/>
  <c r="DI47" i="31"/>
  <c r="CF50" i="31"/>
  <c r="CE48" i="31"/>
  <c r="CF49" i="31" s="1"/>
  <c r="CF74" i="31"/>
  <c r="CE72" i="31"/>
  <c r="CF73" i="31" s="1"/>
  <c r="CF53" i="31"/>
  <c r="CE51" i="31"/>
  <c r="CF52" i="31" s="1"/>
  <c r="CF80" i="31"/>
  <c r="CE78" i="31"/>
  <c r="CF79" i="31" s="1"/>
  <c r="CF65" i="31"/>
  <c r="CE63" i="31"/>
  <c r="CF64" i="31" s="1"/>
  <c r="CF70" i="31"/>
  <c r="CE68" i="31"/>
  <c r="CD66" i="31"/>
  <c r="CE67" i="31" s="1"/>
  <c r="CF59" i="31"/>
  <c r="CE57" i="31"/>
  <c r="CF58" i="31" s="1"/>
  <c r="CF77" i="31"/>
  <c r="CE75" i="31"/>
  <c r="CF76" i="31" s="1"/>
  <c r="CL37" i="31"/>
  <c r="CG40" i="31"/>
  <c r="CG38" i="31"/>
  <c r="CW33" i="31"/>
  <c r="CH35" i="31"/>
  <c r="CF38" i="31"/>
  <c r="CI35" i="31"/>
  <c r="CL30" i="31"/>
  <c r="CZ33" i="31"/>
  <c r="CX33" i="31"/>
  <c r="CS34" i="31"/>
  <c r="CQ34" i="31"/>
  <c r="CQ41" i="31"/>
  <c r="CJ35" i="31"/>
  <c r="CV43" i="31"/>
  <c r="CU43" i="31"/>
  <c r="CE42" i="31"/>
  <c r="CH44" i="31"/>
  <c r="CH38" i="31"/>
  <c r="CV39" i="31"/>
  <c r="BG36" i="31"/>
  <c r="BJ29" i="31"/>
  <c r="CG74" i="31" l="1"/>
  <c r="CF72" i="31"/>
  <c r="CG73" i="31" s="1"/>
  <c r="CF81" i="31"/>
  <c r="CG82" i="31" s="1"/>
  <c r="CG83" i="31"/>
  <c r="CF48" i="31"/>
  <c r="CG49" i="31" s="1"/>
  <c r="CG50" i="31"/>
  <c r="CF68" i="31"/>
  <c r="CE66" i="31"/>
  <c r="CF67" i="31" s="1"/>
  <c r="DJ47" i="31"/>
  <c r="DI45" i="31"/>
  <c r="DJ46" i="31" s="1"/>
  <c r="CG65" i="31"/>
  <c r="CF63" i="31"/>
  <c r="CG64" i="31" s="1"/>
  <c r="CF57" i="31"/>
  <c r="CG58" i="31" s="1"/>
  <c r="CG59" i="31"/>
  <c r="CG62" i="31"/>
  <c r="CF60" i="31"/>
  <c r="CG61" i="31" s="1"/>
  <c r="CG71" i="31"/>
  <c r="CF69" i="31"/>
  <c r="CG70" i="31" s="1"/>
  <c r="CG80" i="31"/>
  <c r="CF78" i="31"/>
  <c r="CG79" i="31" s="1"/>
  <c r="CF51" i="31"/>
  <c r="CG52" i="31" s="1"/>
  <c r="CG53" i="31"/>
  <c r="CF75" i="31"/>
  <c r="CG76" i="31" s="1"/>
  <c r="CG77" i="31"/>
  <c r="CF54" i="31"/>
  <c r="CG55" i="31" s="1"/>
  <c r="CG56" i="31"/>
  <c r="CI40" i="31"/>
  <c r="CM37" i="31"/>
  <c r="CH40" i="31"/>
  <c r="CL35" i="31"/>
  <c r="CS41" i="31"/>
  <c r="CT34" i="31"/>
  <c r="CZ32" i="31"/>
  <c r="CX32" i="31"/>
  <c r="CW43" i="31"/>
  <c r="CI31" i="31"/>
  <c r="CW39" i="31"/>
  <c r="CI38" i="31"/>
  <c r="DE42" i="31"/>
  <c r="DK47" i="31" l="1"/>
  <c r="DJ45" i="31"/>
  <c r="DK46" i="31" s="1"/>
  <c r="CF66" i="31"/>
  <c r="CG67" i="31" s="1"/>
  <c r="CG68" i="31"/>
  <c r="CH65" i="31"/>
  <c r="CG63" i="31"/>
  <c r="CH64" i="31" s="1"/>
  <c r="CG69" i="31"/>
  <c r="CH70" i="31" s="1"/>
  <c r="CH71" i="31"/>
  <c r="CG48" i="31"/>
  <c r="CH49" i="31" s="1"/>
  <c r="CH50" i="31"/>
  <c r="CG51" i="31"/>
  <c r="CH52" i="31" s="1"/>
  <c r="CH53" i="31"/>
  <c r="CH80" i="31"/>
  <c r="CG78" i="31"/>
  <c r="CH79" i="31" s="1"/>
  <c r="CG60" i="31"/>
  <c r="CH61" i="31" s="1"/>
  <c r="CH62" i="31"/>
  <c r="CH83" i="31"/>
  <c r="CG81" i="31"/>
  <c r="CH82" i="31" s="1"/>
  <c r="CG54" i="31"/>
  <c r="CH55" i="31" s="1"/>
  <c r="CH56" i="31"/>
  <c r="CG57" i="31"/>
  <c r="CH58" i="31" s="1"/>
  <c r="CH59" i="31"/>
  <c r="CG75" i="31"/>
  <c r="CH76" i="31" s="1"/>
  <c r="CH77" i="31"/>
  <c r="CG72" i="31"/>
  <c r="CH73" i="31" s="1"/>
  <c r="CH74" i="31"/>
  <c r="CM35" i="31"/>
  <c r="CM30" i="31"/>
  <c r="DA32" i="31"/>
  <c r="CT41" i="31"/>
  <c r="CN30" i="31"/>
  <c r="CX37" i="31"/>
  <c r="DA33" i="31"/>
  <c r="CJ38" i="31"/>
  <c r="CZ43" i="31"/>
  <c r="DA43" i="31"/>
  <c r="CF42" i="31"/>
  <c r="CI44" i="31"/>
  <c r="DE44" i="31"/>
  <c r="DE43" i="31"/>
  <c r="CO30" i="31"/>
  <c r="BH36" i="31"/>
  <c r="BJ36" i="31"/>
  <c r="BK29" i="31"/>
  <c r="CH48" i="31" l="1"/>
  <c r="CI49" i="31" s="1"/>
  <c r="CI50" i="31"/>
  <c r="CI77" i="31"/>
  <c r="CH75" i="31"/>
  <c r="CI76" i="31" s="1"/>
  <c r="CI56" i="31"/>
  <c r="CH54" i="31"/>
  <c r="CI55" i="31" s="1"/>
  <c r="CH57" i="31"/>
  <c r="CI58" i="31" s="1"/>
  <c r="CI59" i="31"/>
  <c r="CI71" i="31"/>
  <c r="CH69" i="31"/>
  <c r="CI70" i="31" s="1"/>
  <c r="CI83" i="31"/>
  <c r="CH81" i="31"/>
  <c r="CI82" i="31" s="1"/>
  <c r="CH63" i="31"/>
  <c r="CI64" i="31" s="1"/>
  <c r="CI65" i="31"/>
  <c r="CH51" i="31"/>
  <c r="CI52" i="31" s="1"/>
  <c r="CI53" i="31"/>
  <c r="CH60" i="31"/>
  <c r="CI61" i="31" s="1"/>
  <c r="CI62" i="31"/>
  <c r="CH68" i="31"/>
  <c r="CG66" i="31"/>
  <c r="CH67" i="31" s="1"/>
  <c r="CH72" i="31"/>
  <c r="CI73" i="31" s="1"/>
  <c r="CI74" i="31"/>
  <c r="CI80" i="31"/>
  <c r="CH78" i="31"/>
  <c r="CI79" i="31" s="1"/>
  <c r="DK45" i="31"/>
  <c r="DL46" i="31" s="1"/>
  <c r="DL47" i="31"/>
  <c r="CN37" i="31"/>
  <c r="CV34" i="31"/>
  <c r="CU34" i="31"/>
  <c r="CL38" i="31"/>
  <c r="CZ39" i="31"/>
  <c r="CX39" i="31"/>
  <c r="CJ40" i="31"/>
  <c r="CU37" i="31"/>
  <c r="CW34" i="31"/>
  <c r="CP30" i="31"/>
  <c r="CU41" i="31"/>
  <c r="CJ31" i="31"/>
  <c r="BL29" i="31"/>
  <c r="CJ80" i="31" l="1"/>
  <c r="CI78" i="31"/>
  <c r="CJ79" i="31" s="1"/>
  <c r="CI69" i="31"/>
  <c r="CJ70" i="31" s="1"/>
  <c r="CJ71" i="31"/>
  <c r="CJ83" i="31"/>
  <c r="CI81" i="31"/>
  <c r="CJ82" i="31" s="1"/>
  <c r="CI68" i="31"/>
  <c r="CH66" i="31"/>
  <c r="CI67" i="31" s="1"/>
  <c r="CI60" i="31"/>
  <c r="CJ61" i="31" s="1"/>
  <c r="CJ62" i="31"/>
  <c r="CJ59" i="31"/>
  <c r="CI57" i="31"/>
  <c r="CJ58" i="31" s="1"/>
  <c r="CJ56" i="31"/>
  <c r="CI54" i="31"/>
  <c r="CJ55" i="31" s="1"/>
  <c r="CJ74" i="31"/>
  <c r="CI72" i="31"/>
  <c r="CJ73" i="31" s="1"/>
  <c r="CJ53" i="31"/>
  <c r="CI51" i="31"/>
  <c r="CJ52" i="31" s="1"/>
  <c r="CI75" i="31"/>
  <c r="CJ76" i="31" s="1"/>
  <c r="CJ77" i="31"/>
  <c r="DL45" i="31"/>
  <c r="DM46" i="31" s="1"/>
  <c r="DM47" i="31"/>
  <c r="CJ65" i="31"/>
  <c r="CI63" i="31"/>
  <c r="CJ64" i="31" s="1"/>
  <c r="CJ50" i="31"/>
  <c r="CI48" i="31"/>
  <c r="CJ49" i="31" s="1"/>
  <c r="CM38" i="31"/>
  <c r="DA39" i="31"/>
  <c r="DB33" i="31"/>
  <c r="CL40" i="31"/>
  <c r="CQ30" i="31"/>
  <c r="CX34" i="31"/>
  <c r="CN35" i="31"/>
  <c r="DB32" i="31"/>
  <c r="DB43" i="31"/>
  <c r="CG42" i="31"/>
  <c r="CL44" i="31"/>
  <c r="DC32" i="31"/>
  <c r="CO35" i="31"/>
  <c r="CV41" i="31"/>
  <c r="CJ57" i="31" l="1"/>
  <c r="CK58" i="31" s="1"/>
  <c r="CK59" i="31"/>
  <c r="CJ68" i="31"/>
  <c r="CI66" i="31"/>
  <c r="CJ67" i="31" s="1"/>
  <c r="CK53" i="31"/>
  <c r="CJ51" i="31"/>
  <c r="CK52" i="31" s="1"/>
  <c r="CK83" i="31"/>
  <c r="CJ81" i="31"/>
  <c r="CK82" i="31" s="1"/>
  <c r="CK65" i="31"/>
  <c r="CJ63" i="31"/>
  <c r="CK64" i="31" s="1"/>
  <c r="CJ69" i="31"/>
  <c r="CK70" i="31" s="1"/>
  <c r="CK71" i="31"/>
  <c r="CJ75" i="31"/>
  <c r="CK76" i="31" s="1"/>
  <c r="CK77" i="31"/>
  <c r="CJ72" i="31"/>
  <c r="CK73" i="31" s="1"/>
  <c r="CK74" i="31"/>
  <c r="DN47" i="31"/>
  <c r="DM45" i="31"/>
  <c r="DN46" i="31" s="1"/>
  <c r="CJ60" i="31"/>
  <c r="CK61" i="31" s="1"/>
  <c r="CK62" i="31"/>
  <c r="CJ48" i="31"/>
  <c r="CK49" i="31" s="1"/>
  <c r="CK50" i="31"/>
  <c r="CK56" i="31"/>
  <c r="CJ54" i="31"/>
  <c r="CK55" i="31" s="1"/>
  <c r="CK80" i="31"/>
  <c r="CJ78" i="31"/>
  <c r="CK79" i="31" s="1"/>
  <c r="CO37" i="31"/>
  <c r="CS30" i="31"/>
  <c r="DB39" i="31"/>
  <c r="CM44" i="31"/>
  <c r="CL31" i="31"/>
  <c r="CW41" i="31"/>
  <c r="CP35" i="31"/>
  <c r="DD32" i="31"/>
  <c r="BK36" i="31"/>
  <c r="BM29" i="31"/>
  <c r="CL65" i="31" l="1"/>
  <c r="CK63" i="31"/>
  <c r="CL62" i="31"/>
  <c r="CK60" i="31"/>
  <c r="CL50" i="31"/>
  <c r="CK48" i="31"/>
  <c r="CL49" i="31" s="1"/>
  <c r="CL52" i="31"/>
  <c r="CL61" i="31"/>
  <c r="CL83" i="31"/>
  <c r="CK81" i="31"/>
  <c r="CL82" i="31" s="1"/>
  <c r="DO47" i="31"/>
  <c r="DN45" i="31"/>
  <c r="DO46" i="31" s="1"/>
  <c r="CL53" i="31"/>
  <c r="CK51" i="31"/>
  <c r="CL74" i="31"/>
  <c r="CK72" i="31"/>
  <c r="CL64" i="31"/>
  <c r="CL73" i="31"/>
  <c r="CJ66" i="31"/>
  <c r="CK67" i="31" s="1"/>
  <c r="CK68" i="31"/>
  <c r="CL56" i="31"/>
  <c r="CK54" i="31"/>
  <c r="CL55" i="31" s="1"/>
  <c r="CL77" i="31"/>
  <c r="CK75" i="31"/>
  <c r="CL76" i="31" s="1"/>
  <c r="CL59" i="31"/>
  <c r="CK57" i="31"/>
  <c r="CL58" i="31"/>
  <c r="CL80" i="31"/>
  <c r="CK78" i="31"/>
  <c r="CL79" i="31" s="1"/>
  <c r="CL71" i="31"/>
  <c r="CK69" i="31"/>
  <c r="CL70" i="31" s="1"/>
  <c r="CZ34" i="31"/>
  <c r="DC33" i="31"/>
  <c r="CM40" i="31"/>
  <c r="CQ35" i="31"/>
  <c r="DC43" i="31"/>
  <c r="DD43" i="31"/>
  <c r="CN44" i="31"/>
  <c r="CH42" i="31"/>
  <c r="CN38" i="31"/>
  <c r="CO38" i="31"/>
  <c r="DL43" i="31"/>
  <c r="DL44" i="31"/>
  <c r="CL68" i="31" l="1"/>
  <c r="CK66" i="31"/>
  <c r="CM50" i="31"/>
  <c r="CL48" i="31"/>
  <c r="CM49" i="31" s="1"/>
  <c r="CM83" i="31"/>
  <c r="CL81" i="31"/>
  <c r="CM82" i="31" s="1"/>
  <c r="CM80" i="31"/>
  <c r="CL78" i="31"/>
  <c r="CM79" i="31" s="1"/>
  <c r="CM74" i="31"/>
  <c r="CL72" i="31"/>
  <c r="CM73" i="31" s="1"/>
  <c r="CM59" i="31"/>
  <c r="CL57" i="31"/>
  <c r="CM58" i="31" s="1"/>
  <c r="CM62" i="31"/>
  <c r="CL60" i="31"/>
  <c r="CM61" i="31" s="1"/>
  <c r="CM77" i="31"/>
  <c r="CL75" i="31"/>
  <c r="CM76" i="31" s="1"/>
  <c r="CM53" i="31"/>
  <c r="CL51" i="31"/>
  <c r="CM52" i="31" s="1"/>
  <c r="CM65" i="31"/>
  <c r="CL63" i="31"/>
  <c r="CM64" i="31" s="1"/>
  <c r="CL67" i="31"/>
  <c r="DO45" i="31"/>
  <c r="DP46" i="31" s="1"/>
  <c r="DP47" i="31"/>
  <c r="CM71" i="31"/>
  <c r="CL69" i="31"/>
  <c r="CM70" i="31" s="1"/>
  <c r="CM56" i="31"/>
  <c r="CL54" i="31"/>
  <c r="CM55" i="31" s="1"/>
  <c r="CP37" i="31"/>
  <c r="CS35" i="31"/>
  <c r="CT30" i="31"/>
  <c r="DG32" i="31"/>
  <c r="DE32" i="31"/>
  <c r="CZ41" i="31"/>
  <c r="CX41" i="31"/>
  <c r="DE37" i="31"/>
  <c r="DA34" i="31"/>
  <c r="CO44" i="31"/>
  <c r="CM31" i="31"/>
  <c r="CN31" i="31"/>
  <c r="DL42" i="31"/>
  <c r="CP38" i="31"/>
  <c r="CU30" i="31"/>
  <c r="DC39" i="31"/>
  <c r="BL36" i="31"/>
  <c r="BN29" i="31"/>
  <c r="DQ47" i="31" l="1"/>
  <c r="DP45" i="31"/>
  <c r="DQ46" i="31" s="1"/>
  <c r="CM60" i="31"/>
  <c r="CN61" i="31" s="1"/>
  <c r="CN62" i="31"/>
  <c r="CM67" i="31"/>
  <c r="CN50" i="31"/>
  <c r="CM48" i="31"/>
  <c r="CN49" i="31" s="1"/>
  <c r="CN59" i="31"/>
  <c r="CM57" i="31"/>
  <c r="CN58" i="31" s="1"/>
  <c r="CN80" i="31"/>
  <c r="CM78" i="31"/>
  <c r="CN79" i="31" s="1"/>
  <c r="CM68" i="31"/>
  <c r="CL66" i="31"/>
  <c r="CN77" i="31"/>
  <c r="CM75" i="31"/>
  <c r="CN76" i="31" s="1"/>
  <c r="CN83" i="31"/>
  <c r="CM81" i="31"/>
  <c r="CN82" i="31" s="1"/>
  <c r="CN65" i="31"/>
  <c r="CM63" i="31"/>
  <c r="CN64" i="31" s="1"/>
  <c r="CM51" i="31"/>
  <c r="CN52" i="31" s="1"/>
  <c r="CN53" i="31"/>
  <c r="CN74" i="31"/>
  <c r="CM72" i="31"/>
  <c r="CN73" i="31" s="1"/>
  <c r="CM69" i="31"/>
  <c r="CN70" i="31" s="1"/>
  <c r="CN71" i="31"/>
  <c r="CN56" i="31"/>
  <c r="CM54" i="31"/>
  <c r="CN55" i="31" s="1"/>
  <c r="CT35" i="31"/>
  <c r="DA41" i="31"/>
  <c r="DB34" i="31"/>
  <c r="CZ37" i="31"/>
  <c r="DH32" i="31"/>
  <c r="DD33" i="31"/>
  <c r="CN40" i="31"/>
  <c r="CQ38" i="31"/>
  <c r="DG43" i="31"/>
  <c r="CI42" i="31"/>
  <c r="CV30" i="31"/>
  <c r="CN72" i="31" l="1"/>
  <c r="CO73" i="31" s="1"/>
  <c r="CO74" i="31"/>
  <c r="CO59" i="31"/>
  <c r="CN57" i="31"/>
  <c r="CO58" i="31" s="1"/>
  <c r="CN63" i="31"/>
  <c r="CO64" i="31" s="1"/>
  <c r="CO65" i="31"/>
  <c r="CN48" i="31"/>
  <c r="CO49" i="31" s="1"/>
  <c r="CO50" i="31"/>
  <c r="CN78" i="31"/>
  <c r="CO79" i="31" s="1"/>
  <c r="CO80" i="31"/>
  <c r="CN51" i="31"/>
  <c r="CO52" i="31" s="1"/>
  <c r="CO53" i="31"/>
  <c r="CO83" i="31"/>
  <c r="CN81" i="31"/>
  <c r="CO82" i="31" s="1"/>
  <c r="CN60" i="31"/>
  <c r="CO61" i="31" s="1"/>
  <c r="CO62" i="31"/>
  <c r="CO77" i="31"/>
  <c r="CN75" i="31"/>
  <c r="CO76" i="31" s="1"/>
  <c r="CN68" i="31"/>
  <c r="CM66" i="31"/>
  <c r="CN67" i="31" s="1"/>
  <c r="CO56" i="31"/>
  <c r="CN54" i="31"/>
  <c r="CO55" i="31" s="1"/>
  <c r="CO71" i="31"/>
  <c r="CN69" i="31"/>
  <c r="CO70" i="31" s="1"/>
  <c r="DR47" i="31"/>
  <c r="DQ45" i="31"/>
  <c r="DR46" i="31" s="1"/>
  <c r="DC34" i="31"/>
  <c r="DH43" i="31"/>
  <c r="CP44" i="31"/>
  <c r="DD39" i="31"/>
  <c r="CO31" i="31"/>
  <c r="CW30" i="31"/>
  <c r="BM36" i="31"/>
  <c r="BO29" i="31"/>
  <c r="CP53" i="31" l="1"/>
  <c r="CO51" i="31"/>
  <c r="CP52" i="31" s="1"/>
  <c r="CO78" i="31"/>
  <c r="CP79" i="31" s="1"/>
  <c r="CP80" i="31"/>
  <c r="CO54" i="31"/>
  <c r="CP55" i="31" s="1"/>
  <c r="CP56" i="31"/>
  <c r="CO69" i="31"/>
  <c r="CP70" i="31" s="1"/>
  <c r="CP71" i="31"/>
  <c r="CO68" i="31"/>
  <c r="CN66" i="31"/>
  <c r="CO67" i="31" s="1"/>
  <c r="CO63" i="31"/>
  <c r="CP64" i="31" s="1"/>
  <c r="CP65" i="31"/>
  <c r="CO60" i="31"/>
  <c r="CP61" i="31" s="1"/>
  <c r="CP62" i="31"/>
  <c r="CO75" i="31"/>
  <c r="CP76" i="31" s="1"/>
  <c r="CP77" i="31"/>
  <c r="CO57" i="31"/>
  <c r="CP58" i="31" s="1"/>
  <c r="CP59" i="31"/>
  <c r="CO72" i="31"/>
  <c r="CP73" i="31" s="1"/>
  <c r="CP74" i="31"/>
  <c r="CO48" i="31"/>
  <c r="CP49" i="31" s="1"/>
  <c r="CP50" i="31"/>
  <c r="DR45" i="31"/>
  <c r="DS46" i="31" s="1"/>
  <c r="DS47" i="31"/>
  <c r="CO81" i="31"/>
  <c r="CP82" i="31" s="1"/>
  <c r="CP83" i="31"/>
  <c r="CT37" i="31"/>
  <c r="DE33" i="31"/>
  <c r="DB41" i="31"/>
  <c r="DD34" i="31"/>
  <c r="CS38" i="31"/>
  <c r="DA37" i="31"/>
  <c r="DG33" i="31"/>
  <c r="CO40" i="31"/>
  <c r="CX30" i="31"/>
  <c r="DI43" i="31"/>
  <c r="CS44" i="31"/>
  <c r="CL42" i="31"/>
  <c r="CP31" i="31"/>
  <c r="CU35" i="31"/>
  <c r="DI32" i="31"/>
  <c r="DC41" i="31"/>
  <c r="CP68" i="31" l="1"/>
  <c r="CO66" i="31"/>
  <c r="CP67" i="31" s="1"/>
  <c r="CQ74" i="31"/>
  <c r="CP72" i="31"/>
  <c r="CQ73" i="31" s="1"/>
  <c r="CQ65" i="31"/>
  <c r="CP63" i="31"/>
  <c r="CQ64" i="31" s="1"/>
  <c r="CP57" i="31"/>
  <c r="CQ58" i="31" s="1"/>
  <c r="CQ59" i="31"/>
  <c r="CQ56" i="31"/>
  <c r="CP54" i="31"/>
  <c r="CQ55" i="31" s="1"/>
  <c r="DT47" i="31"/>
  <c r="DS45" i="31"/>
  <c r="DT46" i="31" s="1"/>
  <c r="CP69" i="31"/>
  <c r="CQ70" i="31" s="1"/>
  <c r="CQ71" i="31"/>
  <c r="CP75" i="31"/>
  <c r="CQ76" i="31" s="1"/>
  <c r="CQ77" i="31"/>
  <c r="CQ80" i="31"/>
  <c r="CP78" i="31"/>
  <c r="CQ79" i="31" s="1"/>
  <c r="CP48" i="31"/>
  <c r="CQ49" i="31" s="1"/>
  <c r="CQ50" i="31"/>
  <c r="CP81" i="31"/>
  <c r="CQ82" i="31" s="1"/>
  <c r="CQ83" i="31"/>
  <c r="CP60" i="31"/>
  <c r="CQ61" i="31" s="1"/>
  <c r="CQ62" i="31"/>
  <c r="CP51" i="31"/>
  <c r="CQ52" i="31" s="1"/>
  <c r="CQ53" i="31"/>
  <c r="DE34" i="31"/>
  <c r="CZ30" i="31"/>
  <c r="DJ43" i="31"/>
  <c r="CM42" i="31"/>
  <c r="CQ31" i="31"/>
  <c r="DD41" i="31"/>
  <c r="DJ32" i="31"/>
  <c r="DE39" i="31"/>
  <c r="CV35" i="31"/>
  <c r="BN36" i="31"/>
  <c r="BQ29" i="31"/>
  <c r="CQ54" i="31" l="1"/>
  <c r="CR55" i="31" s="1"/>
  <c r="CR56" i="31"/>
  <c r="CQ60" i="31"/>
  <c r="CR61" i="31" s="1"/>
  <c r="CR62" i="31"/>
  <c r="CQ81" i="31"/>
  <c r="CR82" i="31" s="1"/>
  <c r="CR83" i="31"/>
  <c r="CR80" i="31"/>
  <c r="CQ78" i="31"/>
  <c r="CR79" i="31" s="1"/>
  <c r="CR65" i="31"/>
  <c r="CQ63" i="31"/>
  <c r="CR64" i="31" s="1"/>
  <c r="DU47" i="31"/>
  <c r="DT45" i="31"/>
  <c r="DT29" i="31" s="1"/>
  <c r="CQ48" i="31"/>
  <c r="CR49" i="31" s="1"/>
  <c r="CR50" i="31"/>
  <c r="CQ75" i="31"/>
  <c r="CR76" i="31" s="1"/>
  <c r="CR77" i="31"/>
  <c r="CQ57" i="31"/>
  <c r="CR58" i="31" s="1"/>
  <c r="CR59" i="31"/>
  <c r="CQ72" i="31"/>
  <c r="CR73" i="31" s="1"/>
  <c r="CR74" i="31"/>
  <c r="CQ51" i="31"/>
  <c r="CR52" i="31" s="1"/>
  <c r="CR53" i="31"/>
  <c r="CQ69" i="31"/>
  <c r="CR70" i="31" s="1"/>
  <c r="CR71" i="31"/>
  <c r="CQ68" i="31"/>
  <c r="CP66" i="31"/>
  <c r="CQ67" i="31" s="1"/>
  <c r="DA30" i="31"/>
  <c r="DL37" i="31"/>
  <c r="CX40" i="31"/>
  <c r="CT38" i="31"/>
  <c r="DH33" i="31"/>
  <c r="CP40" i="31"/>
  <c r="DN43" i="31"/>
  <c r="DK43" i="31"/>
  <c r="CT44" i="31"/>
  <c r="CW35" i="31"/>
  <c r="DK32" i="31"/>
  <c r="DS43" i="31"/>
  <c r="DS44" i="31"/>
  <c r="DS42" i="31"/>
  <c r="CS64" i="31" l="1"/>
  <c r="CS74" i="31"/>
  <c r="CR72" i="31"/>
  <c r="CS65" i="31"/>
  <c r="CR63" i="31"/>
  <c r="CS59" i="31"/>
  <c r="CR57" i="31"/>
  <c r="CS58" i="31" s="1"/>
  <c r="CS80" i="31"/>
  <c r="CR78" i="31"/>
  <c r="CS79" i="31" s="1"/>
  <c r="CS52" i="31"/>
  <c r="CS83" i="31"/>
  <c r="CR81" i="31"/>
  <c r="CS82" i="31" s="1"/>
  <c r="CS53" i="31"/>
  <c r="CR51" i="31"/>
  <c r="DV47" i="31"/>
  <c r="DU45" i="31"/>
  <c r="DU46" i="31"/>
  <c r="DV46" i="31" s="1"/>
  <c r="CS73" i="31"/>
  <c r="CS77" i="31"/>
  <c r="CR75" i="31"/>
  <c r="CS76" i="31" s="1"/>
  <c r="CS62" i="31"/>
  <c r="CR60" i="31"/>
  <c r="CS61" i="31" s="1"/>
  <c r="CQ66" i="31"/>
  <c r="CR67" i="31" s="1"/>
  <c r="CR68" i="31"/>
  <c r="CS50" i="31"/>
  <c r="CR48" i="31"/>
  <c r="CS56" i="31"/>
  <c r="CR54" i="31"/>
  <c r="CS55" i="31" s="1"/>
  <c r="CS71" i="31"/>
  <c r="CR69" i="31"/>
  <c r="CS70" i="31" s="1"/>
  <c r="CS49" i="31"/>
  <c r="CV37" i="31"/>
  <c r="CQ40" i="31"/>
  <c r="DI33" i="31"/>
  <c r="DG41" i="31"/>
  <c r="DE41" i="31"/>
  <c r="CS40" i="31"/>
  <c r="DG34" i="31"/>
  <c r="CX35" i="31"/>
  <c r="CN42" i="31"/>
  <c r="CS31" i="31"/>
  <c r="DG39" i="31"/>
  <c r="BO36" i="31"/>
  <c r="BQ36" i="31"/>
  <c r="BR29" i="31"/>
  <c r="CT56" i="31" l="1"/>
  <c r="CS54" i="31"/>
  <c r="CT55" i="31" s="1"/>
  <c r="CT80" i="31"/>
  <c r="CS78" i="31"/>
  <c r="CT79" i="31" s="1"/>
  <c r="CT59" i="31"/>
  <c r="CS57" i="31"/>
  <c r="CT58" i="31" s="1"/>
  <c r="CT71" i="31"/>
  <c r="CS69" i="31"/>
  <c r="CT70" i="31" s="1"/>
  <c r="CS68" i="31"/>
  <c r="CR66" i="31"/>
  <c r="CS67" i="31"/>
  <c r="DW47" i="31"/>
  <c r="DV45" i="31"/>
  <c r="DW46" i="31" s="1"/>
  <c r="CT65" i="31"/>
  <c r="CS63" i="31"/>
  <c r="CT62" i="31"/>
  <c r="CS60" i="31"/>
  <c r="CT61" i="31" s="1"/>
  <c r="CT77" i="31"/>
  <c r="CS75" i="31"/>
  <c r="CT76" i="31" s="1"/>
  <c r="CT50" i="31"/>
  <c r="CS48" i="31"/>
  <c r="CT49" i="31" s="1"/>
  <c r="CT53" i="31"/>
  <c r="CS51" i="31"/>
  <c r="CT52" i="31" s="1"/>
  <c r="CT74" i="31"/>
  <c r="CS72" i="31"/>
  <c r="CT73" i="31" s="1"/>
  <c r="CT83" i="31"/>
  <c r="CS81" i="31"/>
  <c r="CT82" i="31" s="1"/>
  <c r="CT64" i="31"/>
  <c r="DB30" i="31"/>
  <c r="CZ35" i="31"/>
  <c r="CU38" i="31"/>
  <c r="DI41" i="31"/>
  <c r="DN32" i="31"/>
  <c r="DL32" i="31"/>
  <c r="DO43" i="31"/>
  <c r="CU44" i="31"/>
  <c r="DC30" i="31"/>
  <c r="CU65" i="31" l="1"/>
  <c r="CT63" i="31"/>
  <c r="CU64" i="31" s="1"/>
  <c r="CU74" i="31"/>
  <c r="CT72" i="31"/>
  <c r="CU73" i="31" s="1"/>
  <c r="CT67" i="31"/>
  <c r="CT54" i="31"/>
  <c r="CU55" i="31" s="1"/>
  <c r="CU56" i="31"/>
  <c r="CT78" i="31"/>
  <c r="CU79" i="31" s="1"/>
  <c r="CU80" i="31"/>
  <c r="CT48" i="31"/>
  <c r="CU49" i="31" s="1"/>
  <c r="CU50" i="31"/>
  <c r="CU83" i="31"/>
  <c r="CT81" i="31"/>
  <c r="CU82" i="31" s="1"/>
  <c r="CT68" i="31"/>
  <c r="CS66" i="31"/>
  <c r="CU53" i="31"/>
  <c r="CT51" i="31"/>
  <c r="CU52" i="31" s="1"/>
  <c r="CT75" i="31"/>
  <c r="CU76" i="31" s="1"/>
  <c r="CU77" i="31"/>
  <c r="DW45" i="31"/>
  <c r="DX46" i="31" s="1"/>
  <c r="DX47" i="31"/>
  <c r="CT69" i="31"/>
  <c r="CU70" i="31" s="1"/>
  <c r="CU71" i="31"/>
  <c r="CT60" i="31"/>
  <c r="CU61" i="31" s="1"/>
  <c r="CU62" i="31"/>
  <c r="CT57" i="31"/>
  <c r="CU58" i="31" s="1"/>
  <c r="CU59" i="31"/>
  <c r="CW37" i="31"/>
  <c r="CV38" i="31"/>
  <c r="DA35" i="31"/>
  <c r="DO32" i="31"/>
  <c r="DJ41" i="31"/>
  <c r="DH41" i="31"/>
  <c r="DH34" i="31"/>
  <c r="DJ33" i="31"/>
  <c r="CX38" i="31"/>
  <c r="CT40" i="31"/>
  <c r="CT31" i="31"/>
  <c r="CU31" i="31"/>
  <c r="DP43" i="31"/>
  <c r="DQ43" i="31"/>
  <c r="CV44" i="31"/>
  <c r="CO42" i="31"/>
  <c r="DH39" i="31"/>
  <c r="DD30" i="31"/>
  <c r="BS29" i="31"/>
  <c r="DX45" i="31" l="1"/>
  <c r="DY46" i="31" s="1"/>
  <c r="DY47" i="31"/>
  <c r="CV80" i="31"/>
  <c r="CU78" i="31"/>
  <c r="CV79" i="31" s="1"/>
  <c r="CV77" i="31"/>
  <c r="CU75" i="31"/>
  <c r="CV76" i="31" s="1"/>
  <c r="CV56" i="31"/>
  <c r="CU54" i="31"/>
  <c r="CV55" i="31" s="1"/>
  <c r="CU48" i="31"/>
  <c r="CV49" i="31" s="1"/>
  <c r="CV50" i="31"/>
  <c r="CU69" i="31"/>
  <c r="CV70" i="31" s="1"/>
  <c r="CV71" i="31"/>
  <c r="CV83" i="31"/>
  <c r="CU81" i="31"/>
  <c r="CV82" i="31" s="1"/>
  <c r="CV53" i="31"/>
  <c r="CU51" i="31"/>
  <c r="CV52" i="31" s="1"/>
  <c r="CV59" i="31"/>
  <c r="CU57" i="31"/>
  <c r="CV58" i="31" s="1"/>
  <c r="CU72" i="31"/>
  <c r="CV73" i="31" s="1"/>
  <c r="CV74" i="31"/>
  <c r="CT66" i="31"/>
  <c r="CU67" i="31" s="1"/>
  <c r="CU68" i="31"/>
  <c r="CU60" i="31"/>
  <c r="CV61" i="31" s="1"/>
  <c r="CV62" i="31"/>
  <c r="CU63" i="31"/>
  <c r="CV64" i="31" s="1"/>
  <c r="CV65" i="31"/>
  <c r="DK41" i="31"/>
  <c r="DK33" i="31"/>
  <c r="DI34" i="31"/>
  <c r="CV31" i="31"/>
  <c r="CW44" i="31"/>
  <c r="DI39" i="31"/>
  <c r="DZ42" i="31"/>
  <c r="DZ43" i="31"/>
  <c r="CV69" i="31" l="1"/>
  <c r="CW70" i="31" s="1"/>
  <c r="CW71" i="31"/>
  <c r="CW50" i="31"/>
  <c r="CV48" i="31"/>
  <c r="CW49" i="31" s="1"/>
  <c r="CV54" i="31"/>
  <c r="CW55" i="31" s="1"/>
  <c r="CW56" i="31"/>
  <c r="CV68" i="31"/>
  <c r="CU66" i="31"/>
  <c r="CV67" i="31" s="1"/>
  <c r="CV57" i="31"/>
  <c r="CW58" i="31" s="1"/>
  <c r="CW59" i="31"/>
  <c r="CW77" i="31"/>
  <c r="CV75" i="31"/>
  <c r="CW76" i="31" s="1"/>
  <c r="CW74" i="31"/>
  <c r="CV72" i="31"/>
  <c r="CW73" i="31" s="1"/>
  <c r="CW62" i="31"/>
  <c r="CV60" i="31"/>
  <c r="CW61" i="31" s="1"/>
  <c r="CV51" i="31"/>
  <c r="CW52" i="31" s="1"/>
  <c r="CW53" i="31"/>
  <c r="CV78" i="31"/>
  <c r="CW79" i="31" s="1"/>
  <c r="CW80" i="31"/>
  <c r="CV63" i="31"/>
  <c r="CW64" i="31" s="1"/>
  <c r="CW65" i="31"/>
  <c r="DY45" i="31"/>
  <c r="DZ46" i="31" s="1"/>
  <c r="DZ47" i="31"/>
  <c r="CW83" i="31"/>
  <c r="CV81" i="31"/>
  <c r="CW82" i="31" s="1"/>
  <c r="DB35" i="31"/>
  <c r="DE40" i="31"/>
  <c r="DG30" i="31"/>
  <c r="DE30" i="31"/>
  <c r="DJ34" i="31"/>
  <c r="DG37" i="31"/>
  <c r="CU40" i="31"/>
  <c r="CW38" i="31"/>
  <c r="DP32" i="31"/>
  <c r="DR43" i="31"/>
  <c r="CP42" i="31"/>
  <c r="CW31" i="31"/>
  <c r="DC35" i="31"/>
  <c r="BR36" i="31"/>
  <c r="DZ44" i="31"/>
  <c r="BT29" i="31"/>
  <c r="CX59" i="31" l="1"/>
  <c r="CW57" i="31"/>
  <c r="CX58" i="31" s="1"/>
  <c r="CV66" i="31"/>
  <c r="CW67" i="31" s="1"/>
  <c r="CW68" i="31"/>
  <c r="CX53" i="31"/>
  <c r="CW51" i="31"/>
  <c r="CX52" i="31" s="1"/>
  <c r="CX56" i="31"/>
  <c r="CW54" i="31"/>
  <c r="CX55" i="31" s="1"/>
  <c r="CX65" i="31"/>
  <c r="CW63" i="31"/>
  <c r="CX64" i="31" s="1"/>
  <c r="CW75" i="31"/>
  <c r="CX76" i="31" s="1"/>
  <c r="CX77" i="31"/>
  <c r="CW78" i="31"/>
  <c r="CX79" i="31" s="1"/>
  <c r="CX80" i="31"/>
  <c r="CX62" i="31"/>
  <c r="CW60" i="31"/>
  <c r="CX61" i="31" s="1"/>
  <c r="CX50" i="31"/>
  <c r="CW48" i="31"/>
  <c r="CX49" i="31" s="1"/>
  <c r="DZ45" i="31"/>
  <c r="EA46" i="31" s="1"/>
  <c r="EA47" i="31"/>
  <c r="CW69" i="31"/>
  <c r="CX70" i="31" s="1"/>
  <c r="CX71" i="31"/>
  <c r="CW81" i="31"/>
  <c r="CX82" i="31" s="1"/>
  <c r="CX83" i="31"/>
  <c r="CW72" i="31"/>
  <c r="CX73" i="31" s="1"/>
  <c r="CX74" i="31"/>
  <c r="DL33" i="31"/>
  <c r="DN33" i="31"/>
  <c r="DK34" i="31"/>
  <c r="DN41" i="31"/>
  <c r="DL41" i="31"/>
  <c r="DL34" i="31"/>
  <c r="DU43" i="31"/>
  <c r="CX31" i="31"/>
  <c r="CZ44" i="31"/>
  <c r="DJ39" i="31"/>
  <c r="DD35" i="31"/>
  <c r="CY65" i="31" l="1"/>
  <c r="CX63" i="31"/>
  <c r="CY64" i="31" s="1"/>
  <c r="CX54" i="31"/>
  <c r="CY55" i="31" s="1"/>
  <c r="CY56" i="31"/>
  <c r="EB47" i="31"/>
  <c r="EA45" i="31"/>
  <c r="EA29" i="31" s="1"/>
  <c r="CY50" i="31"/>
  <c r="CX48" i="31"/>
  <c r="CY49" i="31" s="1"/>
  <c r="CY53" i="31"/>
  <c r="CX51" i="31"/>
  <c r="CY52" i="31" s="1"/>
  <c r="CY71" i="31"/>
  <c r="CX69" i="31"/>
  <c r="CY70" i="31" s="1"/>
  <c r="CW66" i="31"/>
  <c r="CX67" i="31" s="1"/>
  <c r="CX68" i="31"/>
  <c r="CY62" i="31"/>
  <c r="CX60" i="31"/>
  <c r="CY61" i="31" s="1"/>
  <c r="CX75" i="31"/>
  <c r="CY76" i="31" s="1"/>
  <c r="CY77" i="31"/>
  <c r="CX72" i="31"/>
  <c r="CY73" i="31" s="1"/>
  <c r="CY74" i="31"/>
  <c r="CY80" i="31"/>
  <c r="CX78" i="31"/>
  <c r="CY79" i="31" s="1"/>
  <c r="CX81" i="31"/>
  <c r="CY82" i="31" s="1"/>
  <c r="CY83" i="31"/>
  <c r="CY59" i="31"/>
  <c r="CX57" i="31"/>
  <c r="CY58" i="31" s="1"/>
  <c r="DB37" i="31"/>
  <c r="DH30" i="31"/>
  <c r="DO41" i="31"/>
  <c r="DN34" i="31"/>
  <c r="CV40" i="31"/>
  <c r="CZ38" i="31"/>
  <c r="DE35" i="31"/>
  <c r="CS42" i="31"/>
  <c r="DK39" i="31"/>
  <c r="CZ31" i="31"/>
  <c r="DI30" i="31"/>
  <c r="BS36" i="31"/>
  <c r="BU29" i="31"/>
  <c r="EB46" i="31" l="1"/>
  <c r="CZ71" i="31"/>
  <c r="CY69" i="31"/>
  <c r="CZ53" i="31"/>
  <c r="CY51" i="31"/>
  <c r="CZ74" i="31"/>
  <c r="CY72" i="31"/>
  <c r="CZ73" i="31" s="1"/>
  <c r="CZ50" i="31"/>
  <c r="CY48" i="31"/>
  <c r="CZ49" i="31" s="1"/>
  <c r="CZ77" i="31"/>
  <c r="CY75" i="31"/>
  <c r="CZ76" i="31" s="1"/>
  <c r="CZ52" i="31"/>
  <c r="EC47" i="31"/>
  <c r="EB45" i="31"/>
  <c r="CZ56" i="31"/>
  <c r="CY54" i="31"/>
  <c r="CZ55" i="31" s="1"/>
  <c r="CZ80" i="31"/>
  <c r="CY78" i="31"/>
  <c r="CZ79" i="31" s="1"/>
  <c r="CZ62" i="31"/>
  <c r="CY60" i="31"/>
  <c r="CZ61" i="31" s="1"/>
  <c r="CX66" i="31"/>
  <c r="CY67" i="31" s="1"/>
  <c r="CY68" i="31"/>
  <c r="EC46" i="31"/>
  <c r="CZ59" i="31"/>
  <c r="CY57" i="31"/>
  <c r="CZ58" i="31" s="1"/>
  <c r="CZ83" i="31"/>
  <c r="CY81" i="31"/>
  <c r="CZ82" i="31" s="1"/>
  <c r="CZ70" i="31"/>
  <c r="CZ65" i="31"/>
  <c r="CY63" i="31"/>
  <c r="CZ64" i="31" s="1"/>
  <c r="DA38" i="31"/>
  <c r="DG35" i="31"/>
  <c r="DO34" i="31"/>
  <c r="CW40" i="31"/>
  <c r="DO33" i="31"/>
  <c r="DV43" i="31"/>
  <c r="DA44" i="31"/>
  <c r="DA31" i="31"/>
  <c r="DJ30" i="31"/>
  <c r="DA50" i="31" l="1"/>
  <c r="CZ48" i="31"/>
  <c r="DA49" i="31" s="1"/>
  <c r="DA59" i="31"/>
  <c r="CZ57" i="31"/>
  <c r="DA58" i="31" s="1"/>
  <c r="DA56" i="31"/>
  <c r="CZ54" i="31"/>
  <c r="DA55" i="31" s="1"/>
  <c r="DA83" i="31"/>
  <c r="CZ81" i="31"/>
  <c r="DA82" i="31" s="1"/>
  <c r="DA77" i="31"/>
  <c r="CZ75" i="31"/>
  <c r="DA76" i="31" s="1"/>
  <c r="CZ68" i="31"/>
  <c r="CY66" i="31"/>
  <c r="CZ67" i="31" s="1"/>
  <c r="DA74" i="31"/>
  <c r="CZ72" i="31"/>
  <c r="DA73" i="31" s="1"/>
  <c r="ED47" i="31"/>
  <c r="EC45" i="31"/>
  <c r="ED46" i="31" s="1"/>
  <c r="DA53" i="31"/>
  <c r="CZ51" i="31"/>
  <c r="DA62" i="31"/>
  <c r="CZ60" i="31"/>
  <c r="DA61" i="31" s="1"/>
  <c r="DA80" i="31"/>
  <c r="CZ78" i="31"/>
  <c r="DA79" i="31" s="1"/>
  <c r="DA65" i="31"/>
  <c r="CZ63" i="31"/>
  <c r="DA64" i="31" s="1"/>
  <c r="DA52" i="31"/>
  <c r="DA71" i="31"/>
  <c r="CZ69" i="31"/>
  <c r="DA70" i="31" s="1"/>
  <c r="DC37" i="31"/>
  <c r="DP33" i="31"/>
  <c r="DB38" i="31"/>
  <c r="DE38" i="31"/>
  <c r="DB44" i="31"/>
  <c r="DW43" i="31"/>
  <c r="CT42" i="31"/>
  <c r="DL39" i="31"/>
  <c r="DP41" i="31"/>
  <c r="DK30" i="31"/>
  <c r="BT36" i="31"/>
  <c r="EG43" i="31"/>
  <c r="BV29" i="31"/>
  <c r="DA63" i="31" l="1"/>
  <c r="DB64" i="31" s="1"/>
  <c r="DB65" i="31"/>
  <c r="DB74" i="31"/>
  <c r="DA72" i="31"/>
  <c r="DB73" i="31" s="1"/>
  <c r="DA48" i="31"/>
  <c r="DB49" i="31" s="1"/>
  <c r="DB50" i="31"/>
  <c r="DA68" i="31"/>
  <c r="CZ66" i="31"/>
  <c r="DA60" i="31"/>
  <c r="DB61" i="31" s="1"/>
  <c r="DB62" i="31"/>
  <c r="DB77" i="31"/>
  <c r="DA75" i="31"/>
  <c r="DB76" i="31" s="1"/>
  <c r="DB80" i="31"/>
  <c r="DA78" i="31"/>
  <c r="DB79" i="31" s="1"/>
  <c r="DB53" i="31"/>
  <c r="DA51" i="31"/>
  <c r="DB52" i="31" s="1"/>
  <c r="DA81" i="31"/>
  <c r="DB82" i="31" s="1"/>
  <c r="DB83" i="31"/>
  <c r="DA57" i="31"/>
  <c r="DB58" i="31" s="1"/>
  <c r="DB59" i="31"/>
  <c r="ED45" i="31"/>
  <c r="EE46" i="31" s="1"/>
  <c r="EE47" i="31"/>
  <c r="DA67" i="31"/>
  <c r="DA69" i="31"/>
  <c r="DB70" i="31" s="1"/>
  <c r="DB71" i="31"/>
  <c r="DA54" i="31"/>
  <c r="DB55" i="31" s="1"/>
  <c r="DB56" i="31"/>
  <c r="DH35" i="31"/>
  <c r="DC38" i="31"/>
  <c r="DP34" i="31"/>
  <c r="DN39" i="31"/>
  <c r="DC44" i="31"/>
  <c r="DX43" i="31"/>
  <c r="DI35" i="31"/>
  <c r="DB31" i="31"/>
  <c r="EG42" i="31"/>
  <c r="EG44" i="31"/>
  <c r="DC77" i="31" l="1"/>
  <c r="DB75" i="31"/>
  <c r="DC76" i="31" s="1"/>
  <c r="DA66" i="31"/>
  <c r="DB67" i="31" s="1"/>
  <c r="DB68" i="31"/>
  <c r="EE45" i="31"/>
  <c r="EF46" i="31" s="1"/>
  <c r="EF47" i="31"/>
  <c r="DC83" i="31"/>
  <c r="DB81" i="31"/>
  <c r="DC82" i="31" s="1"/>
  <c r="DC50" i="31"/>
  <c r="DB48" i="31"/>
  <c r="DC49" i="31" s="1"/>
  <c r="DB60" i="31"/>
  <c r="DC61" i="31" s="1"/>
  <c r="DC62" i="31"/>
  <c r="DB57" i="31"/>
  <c r="DC58" i="31" s="1"/>
  <c r="DC59" i="31"/>
  <c r="DB54" i="31"/>
  <c r="DC55" i="31" s="1"/>
  <c r="DC56" i="31"/>
  <c r="DB51" i="31"/>
  <c r="DC52" i="31" s="1"/>
  <c r="DC53" i="31"/>
  <c r="DB72" i="31"/>
  <c r="DC73" i="31" s="1"/>
  <c r="DC74" i="31"/>
  <c r="DB63" i="31"/>
  <c r="DC64" i="31" s="1"/>
  <c r="DC65" i="31"/>
  <c r="DC71" i="31"/>
  <c r="DB69" i="31"/>
  <c r="DC70" i="31" s="1"/>
  <c r="DC80" i="31"/>
  <c r="DB78" i="31"/>
  <c r="DC79" i="31" s="1"/>
  <c r="CZ40" i="31"/>
  <c r="DD37" i="31"/>
  <c r="DA40" i="31"/>
  <c r="DL40" i="31"/>
  <c r="DY43" i="31"/>
  <c r="CU42" i="31"/>
  <c r="DJ35" i="31"/>
  <c r="BU36" i="31"/>
  <c r="BX29" i="31"/>
  <c r="DD50" i="31" l="1"/>
  <c r="DC48" i="31"/>
  <c r="DD49" i="31" s="1"/>
  <c r="DD65" i="31"/>
  <c r="DC63" i="31"/>
  <c r="DD64" i="31" s="1"/>
  <c r="DD83" i="31"/>
  <c r="DC81" i="31"/>
  <c r="DD82" i="31" s="1"/>
  <c r="DC51" i="31"/>
  <c r="DD52" i="31" s="1"/>
  <c r="DD53" i="31"/>
  <c r="EG47" i="31"/>
  <c r="EF45" i="31"/>
  <c r="EG46" i="31" s="1"/>
  <c r="DD71" i="31"/>
  <c r="DC69" i="31"/>
  <c r="DD70" i="31" s="1"/>
  <c r="DC72" i="31"/>
  <c r="DD73" i="31" s="1"/>
  <c r="DD74" i="31"/>
  <c r="DC54" i="31"/>
  <c r="DD55" i="31" s="1"/>
  <c r="DD56" i="31"/>
  <c r="DC68" i="31"/>
  <c r="DB66" i="31"/>
  <c r="DC67" i="31" s="1"/>
  <c r="DC57" i="31"/>
  <c r="DD58" i="31" s="1"/>
  <c r="DD59" i="31"/>
  <c r="DD62" i="31"/>
  <c r="DC60" i="31"/>
  <c r="DD61" i="31" s="1"/>
  <c r="DD80" i="31"/>
  <c r="DC78" i="31"/>
  <c r="DD79" i="31" s="1"/>
  <c r="DD77" i="31"/>
  <c r="DC75" i="31"/>
  <c r="DD76" i="31" s="1"/>
  <c r="DC40" i="31"/>
  <c r="DB40" i="31"/>
  <c r="DD38" i="31"/>
  <c r="DN30" i="31"/>
  <c r="DL30" i="31"/>
  <c r="EB43" i="31"/>
  <c r="DO39" i="31"/>
  <c r="DD44" i="31"/>
  <c r="DC31" i="31"/>
  <c r="DK35" i="31"/>
  <c r="DP39" i="31"/>
  <c r="DD60" i="31" l="1"/>
  <c r="DE61" i="31" s="1"/>
  <c r="DE62" i="31"/>
  <c r="EH47" i="31"/>
  <c r="EG45" i="31"/>
  <c r="EH46" i="31" s="1"/>
  <c r="DE59" i="31"/>
  <c r="DD57" i="31"/>
  <c r="DE58" i="31" s="1"/>
  <c r="DD51" i="31"/>
  <c r="DE52" i="31" s="1"/>
  <c r="DE53" i="31"/>
  <c r="DC66" i="31"/>
  <c r="DD67" i="31" s="1"/>
  <c r="DD68" i="31"/>
  <c r="DD81" i="31"/>
  <c r="DE82" i="31" s="1"/>
  <c r="DE83" i="31"/>
  <c r="DD78" i="31"/>
  <c r="DE79" i="31" s="1"/>
  <c r="DE80" i="31"/>
  <c r="DE56" i="31"/>
  <c r="DD54" i="31"/>
  <c r="DE55" i="31" s="1"/>
  <c r="DD63" i="31"/>
  <c r="DE64" i="31" s="1"/>
  <c r="DE65" i="31"/>
  <c r="DD72" i="31"/>
  <c r="DE73" i="31" s="1"/>
  <c r="DE74" i="31"/>
  <c r="DE71" i="31"/>
  <c r="DD69" i="31"/>
  <c r="DE70" i="31" s="1"/>
  <c r="DD75" i="31"/>
  <c r="DE76" i="31" s="1"/>
  <c r="DE77" i="31"/>
  <c r="DE50" i="31"/>
  <c r="DD48" i="31"/>
  <c r="DE49" i="31" s="1"/>
  <c r="DD40" i="31"/>
  <c r="DO30" i="31"/>
  <c r="DL35" i="31"/>
  <c r="EC43" i="31"/>
  <c r="CV42" i="31"/>
  <c r="DD31" i="31"/>
  <c r="BV36" i="31"/>
  <c r="BX36" i="31"/>
  <c r="BY29" i="31"/>
  <c r="DF74" i="31" l="1"/>
  <c r="DE72" i="31"/>
  <c r="DF73" i="31" s="1"/>
  <c r="DE51" i="31"/>
  <c r="DF52" i="31" s="1"/>
  <c r="DF53" i="31"/>
  <c r="DE69" i="31"/>
  <c r="DF70" i="31" s="1"/>
  <c r="DF71" i="31"/>
  <c r="DF65" i="31"/>
  <c r="DE63" i="31"/>
  <c r="DF64" i="31" s="1"/>
  <c r="DE75" i="31"/>
  <c r="DF76" i="31" s="1"/>
  <c r="DF77" i="31"/>
  <c r="DE57" i="31"/>
  <c r="DF58" i="31" s="1"/>
  <c r="DF59" i="31"/>
  <c r="DD66" i="31"/>
  <c r="DE67" i="31" s="1"/>
  <c r="DE68" i="31"/>
  <c r="DE54" i="31"/>
  <c r="DF55" i="31" s="1"/>
  <c r="DF56" i="31"/>
  <c r="EI47" i="31"/>
  <c r="EH45" i="31"/>
  <c r="EH29" i="31" s="1"/>
  <c r="DE81" i="31"/>
  <c r="DF82" i="31" s="1"/>
  <c r="DF83" i="31"/>
  <c r="DF80" i="31"/>
  <c r="DE78" i="31"/>
  <c r="DF79" i="31" s="1"/>
  <c r="DE60" i="31"/>
  <c r="DF61" i="31" s="1"/>
  <c r="DF62" i="31"/>
  <c r="DE48" i="31"/>
  <c r="DF49" i="31" s="1"/>
  <c r="DF50" i="31"/>
  <c r="DH37" i="31"/>
  <c r="DP30" i="31"/>
  <c r="DN35" i="31"/>
  <c r="DG38" i="31"/>
  <c r="ED43" i="31"/>
  <c r="DG44" i="31"/>
  <c r="EI46" i="31" l="1"/>
  <c r="DG83" i="31"/>
  <c r="DF81" i="31"/>
  <c r="DG64" i="31"/>
  <c r="DG65" i="31"/>
  <c r="DF63" i="31"/>
  <c r="DG82" i="31"/>
  <c r="EJ47" i="31"/>
  <c r="EI45" i="31"/>
  <c r="EJ46" i="31" s="1"/>
  <c r="DG71" i="31"/>
  <c r="DF69" i="31"/>
  <c r="DG70" i="31" s="1"/>
  <c r="DG77" i="31"/>
  <c r="DF75" i="31"/>
  <c r="DG76" i="31" s="1"/>
  <c r="DG56" i="31"/>
  <c r="DF54" i="31"/>
  <c r="DG80" i="31"/>
  <c r="DF78" i="31"/>
  <c r="DG79" i="31" s="1"/>
  <c r="DG55" i="31"/>
  <c r="DG53" i="31"/>
  <c r="DF51" i="31"/>
  <c r="DG52" i="31" s="1"/>
  <c r="DG59" i="31"/>
  <c r="DF57" i="31"/>
  <c r="DG58" i="31" s="1"/>
  <c r="DE66" i="31"/>
  <c r="DF67" i="31" s="1"/>
  <c r="DF68" i="31"/>
  <c r="DG50" i="31"/>
  <c r="DF48" i="31"/>
  <c r="DG49" i="31" s="1"/>
  <c r="DG62" i="31"/>
  <c r="DF60" i="31"/>
  <c r="DG61" i="31" s="1"/>
  <c r="DG74" i="31"/>
  <c r="DF72" i="31"/>
  <c r="DG73" i="31" s="1"/>
  <c r="DO35" i="31"/>
  <c r="DG40" i="31"/>
  <c r="CW42" i="31"/>
  <c r="DE31" i="31"/>
  <c r="EN42" i="31"/>
  <c r="EN43" i="31"/>
  <c r="EN44" i="31"/>
  <c r="BZ29" i="31"/>
  <c r="DH52" i="31" l="1"/>
  <c r="DH53" i="31"/>
  <c r="DG51" i="31"/>
  <c r="EJ45" i="31"/>
  <c r="EK46" i="31" s="1"/>
  <c r="EK47" i="31"/>
  <c r="DH50" i="31"/>
  <c r="DG48" i="31"/>
  <c r="DH49" i="31" s="1"/>
  <c r="DH71" i="31"/>
  <c r="DG69" i="31"/>
  <c r="DH70" i="31" s="1"/>
  <c r="DH80" i="31"/>
  <c r="DG78" i="31"/>
  <c r="DH79" i="31" s="1"/>
  <c r="DG68" i="31"/>
  <c r="DF66" i="31"/>
  <c r="DG67" i="31" s="1"/>
  <c r="DH65" i="31"/>
  <c r="DG63" i="31"/>
  <c r="DH64" i="31"/>
  <c r="DH56" i="31"/>
  <c r="DG54" i="31"/>
  <c r="DH55" i="31" s="1"/>
  <c r="DH62" i="31"/>
  <c r="DG60" i="31"/>
  <c r="DH61" i="31" s="1"/>
  <c r="DH77" i="31"/>
  <c r="DG75" i="31"/>
  <c r="DH76" i="31" s="1"/>
  <c r="DH83" i="31"/>
  <c r="DG81" i="31"/>
  <c r="DH82" i="31" s="1"/>
  <c r="DH74" i="31"/>
  <c r="DG72" i="31"/>
  <c r="DH73" i="31" s="1"/>
  <c r="DH59" i="31"/>
  <c r="DG57" i="31"/>
  <c r="DH58" i="31" s="1"/>
  <c r="DI37" i="31"/>
  <c r="DH40" i="31"/>
  <c r="DH38" i="31"/>
  <c r="EE43" i="31"/>
  <c r="DH44" i="31"/>
  <c r="DP35" i="31"/>
  <c r="DH48" i="31" l="1"/>
  <c r="DI49" i="31" s="1"/>
  <c r="DI50" i="31"/>
  <c r="DH63" i="31"/>
  <c r="DI64" i="31" s="1"/>
  <c r="DI65" i="31"/>
  <c r="EK45" i="31"/>
  <c r="EL46" i="31" s="1"/>
  <c r="EL47" i="31"/>
  <c r="DH75" i="31"/>
  <c r="DI76" i="31" s="1"/>
  <c r="DI77" i="31"/>
  <c r="DH51" i="31"/>
  <c r="DI52" i="31" s="1"/>
  <c r="DI53" i="31"/>
  <c r="DH68" i="31"/>
  <c r="DG66" i="31"/>
  <c r="DH67" i="31" s="1"/>
  <c r="DI74" i="31"/>
  <c r="DH72" i="31"/>
  <c r="DI73" i="31" s="1"/>
  <c r="DH81" i="31"/>
  <c r="DI82" i="31" s="1"/>
  <c r="DI83" i="31"/>
  <c r="DI62" i="31"/>
  <c r="DH60" i="31"/>
  <c r="DI61" i="31" s="1"/>
  <c r="DH78" i="31"/>
  <c r="DI79" i="31" s="1"/>
  <c r="DI80" i="31"/>
  <c r="DH57" i="31"/>
  <c r="DI58" i="31" s="1"/>
  <c r="DI59" i="31"/>
  <c r="DH54" i="31"/>
  <c r="DI55" i="31" s="1"/>
  <c r="DI56" i="31"/>
  <c r="DH69" i="31"/>
  <c r="DI70" i="31" s="1"/>
  <c r="DI71" i="31"/>
  <c r="DJ37" i="31"/>
  <c r="DI40" i="31"/>
  <c r="EF43" i="31"/>
  <c r="CZ42" i="31"/>
  <c r="DG31" i="31"/>
  <c r="BY36" i="31"/>
  <c r="CA29" i="31"/>
  <c r="DJ80" i="31" l="1"/>
  <c r="DI78" i="31"/>
  <c r="DJ79" i="31" s="1"/>
  <c r="DI75" i="31"/>
  <c r="DJ76" i="31" s="1"/>
  <c r="DJ77" i="31"/>
  <c r="DJ59" i="31"/>
  <c r="DI57" i="31"/>
  <c r="DJ58" i="31" s="1"/>
  <c r="DJ62" i="31"/>
  <c r="DI60" i="31"/>
  <c r="DJ61" i="31" s="1"/>
  <c r="EM47" i="31"/>
  <c r="EL45" i="31"/>
  <c r="EM46" i="31" s="1"/>
  <c r="DH66" i="31"/>
  <c r="DI67" i="31" s="1"/>
  <c r="DI68" i="31"/>
  <c r="DJ83" i="31"/>
  <c r="DI81" i="31"/>
  <c r="DJ82" i="31" s="1"/>
  <c r="DJ53" i="31"/>
  <c r="DI51" i="31"/>
  <c r="DJ52" i="31" s="1"/>
  <c r="DJ65" i="31"/>
  <c r="DI63" i="31"/>
  <c r="DJ64" i="31" s="1"/>
  <c r="DJ71" i="31"/>
  <c r="DI69" i="31"/>
  <c r="DJ70" i="31" s="1"/>
  <c r="DJ74" i="31"/>
  <c r="DI72" i="31"/>
  <c r="DJ73" i="31" s="1"/>
  <c r="DJ50" i="31"/>
  <c r="DI48" i="31"/>
  <c r="DJ49" i="31" s="1"/>
  <c r="DI54" i="31"/>
  <c r="DJ55" i="31" s="1"/>
  <c r="DJ56" i="31"/>
  <c r="DJ40" i="31"/>
  <c r="DI38" i="31"/>
  <c r="EI43" i="31"/>
  <c r="EJ43" i="31"/>
  <c r="DI44" i="31"/>
  <c r="DK74" i="31" l="1"/>
  <c r="DJ72" i="31"/>
  <c r="DK73" i="31" s="1"/>
  <c r="EN47" i="31"/>
  <c r="EM45" i="31"/>
  <c r="EN46" i="31" s="1"/>
  <c r="DK71" i="31"/>
  <c r="DJ69" i="31"/>
  <c r="DK70" i="31" s="1"/>
  <c r="DJ60" i="31"/>
  <c r="DK61" i="31" s="1"/>
  <c r="DK62" i="31"/>
  <c r="DJ63" i="31"/>
  <c r="DK64" i="31" s="1"/>
  <c r="DK65" i="31"/>
  <c r="DJ57" i="31"/>
  <c r="DK58" i="31" s="1"/>
  <c r="DK59" i="31"/>
  <c r="DK77" i="31"/>
  <c r="DJ75" i="31"/>
  <c r="DK76" i="31" s="1"/>
  <c r="DJ51" i="31"/>
  <c r="DK52" i="31" s="1"/>
  <c r="DK53" i="31"/>
  <c r="DI66" i="31"/>
  <c r="DJ67" i="31" s="1"/>
  <c r="DJ68" i="31"/>
  <c r="DK56" i="31"/>
  <c r="DJ54" i="31"/>
  <c r="DK55" i="31" s="1"/>
  <c r="DK50" i="31"/>
  <c r="DJ48" i="31"/>
  <c r="DK49" i="31" s="1"/>
  <c r="DK83" i="31"/>
  <c r="DJ81" i="31"/>
  <c r="DK82" i="31" s="1"/>
  <c r="DK80" i="31"/>
  <c r="DJ78" i="31"/>
  <c r="DK79" i="31" s="1"/>
  <c r="DK37" i="31"/>
  <c r="DJ44" i="31"/>
  <c r="DA42" i="31"/>
  <c r="DH31" i="31"/>
  <c r="BZ36" i="31"/>
  <c r="CB29" i="31"/>
  <c r="EU44" i="31"/>
  <c r="DK48" i="31" l="1"/>
  <c r="DL49" i="31" s="1"/>
  <c r="DL50" i="31"/>
  <c r="DL59" i="31"/>
  <c r="DK57" i="31"/>
  <c r="DL58" i="31" s="1"/>
  <c r="DK60" i="31"/>
  <c r="DL61" i="31" s="1"/>
  <c r="DL62" i="31"/>
  <c r="DL56" i="31"/>
  <c r="DK54" i="31"/>
  <c r="DL55" i="31" s="1"/>
  <c r="DJ66" i="31"/>
  <c r="DK67" i="31" s="1"/>
  <c r="DK68" i="31"/>
  <c r="DL83" i="31"/>
  <c r="DK81" i="31"/>
  <c r="DL82" i="31" s="1"/>
  <c r="DK69" i="31"/>
  <c r="DL70" i="31" s="1"/>
  <c r="DL71" i="31"/>
  <c r="DL53" i="31"/>
  <c r="DK51" i="31"/>
  <c r="DL52" i="31" s="1"/>
  <c r="EN45" i="31"/>
  <c r="EO46" i="31" s="1"/>
  <c r="EO47" i="31"/>
  <c r="DK63" i="31"/>
  <c r="DL64" i="31" s="1"/>
  <c r="DL65" i="31"/>
  <c r="DL80" i="31"/>
  <c r="DK78" i="31"/>
  <c r="DL79" i="31" s="1"/>
  <c r="DK75" i="31"/>
  <c r="DL76" i="31" s="1"/>
  <c r="DL77" i="31"/>
  <c r="DL74" i="31"/>
  <c r="DK72" i="31"/>
  <c r="DL73" i="31" s="1"/>
  <c r="DJ38" i="31"/>
  <c r="DK40" i="31"/>
  <c r="EK43" i="31"/>
  <c r="DI31" i="31"/>
  <c r="EU42" i="31"/>
  <c r="EU43" i="31"/>
  <c r="EW44" i="31"/>
  <c r="EX42" i="31"/>
  <c r="EW42" i="31"/>
  <c r="EW43" i="31"/>
  <c r="DL81" i="31" l="1"/>
  <c r="DM82" i="31" s="1"/>
  <c r="DM83" i="31"/>
  <c r="DM80" i="31"/>
  <c r="DL78" i="31"/>
  <c r="DM79" i="31" s="1"/>
  <c r="DL54" i="31"/>
  <c r="DM55" i="31" s="1"/>
  <c r="DM56" i="31"/>
  <c r="DL75" i="31"/>
  <c r="DM76" i="31" s="1"/>
  <c r="DM77" i="31"/>
  <c r="EP47" i="31"/>
  <c r="EO45" i="31"/>
  <c r="EO29" i="31" s="1"/>
  <c r="DL60" i="31"/>
  <c r="DM61" i="31" s="1"/>
  <c r="DM62" i="31"/>
  <c r="DL68" i="31"/>
  <c r="DK66" i="31"/>
  <c r="DL67" i="31" s="1"/>
  <c r="DM65" i="31"/>
  <c r="DL63" i="31"/>
  <c r="DM64" i="31" s="1"/>
  <c r="DL51" i="31"/>
  <c r="DM52" i="31" s="1"/>
  <c r="DM53" i="31"/>
  <c r="DM59" i="31"/>
  <c r="DL57" i="31"/>
  <c r="DM58" i="31" s="1"/>
  <c r="DM71" i="31"/>
  <c r="DL69" i="31"/>
  <c r="DM70" i="31" s="1"/>
  <c r="DM50" i="31"/>
  <c r="DL48" i="31"/>
  <c r="DM49" i="31" s="1"/>
  <c r="DL72" i="31"/>
  <c r="DM73" i="31" s="1"/>
  <c r="DM74" i="31"/>
  <c r="EL43" i="31"/>
  <c r="DK44" i="31"/>
  <c r="DB42" i="31"/>
  <c r="DJ31" i="31"/>
  <c r="CA36" i="31"/>
  <c r="EX43" i="31"/>
  <c r="EX44" i="31"/>
  <c r="EY44" i="31"/>
  <c r="CC29" i="31"/>
  <c r="DN58" i="31" l="1"/>
  <c r="EQ47" i="31"/>
  <c r="EP45" i="31"/>
  <c r="DN59" i="31"/>
  <c r="DM57" i="31"/>
  <c r="DN77" i="31"/>
  <c r="DM75" i="31"/>
  <c r="DN62" i="31"/>
  <c r="DM60" i="31"/>
  <c r="DN61" i="31" s="1"/>
  <c r="DN53" i="31"/>
  <c r="DM51" i="31"/>
  <c r="DN52" i="31" s="1"/>
  <c r="DN76" i="31"/>
  <c r="DN56" i="31"/>
  <c r="DM54" i="31"/>
  <c r="DN55" i="31"/>
  <c r="DN50" i="31"/>
  <c r="DM48" i="31"/>
  <c r="DN71" i="31"/>
  <c r="DM69" i="31"/>
  <c r="DN70" i="31" s="1"/>
  <c r="DN65" i="31"/>
  <c r="DM63" i="31"/>
  <c r="DN64" i="31" s="1"/>
  <c r="DN79" i="31"/>
  <c r="DN74" i="31"/>
  <c r="DM72" i="31"/>
  <c r="DN73" i="31" s="1"/>
  <c r="EP46" i="31"/>
  <c r="EQ46" i="31" s="1"/>
  <c r="DN80" i="31"/>
  <c r="DM78" i="31"/>
  <c r="DN83" i="31"/>
  <c r="DM81" i="31"/>
  <c r="DN49" i="31"/>
  <c r="DL66" i="31"/>
  <c r="DM67" i="31" s="1"/>
  <c r="DM68" i="31"/>
  <c r="DN82" i="31"/>
  <c r="DN37" i="31"/>
  <c r="DK38" i="31"/>
  <c r="DK31" i="31"/>
  <c r="DC42" i="31"/>
  <c r="EM43" i="31"/>
  <c r="EY43" i="31"/>
  <c r="EY42" i="31"/>
  <c r="DO62" i="31" l="1"/>
  <c r="DN60" i="31"/>
  <c r="DO61" i="31" s="1"/>
  <c r="DO71" i="31"/>
  <c r="DN69" i="31"/>
  <c r="DO70" i="31" s="1"/>
  <c r="DO50" i="31"/>
  <c r="DN48" i="31"/>
  <c r="DO49" i="31"/>
  <c r="DO83" i="31"/>
  <c r="DN81" i="31"/>
  <c r="DO77" i="31"/>
  <c r="DN75" i="31"/>
  <c r="DO76" i="31" s="1"/>
  <c r="DO65" i="31"/>
  <c r="DN63" i="31"/>
  <c r="DO64" i="31" s="1"/>
  <c r="DO53" i="31"/>
  <c r="DN51" i="31"/>
  <c r="DO52" i="31" s="1"/>
  <c r="DO80" i="31"/>
  <c r="DN78" i="31"/>
  <c r="DO79" i="31" s="1"/>
  <c r="DO59" i="31"/>
  <c r="DN57" i="31"/>
  <c r="DO58" i="31" s="1"/>
  <c r="DO74" i="31"/>
  <c r="DN72" i="31"/>
  <c r="DO73" i="31" s="1"/>
  <c r="DO56" i="31"/>
  <c r="DN54" i="31"/>
  <c r="DO55" i="31" s="1"/>
  <c r="DO82" i="31"/>
  <c r="EQ45" i="31"/>
  <c r="ER46" i="31" s="1"/>
  <c r="ER47" i="31"/>
  <c r="DN68" i="31"/>
  <c r="DM66" i="31"/>
  <c r="DN67" i="31" s="1"/>
  <c r="DO37" i="31"/>
  <c r="DN40" i="31"/>
  <c r="DN44" i="31"/>
  <c r="DO44" i="31"/>
  <c r="DL31" i="31"/>
  <c r="EZ44" i="31"/>
  <c r="EZ42" i="31"/>
  <c r="EZ43" i="31"/>
  <c r="CB36" i="31"/>
  <c r="FA44" i="31"/>
  <c r="CE29" i="31"/>
  <c r="DP80" i="31" l="1"/>
  <c r="DO78" i="31"/>
  <c r="DP79" i="31" s="1"/>
  <c r="DO51" i="31"/>
  <c r="DP52" i="31" s="1"/>
  <c r="DP53" i="31"/>
  <c r="DP50" i="31"/>
  <c r="DO48" i="31"/>
  <c r="DP49" i="31" s="1"/>
  <c r="DO69" i="31"/>
  <c r="DP70" i="31" s="1"/>
  <c r="DP71" i="31"/>
  <c r="DO63" i="31"/>
  <c r="DP64" i="31" s="1"/>
  <c r="DP65" i="31"/>
  <c r="DO54" i="31"/>
  <c r="DP55" i="31" s="1"/>
  <c r="DP56" i="31"/>
  <c r="DP62" i="31"/>
  <c r="DO60" i="31"/>
  <c r="DP61" i="31" s="1"/>
  <c r="ES47" i="31"/>
  <c r="ER45" i="31"/>
  <c r="ES46" i="31" s="1"/>
  <c r="DO72" i="31"/>
  <c r="DP73" i="31" s="1"/>
  <c r="DP74" i="31"/>
  <c r="DO75" i="31"/>
  <c r="DP76" i="31" s="1"/>
  <c r="DP77" i="31"/>
  <c r="DO68" i="31"/>
  <c r="DN66" i="31"/>
  <c r="DO67" i="31" s="1"/>
  <c r="DP59" i="31"/>
  <c r="DO57" i="31"/>
  <c r="DP58" i="31" s="1"/>
  <c r="DP83" i="31"/>
  <c r="DO81" i="31"/>
  <c r="DP82" i="31" s="1"/>
  <c r="DO40" i="31"/>
  <c r="DL38" i="31"/>
  <c r="DP44" i="31"/>
  <c r="EP43" i="31"/>
  <c r="DD42" i="31"/>
  <c r="FA42" i="31"/>
  <c r="FA43" i="31"/>
  <c r="DQ77" i="31" l="1"/>
  <c r="DP75" i="31"/>
  <c r="DQ76" i="31" s="1"/>
  <c r="DP69" i="31"/>
  <c r="DQ70" i="31" s="1"/>
  <c r="DQ71" i="31"/>
  <c r="DO66" i="31"/>
  <c r="DP67" i="31" s="1"/>
  <c r="DP68" i="31"/>
  <c r="DQ74" i="31"/>
  <c r="DP72" i="31"/>
  <c r="DQ73" i="31" s="1"/>
  <c r="DQ59" i="31"/>
  <c r="DP57" i="31"/>
  <c r="DQ58" i="31" s="1"/>
  <c r="DP48" i="31"/>
  <c r="DQ49" i="31" s="1"/>
  <c r="DQ50" i="31"/>
  <c r="DP51" i="31"/>
  <c r="DQ52" i="31" s="1"/>
  <c r="DQ53" i="31"/>
  <c r="DQ65" i="31"/>
  <c r="DP63" i="31"/>
  <c r="DQ64" i="31" s="1"/>
  <c r="ET47" i="31"/>
  <c r="ES45" i="31"/>
  <c r="ET46" i="31" s="1"/>
  <c r="DP81" i="31"/>
  <c r="DQ82" i="31" s="1"/>
  <c r="DQ83" i="31"/>
  <c r="DP60" i="31"/>
  <c r="DQ61" i="31" s="1"/>
  <c r="DQ62" i="31"/>
  <c r="DQ80" i="31"/>
  <c r="DP78" i="31"/>
  <c r="DQ79" i="31" s="1"/>
  <c r="DQ56" i="31"/>
  <c r="DP54" i="31"/>
  <c r="DQ55" i="31" s="1"/>
  <c r="DP40" i="31"/>
  <c r="DP37" i="31"/>
  <c r="DN31" i="31"/>
  <c r="CC36" i="31"/>
  <c r="CE36" i="31"/>
  <c r="FB42" i="31"/>
  <c r="FB44" i="31"/>
  <c r="FB43" i="31"/>
  <c r="FD44" i="31"/>
  <c r="FD43" i="31"/>
  <c r="FD42" i="31"/>
  <c r="CF29" i="31"/>
  <c r="DQ57" i="31" l="1"/>
  <c r="DR59" i="31"/>
  <c r="DQ81" i="31"/>
  <c r="DR83" i="31"/>
  <c r="DQ72" i="31"/>
  <c r="DR73" i="31" s="1"/>
  <c r="DR74" i="31"/>
  <c r="DQ68" i="31"/>
  <c r="DP66" i="31"/>
  <c r="DQ67" i="31" s="1"/>
  <c r="ET45" i="31"/>
  <c r="EU46" i="31" s="1"/>
  <c r="EU47" i="31"/>
  <c r="DQ69" i="31"/>
  <c r="DR70" i="31" s="1"/>
  <c r="DR71" i="31"/>
  <c r="DQ48" i="31"/>
  <c r="DR50" i="31"/>
  <c r="DR65" i="31"/>
  <c r="DQ63" i="31"/>
  <c r="DR62" i="31"/>
  <c r="DQ60" i="31"/>
  <c r="DQ51" i="31"/>
  <c r="DR52" i="31" s="1"/>
  <c r="DR53" i="31"/>
  <c r="DR80" i="31"/>
  <c r="DQ78" i="31"/>
  <c r="DR79" i="31" s="1"/>
  <c r="DR56" i="31"/>
  <c r="DQ54" i="31"/>
  <c r="DR77" i="31"/>
  <c r="DQ75" i="31"/>
  <c r="DN38" i="31"/>
  <c r="DQ44" i="31"/>
  <c r="EQ43" i="31"/>
  <c r="DG42" i="31"/>
  <c r="FE43" i="31"/>
  <c r="FE44" i="31"/>
  <c r="DR55" i="31" l="1"/>
  <c r="DQ32" i="31"/>
  <c r="DR78" i="31"/>
  <c r="DS79" i="31" s="1"/>
  <c r="DS80" i="31"/>
  <c r="DQ66" i="31"/>
  <c r="DR67" i="31" s="1"/>
  <c r="DR68" i="31"/>
  <c r="DR61" i="31"/>
  <c r="DQ34" i="31"/>
  <c r="DR72" i="31"/>
  <c r="DS73" i="31" s="1"/>
  <c r="DS74" i="31"/>
  <c r="DS56" i="31"/>
  <c r="DR54" i="31"/>
  <c r="DR69" i="31"/>
  <c r="DS70" i="31" s="1"/>
  <c r="DS71" i="31"/>
  <c r="DR60" i="31"/>
  <c r="DS62" i="31"/>
  <c r="DR64" i="31"/>
  <c r="DQ35" i="31"/>
  <c r="DS83" i="31"/>
  <c r="DR51" i="31"/>
  <c r="DS52" i="31" s="1"/>
  <c r="DS53" i="31"/>
  <c r="DS65" i="31"/>
  <c r="DR63" i="31"/>
  <c r="DR82" i="31"/>
  <c r="DR81" i="31" s="1"/>
  <c r="DQ41" i="31"/>
  <c r="EU45" i="31"/>
  <c r="EV46" i="31" s="1"/>
  <c r="EV47" i="31"/>
  <c r="DR76" i="31"/>
  <c r="DQ39" i="31"/>
  <c r="DS50" i="31"/>
  <c r="DS59" i="31"/>
  <c r="DR75" i="31"/>
  <c r="DS77" i="31"/>
  <c r="DR49" i="31"/>
  <c r="DR48" i="31" s="1"/>
  <c r="DQ30" i="31"/>
  <c r="DR58" i="31"/>
  <c r="DR57" i="31" s="1"/>
  <c r="DQ33" i="31"/>
  <c r="DO38" i="31"/>
  <c r="DQ37" i="31"/>
  <c r="DQ40" i="31"/>
  <c r="FF44" i="31"/>
  <c r="DR44" i="31"/>
  <c r="DO31" i="31"/>
  <c r="FF43" i="31"/>
  <c r="CG29" i="31"/>
  <c r="DS55" i="31" l="1"/>
  <c r="DR32" i="31"/>
  <c r="DS51" i="31"/>
  <c r="DT52" i="31" s="1"/>
  <c r="DT53" i="31"/>
  <c r="DS64" i="31"/>
  <c r="DR35" i="31"/>
  <c r="DS72" i="31"/>
  <c r="DT73" i="31" s="1"/>
  <c r="DT74" i="31"/>
  <c r="DS82" i="31"/>
  <c r="DR41" i="31"/>
  <c r="DS81" i="31"/>
  <c r="DT83" i="31"/>
  <c r="DT59" i="31"/>
  <c r="DS58" i="31"/>
  <c r="DS57" i="31" s="1"/>
  <c r="DR33" i="31"/>
  <c r="DT50" i="31"/>
  <c r="DS49" i="31"/>
  <c r="DS48" i="31" s="1"/>
  <c r="DR30" i="31"/>
  <c r="DR66" i="31"/>
  <c r="DS67" i="31" s="1"/>
  <c r="DS68" i="31"/>
  <c r="DT65" i="31"/>
  <c r="DS63" i="31"/>
  <c r="EW47" i="31"/>
  <c r="EV45" i="31"/>
  <c r="EV29" i="31" s="1"/>
  <c r="DT62" i="31"/>
  <c r="DT80" i="31"/>
  <c r="DS78" i="31"/>
  <c r="DT79" i="31" s="1"/>
  <c r="DT56" i="31"/>
  <c r="DS54" i="31"/>
  <c r="DS61" i="31"/>
  <c r="DS60" i="31" s="1"/>
  <c r="DR34" i="31"/>
  <c r="DS75" i="31"/>
  <c r="DT77" i="31"/>
  <c r="DT71" i="31"/>
  <c r="DS69" i="31"/>
  <c r="DT70" i="31" s="1"/>
  <c r="DS76" i="31"/>
  <c r="DR39" i="31"/>
  <c r="DP38" i="31"/>
  <c r="DR40" i="31"/>
  <c r="ER43" i="31"/>
  <c r="DH42" i="31"/>
  <c r="DP31" i="31"/>
  <c r="FE42" i="31"/>
  <c r="FG43" i="31"/>
  <c r="FG44" i="31"/>
  <c r="EW46" i="31" l="1"/>
  <c r="DT82" i="31"/>
  <c r="DS41" i="31"/>
  <c r="DT68" i="31"/>
  <c r="DS66" i="31"/>
  <c r="DT67" i="31" s="1"/>
  <c r="DT55" i="31"/>
  <c r="DS32" i="31"/>
  <c r="DT64" i="31"/>
  <c r="DU64" i="31" s="1"/>
  <c r="DS35" i="31"/>
  <c r="DU50" i="31"/>
  <c r="DT48" i="31"/>
  <c r="DT30" i="31" s="1"/>
  <c r="DU83" i="31"/>
  <c r="DT81" i="31"/>
  <c r="DT41" i="31" s="1"/>
  <c r="DU56" i="31"/>
  <c r="DT54" i="31"/>
  <c r="DT32" i="31" s="1"/>
  <c r="DT49" i="31"/>
  <c r="DS30" i="31"/>
  <c r="DU77" i="31"/>
  <c r="DT75" i="31"/>
  <c r="DT39" i="31" s="1"/>
  <c r="DU74" i="31"/>
  <c r="DT72" i="31"/>
  <c r="DT38" i="31" s="1"/>
  <c r="DU80" i="31"/>
  <c r="DT78" i="31"/>
  <c r="DT40" i="31" s="1"/>
  <c r="DT61" i="31"/>
  <c r="DS34" i="31"/>
  <c r="DU53" i="31"/>
  <c r="DT51" i="31"/>
  <c r="DT31" i="31" s="1"/>
  <c r="DU65" i="31"/>
  <c r="DT63" i="31"/>
  <c r="DT35" i="31" s="1"/>
  <c r="DU62" i="31"/>
  <c r="DT60" i="31"/>
  <c r="DT34" i="31" s="1"/>
  <c r="DU71" i="31"/>
  <c r="DT69" i="31"/>
  <c r="DT37" i="31" s="1"/>
  <c r="DT58" i="31"/>
  <c r="DU58" i="31" s="1"/>
  <c r="DS33" i="31"/>
  <c r="DT76" i="31"/>
  <c r="DS39" i="31"/>
  <c r="EX47" i="31"/>
  <c r="EW45" i="31"/>
  <c r="EW29" i="31" s="1"/>
  <c r="DU59" i="31"/>
  <c r="DT57" i="31"/>
  <c r="DT33" i="31" s="1"/>
  <c r="DQ38" i="31"/>
  <c r="DR37" i="31"/>
  <c r="DU44" i="31"/>
  <c r="ES43" i="31"/>
  <c r="DQ31" i="31"/>
  <c r="CF36" i="31"/>
  <c r="FH43" i="31"/>
  <c r="FH44" i="31"/>
  <c r="FF42" i="31"/>
  <c r="CH29" i="31"/>
  <c r="EX46" i="31" l="1"/>
  <c r="DU82" i="31"/>
  <c r="DV50" i="31"/>
  <c r="DU48" i="31"/>
  <c r="DU30" i="31" s="1"/>
  <c r="DU79" i="31"/>
  <c r="DU52" i="31"/>
  <c r="DV74" i="31"/>
  <c r="DU72" i="31"/>
  <c r="DV64" i="31"/>
  <c r="DV77" i="31"/>
  <c r="DU75" i="31"/>
  <c r="DU39" i="31" s="1"/>
  <c r="DU73" i="31"/>
  <c r="DV73" i="31" s="1"/>
  <c r="DV80" i="31"/>
  <c r="DU78" i="31"/>
  <c r="DU40" i="31" s="1"/>
  <c r="DV62" i="31"/>
  <c r="DU60" i="31"/>
  <c r="DU34" i="31" s="1"/>
  <c r="EY47" i="31"/>
  <c r="EX45" i="31"/>
  <c r="EY46" i="31" s="1"/>
  <c r="DV65" i="31"/>
  <c r="DU63" i="31"/>
  <c r="DU35" i="31" s="1"/>
  <c r="DU49" i="31"/>
  <c r="DV49" i="31" s="1"/>
  <c r="DU55" i="31"/>
  <c r="DV55" i="31" s="1"/>
  <c r="DV71" i="31"/>
  <c r="DU69" i="31"/>
  <c r="DU37" i="31" s="1"/>
  <c r="DV59" i="31"/>
  <c r="DU57" i="31"/>
  <c r="DU33" i="31" s="1"/>
  <c r="DU70" i="31"/>
  <c r="DU76" i="31"/>
  <c r="DV56" i="31"/>
  <c r="DU54" i="31"/>
  <c r="DU32" i="31" s="1"/>
  <c r="DU68" i="31"/>
  <c r="DT66" i="31"/>
  <c r="DT36" i="31" s="1"/>
  <c r="DV53" i="31"/>
  <c r="DU51" i="31"/>
  <c r="DU61" i="31"/>
  <c r="DV61" i="31" s="1"/>
  <c r="DV83" i="31"/>
  <c r="DU81" i="31"/>
  <c r="DU41" i="31" s="1"/>
  <c r="DR38" i="31"/>
  <c r="DS40" i="31"/>
  <c r="DV44" i="31"/>
  <c r="DI42" i="31"/>
  <c r="FI44" i="31"/>
  <c r="FI43" i="31"/>
  <c r="FG42" i="31"/>
  <c r="FK43" i="31"/>
  <c r="FK44" i="31"/>
  <c r="FH42" i="31"/>
  <c r="FI42" i="31"/>
  <c r="DV52" i="31" l="1"/>
  <c r="DV76" i="31"/>
  <c r="DW71" i="31"/>
  <c r="DW59" i="31"/>
  <c r="DV51" i="31"/>
  <c r="DW52" i="31" s="1"/>
  <c r="DW53" i="31"/>
  <c r="DW80" i="31"/>
  <c r="DV75" i="31"/>
  <c r="DW77" i="31"/>
  <c r="DV68" i="31"/>
  <c r="DU66" i="31"/>
  <c r="DV63" i="31"/>
  <c r="DW65" i="31"/>
  <c r="DW74" i="31"/>
  <c r="DV72" i="31"/>
  <c r="DW73" i="31" s="1"/>
  <c r="DW83" i="31"/>
  <c r="DV81" i="31"/>
  <c r="DV58" i="31"/>
  <c r="DV57" i="31" s="1"/>
  <c r="EZ47" i="31"/>
  <c r="EY45" i="31"/>
  <c r="EZ46" i="31" s="1"/>
  <c r="DV79" i="31"/>
  <c r="DV78" i="31" s="1"/>
  <c r="DW56" i="31"/>
  <c r="DV54" i="31"/>
  <c r="DV82" i="31"/>
  <c r="DV70" i="31"/>
  <c r="DV69" i="31" s="1"/>
  <c r="DU67" i="31"/>
  <c r="DV60" i="31"/>
  <c r="DW62" i="31"/>
  <c r="DV48" i="31"/>
  <c r="DW50" i="31"/>
  <c r="DS37" i="31"/>
  <c r="ET43" i="31"/>
  <c r="DR31" i="31"/>
  <c r="CG36" i="31"/>
  <c r="FL43" i="31"/>
  <c r="FL44" i="31"/>
  <c r="FK42" i="31"/>
  <c r="CI29" i="31"/>
  <c r="DX77" i="31" l="1"/>
  <c r="DW75" i="31"/>
  <c r="DW76" i="31"/>
  <c r="DV39" i="31"/>
  <c r="EZ45" i="31"/>
  <c r="FA46" i="31" s="1"/>
  <c r="FA47" i="31"/>
  <c r="DX50" i="31"/>
  <c r="DW79" i="31"/>
  <c r="DW54" i="31"/>
  <c r="DX56" i="31"/>
  <c r="DW78" i="31"/>
  <c r="DX79" i="31" s="1"/>
  <c r="DX80" i="31"/>
  <c r="DW49" i="31"/>
  <c r="DW48" i="31" s="1"/>
  <c r="DV30" i="31"/>
  <c r="DW82" i="31"/>
  <c r="DV41" i="31"/>
  <c r="DW51" i="31"/>
  <c r="DX52" i="31" s="1"/>
  <c r="DX53" i="31"/>
  <c r="DX62" i="31"/>
  <c r="DW81" i="31"/>
  <c r="DX83" i="31"/>
  <c r="DW61" i="31"/>
  <c r="DW60" i="31" s="1"/>
  <c r="DV34" i="31"/>
  <c r="DX59" i="31"/>
  <c r="DV67" i="31"/>
  <c r="DX74" i="31"/>
  <c r="DW72" i="31"/>
  <c r="DX73" i="31" s="1"/>
  <c r="DW58" i="31"/>
  <c r="DW57" i="31" s="1"/>
  <c r="DV33" i="31"/>
  <c r="DW55" i="31"/>
  <c r="DV32" i="31"/>
  <c r="DX65" i="31"/>
  <c r="DW70" i="31"/>
  <c r="DV66" i="31"/>
  <c r="DW67" i="31" s="1"/>
  <c r="DW68" i="31"/>
  <c r="DW64" i="31"/>
  <c r="DW63" i="31" s="1"/>
  <c r="DV35" i="31"/>
  <c r="DX71" i="31"/>
  <c r="DW69" i="31"/>
  <c r="DX70" i="31" s="1"/>
  <c r="DS38" i="31"/>
  <c r="DV40" i="31"/>
  <c r="DW44" i="31"/>
  <c r="DJ42" i="31"/>
  <c r="DS31" i="31"/>
  <c r="FL42" i="31"/>
  <c r="FM43" i="31"/>
  <c r="FM44" i="31"/>
  <c r="DX82" i="31" l="1"/>
  <c r="DW41" i="31"/>
  <c r="DX55" i="31"/>
  <c r="DW32" i="31"/>
  <c r="DX61" i="31"/>
  <c r="DW34" i="31"/>
  <c r="DX64" i="31"/>
  <c r="DW35" i="31"/>
  <c r="DX51" i="31"/>
  <c r="DY52" i="31" s="1"/>
  <c r="DY53" i="31"/>
  <c r="DY50" i="31"/>
  <c r="DX48" i="31"/>
  <c r="DY83" i="31"/>
  <c r="DX81" i="31"/>
  <c r="FA45" i="31"/>
  <c r="FB46" i="31" s="1"/>
  <c r="FB47" i="31"/>
  <c r="DY71" i="31"/>
  <c r="DX69" i="31"/>
  <c r="DY70" i="31" s="1"/>
  <c r="DY74" i="31"/>
  <c r="DX72" i="31"/>
  <c r="DY73" i="31" s="1"/>
  <c r="DY65" i="31"/>
  <c r="DX63" i="31"/>
  <c r="DX54" i="31"/>
  <c r="DY56" i="31"/>
  <c r="DX49" i="31"/>
  <c r="DW30" i="31"/>
  <c r="DW66" i="31"/>
  <c r="DX67" i="31" s="1"/>
  <c r="DX68" i="31"/>
  <c r="DX58" i="31"/>
  <c r="DW33" i="31"/>
  <c r="DY59" i="31"/>
  <c r="DX57" i="31"/>
  <c r="DX76" i="31"/>
  <c r="DW39" i="31"/>
  <c r="DX60" i="31"/>
  <c r="DY62" i="31"/>
  <c r="DY80" i="31"/>
  <c r="DX78" i="31"/>
  <c r="DY79" i="31" s="1"/>
  <c r="DX75" i="31"/>
  <c r="DY77" i="31"/>
  <c r="DV37" i="31"/>
  <c r="DW40" i="31"/>
  <c r="CH36" i="31"/>
  <c r="FN44" i="31"/>
  <c r="FN43" i="31"/>
  <c r="CJ29" i="31"/>
  <c r="DY49" i="31" l="1"/>
  <c r="DX30" i="31"/>
  <c r="DZ65" i="31"/>
  <c r="DY55" i="31"/>
  <c r="DX32" i="31"/>
  <c r="DZ74" i="31"/>
  <c r="DY72" i="31"/>
  <c r="DZ73" i="31" s="1"/>
  <c r="DY64" i="31"/>
  <c r="DY63" i="31" s="1"/>
  <c r="DX35" i="31"/>
  <c r="DY57" i="31"/>
  <c r="DZ59" i="31"/>
  <c r="DZ62" i="31"/>
  <c r="DY69" i="31"/>
  <c r="DZ70" i="31" s="1"/>
  <c r="DZ71" i="31"/>
  <c r="DY54" i="31"/>
  <c r="DZ56" i="31"/>
  <c r="DZ53" i="31"/>
  <c r="DY51" i="31"/>
  <c r="DZ52" i="31" s="1"/>
  <c r="DZ77" i="31"/>
  <c r="DY75" i="31"/>
  <c r="DY68" i="31"/>
  <c r="DX66" i="31"/>
  <c r="DY67" i="31" s="1"/>
  <c r="FC47" i="31"/>
  <c r="FB45" i="31"/>
  <c r="FC46" i="31" s="1"/>
  <c r="DY48" i="31"/>
  <c r="DZ50" i="31"/>
  <c r="DY76" i="31"/>
  <c r="DX39" i="31"/>
  <c r="DY82" i="31"/>
  <c r="DX41" i="31"/>
  <c r="DY61" i="31"/>
  <c r="DY60" i="31" s="1"/>
  <c r="DX34" i="31"/>
  <c r="DY58" i="31"/>
  <c r="DX33" i="31"/>
  <c r="DZ80" i="31"/>
  <c r="DY78" i="31"/>
  <c r="DZ79" i="31" s="1"/>
  <c r="DY81" i="31"/>
  <c r="DZ83" i="31"/>
  <c r="DU38" i="31"/>
  <c r="DX44" i="31"/>
  <c r="DK42" i="31"/>
  <c r="DU31" i="31"/>
  <c r="FO43" i="31"/>
  <c r="FO44" i="31"/>
  <c r="FO42" i="31"/>
  <c r="DZ58" i="31" l="1"/>
  <c r="DY33" i="31"/>
  <c r="EA77" i="31"/>
  <c r="EA53" i="31"/>
  <c r="DZ51" i="31"/>
  <c r="EA52" i="31" s="1"/>
  <c r="DZ72" i="31"/>
  <c r="EA73" i="31" s="1"/>
  <c r="EA74" i="31"/>
  <c r="EA56" i="31"/>
  <c r="DZ54" i="31"/>
  <c r="EA59" i="31"/>
  <c r="DZ57" i="31"/>
  <c r="DZ55" i="31"/>
  <c r="DY32" i="31"/>
  <c r="EA83" i="31"/>
  <c r="EA50" i="31"/>
  <c r="EA71" i="31"/>
  <c r="DZ69" i="31"/>
  <c r="EA70" i="31" s="1"/>
  <c r="EA65" i="31"/>
  <c r="DZ63" i="31"/>
  <c r="DZ76" i="31"/>
  <c r="DZ75" i="31" s="1"/>
  <c r="DY39" i="31"/>
  <c r="DZ82" i="31"/>
  <c r="DZ81" i="31" s="1"/>
  <c r="DY41" i="31"/>
  <c r="DZ49" i="31"/>
  <c r="DZ48" i="31" s="1"/>
  <c r="DY30" i="31"/>
  <c r="DZ64" i="31"/>
  <c r="DY35" i="31"/>
  <c r="DZ60" i="31"/>
  <c r="EA62" i="31"/>
  <c r="DY66" i="31"/>
  <c r="DZ67" i="31" s="1"/>
  <c r="DZ68" i="31"/>
  <c r="DZ78" i="31"/>
  <c r="EA79" i="31" s="1"/>
  <c r="EA80" i="31"/>
  <c r="FD47" i="31"/>
  <c r="FC45" i="31"/>
  <c r="FC29" i="31" s="1"/>
  <c r="DZ61" i="31"/>
  <c r="DY34" i="31"/>
  <c r="DV38" i="31"/>
  <c r="DW37" i="31"/>
  <c r="DX40" i="31"/>
  <c r="DY44" i="31"/>
  <c r="DV31" i="31"/>
  <c r="CI36" i="31"/>
  <c r="FP44" i="31"/>
  <c r="FP43" i="31"/>
  <c r="FR44" i="31"/>
  <c r="FR43" i="31"/>
  <c r="CL29" i="31"/>
  <c r="FD46" i="31" l="1"/>
  <c r="EA55" i="31"/>
  <c r="DZ32" i="31"/>
  <c r="EB62" i="31"/>
  <c r="EA60" i="31"/>
  <c r="EA34" i="31" s="1"/>
  <c r="EB65" i="31"/>
  <c r="EA63" i="31"/>
  <c r="EA35" i="31" s="1"/>
  <c r="EB56" i="31"/>
  <c r="EA54" i="31"/>
  <c r="EA32" i="31" s="1"/>
  <c r="EB59" i="31"/>
  <c r="EA57" i="31"/>
  <c r="EA33" i="31" s="1"/>
  <c r="EB71" i="31"/>
  <c r="EA69" i="31"/>
  <c r="EA37" i="31" s="1"/>
  <c r="EB74" i="31"/>
  <c r="EA72" i="31"/>
  <c r="EA38" i="31" s="1"/>
  <c r="EA58" i="31"/>
  <c r="DZ33" i="31"/>
  <c r="EA49" i="31"/>
  <c r="EB49" i="31" s="1"/>
  <c r="DZ30" i="31"/>
  <c r="EB53" i="31"/>
  <c r="EA51" i="31"/>
  <c r="EA31" i="31" s="1"/>
  <c r="EA64" i="31"/>
  <c r="EB64" i="31" s="1"/>
  <c r="DZ35" i="31"/>
  <c r="EA82" i="31"/>
  <c r="DZ41" i="31"/>
  <c r="EB77" i="31"/>
  <c r="EA75" i="31"/>
  <c r="EA39" i="31" s="1"/>
  <c r="EB50" i="31"/>
  <c r="EA48" i="31"/>
  <c r="EA30" i="31" s="1"/>
  <c r="EB83" i="31"/>
  <c r="EA81" i="31"/>
  <c r="EA41" i="31" s="1"/>
  <c r="EA76" i="31"/>
  <c r="EB76" i="31" s="1"/>
  <c r="DZ39" i="31"/>
  <c r="EA68" i="31"/>
  <c r="DZ66" i="31"/>
  <c r="EA67" i="31" s="1"/>
  <c r="EA61" i="31"/>
  <c r="EB61" i="31" s="1"/>
  <c r="DZ34" i="31"/>
  <c r="FE47" i="31"/>
  <c r="FD45" i="31"/>
  <c r="FD29" i="31" s="1"/>
  <c r="EB80" i="31"/>
  <c r="EA78" i="31"/>
  <c r="EA40" i="31" s="1"/>
  <c r="EB44" i="31"/>
  <c r="DN42" i="31"/>
  <c r="FS44" i="31"/>
  <c r="FS43" i="31"/>
  <c r="FP42" i="31"/>
  <c r="FR42" i="31"/>
  <c r="EB73" i="31" l="1"/>
  <c r="EB55" i="31"/>
  <c r="EC59" i="31"/>
  <c r="EB57" i="31"/>
  <c r="EB33" i="31" s="1"/>
  <c r="EC80" i="31"/>
  <c r="EB78" i="31"/>
  <c r="FE46" i="31"/>
  <c r="EC71" i="31"/>
  <c r="EB69" i="31"/>
  <c r="EB37" i="31" s="1"/>
  <c r="EB68" i="31"/>
  <c r="EA66" i="31"/>
  <c r="EA36" i="31" s="1"/>
  <c r="EC53" i="31"/>
  <c r="EB51" i="31"/>
  <c r="EC83" i="31"/>
  <c r="EB81" i="31"/>
  <c r="EB41" i="31" s="1"/>
  <c r="EC50" i="31"/>
  <c r="EB48" i="31"/>
  <c r="EB30" i="31" s="1"/>
  <c r="EB58" i="31"/>
  <c r="EC58" i="31" s="1"/>
  <c r="EB70" i="31"/>
  <c r="EB52" i="31"/>
  <c r="EC65" i="31"/>
  <c r="EB63" i="31"/>
  <c r="EB35" i="31" s="1"/>
  <c r="EC49" i="31"/>
  <c r="EC56" i="31"/>
  <c r="EB54" i="31"/>
  <c r="EB32" i="31" s="1"/>
  <c r="FF47" i="31"/>
  <c r="FE45" i="31"/>
  <c r="FF46" i="31" s="1"/>
  <c r="EC77" i="31"/>
  <c r="EB75" i="31"/>
  <c r="EB39" i="31" s="1"/>
  <c r="EC76" i="31"/>
  <c r="EB82" i="31"/>
  <c r="EC82" i="31" s="1"/>
  <c r="EC74" i="31"/>
  <c r="EB72" i="31"/>
  <c r="EC73" i="31" s="1"/>
  <c r="EC62" i="31"/>
  <c r="EB60" i="31"/>
  <c r="EB34" i="31" s="1"/>
  <c r="EB67" i="31"/>
  <c r="EB79" i="31"/>
  <c r="EC79" i="31" s="1"/>
  <c r="DW38" i="31"/>
  <c r="DX38" i="31"/>
  <c r="DX37" i="31"/>
  <c r="DY40" i="31"/>
  <c r="EC44" i="31"/>
  <c r="DW31" i="31"/>
  <c r="CJ36" i="31"/>
  <c r="CL36" i="31"/>
  <c r="FS42" i="31"/>
  <c r="FT44" i="31"/>
  <c r="FT43" i="31"/>
  <c r="CM29" i="31"/>
  <c r="FT42" i="31"/>
  <c r="EC70" i="31" l="1"/>
  <c r="EC64" i="31"/>
  <c r="ED56" i="31"/>
  <c r="ED53" i="31"/>
  <c r="EC51" i="31"/>
  <c r="ED62" i="31"/>
  <c r="FG47" i="31"/>
  <c r="FF45" i="31"/>
  <c r="FG46" i="31" s="1"/>
  <c r="EC72" i="31"/>
  <c r="ED73" i="31" s="1"/>
  <c r="ED74" i="31"/>
  <c r="ED65" i="31"/>
  <c r="EC63" i="31"/>
  <c r="EC52" i="31"/>
  <c r="EC69" i="31"/>
  <c r="ED70" i="31" s="1"/>
  <c r="ED71" i="31"/>
  <c r="EC61" i="31"/>
  <c r="EC60" i="31" s="1"/>
  <c r="ED83" i="31"/>
  <c r="EC81" i="31"/>
  <c r="EC68" i="31"/>
  <c r="EB66" i="31"/>
  <c r="EC67" i="31" s="1"/>
  <c r="EC55" i="31"/>
  <c r="EC54" i="31" s="1"/>
  <c r="EC78" i="31"/>
  <c r="ED79" i="31" s="1"/>
  <c r="ED80" i="31"/>
  <c r="ED77" i="31"/>
  <c r="EC75" i="31"/>
  <c r="ED50" i="31"/>
  <c r="EC48" i="31"/>
  <c r="ED59" i="31"/>
  <c r="EC57" i="31"/>
  <c r="DY38" i="31"/>
  <c r="ED44" i="31"/>
  <c r="DO42" i="31"/>
  <c r="DX31" i="31"/>
  <c r="FU43" i="31"/>
  <c r="FU44" i="31"/>
  <c r="CN29" i="31"/>
  <c r="EE65" i="31" l="1"/>
  <c r="EC66" i="31"/>
  <c r="ED67" i="31" s="1"/>
  <c r="ED68" i="31"/>
  <c r="FG45" i="31"/>
  <c r="FH46" i="31" s="1"/>
  <c r="FH47" i="31"/>
  <c r="ED82" i="31"/>
  <c r="ED81" i="31" s="1"/>
  <c r="EC41" i="31"/>
  <c r="ED61" i="31"/>
  <c r="EC34" i="31"/>
  <c r="ED58" i="31"/>
  <c r="ED57" i="31" s="1"/>
  <c r="EC33" i="31"/>
  <c r="EE83" i="31"/>
  <c r="ED60" i="31"/>
  <c r="EE62" i="31"/>
  <c r="ED52" i="31"/>
  <c r="EE59" i="31"/>
  <c r="ED49" i="31"/>
  <c r="EC30" i="31"/>
  <c r="ED69" i="31"/>
  <c r="EE70" i="31" s="1"/>
  <c r="EE71" i="31"/>
  <c r="ED51" i="31"/>
  <c r="EE52" i="31" s="1"/>
  <c r="EE53" i="31"/>
  <c r="ED48" i="31"/>
  <c r="EE50" i="31"/>
  <c r="ED55" i="31"/>
  <c r="EC32" i="31"/>
  <c r="EE74" i="31"/>
  <c r="ED72" i="31"/>
  <c r="EE73" i="31" s="1"/>
  <c r="ED76" i="31"/>
  <c r="EC39" i="31"/>
  <c r="ED54" i="31"/>
  <c r="EE56" i="31"/>
  <c r="ED78" i="31"/>
  <c r="EE79" i="31" s="1"/>
  <c r="EE80" i="31"/>
  <c r="EE77" i="31"/>
  <c r="ED75" i="31"/>
  <c r="ED64" i="31"/>
  <c r="ED63" i="31" s="1"/>
  <c r="EC35" i="31"/>
  <c r="DZ38" i="31"/>
  <c r="DZ40" i="31"/>
  <c r="DY37" i="31"/>
  <c r="EB38" i="31"/>
  <c r="EE44" i="31"/>
  <c r="FU42" i="31"/>
  <c r="FV43" i="31"/>
  <c r="FV44" i="31"/>
  <c r="EF59" i="31" l="1"/>
  <c r="EF74" i="31"/>
  <c r="EE72" i="31"/>
  <c r="EF73" i="31" s="1"/>
  <c r="EE58" i="31"/>
  <c r="EE57" i="31" s="1"/>
  <c r="ED33" i="31"/>
  <c r="FH45" i="31"/>
  <c r="FI46" i="31" s="1"/>
  <c r="FI47" i="31"/>
  <c r="EF71" i="31"/>
  <c r="EE69" i="31"/>
  <c r="EF70" i="31" s="1"/>
  <c r="EE60" i="31"/>
  <c r="EF62" i="31"/>
  <c r="EE68" i="31"/>
  <c r="ED66" i="31"/>
  <c r="EE67" i="31" s="1"/>
  <c r="EE55" i="31"/>
  <c r="ED32" i="31"/>
  <c r="EF50" i="31"/>
  <c r="EE61" i="31"/>
  <c r="ED34" i="31"/>
  <c r="EF77" i="31"/>
  <c r="EE75" i="31"/>
  <c r="EE49" i="31"/>
  <c r="EE48" i="31" s="1"/>
  <c r="ED30" i="31"/>
  <c r="EF83" i="31"/>
  <c r="EE64" i="31"/>
  <c r="ED35" i="31"/>
  <c r="EE54" i="31"/>
  <c r="EF56" i="31"/>
  <c r="EE76" i="31"/>
  <c r="ED39" i="31"/>
  <c r="EE78" i="31"/>
  <c r="EF79" i="31" s="1"/>
  <c r="EF80" i="31"/>
  <c r="EF53" i="31"/>
  <c r="EE51" i="31"/>
  <c r="EF52" i="31" s="1"/>
  <c r="EE82" i="31"/>
  <c r="EE81" i="31" s="1"/>
  <c r="ED41" i="31"/>
  <c r="EF65" i="31"/>
  <c r="EE63" i="31"/>
  <c r="DZ37" i="31"/>
  <c r="EF44" i="31"/>
  <c r="DP42" i="31"/>
  <c r="DY31" i="31"/>
  <c r="CM36" i="31"/>
  <c r="FW44" i="31"/>
  <c r="FW43" i="31"/>
  <c r="FV42" i="31"/>
  <c r="FY44" i="31"/>
  <c r="FY43" i="31"/>
  <c r="CO29" i="31"/>
  <c r="EG62" i="31" l="1"/>
  <c r="EG77" i="31"/>
  <c r="EF69" i="31"/>
  <c r="EG70" i="31" s="1"/>
  <c r="EG71" i="31"/>
  <c r="EF78" i="31"/>
  <c r="EG79" i="31" s="1"/>
  <c r="EG80" i="31"/>
  <c r="EG56" i="31"/>
  <c r="EF54" i="31"/>
  <c r="EF48" i="31"/>
  <c r="EG50" i="31"/>
  <c r="FI45" i="31"/>
  <c r="FJ46" i="31" s="1"/>
  <c r="FJ47" i="31"/>
  <c r="EF55" i="31"/>
  <c r="EE32" i="31"/>
  <c r="EF49" i="31"/>
  <c r="EE30" i="31"/>
  <c r="EF76" i="31"/>
  <c r="EF75" i="31" s="1"/>
  <c r="EE39" i="31"/>
  <c r="EF64" i="31"/>
  <c r="EF63" i="31" s="1"/>
  <c r="EE35" i="31"/>
  <c r="EG53" i="31"/>
  <c r="EF51" i="31"/>
  <c r="EG52" i="31" s="1"/>
  <c r="EG74" i="31"/>
  <c r="EF72" i="31"/>
  <c r="EG73" i="31" s="1"/>
  <c r="EF61" i="31"/>
  <c r="EF60" i="31" s="1"/>
  <c r="EE34" i="31"/>
  <c r="EG83" i="31"/>
  <c r="EG59" i="31"/>
  <c r="EG65" i="31"/>
  <c r="EF82" i="31"/>
  <c r="EF81" i="31" s="1"/>
  <c r="EE41" i="31"/>
  <c r="EE66" i="31"/>
  <c r="EF67" i="31" s="1"/>
  <c r="EF68" i="31"/>
  <c r="EF58" i="31"/>
  <c r="EF57" i="31" s="1"/>
  <c r="EE33" i="31"/>
  <c r="EB40" i="31"/>
  <c r="EC38" i="31"/>
  <c r="EI44" i="31"/>
  <c r="DZ31" i="31"/>
  <c r="FZ43" i="31"/>
  <c r="FW42" i="31"/>
  <c r="FY42" i="31"/>
  <c r="EH65" i="31" l="1"/>
  <c r="EH56" i="31"/>
  <c r="EG55" i="31"/>
  <c r="EG54" i="31" s="1"/>
  <c r="EF32" i="31"/>
  <c r="EH50" i="31"/>
  <c r="EG58" i="31"/>
  <c r="EF33" i="31"/>
  <c r="EG81" i="31"/>
  <c r="EH83" i="31"/>
  <c r="EG69" i="31"/>
  <c r="EH70" i="31" s="1"/>
  <c r="EH71" i="31"/>
  <c r="EG49" i="31"/>
  <c r="EG48" i="31" s="1"/>
  <c r="EF30" i="31"/>
  <c r="EG78" i="31"/>
  <c r="EH79" i="31" s="1"/>
  <c r="EH80" i="31"/>
  <c r="EG82" i="31"/>
  <c r="EF41" i="31"/>
  <c r="EG64" i="31"/>
  <c r="EG63" i="31" s="1"/>
  <c r="EF35" i="31"/>
  <c r="EH59" i="31"/>
  <c r="EG57" i="31"/>
  <c r="EG76" i="31"/>
  <c r="EG75" i="31" s="1"/>
  <c r="EF39" i="31"/>
  <c r="EG51" i="31"/>
  <c r="EH52" i="31" s="1"/>
  <c r="EH53" i="31"/>
  <c r="EH77" i="31"/>
  <c r="EF66" i="31"/>
  <c r="EG67" i="31" s="1"/>
  <c r="EG68" i="31"/>
  <c r="FK47" i="31"/>
  <c r="FJ45" i="31"/>
  <c r="FJ29" i="31" s="1"/>
  <c r="EG61" i="31"/>
  <c r="EG60" i="31" s="1"/>
  <c r="EF34" i="31"/>
  <c r="EH74" i="31"/>
  <c r="EG72" i="31"/>
  <c r="EH73" i="31" s="1"/>
  <c r="EH62" i="31"/>
  <c r="EC37" i="31"/>
  <c r="EB31" i="31"/>
  <c r="EJ44" i="31"/>
  <c r="DQ42" i="31"/>
  <c r="FZ42" i="31"/>
  <c r="CN36" i="31"/>
  <c r="GA44" i="31"/>
  <c r="FZ44" i="31"/>
  <c r="GA43" i="31"/>
  <c r="CP29" i="31"/>
  <c r="EH82" i="31" l="1"/>
  <c r="EG41" i="31"/>
  <c r="FL47" i="31"/>
  <c r="FK45" i="31"/>
  <c r="FK29" i="31" s="1"/>
  <c r="EI50" i="31"/>
  <c r="EH48" i="31"/>
  <c r="EH30" i="31" s="1"/>
  <c r="EH68" i="31"/>
  <c r="EG66" i="31"/>
  <c r="EH67" i="31" s="1"/>
  <c r="EH49" i="31"/>
  <c r="EI49" i="31" s="1"/>
  <c r="EG30" i="31"/>
  <c r="EI77" i="31"/>
  <c r="EH75" i="31"/>
  <c r="EH39" i="31" s="1"/>
  <c r="EI80" i="31"/>
  <c r="EH78" i="31"/>
  <c r="EH40" i="31" s="1"/>
  <c r="EI59" i="31"/>
  <c r="EH57" i="31"/>
  <c r="EH33" i="31" s="1"/>
  <c r="EH61" i="31"/>
  <c r="EG34" i="31"/>
  <c r="EI79" i="31"/>
  <c r="EI83" i="31"/>
  <c r="EH81" i="31"/>
  <c r="EH41" i="31" s="1"/>
  <c r="EH76" i="31"/>
  <c r="EG39" i="31"/>
  <c r="EI62" i="31"/>
  <c r="EH60" i="31"/>
  <c r="EH34" i="31" s="1"/>
  <c r="EI53" i="31"/>
  <c r="EH51" i="31"/>
  <c r="EH31" i="31" s="1"/>
  <c r="EI56" i="31"/>
  <c r="EH54" i="31"/>
  <c r="EH32" i="31" s="1"/>
  <c r="EH58" i="31"/>
  <c r="EI58" i="31" s="1"/>
  <c r="EG33" i="31"/>
  <c r="FK46" i="31"/>
  <c r="FL46" i="31" s="1"/>
  <c r="EI52" i="31"/>
  <c r="EH55" i="31"/>
  <c r="EI55" i="31" s="1"/>
  <c r="EG32" i="31"/>
  <c r="EI73" i="31"/>
  <c r="EI71" i="31"/>
  <c r="EH69" i="31"/>
  <c r="EH37" i="31" s="1"/>
  <c r="EI65" i="31"/>
  <c r="EH63" i="31"/>
  <c r="EH35" i="31" s="1"/>
  <c r="EI74" i="31"/>
  <c r="EH72" i="31"/>
  <c r="EH38" i="31" s="1"/>
  <c r="EI70" i="31"/>
  <c r="EH64" i="31"/>
  <c r="EI64" i="31" s="1"/>
  <c r="EG35" i="31"/>
  <c r="EC40" i="31"/>
  <c r="ED40" i="31"/>
  <c r="ED38" i="31"/>
  <c r="EK44" i="31"/>
  <c r="DR42" i="31"/>
  <c r="EC31" i="31"/>
  <c r="GB44" i="31"/>
  <c r="GB43" i="31"/>
  <c r="GA42" i="31"/>
  <c r="EI68" i="31" l="1"/>
  <c r="EH66" i="31"/>
  <c r="EH36" i="31" s="1"/>
  <c r="EI67" i="31"/>
  <c r="EJ77" i="31"/>
  <c r="EI75" i="31"/>
  <c r="EI39" i="31" s="1"/>
  <c r="EI61" i="31"/>
  <c r="EJ50" i="31"/>
  <c r="EI48" i="31"/>
  <c r="EI30" i="31" s="1"/>
  <c r="EJ62" i="31"/>
  <c r="EI60" i="31"/>
  <c r="EI34" i="31" s="1"/>
  <c r="EJ56" i="31"/>
  <c r="EI54" i="31"/>
  <c r="EI32" i="31" s="1"/>
  <c r="EI76" i="31"/>
  <c r="EJ76" i="31" s="1"/>
  <c r="EJ74" i="31"/>
  <c r="EI72" i="31"/>
  <c r="EJ73" i="31" s="1"/>
  <c r="EJ59" i="31"/>
  <c r="EI57" i="31"/>
  <c r="EI33" i="31" s="1"/>
  <c r="FL45" i="31"/>
  <c r="FM46" i="31" s="1"/>
  <c r="FM47" i="31"/>
  <c r="EJ83" i="31"/>
  <c r="EI81" i="31"/>
  <c r="EI41" i="31" s="1"/>
  <c r="EJ65" i="31"/>
  <c r="EI63" i="31"/>
  <c r="EI35" i="31" s="1"/>
  <c r="EJ53" i="31"/>
  <c r="EI51" i="31"/>
  <c r="EJ52" i="31" s="1"/>
  <c r="EJ71" i="31"/>
  <c r="EI69" i="31"/>
  <c r="EI37" i="31" s="1"/>
  <c r="EJ80" i="31"/>
  <c r="EI78" i="31"/>
  <c r="EJ79" i="31" s="1"/>
  <c r="EI82" i="31"/>
  <c r="ED37" i="31"/>
  <c r="EE40" i="31"/>
  <c r="GC44" i="31"/>
  <c r="GC43" i="31"/>
  <c r="GB42" i="31"/>
  <c r="CO36" i="31"/>
  <c r="GF43" i="31"/>
  <c r="CQ29" i="31"/>
  <c r="GF44" i="31"/>
  <c r="EJ55" i="31" l="1"/>
  <c r="EJ82" i="31"/>
  <c r="EJ61" i="31"/>
  <c r="EJ70" i="31"/>
  <c r="EK59" i="31"/>
  <c r="EK77" i="31"/>
  <c r="EJ75" i="31"/>
  <c r="EJ72" i="31"/>
  <c r="EK73" i="31" s="1"/>
  <c r="EK74" i="31"/>
  <c r="EJ58" i="31"/>
  <c r="EJ57" i="31" s="1"/>
  <c r="EK80" i="31"/>
  <c r="EJ78" i="31"/>
  <c r="EK79" i="31" s="1"/>
  <c r="EJ51" i="31"/>
  <c r="EK52" i="31" s="1"/>
  <c r="EK53" i="31"/>
  <c r="EK65" i="31"/>
  <c r="EJ54" i="31"/>
  <c r="EK56" i="31"/>
  <c r="EJ68" i="31"/>
  <c r="EI66" i="31"/>
  <c r="EJ67" i="31"/>
  <c r="EJ60" i="31"/>
  <c r="EK62" i="31"/>
  <c r="EJ64" i="31"/>
  <c r="EJ63" i="31" s="1"/>
  <c r="EK71" i="31"/>
  <c r="EJ69" i="31"/>
  <c r="EK70" i="31" s="1"/>
  <c r="EK83" i="31"/>
  <c r="EJ81" i="31"/>
  <c r="EJ49" i="31"/>
  <c r="FN47" i="31"/>
  <c r="FM45" i="31"/>
  <c r="FN46" i="31" s="1"/>
  <c r="EJ48" i="31"/>
  <c r="EK50" i="31"/>
  <c r="EE38" i="31"/>
  <c r="DU42" i="31"/>
  <c r="EL44" i="31"/>
  <c r="FM42" i="31"/>
  <c r="ED31" i="31"/>
  <c r="GC42" i="31"/>
  <c r="GD44" i="31"/>
  <c r="GD43" i="31"/>
  <c r="GF42" i="31"/>
  <c r="EL65" i="31" l="1"/>
  <c r="EL80" i="31"/>
  <c r="EK78" i="31"/>
  <c r="EL79" i="31" s="1"/>
  <c r="EK61" i="31"/>
  <c r="EJ34" i="31"/>
  <c r="EL71" i="31"/>
  <c r="EK69" i="31"/>
  <c r="EL70" i="31" s="1"/>
  <c r="EK72" i="31"/>
  <c r="EL73" i="31" s="1"/>
  <c r="EL74" i="31"/>
  <c r="EL50" i="31"/>
  <c r="EK48" i="31"/>
  <c r="EJ66" i="31"/>
  <c r="EK67" i="31" s="1"/>
  <c r="EK68" i="31"/>
  <c r="EK76" i="31"/>
  <c r="EJ39" i="31"/>
  <c r="EK49" i="31"/>
  <c r="EJ30" i="31"/>
  <c r="EL56" i="31"/>
  <c r="EK75" i="31"/>
  <c r="EL77" i="31"/>
  <c r="EK51" i="31"/>
  <c r="EL52" i="31" s="1"/>
  <c r="EL53" i="31"/>
  <c r="EK55" i="31"/>
  <c r="EK54" i="31" s="1"/>
  <c r="EJ32" i="31"/>
  <c r="EL59" i="31"/>
  <c r="EL83" i="31"/>
  <c r="EK60" i="31"/>
  <c r="EL62" i="31"/>
  <c r="FN45" i="31"/>
  <c r="FO46" i="31" s="1"/>
  <c r="FO47" i="31"/>
  <c r="EK82" i="31"/>
  <c r="EK81" i="31" s="1"/>
  <c r="EJ41" i="31"/>
  <c r="EK64" i="31"/>
  <c r="EK63" i="31" s="1"/>
  <c r="EJ35" i="31"/>
  <c r="EK58" i="31"/>
  <c r="EK57" i="31" s="1"/>
  <c r="EJ33" i="31"/>
  <c r="EE37" i="31"/>
  <c r="EF40" i="31"/>
  <c r="FN42" i="31"/>
  <c r="CP36" i="31"/>
  <c r="GD42" i="31"/>
  <c r="CS29" i="31"/>
  <c r="EL51" i="31" l="1"/>
  <c r="EM52" i="31" s="1"/>
  <c r="EM53" i="31"/>
  <c r="EL76" i="31"/>
  <c r="EK39" i="31"/>
  <c r="EL69" i="31"/>
  <c r="EM70" i="31" s="1"/>
  <c r="EM71" i="31"/>
  <c r="EM50" i="31"/>
  <c r="EL60" i="31"/>
  <c r="EM62" i="31"/>
  <c r="EM56" i="31"/>
  <c r="EL54" i="31"/>
  <c r="EL61" i="31"/>
  <c r="EK34" i="31"/>
  <c r="EL55" i="31"/>
  <c r="EK32" i="31"/>
  <c r="EL82" i="31"/>
  <c r="EK41" i="31"/>
  <c r="EL49" i="31"/>
  <c r="EL48" i="31" s="1"/>
  <c r="EK30" i="31"/>
  <c r="EM74" i="31"/>
  <c r="EL72" i="31"/>
  <c r="EM73" i="31" s="1"/>
  <c r="EL81" i="31"/>
  <c r="EM83" i="31"/>
  <c r="EM77" i="31"/>
  <c r="EL75" i="31"/>
  <c r="EM59" i="31"/>
  <c r="FO45" i="31"/>
  <c r="FP46" i="31" s="1"/>
  <c r="FP47" i="31"/>
  <c r="EL58" i="31"/>
  <c r="EL57" i="31" s="1"/>
  <c r="EK33" i="31"/>
  <c r="EM80" i="31"/>
  <c r="EL78" i="31"/>
  <c r="EM79" i="31" s="1"/>
  <c r="EK66" i="31"/>
  <c r="EL67" i="31" s="1"/>
  <c r="EL68" i="31"/>
  <c r="EL64" i="31"/>
  <c r="EL63" i="31" s="1"/>
  <c r="EK35" i="31"/>
  <c r="EM65" i="31"/>
  <c r="EF38" i="31"/>
  <c r="DV42" i="31"/>
  <c r="EM44" i="31"/>
  <c r="EE31" i="31"/>
  <c r="CT29" i="31"/>
  <c r="EM55" i="31" l="1"/>
  <c r="EM54" i="31" s="1"/>
  <c r="EL32" i="31"/>
  <c r="EN56" i="31"/>
  <c r="EM78" i="31"/>
  <c r="EN79" i="31" s="1"/>
  <c r="EN80" i="31"/>
  <c r="EN74" i="31"/>
  <c r="EM72" i="31"/>
  <c r="EN73" i="31" s="1"/>
  <c r="EM61" i="31"/>
  <c r="EM60" i="31" s="1"/>
  <c r="EL34" i="31"/>
  <c r="EN83" i="31"/>
  <c r="EM81" i="31"/>
  <c r="EM82" i="31"/>
  <c r="EL41" i="31"/>
  <c r="EM49" i="31"/>
  <c r="EL30" i="31"/>
  <c r="EN62" i="31"/>
  <c r="FQ47" i="31"/>
  <c r="FP45" i="31"/>
  <c r="FQ46" i="31" s="1"/>
  <c r="EN71" i="31"/>
  <c r="EM69" i="31"/>
  <c r="EN70" i="31" s="1"/>
  <c r="EL66" i="31"/>
  <c r="EM67" i="31" s="1"/>
  <c r="EM68" i="31"/>
  <c r="EN65" i="31"/>
  <c r="EM58" i="31"/>
  <c r="EL33" i="31"/>
  <c r="EM57" i="31"/>
  <c r="EN59" i="31"/>
  <c r="EN50" i="31"/>
  <c r="EM48" i="31"/>
  <c r="EM64" i="31"/>
  <c r="EM63" i="31" s="1"/>
  <c r="EL35" i="31"/>
  <c r="EM76" i="31"/>
  <c r="EM75" i="31" s="1"/>
  <c r="EL39" i="31"/>
  <c r="EN53" i="31"/>
  <c r="EM51" i="31"/>
  <c r="EN52" i="31" s="1"/>
  <c r="EN77" i="31"/>
  <c r="EG40" i="31"/>
  <c r="EF37" i="31"/>
  <c r="EI40" i="31"/>
  <c r="CQ36" i="31"/>
  <c r="CS36" i="31"/>
  <c r="EO71" i="31" l="1"/>
  <c r="EN69" i="31"/>
  <c r="EO70" i="31" s="1"/>
  <c r="EO50" i="31"/>
  <c r="FR47" i="31"/>
  <c r="FQ45" i="31"/>
  <c r="FQ29" i="31" s="1"/>
  <c r="EN72" i="31"/>
  <c r="EO73" i="31" s="1"/>
  <c r="EO74" i="31"/>
  <c r="EO59" i="31"/>
  <c r="EN57" i="31"/>
  <c r="EO62" i="31"/>
  <c r="EN60" i="31"/>
  <c r="EO80" i="31"/>
  <c r="EN78" i="31"/>
  <c r="EO79" i="31" s="1"/>
  <c r="EM66" i="31"/>
  <c r="EN67" i="31" s="1"/>
  <c r="EN68" i="31"/>
  <c r="EN61" i="31"/>
  <c r="EM34" i="31"/>
  <c r="FR46" i="31"/>
  <c r="EN58" i="31"/>
  <c r="EM33" i="31"/>
  <c r="EN76" i="31"/>
  <c r="EN75" i="31" s="1"/>
  <c r="EM39" i="31"/>
  <c r="EN54" i="31"/>
  <c r="EO56" i="31"/>
  <c r="EO77" i="31"/>
  <c r="EN55" i="31"/>
  <c r="EM32" i="31"/>
  <c r="EO83" i="31"/>
  <c r="EO65" i="31"/>
  <c r="EN82" i="31"/>
  <c r="EN81" i="31" s="1"/>
  <c r="EM41" i="31"/>
  <c r="EN49" i="31"/>
  <c r="EN48" i="31" s="1"/>
  <c r="EM30" i="31"/>
  <c r="EN51" i="31"/>
  <c r="EO52" i="31" s="1"/>
  <c r="EO53" i="31"/>
  <c r="EN64" i="31"/>
  <c r="EN63" i="31" s="1"/>
  <c r="EM35" i="31"/>
  <c r="EG38" i="31"/>
  <c r="EI38" i="31"/>
  <c r="DW42" i="31"/>
  <c r="EP44" i="31"/>
  <c r="EF31" i="31"/>
  <c r="CU29" i="31"/>
  <c r="EO61" i="31" l="1"/>
  <c r="EN34" i="31"/>
  <c r="EO58" i="31"/>
  <c r="EN33" i="31"/>
  <c r="EP65" i="31"/>
  <c r="EO63" i="31"/>
  <c r="EO35" i="31" s="1"/>
  <c r="EP59" i="31"/>
  <c r="EO57" i="31"/>
  <c r="EO33" i="31" s="1"/>
  <c r="EP62" i="31"/>
  <c r="EO60" i="31"/>
  <c r="EO34" i="31" s="1"/>
  <c r="EO82" i="31"/>
  <c r="EP82" i="31" s="1"/>
  <c r="EN41" i="31"/>
  <c r="EO64" i="31"/>
  <c r="EP64" i="31" s="1"/>
  <c r="EN35" i="31"/>
  <c r="EP83" i="31"/>
  <c r="EO81" i="31"/>
  <c r="EO41" i="31" s="1"/>
  <c r="EP74" i="31"/>
  <c r="EO72" i="31"/>
  <c r="EO38" i="31" s="1"/>
  <c r="FS47" i="31"/>
  <c r="FR45" i="31"/>
  <c r="FR29" i="31" s="1"/>
  <c r="EO68" i="31"/>
  <c r="EN66" i="31"/>
  <c r="EO67" i="31" s="1"/>
  <c r="EO49" i="31"/>
  <c r="EN30" i="31"/>
  <c r="EP53" i="31"/>
  <c r="EO51" i="31"/>
  <c r="EO31" i="31" s="1"/>
  <c r="EP77" i="31"/>
  <c r="EO75" i="31"/>
  <c r="EO39" i="31" s="1"/>
  <c r="EP50" i="31"/>
  <c r="EO48" i="31"/>
  <c r="EO30" i="31" s="1"/>
  <c r="EO55" i="31"/>
  <c r="EP55" i="31" s="1"/>
  <c r="EN32" i="31"/>
  <c r="EP79" i="31"/>
  <c r="EP70" i="31"/>
  <c r="EP52" i="31"/>
  <c r="EO76" i="31"/>
  <c r="EP76" i="31" s="1"/>
  <c r="EN39" i="31"/>
  <c r="EP56" i="31"/>
  <c r="EO54" i="31"/>
  <c r="EO32" i="31" s="1"/>
  <c r="EP80" i="31"/>
  <c r="EO78" i="31"/>
  <c r="EO40" i="31" s="1"/>
  <c r="EP71" i="31"/>
  <c r="EO69" i="31"/>
  <c r="EO37" i="31" s="1"/>
  <c r="EG37" i="31"/>
  <c r="EJ40" i="31"/>
  <c r="FT47" i="31" l="1"/>
  <c r="EQ62" i="31"/>
  <c r="EP60" i="31"/>
  <c r="EP34" i="31" s="1"/>
  <c r="EQ50" i="31"/>
  <c r="EP48" i="31"/>
  <c r="EP30" i="31" s="1"/>
  <c r="EQ74" i="31"/>
  <c r="EP72" i="31"/>
  <c r="EQ59" i="31"/>
  <c r="EP57" i="31"/>
  <c r="EP33" i="31" s="1"/>
  <c r="EP68" i="31"/>
  <c r="EO66" i="31"/>
  <c r="EO36" i="31" s="1"/>
  <c r="EQ80" i="31"/>
  <c r="EP78" i="31"/>
  <c r="EQ79" i="31" s="1"/>
  <c r="EQ77" i="31"/>
  <c r="EP75" i="31"/>
  <c r="EP39" i="31" s="1"/>
  <c r="EQ83" i="31"/>
  <c r="EP81" i="31"/>
  <c r="EP41" i="31" s="1"/>
  <c r="EQ65" i="31"/>
  <c r="EP63" i="31"/>
  <c r="EP35" i="31" s="1"/>
  <c r="EQ56" i="31"/>
  <c r="EP54" i="31"/>
  <c r="EP32" i="31" s="1"/>
  <c r="FS46" i="31"/>
  <c r="FS45" i="31" s="1"/>
  <c r="EQ71" i="31"/>
  <c r="EP69" i="31"/>
  <c r="EP37" i="31" s="1"/>
  <c r="EQ53" i="31"/>
  <c r="EP51" i="31"/>
  <c r="EP58" i="31"/>
  <c r="EQ52" i="31"/>
  <c r="EP49" i="31"/>
  <c r="EQ49" i="31" s="1"/>
  <c r="EP73" i="31"/>
  <c r="EP61" i="31"/>
  <c r="EQ61" i="31" s="1"/>
  <c r="EJ38" i="31"/>
  <c r="DX42" i="31"/>
  <c r="EQ44" i="31"/>
  <c r="EG31" i="31"/>
  <c r="CT36" i="31"/>
  <c r="CV29" i="31"/>
  <c r="EQ64" i="31" l="1"/>
  <c r="EQ58" i="31"/>
  <c r="ER74" i="31"/>
  <c r="ER83" i="31"/>
  <c r="ER65" i="31"/>
  <c r="EQ63" i="31"/>
  <c r="ER77" i="31"/>
  <c r="ER50" i="31"/>
  <c r="EQ48" i="31"/>
  <c r="ER71" i="31"/>
  <c r="EQ82" i="31"/>
  <c r="EQ81" i="31" s="1"/>
  <c r="ER59" i="31"/>
  <c r="EQ57" i="31"/>
  <c r="EQ76" i="31"/>
  <c r="EQ75" i="31" s="1"/>
  <c r="EQ60" i="31"/>
  <c r="ER62" i="31"/>
  <c r="ER53" i="31"/>
  <c r="EQ51" i="31"/>
  <c r="ER52" i="31" s="1"/>
  <c r="EQ78" i="31"/>
  <c r="ER79" i="31" s="1"/>
  <c r="ER80" i="31"/>
  <c r="FT45" i="31"/>
  <c r="FU47" i="31"/>
  <c r="FT46" i="31"/>
  <c r="EQ73" i="31"/>
  <c r="EQ72" i="31" s="1"/>
  <c r="ER56" i="31"/>
  <c r="EQ68" i="31"/>
  <c r="EP66" i="31"/>
  <c r="EQ55" i="31"/>
  <c r="EQ54" i="31" s="1"/>
  <c r="EQ70" i="31"/>
  <c r="EQ69" i="31" s="1"/>
  <c r="ER70" i="31" s="1"/>
  <c r="EP67" i="31"/>
  <c r="EQ67" i="31" s="1"/>
  <c r="EJ37" i="31"/>
  <c r="EK40" i="31"/>
  <c r="ER44" i="31"/>
  <c r="EI31" i="31"/>
  <c r="FU46" i="31" l="1"/>
  <c r="ES50" i="31"/>
  <c r="ER49" i="31"/>
  <c r="ER48" i="31" s="1"/>
  <c r="EQ30" i="31"/>
  <c r="ER51" i="31"/>
  <c r="ES52" i="31" s="1"/>
  <c r="ES53" i="31"/>
  <c r="ER76" i="31"/>
  <c r="EQ39" i="31"/>
  <c r="ER69" i="31"/>
  <c r="ES70" i="31" s="1"/>
  <c r="ES71" i="31"/>
  <c r="ES62" i="31"/>
  <c r="ER60" i="31"/>
  <c r="ER64" i="31"/>
  <c r="EQ35" i="31"/>
  <c r="ER68" i="31"/>
  <c r="EQ66" i="31"/>
  <c r="ER67" i="31" s="1"/>
  <c r="ER61" i="31"/>
  <c r="EQ34" i="31"/>
  <c r="ER63" i="31"/>
  <c r="ES65" i="31"/>
  <c r="FU45" i="31"/>
  <c r="FV46" i="31" s="1"/>
  <c r="FV47" i="31"/>
  <c r="ES77" i="31"/>
  <c r="ER75" i="31"/>
  <c r="ES83" i="31"/>
  <c r="ER55" i="31"/>
  <c r="EQ32" i="31"/>
  <c r="ER54" i="31"/>
  <c r="ES56" i="31"/>
  <c r="ER58" i="31"/>
  <c r="ER57" i="31" s="1"/>
  <c r="EQ33" i="31"/>
  <c r="ER82" i="31"/>
  <c r="ER81" i="31" s="1"/>
  <c r="EQ41" i="31"/>
  <c r="ES59" i="31"/>
  <c r="ER73" i="31"/>
  <c r="ES80" i="31"/>
  <c r="ER78" i="31"/>
  <c r="ES79" i="31" s="1"/>
  <c r="ER72" i="31"/>
  <c r="ES74" i="31"/>
  <c r="EK38" i="31"/>
  <c r="ES44" i="31"/>
  <c r="DY42" i="31"/>
  <c r="CU36" i="31"/>
  <c r="CW29" i="31"/>
  <c r="ET62" i="31" l="1"/>
  <c r="ET77" i="31"/>
  <c r="ET65" i="31"/>
  <c r="ES64" i="31"/>
  <c r="ES63" i="31" s="1"/>
  <c r="ER35" i="31"/>
  <c r="ES58" i="31"/>
  <c r="ER33" i="31"/>
  <c r="ET56" i="31"/>
  <c r="ES54" i="31"/>
  <c r="ET53" i="31"/>
  <c r="ES51" i="31"/>
  <c r="ET52" i="31" s="1"/>
  <c r="ES76" i="31"/>
  <c r="ES75" i="31" s="1"/>
  <c r="ER39" i="31"/>
  <c r="ET74" i="31"/>
  <c r="ES55" i="31"/>
  <c r="ER32" i="31"/>
  <c r="ES61" i="31"/>
  <c r="ES60" i="31" s="1"/>
  <c r="ER34" i="31"/>
  <c r="ES73" i="31"/>
  <c r="ES72" i="31" s="1"/>
  <c r="ET71" i="31"/>
  <c r="ES69" i="31"/>
  <c r="ET70" i="31" s="1"/>
  <c r="ER66" i="31"/>
  <c r="ES67" i="31" s="1"/>
  <c r="ES68" i="31"/>
  <c r="FV45" i="31"/>
  <c r="FW46" i="31" s="1"/>
  <c r="FW47" i="31"/>
  <c r="ET80" i="31"/>
  <c r="ES78" i="31"/>
  <c r="ET79" i="31" s="1"/>
  <c r="ES82" i="31"/>
  <c r="ER41" i="31"/>
  <c r="ES49" i="31"/>
  <c r="ES48" i="31" s="1"/>
  <c r="ER30" i="31"/>
  <c r="ET59" i="31"/>
  <c r="ES57" i="31"/>
  <c r="ES81" i="31"/>
  <c r="ET83" i="31"/>
  <c r="ET50" i="31"/>
  <c r="EK37" i="31"/>
  <c r="EL40" i="31"/>
  <c r="EJ31" i="31"/>
  <c r="EU56" i="31" l="1"/>
  <c r="ET55" i="31"/>
  <c r="ET54" i="31" s="1"/>
  <c r="ES32" i="31"/>
  <c r="EU80" i="31"/>
  <c r="ET78" i="31"/>
  <c r="EU79" i="31" s="1"/>
  <c r="ET73" i="31"/>
  <c r="ET72" i="31" s="1"/>
  <c r="EU73" i="31" s="1"/>
  <c r="ET64" i="31"/>
  <c r="ES35" i="31"/>
  <c r="ET69" i="31"/>
  <c r="EU70" i="31" s="1"/>
  <c r="EU71" i="31"/>
  <c r="ET49" i="31"/>
  <c r="ET48" i="31" s="1"/>
  <c r="ES30" i="31"/>
  <c r="FW45" i="31"/>
  <c r="FX46" i="31" s="1"/>
  <c r="FX47" i="31"/>
  <c r="EU74" i="31"/>
  <c r="ET63" i="31"/>
  <c r="EU65" i="31"/>
  <c r="EU59" i="31"/>
  <c r="EU50" i="31"/>
  <c r="ET75" i="31"/>
  <c r="EU77" i="31"/>
  <c r="EU83" i="31"/>
  <c r="ET68" i="31"/>
  <c r="ES66" i="31"/>
  <c r="ET67" i="31" s="1"/>
  <c r="ET76" i="31"/>
  <c r="ES39" i="31"/>
  <c r="EU62" i="31"/>
  <c r="ET60" i="31"/>
  <c r="ET82" i="31"/>
  <c r="ET81" i="31" s="1"/>
  <c r="ES41" i="31"/>
  <c r="ET58" i="31"/>
  <c r="ET57" i="31" s="1"/>
  <c r="ES33" i="31"/>
  <c r="ET51" i="31"/>
  <c r="EU52" i="31" s="1"/>
  <c r="EU53" i="31"/>
  <c r="ET61" i="31"/>
  <c r="ES34" i="31"/>
  <c r="EL38" i="31"/>
  <c r="EB42" i="31"/>
  <c r="ET44" i="31"/>
  <c r="EK31" i="31"/>
  <c r="CV36" i="31"/>
  <c r="CX29" i="31"/>
  <c r="EV50" i="31" l="1"/>
  <c r="EU61" i="31"/>
  <c r="ET34" i="31"/>
  <c r="EU58" i="31"/>
  <c r="ET33" i="31"/>
  <c r="EU63" i="31"/>
  <c r="EV65" i="31"/>
  <c r="EU76" i="31"/>
  <c r="EU75" i="31" s="1"/>
  <c r="ET39" i="31"/>
  <c r="EV59" i="31"/>
  <c r="EU57" i="31"/>
  <c r="EU64" i="31"/>
  <c r="ET35" i="31"/>
  <c r="EV80" i="31"/>
  <c r="EU78" i="31"/>
  <c r="EV79" i="31" s="1"/>
  <c r="EU60" i="31"/>
  <c r="EV62" i="31"/>
  <c r="ET66" i="31"/>
  <c r="EU67" i="31" s="1"/>
  <c r="EU68" i="31"/>
  <c r="EV74" i="31"/>
  <c r="EU72" i="31"/>
  <c r="EV73" i="31" s="1"/>
  <c r="EU51" i="31"/>
  <c r="EV52" i="31" s="1"/>
  <c r="EV53" i="31"/>
  <c r="EV83" i="31"/>
  <c r="FY47" i="31"/>
  <c r="FX45" i="31"/>
  <c r="FX29" i="31" s="1"/>
  <c r="EV71" i="31"/>
  <c r="EU69" i="31"/>
  <c r="EV70" i="31" s="1"/>
  <c r="EV56" i="31"/>
  <c r="EU49" i="31"/>
  <c r="EU48" i="31" s="1"/>
  <c r="ET30" i="31"/>
  <c r="EU82" i="31"/>
  <c r="EU81" i="31" s="1"/>
  <c r="ET41" i="31"/>
  <c r="EV77" i="31"/>
  <c r="EU55" i="31"/>
  <c r="EU54" i="31" s="1"/>
  <c r="ET32" i="31"/>
  <c r="EL37" i="31"/>
  <c r="EM40" i="31"/>
  <c r="FY46" i="31" l="1"/>
  <c r="EV76" i="31"/>
  <c r="EU39" i="31"/>
  <c r="EW56" i="31"/>
  <c r="EV54" i="31"/>
  <c r="EV32" i="31" s="1"/>
  <c r="EW74" i="31"/>
  <c r="EV72" i="31"/>
  <c r="EV38" i="31" s="1"/>
  <c r="EW59" i="31"/>
  <c r="EV57" i="31"/>
  <c r="EV33" i="31" s="1"/>
  <c r="EV55" i="31"/>
  <c r="EW55" i="31" s="1"/>
  <c r="EU32" i="31"/>
  <c r="EV64" i="31"/>
  <c r="EW64" i="31" s="1"/>
  <c r="EU35" i="31"/>
  <c r="EV58" i="31"/>
  <c r="EU33" i="31"/>
  <c r="EW62" i="31"/>
  <c r="EV60" i="31"/>
  <c r="EV34" i="31" s="1"/>
  <c r="EW71" i="31"/>
  <c r="EV69" i="31"/>
  <c r="EV37" i="31" s="1"/>
  <c r="EV61" i="31"/>
  <c r="EW61" i="31" s="1"/>
  <c r="EU34" i="31"/>
  <c r="EV68" i="31"/>
  <c r="EU66" i="31"/>
  <c r="EV67" i="31" s="1"/>
  <c r="EW79" i="31"/>
  <c r="FZ47" i="31"/>
  <c r="FY45" i="31"/>
  <c r="FY29" i="31" s="1"/>
  <c r="EW80" i="31"/>
  <c r="EV78" i="31"/>
  <c r="EV40" i="31" s="1"/>
  <c r="EW53" i="31"/>
  <c r="EV51" i="31"/>
  <c r="EV31" i="31" s="1"/>
  <c r="EW77" i="31"/>
  <c r="EV75" i="31"/>
  <c r="EV39" i="31" s="1"/>
  <c r="EV82" i="31"/>
  <c r="EW82" i="31" s="1"/>
  <c r="EU41" i="31"/>
  <c r="EV49" i="31"/>
  <c r="EW49" i="31" s="1"/>
  <c r="EU30" i="31"/>
  <c r="EW65" i="31"/>
  <c r="EV63" i="31"/>
  <c r="EV35" i="31" s="1"/>
  <c r="EW83" i="31"/>
  <c r="EV81" i="31"/>
  <c r="EV41" i="31" s="1"/>
  <c r="EW50" i="31"/>
  <c r="EV48" i="31"/>
  <c r="EV30" i="31" s="1"/>
  <c r="EM38" i="31"/>
  <c r="EC42" i="31"/>
  <c r="EM31" i="31"/>
  <c r="EL31" i="31"/>
  <c r="CW36" i="31"/>
  <c r="CZ29" i="31"/>
  <c r="EW73" i="31" l="1"/>
  <c r="EW76" i="31"/>
  <c r="EW58" i="31"/>
  <c r="EW52" i="31"/>
  <c r="EX77" i="31"/>
  <c r="EW75" i="31"/>
  <c r="EW39" i="31" s="1"/>
  <c r="EX50" i="31"/>
  <c r="EW48" i="31"/>
  <c r="EW30" i="31" s="1"/>
  <c r="EW68" i="31"/>
  <c r="EV66" i="31"/>
  <c r="EV36" i="31" s="1"/>
  <c r="EX53" i="31"/>
  <c r="EW51" i="31"/>
  <c r="EW31" i="31" s="1"/>
  <c r="EX71" i="31"/>
  <c r="EW69" i="31"/>
  <c r="EW37" i="31" s="1"/>
  <c r="EX59" i="31"/>
  <c r="EW57" i="31"/>
  <c r="EW33" i="31" s="1"/>
  <c r="EX83" i="31"/>
  <c r="EW81" i="31"/>
  <c r="EW41" i="31" s="1"/>
  <c r="FZ46" i="31"/>
  <c r="EX80" i="31"/>
  <c r="EW78" i="31"/>
  <c r="EW40" i="31" s="1"/>
  <c r="EX74" i="31"/>
  <c r="EW72" i="31"/>
  <c r="EW38" i="31" s="1"/>
  <c r="EX76" i="31"/>
  <c r="EX65" i="31"/>
  <c r="EW63" i="31"/>
  <c r="EW35" i="31" s="1"/>
  <c r="EX62" i="31"/>
  <c r="EW60" i="31"/>
  <c r="EW34" i="31" s="1"/>
  <c r="FZ45" i="31"/>
  <c r="GA46" i="31" s="1"/>
  <c r="GA47" i="31"/>
  <c r="EW70" i="31"/>
  <c r="EX56" i="31"/>
  <c r="EW54" i="31"/>
  <c r="EW32" i="31" s="1"/>
  <c r="EX49" i="31"/>
  <c r="EN40" i="31"/>
  <c r="EM37" i="31"/>
  <c r="EP40" i="31"/>
  <c r="ED42" i="31"/>
  <c r="EX61" i="31" l="1"/>
  <c r="EW67" i="31"/>
  <c r="EX70" i="31"/>
  <c r="EX52" i="31"/>
  <c r="EX58" i="31"/>
  <c r="EX82" i="31"/>
  <c r="EY74" i="31"/>
  <c r="EY53" i="31"/>
  <c r="EX51" i="31"/>
  <c r="EY52" i="31" s="1"/>
  <c r="GA45" i="31"/>
  <c r="GB46" i="31" s="1"/>
  <c r="GB47" i="31"/>
  <c r="EY80" i="31"/>
  <c r="EX68" i="31"/>
  <c r="EW66" i="31"/>
  <c r="EX67" i="31" s="1"/>
  <c r="EX60" i="31"/>
  <c r="EY62" i="31"/>
  <c r="EX81" i="31"/>
  <c r="EY83" i="31"/>
  <c r="EX48" i="31"/>
  <c r="EY50" i="31"/>
  <c r="EX54" i="31"/>
  <c r="EY56" i="31"/>
  <c r="EX55" i="31"/>
  <c r="EX69" i="31"/>
  <c r="EY70" i="31" s="1"/>
  <c r="EY71" i="31"/>
  <c r="EX73" i="31"/>
  <c r="EX72" i="31" s="1"/>
  <c r="EY65" i="31"/>
  <c r="EX63" i="31"/>
  <c r="EX57" i="31"/>
  <c r="EY59" i="31"/>
  <c r="EX75" i="31"/>
  <c r="EY77" i="31"/>
  <c r="EX79" i="31"/>
  <c r="EX78" i="31" s="1"/>
  <c r="EY79" i="31" s="1"/>
  <c r="EX64" i="31"/>
  <c r="EN38" i="31"/>
  <c r="EP38" i="31"/>
  <c r="EN31" i="31"/>
  <c r="CX36" i="31"/>
  <c r="CZ36" i="31"/>
  <c r="DA29" i="31"/>
  <c r="EZ56" i="31" l="1"/>
  <c r="EY78" i="31"/>
  <c r="EZ79" i="31" s="1"/>
  <c r="EZ80" i="31"/>
  <c r="EZ71" i="31"/>
  <c r="EY69" i="31"/>
  <c r="EZ70" i="31" s="1"/>
  <c r="EY55" i="31"/>
  <c r="EY54" i="31" s="1"/>
  <c r="EX32" i="31"/>
  <c r="GC47" i="31"/>
  <c r="GB45" i="31"/>
  <c r="GC46" i="31" s="1"/>
  <c r="EY63" i="31"/>
  <c r="EZ65" i="31"/>
  <c r="EZ50" i="31"/>
  <c r="EY49" i="31"/>
  <c r="EY48" i="31" s="1"/>
  <c r="EX30" i="31"/>
  <c r="EY68" i="31"/>
  <c r="EX66" i="31"/>
  <c r="EY67" i="31" s="1"/>
  <c r="EY76" i="31"/>
  <c r="EY75" i="31" s="1"/>
  <c r="EX39" i="31"/>
  <c r="EZ59" i="31"/>
  <c r="EY81" i="31"/>
  <c r="EZ83" i="31"/>
  <c r="EY51" i="31"/>
  <c r="EZ52" i="31" s="1"/>
  <c r="EZ53" i="31"/>
  <c r="EY61" i="31"/>
  <c r="EY60" i="31" s="1"/>
  <c r="EX34" i="31"/>
  <c r="EZ77" i="31"/>
  <c r="EY58" i="31"/>
  <c r="EY57" i="31" s="1"/>
  <c r="EX33" i="31"/>
  <c r="EY82" i="31"/>
  <c r="EX41" i="31"/>
  <c r="EY72" i="31"/>
  <c r="EZ74" i="31"/>
  <c r="EY64" i="31"/>
  <c r="EX35" i="31"/>
  <c r="EZ62" i="31"/>
  <c r="EY73" i="31"/>
  <c r="EN37" i="31"/>
  <c r="EQ40" i="31"/>
  <c r="EE42" i="31"/>
  <c r="EZ73" i="31" l="1"/>
  <c r="EZ76" i="31"/>
  <c r="EY39" i="31"/>
  <c r="EZ58" i="31"/>
  <c r="EY33" i="31"/>
  <c r="GC45" i="31"/>
  <c r="GD46" i="31" s="1"/>
  <c r="GD47" i="31"/>
  <c r="FA74" i="31"/>
  <c r="EZ72" i="31"/>
  <c r="FA73" i="31" s="1"/>
  <c r="EZ82" i="31"/>
  <c r="EZ81" i="31" s="1"/>
  <c r="EY41" i="31"/>
  <c r="EZ64" i="31"/>
  <c r="EY35" i="31"/>
  <c r="EY66" i="31"/>
  <c r="EZ67" i="31" s="1"/>
  <c r="EZ68" i="31"/>
  <c r="FA71" i="31"/>
  <c r="EZ69" i="31"/>
  <c r="FA70" i="31" s="1"/>
  <c r="EZ57" i="31"/>
  <c r="FA59" i="31"/>
  <c r="EZ61" i="31"/>
  <c r="EY34" i="31"/>
  <c r="EZ78" i="31"/>
  <c r="FA79" i="31" s="1"/>
  <c r="FA80" i="31"/>
  <c r="FA65" i="31"/>
  <c r="EZ63" i="31"/>
  <c r="EZ60" i="31"/>
  <c r="FA62" i="31"/>
  <c r="FA83" i="31"/>
  <c r="EZ75" i="31"/>
  <c r="FA76" i="31" s="1"/>
  <c r="FA77" i="31"/>
  <c r="EZ51" i="31"/>
  <c r="FA52" i="31" s="1"/>
  <c r="FA53" i="31"/>
  <c r="EZ49" i="31"/>
  <c r="EZ48" i="31" s="1"/>
  <c r="EY30" i="31"/>
  <c r="EZ54" i="31"/>
  <c r="FA56" i="31"/>
  <c r="FA50" i="31"/>
  <c r="EZ55" i="31"/>
  <c r="EY32" i="31"/>
  <c r="EP31" i="31"/>
  <c r="EQ38" i="31"/>
  <c r="ER31" i="31"/>
  <c r="EQ31" i="31"/>
  <c r="DB29" i="31"/>
  <c r="FA68" i="31" l="1"/>
  <c r="EZ66" i="31"/>
  <c r="FA67" i="31" s="1"/>
  <c r="FB65" i="31"/>
  <c r="FB56" i="31"/>
  <c r="FB50" i="31"/>
  <c r="FA55" i="31"/>
  <c r="FA54" i="31" s="1"/>
  <c r="EZ32" i="31"/>
  <c r="FA51" i="31"/>
  <c r="FB52" i="31" s="1"/>
  <c r="FB53" i="31"/>
  <c r="FA49" i="31"/>
  <c r="FA48" i="31" s="1"/>
  <c r="EZ30" i="31"/>
  <c r="FB74" i="31"/>
  <c r="FA72" i="31"/>
  <c r="FB73" i="31" s="1"/>
  <c r="FA61" i="31"/>
  <c r="EZ34" i="31"/>
  <c r="FB77" i="31"/>
  <c r="FA75" i="31"/>
  <c r="FB76" i="31" s="1"/>
  <c r="FA57" i="31"/>
  <c r="FB59" i="31"/>
  <c r="GD45" i="31"/>
  <c r="GE46" i="31" s="1"/>
  <c r="GE47" i="31"/>
  <c r="FA58" i="31"/>
  <c r="EZ33" i="31"/>
  <c r="FA60" i="31"/>
  <c r="FB62" i="31"/>
  <c r="FB80" i="31"/>
  <c r="FA78" i="31"/>
  <c r="FB79" i="31" s="1"/>
  <c r="FA82" i="31"/>
  <c r="EZ41" i="31"/>
  <c r="FA64" i="31"/>
  <c r="FA63" i="31" s="1"/>
  <c r="EZ35" i="31"/>
  <c r="FA81" i="31"/>
  <c r="FB83" i="31"/>
  <c r="FA69" i="31"/>
  <c r="FB70" i="31" s="1"/>
  <c r="FB71" i="31"/>
  <c r="EZ39" i="31"/>
  <c r="EQ37" i="31"/>
  <c r="ER40" i="31"/>
  <c r="EF42" i="31"/>
  <c r="FC83" i="31" l="1"/>
  <c r="FB82" i="31"/>
  <c r="FB81" i="31" s="1"/>
  <c r="FA41" i="31"/>
  <c r="FB58" i="31"/>
  <c r="FA33" i="31"/>
  <c r="FB75" i="31"/>
  <c r="FC77" i="31"/>
  <c r="FB49" i="31"/>
  <c r="FB48" i="31" s="1"/>
  <c r="FA30" i="31"/>
  <c r="FC56" i="31"/>
  <c r="FB78" i="31"/>
  <c r="FC79" i="31" s="1"/>
  <c r="FC80" i="31"/>
  <c r="FB55" i="31"/>
  <c r="FB54" i="31" s="1"/>
  <c r="FA32" i="31"/>
  <c r="FC62" i="31"/>
  <c r="FB64" i="31"/>
  <c r="FB63" i="31" s="1"/>
  <c r="FA35" i="31"/>
  <c r="FC59" i="31"/>
  <c r="FB57" i="31"/>
  <c r="FC50" i="31"/>
  <c r="FB61" i="31"/>
  <c r="FB60" i="31" s="1"/>
  <c r="FC61" i="31" s="1"/>
  <c r="FA34" i="31"/>
  <c r="FC74" i="31"/>
  <c r="FB72" i="31"/>
  <c r="FC73" i="31" s="1"/>
  <c r="FC65" i="31"/>
  <c r="FC53" i="31"/>
  <c r="FB51" i="31"/>
  <c r="FC52" i="31" s="1"/>
  <c r="FC71" i="31"/>
  <c r="FB69" i="31"/>
  <c r="FC70" i="31" s="1"/>
  <c r="GF47" i="31"/>
  <c r="GF45" i="31" s="1"/>
  <c r="GF29" i="31" s="1"/>
  <c r="GE45" i="31"/>
  <c r="GE29" i="31" s="1"/>
  <c r="FB68" i="31"/>
  <c r="FA66" i="31"/>
  <c r="FB67" i="31" s="1"/>
  <c r="ER38" i="31"/>
  <c r="ES31" i="31"/>
  <c r="ET31" i="31"/>
  <c r="DA36" i="31"/>
  <c r="DC29" i="31"/>
  <c r="FC55" i="31" l="1"/>
  <c r="FB32" i="31"/>
  <c r="FD71" i="31"/>
  <c r="FC69" i="31"/>
  <c r="FC37" i="31" s="1"/>
  <c r="FD77" i="31"/>
  <c r="FC75" i="31"/>
  <c r="FC39" i="31" s="1"/>
  <c r="FD70" i="31"/>
  <c r="FD59" i="31"/>
  <c r="FC57" i="31"/>
  <c r="FC33" i="31" s="1"/>
  <c r="FD53" i="31"/>
  <c r="FC51" i="31"/>
  <c r="FC31" i="31" s="1"/>
  <c r="FD62" i="31"/>
  <c r="FC60" i="31"/>
  <c r="FC34" i="31" s="1"/>
  <c r="GF46" i="31"/>
  <c r="FD56" i="31"/>
  <c r="FC54" i="31"/>
  <c r="FC32" i="31" s="1"/>
  <c r="FC64" i="31"/>
  <c r="FD64" i="31" s="1"/>
  <c r="FB35" i="31"/>
  <c r="FC76" i="31"/>
  <c r="FD76" i="31" s="1"/>
  <c r="FB39" i="31"/>
  <c r="FD65" i="31"/>
  <c r="FC63" i="31"/>
  <c r="FC35" i="31" s="1"/>
  <c r="FB34" i="31"/>
  <c r="FD74" i="31"/>
  <c r="FC72" i="31"/>
  <c r="FC38" i="31" s="1"/>
  <c r="FD80" i="31"/>
  <c r="FC78" i="31"/>
  <c r="FC40" i="31" s="1"/>
  <c r="FD83" i="31"/>
  <c r="FC81" i="31"/>
  <c r="FC41" i="31" s="1"/>
  <c r="FD50" i="31"/>
  <c r="FC48" i="31"/>
  <c r="FC30" i="31" s="1"/>
  <c r="FC58" i="31"/>
  <c r="FB33" i="31"/>
  <c r="FB66" i="31"/>
  <c r="FC67" i="31" s="1"/>
  <c r="FC68" i="31"/>
  <c r="FC49" i="31"/>
  <c r="FB30" i="31"/>
  <c r="FD79" i="31"/>
  <c r="FC82" i="31"/>
  <c r="FB41" i="31"/>
  <c r="FA39" i="31"/>
  <c r="ER37" i="31"/>
  <c r="ES40" i="31"/>
  <c r="EI42" i="31"/>
  <c r="EU31" i="31"/>
  <c r="FD58" i="31" l="1"/>
  <c r="FD55" i="31"/>
  <c r="FE50" i="31"/>
  <c r="FD48" i="31"/>
  <c r="FD30" i="31" s="1"/>
  <c r="FE59" i="31"/>
  <c r="FD57" i="31"/>
  <c r="FD33" i="31" s="1"/>
  <c r="FE65" i="31"/>
  <c r="FD63" i="31"/>
  <c r="FD35" i="31" s="1"/>
  <c r="FD61" i="31"/>
  <c r="FE74" i="31"/>
  <c r="FD72" i="31"/>
  <c r="FD38" i="31" s="1"/>
  <c r="FD82" i="31"/>
  <c r="FE82" i="31" s="1"/>
  <c r="FE58" i="31"/>
  <c r="FE80" i="31"/>
  <c r="FD78" i="31"/>
  <c r="FD40" i="31" s="1"/>
  <c r="FE56" i="31"/>
  <c r="FD54" i="31"/>
  <c r="FD32" i="31" s="1"/>
  <c r="FE77" i="31"/>
  <c r="FD75" i="31"/>
  <c r="FD39" i="31" s="1"/>
  <c r="FE53" i="31"/>
  <c r="FD51" i="31"/>
  <c r="FD31" i="31" s="1"/>
  <c r="FE83" i="31"/>
  <c r="FD81" i="31"/>
  <c r="FD41" i="31" s="1"/>
  <c r="FD52" i="31"/>
  <c r="FE52" i="31" s="1"/>
  <c r="FE62" i="31"/>
  <c r="FD60" i="31"/>
  <c r="FD34" i="31" s="1"/>
  <c r="FD49" i="31"/>
  <c r="FE49" i="31" s="1"/>
  <c r="FD73" i="31"/>
  <c r="FE71" i="31"/>
  <c r="FD69" i="31"/>
  <c r="FD37" i="31" s="1"/>
  <c r="FD68" i="31"/>
  <c r="FC66" i="31"/>
  <c r="FC36" i="31" s="1"/>
  <c r="ES38" i="31"/>
  <c r="EX31" i="31"/>
  <c r="DB36" i="31"/>
  <c r="DD29" i="31"/>
  <c r="FE73" i="31" l="1"/>
  <c r="FE79" i="31"/>
  <c r="FE61" i="31"/>
  <c r="FE70" i="31"/>
  <c r="FE55" i="31"/>
  <c r="FF53" i="31"/>
  <c r="FE51" i="31"/>
  <c r="FF52" i="31" s="1"/>
  <c r="FD67" i="31"/>
  <c r="FE72" i="31"/>
  <c r="FF73" i="31" s="1"/>
  <c r="FF74" i="31"/>
  <c r="FE64" i="31"/>
  <c r="FF56" i="31"/>
  <c r="FE54" i="31"/>
  <c r="FF65" i="31"/>
  <c r="FE63" i="31"/>
  <c r="FF71" i="31"/>
  <c r="FE69" i="31"/>
  <c r="FF70" i="31" s="1"/>
  <c r="FF62" i="31"/>
  <c r="FE60" i="31"/>
  <c r="FF80" i="31"/>
  <c r="FE78" i="31"/>
  <c r="FF79" i="31" s="1"/>
  <c r="FF59" i="31"/>
  <c r="FE57" i="31"/>
  <c r="FE76" i="31"/>
  <c r="FE68" i="31"/>
  <c r="FD66" i="31"/>
  <c r="FE75" i="31"/>
  <c r="FF77" i="31"/>
  <c r="FE81" i="31"/>
  <c r="FF83" i="31"/>
  <c r="FF50" i="31"/>
  <c r="FE48" i="31"/>
  <c r="ES37" i="31"/>
  <c r="ET40" i="31"/>
  <c r="EJ42" i="31"/>
  <c r="EY31" i="31"/>
  <c r="FE67" i="31" l="1"/>
  <c r="FF64" i="31"/>
  <c r="FF63" i="31" s="1"/>
  <c r="FE35" i="31"/>
  <c r="FG65" i="31"/>
  <c r="FF68" i="31"/>
  <c r="FE66" i="31"/>
  <c r="FF67" i="31" s="1"/>
  <c r="FF55" i="31"/>
  <c r="FE32" i="31"/>
  <c r="FG56" i="31"/>
  <c r="FF54" i="31"/>
  <c r="FF82" i="31"/>
  <c r="FF81" i="31" s="1"/>
  <c r="FE41" i="31"/>
  <c r="FF58" i="31"/>
  <c r="FF57" i="31" s="1"/>
  <c r="FE33" i="31"/>
  <c r="FG59" i="31"/>
  <c r="FG74" i="31"/>
  <c r="FF72" i="31"/>
  <c r="FG73" i="31" s="1"/>
  <c r="FF76" i="31"/>
  <c r="FE39" i="31"/>
  <c r="FF78" i="31"/>
  <c r="FG79" i="31" s="1"/>
  <c r="FG80" i="31"/>
  <c r="FF61" i="31"/>
  <c r="FF60" i="31" s="1"/>
  <c r="FF34" i="31" s="1"/>
  <c r="FE34" i="31"/>
  <c r="FF49" i="31"/>
  <c r="FF48" i="31" s="1"/>
  <c r="FE30" i="31"/>
  <c r="FG50" i="31"/>
  <c r="FG83" i="31"/>
  <c r="FG62" i="31"/>
  <c r="FF51" i="31"/>
  <c r="FG52" i="31" s="1"/>
  <c r="FG53" i="31"/>
  <c r="FF75" i="31"/>
  <c r="FG77" i="31"/>
  <c r="FF69" i="31"/>
  <c r="FG70" i="31" s="1"/>
  <c r="FG71" i="31"/>
  <c r="ET38" i="31"/>
  <c r="EZ31" i="31"/>
  <c r="DC36" i="31"/>
  <c r="DE29" i="31"/>
  <c r="FH77" i="31" l="1"/>
  <c r="FG51" i="31"/>
  <c r="FH52" i="31" s="1"/>
  <c r="FH53" i="31"/>
  <c r="FG78" i="31"/>
  <c r="FH79" i="31" s="1"/>
  <c r="FH80" i="31"/>
  <c r="FG55" i="31"/>
  <c r="FF32" i="31"/>
  <c r="FH56" i="31"/>
  <c r="FG54" i="31"/>
  <c r="FG61" i="31"/>
  <c r="FG60" i="31" s="1"/>
  <c r="FH62" i="31"/>
  <c r="FH83" i="31"/>
  <c r="FH74" i="31"/>
  <c r="FG72" i="31"/>
  <c r="FH73" i="31" s="1"/>
  <c r="FG68" i="31"/>
  <c r="FF66" i="31"/>
  <c r="FG67" i="31" s="1"/>
  <c r="FH65" i="31"/>
  <c r="FG82" i="31"/>
  <c r="FG81" i="31" s="1"/>
  <c r="FF41" i="31"/>
  <c r="FG49" i="31"/>
  <c r="FG48" i="31" s="1"/>
  <c r="FF30" i="31"/>
  <c r="FH50" i="31"/>
  <c r="FH59" i="31"/>
  <c r="FG64" i="31"/>
  <c r="FG63" i="31" s="1"/>
  <c r="FF35" i="31"/>
  <c r="FG76" i="31"/>
  <c r="FG75" i="31" s="1"/>
  <c r="FF39" i="31"/>
  <c r="FG58" i="31"/>
  <c r="FG57" i="31" s="1"/>
  <c r="FF33" i="31"/>
  <c r="FG69" i="31"/>
  <c r="FH70" i="31" s="1"/>
  <c r="FH71" i="31"/>
  <c r="EU40" i="31"/>
  <c r="ET37" i="31"/>
  <c r="FA31" i="31"/>
  <c r="EK42" i="31"/>
  <c r="FH55" i="31" l="1"/>
  <c r="FG32" i="31"/>
  <c r="FI65" i="31"/>
  <c r="FH54" i="31"/>
  <c r="FI56" i="31"/>
  <c r="FI62" i="31"/>
  <c r="FH64" i="31"/>
  <c r="FH63" i="31" s="1"/>
  <c r="FG35" i="31"/>
  <c r="FH68" i="31"/>
  <c r="FG66" i="31"/>
  <c r="FH67" i="31" s="1"/>
  <c r="FH78" i="31"/>
  <c r="FI79" i="31" s="1"/>
  <c r="FI80" i="31"/>
  <c r="FI74" i="31"/>
  <c r="FH72" i="31"/>
  <c r="FI73" i="31" s="1"/>
  <c r="FH51" i="31"/>
  <c r="FI52" i="31" s="1"/>
  <c r="FI53" i="31"/>
  <c r="FH58" i="31"/>
  <c r="FG33" i="31"/>
  <c r="FH49" i="31"/>
  <c r="FG30" i="31"/>
  <c r="FH57" i="31"/>
  <c r="FI59" i="31"/>
  <c r="FH81" i="31"/>
  <c r="FI83" i="31"/>
  <c r="FI50" i="31"/>
  <c r="FH48" i="31"/>
  <c r="FH82" i="31"/>
  <c r="FG41" i="31"/>
  <c r="FH76" i="31"/>
  <c r="FG39" i="31"/>
  <c r="FH69" i="31"/>
  <c r="FI70" i="31" s="1"/>
  <c r="FI71" i="31"/>
  <c r="FH61" i="31"/>
  <c r="FH60" i="31" s="1"/>
  <c r="FI77" i="31"/>
  <c r="FH75" i="31"/>
  <c r="EU38" i="31"/>
  <c r="FG34" i="31"/>
  <c r="FB31" i="31"/>
  <c r="DD36" i="31"/>
  <c r="DG29" i="31"/>
  <c r="C43" i="31"/>
  <c r="AZ23" i="25" s="1"/>
  <c r="BA23" i="25" s="1"/>
  <c r="FI68" i="31" l="1"/>
  <c r="FH66" i="31"/>
  <c r="FI67" i="31" s="1"/>
  <c r="FI69" i="31"/>
  <c r="FJ70" i="31" s="1"/>
  <c r="FJ71" i="31"/>
  <c r="FJ62" i="31"/>
  <c r="FI57" i="31"/>
  <c r="FJ59" i="31"/>
  <c r="FI61" i="31"/>
  <c r="FI60" i="31" s="1"/>
  <c r="FJ61" i="31" s="1"/>
  <c r="FJ53" i="31"/>
  <c r="FI51" i="31"/>
  <c r="FJ52" i="31" s="1"/>
  <c r="FI54" i="31"/>
  <c r="FJ56" i="31"/>
  <c r="FJ77" i="31"/>
  <c r="FI75" i="31"/>
  <c r="FI55" i="31"/>
  <c r="FH32" i="31"/>
  <c r="FJ65" i="31"/>
  <c r="FI58" i="31"/>
  <c r="FH33" i="31"/>
  <c r="FJ50" i="31"/>
  <c r="FI48" i="31"/>
  <c r="FJ74" i="31"/>
  <c r="FI72" i="31"/>
  <c r="FJ73" i="31" s="1"/>
  <c r="FI64" i="31"/>
  <c r="FI63" i="31" s="1"/>
  <c r="FH35" i="31"/>
  <c r="FI49" i="31"/>
  <c r="FH30" i="31"/>
  <c r="FJ83" i="31"/>
  <c r="FJ80" i="31"/>
  <c r="FI78" i="31"/>
  <c r="FJ79" i="31" s="1"/>
  <c r="FI76" i="31"/>
  <c r="FH39" i="31"/>
  <c r="FI82" i="31"/>
  <c r="FI81" i="31" s="1"/>
  <c r="FH41" i="31"/>
  <c r="EX40" i="31"/>
  <c r="EU37" i="31"/>
  <c r="FE31" i="31"/>
  <c r="EL42" i="31"/>
  <c r="FK52" i="31" l="1"/>
  <c r="FK50" i="31"/>
  <c r="FJ48" i="31"/>
  <c r="FJ30" i="31" s="1"/>
  <c r="FK53" i="31"/>
  <c r="FJ51" i="31"/>
  <c r="FJ31" i="31" s="1"/>
  <c r="FK80" i="31"/>
  <c r="FJ78" i="31"/>
  <c r="FJ40" i="31" s="1"/>
  <c r="FK59" i="31"/>
  <c r="FJ57" i="31"/>
  <c r="FJ33" i="31" s="1"/>
  <c r="FJ55" i="31"/>
  <c r="FK55" i="31" s="1"/>
  <c r="FI32" i="31"/>
  <c r="FJ49" i="31"/>
  <c r="FK49" i="31" s="1"/>
  <c r="FI30" i="31"/>
  <c r="FK83" i="31"/>
  <c r="FJ81" i="31"/>
  <c r="FJ41" i="31" s="1"/>
  <c r="FJ64" i="31"/>
  <c r="FI35" i="31"/>
  <c r="FJ58" i="31"/>
  <c r="FI33" i="31"/>
  <c r="FJ82" i="31"/>
  <c r="FK82" i="31" s="1"/>
  <c r="FI41" i="31"/>
  <c r="FK65" i="31"/>
  <c r="FJ63" i="31"/>
  <c r="FJ35" i="31" s="1"/>
  <c r="FK62" i="31"/>
  <c r="FJ60" i="31"/>
  <c r="FJ34" i="31" s="1"/>
  <c r="FK74" i="31"/>
  <c r="FJ72" i="31"/>
  <c r="FJ38" i="31" s="1"/>
  <c r="FK61" i="31"/>
  <c r="FK71" i="31"/>
  <c r="FJ69" i="31"/>
  <c r="FJ37" i="31" s="1"/>
  <c r="FJ76" i="31"/>
  <c r="FI39" i="31"/>
  <c r="FK77" i="31"/>
  <c r="FJ75" i="31"/>
  <c r="FJ39" i="31" s="1"/>
  <c r="FK73" i="31"/>
  <c r="FK56" i="31"/>
  <c r="FJ54" i="31"/>
  <c r="FJ32" i="31" s="1"/>
  <c r="FJ68" i="31"/>
  <c r="FI66" i="31"/>
  <c r="FJ67" i="31" s="1"/>
  <c r="EX38" i="31"/>
  <c r="FH34" i="31"/>
  <c r="FF31" i="31"/>
  <c r="DE36" i="31"/>
  <c r="DG36" i="31"/>
  <c r="DH29" i="31"/>
  <c r="FK58" i="31" l="1"/>
  <c r="FK79" i="31"/>
  <c r="FK70" i="31"/>
  <c r="FL59" i="31"/>
  <c r="FK57" i="31"/>
  <c r="FK33" i="31" s="1"/>
  <c r="FL65" i="31"/>
  <c r="FK63" i="31"/>
  <c r="FK35" i="31" s="1"/>
  <c r="FK76" i="31"/>
  <c r="FL58" i="31"/>
  <c r="FL80" i="31"/>
  <c r="FK78" i="31"/>
  <c r="FK40" i="31" s="1"/>
  <c r="FL71" i="31"/>
  <c r="FK69" i="31"/>
  <c r="FK37" i="31" s="1"/>
  <c r="FK64" i="31"/>
  <c r="FL64" i="31" s="1"/>
  <c r="FL77" i="31"/>
  <c r="FK75" i="31"/>
  <c r="FK39" i="31" s="1"/>
  <c r="FK68" i="31"/>
  <c r="FJ66" i="31"/>
  <c r="FJ36" i="31" s="1"/>
  <c r="FL53" i="31"/>
  <c r="FK51" i="31"/>
  <c r="FK31" i="31" s="1"/>
  <c r="FL74" i="31"/>
  <c r="FK72" i="31"/>
  <c r="FK38" i="31" s="1"/>
  <c r="FL83" i="31"/>
  <c r="FK81" i="31"/>
  <c r="FK41" i="31" s="1"/>
  <c r="FL56" i="31"/>
  <c r="FK54" i="31"/>
  <c r="FK32" i="31" s="1"/>
  <c r="FL50" i="31"/>
  <c r="FK48" i="31"/>
  <c r="FK30" i="31" s="1"/>
  <c r="FL62" i="31"/>
  <c r="FK60" i="31"/>
  <c r="FK34" i="31" s="1"/>
  <c r="FL49" i="31"/>
  <c r="FL52" i="31"/>
  <c r="EY40" i="31"/>
  <c r="EX37" i="31"/>
  <c r="EM42" i="31"/>
  <c r="FG31" i="31"/>
  <c r="FK67" i="31" l="1"/>
  <c r="FL73" i="31"/>
  <c r="FL61" i="31"/>
  <c r="FM80" i="31"/>
  <c r="FM62" i="31"/>
  <c r="FL60" i="31"/>
  <c r="FM61" i="31" s="1"/>
  <c r="FL51" i="31"/>
  <c r="FM52" i="31" s="1"/>
  <c r="FM53" i="31"/>
  <c r="FL76" i="31"/>
  <c r="FL48" i="31"/>
  <c r="FM50" i="31"/>
  <c r="FL68" i="31"/>
  <c r="FK66" i="31"/>
  <c r="FL67" i="31" s="1"/>
  <c r="FM65" i="31"/>
  <c r="FL63" i="31"/>
  <c r="FM56" i="31"/>
  <c r="FM77" i="31"/>
  <c r="FL75" i="31"/>
  <c r="FM59" i="31"/>
  <c r="FL57" i="31"/>
  <c r="FL79" i="31"/>
  <c r="FL78" i="31" s="1"/>
  <c r="FL82" i="31"/>
  <c r="FL72" i="31"/>
  <c r="FM73" i="31" s="1"/>
  <c r="FM74" i="31"/>
  <c r="FM83" i="31"/>
  <c r="FL81" i="31"/>
  <c r="FL70" i="31"/>
  <c r="FM71" i="31"/>
  <c r="FL69" i="31"/>
  <c r="FL55" i="31"/>
  <c r="FL54" i="31" s="1"/>
  <c r="EY38" i="31"/>
  <c r="FI34" i="31"/>
  <c r="FH31" i="31"/>
  <c r="DI29" i="31"/>
  <c r="FM70" i="31" l="1"/>
  <c r="FL66" i="31"/>
  <c r="FM67" i="31" s="1"/>
  <c r="FM68" i="31"/>
  <c r="FN50" i="31"/>
  <c r="FN74" i="31"/>
  <c r="FM72" i="31"/>
  <c r="FN73" i="31" s="1"/>
  <c r="FM58" i="31"/>
  <c r="FL33" i="31"/>
  <c r="FM49" i="31"/>
  <c r="FM48" i="31" s="1"/>
  <c r="FL30" i="31"/>
  <c r="FN65" i="31"/>
  <c r="FM63" i="31"/>
  <c r="FM57" i="31"/>
  <c r="FN59" i="31"/>
  <c r="FM76" i="31"/>
  <c r="FL39" i="31"/>
  <c r="FN53" i="31"/>
  <c r="FM51" i="31"/>
  <c r="FN52" i="31" s="1"/>
  <c r="FN77" i="31"/>
  <c r="FM75" i="31"/>
  <c r="FM69" i="31"/>
  <c r="FN70" i="31" s="1"/>
  <c r="FN71" i="31"/>
  <c r="FM55" i="31"/>
  <c r="FM54" i="31" s="1"/>
  <c r="FL32" i="31"/>
  <c r="FN56" i="31"/>
  <c r="FM60" i="31"/>
  <c r="FN61" i="31" s="1"/>
  <c r="FN62" i="31"/>
  <c r="FM79" i="31"/>
  <c r="FM82" i="31"/>
  <c r="FM81" i="31" s="1"/>
  <c r="FL41" i="31"/>
  <c r="FN83" i="31"/>
  <c r="FM64" i="31"/>
  <c r="FL35" i="31"/>
  <c r="FN80" i="31"/>
  <c r="FM78" i="31"/>
  <c r="FN79" i="31" s="1"/>
  <c r="EZ40" i="31"/>
  <c r="EY37" i="31"/>
  <c r="EP42" i="31"/>
  <c r="FI31" i="31"/>
  <c r="FN69" i="31" l="1"/>
  <c r="FO70" i="31" s="1"/>
  <c r="FO71" i="31"/>
  <c r="FO65" i="31"/>
  <c r="FO83" i="31"/>
  <c r="FN82" i="31"/>
  <c r="FN81" i="31" s="1"/>
  <c r="FM41" i="31"/>
  <c r="FN76" i="31"/>
  <c r="FM39" i="31"/>
  <c r="FO80" i="31"/>
  <c r="FN78" i="31"/>
  <c r="FO79" i="31" s="1"/>
  <c r="FN75" i="31"/>
  <c r="FO77" i="31"/>
  <c r="FN51" i="31"/>
  <c r="FO52" i="31" s="1"/>
  <c r="FO53" i="31"/>
  <c r="FO74" i="31"/>
  <c r="FN72" i="31"/>
  <c r="FO73" i="31" s="1"/>
  <c r="FO62" i="31"/>
  <c r="FN60" i="31"/>
  <c r="FO61" i="31" s="1"/>
  <c r="FN49" i="31"/>
  <c r="FM30" i="31"/>
  <c r="FO50" i="31"/>
  <c r="FN48" i="31"/>
  <c r="FN64" i="31"/>
  <c r="FN63" i="31" s="1"/>
  <c r="FM35" i="31"/>
  <c r="FN55" i="31"/>
  <c r="FM32" i="31"/>
  <c r="FO59" i="31"/>
  <c r="FM66" i="31"/>
  <c r="FN67" i="31" s="1"/>
  <c r="FN68" i="31"/>
  <c r="FN54" i="31"/>
  <c r="FO56" i="31"/>
  <c r="FN58" i="31"/>
  <c r="FN57" i="31" s="1"/>
  <c r="FM33" i="31"/>
  <c r="EZ38" i="31"/>
  <c r="FL34" i="31"/>
  <c r="FL31" i="31"/>
  <c r="DH36" i="31"/>
  <c r="DJ29" i="31"/>
  <c r="FP50" i="31" l="1"/>
  <c r="FO78" i="31"/>
  <c r="FP79" i="31" s="1"/>
  <c r="FP80" i="31"/>
  <c r="FP56" i="31"/>
  <c r="FO55" i="31"/>
  <c r="FO54" i="31" s="1"/>
  <c r="FN32" i="31"/>
  <c r="FO68" i="31"/>
  <c r="FN66" i="31"/>
  <c r="FO67" i="31" s="1"/>
  <c r="FO60" i="31"/>
  <c r="FP61" i="31" s="1"/>
  <c r="FP62" i="31"/>
  <c r="FO49" i="31"/>
  <c r="FO48" i="31" s="1"/>
  <c r="FN30" i="31"/>
  <c r="FP83" i="31"/>
  <c r="FP59" i="31"/>
  <c r="FO58" i="31"/>
  <c r="FO57" i="31" s="1"/>
  <c r="FN33" i="31"/>
  <c r="FP74" i="31"/>
  <c r="FO72" i="31"/>
  <c r="FP73" i="31" s="1"/>
  <c r="FO82" i="31"/>
  <c r="FO81" i="31" s="1"/>
  <c r="FN41" i="31"/>
  <c r="FO51" i="31"/>
  <c r="FP52" i="31" s="1"/>
  <c r="FP53" i="31"/>
  <c r="FP65" i="31"/>
  <c r="FO64" i="31"/>
  <c r="FO63" i="31" s="1"/>
  <c r="FN35" i="31"/>
  <c r="FP77" i="31"/>
  <c r="FO69" i="31"/>
  <c r="FP70" i="31" s="1"/>
  <c r="FP71" i="31"/>
  <c r="FO76" i="31"/>
  <c r="FO75" i="31" s="1"/>
  <c r="FN39" i="31"/>
  <c r="FA40" i="31"/>
  <c r="EZ37" i="31"/>
  <c r="EQ42" i="31"/>
  <c r="FM31" i="31"/>
  <c r="FP69" i="31" l="1"/>
  <c r="FQ70" i="31" s="1"/>
  <c r="FQ71" i="31"/>
  <c r="FP68" i="31"/>
  <c r="FO66" i="31"/>
  <c r="FP67" i="31" s="1"/>
  <c r="FP72" i="31"/>
  <c r="FQ73" i="31" s="1"/>
  <c r="FQ74" i="31"/>
  <c r="FP76" i="31"/>
  <c r="FO39" i="31"/>
  <c r="FQ77" i="31"/>
  <c r="FP75" i="31"/>
  <c r="FP58" i="31"/>
  <c r="FP57" i="31" s="1"/>
  <c r="FO33" i="31"/>
  <c r="FQ56" i="31"/>
  <c r="FQ59" i="31"/>
  <c r="FP55" i="31"/>
  <c r="FP54" i="31" s="1"/>
  <c r="FO32" i="31"/>
  <c r="FQ83" i="31"/>
  <c r="FQ80" i="31"/>
  <c r="FP78" i="31"/>
  <c r="FQ79" i="31" s="1"/>
  <c r="FP64" i="31"/>
  <c r="FP63" i="31" s="1"/>
  <c r="FO35" i="31"/>
  <c r="FP60" i="31"/>
  <c r="FQ61" i="31" s="1"/>
  <c r="FQ62" i="31"/>
  <c r="FQ65" i="31"/>
  <c r="FP82" i="31"/>
  <c r="FP81" i="31" s="1"/>
  <c r="FO41" i="31"/>
  <c r="FQ53" i="31"/>
  <c r="FP51" i="31"/>
  <c r="FQ52" i="31" s="1"/>
  <c r="FP49" i="31"/>
  <c r="FO30" i="31"/>
  <c r="FQ50" i="31"/>
  <c r="FP48" i="31"/>
  <c r="FA38" i="31"/>
  <c r="FM34" i="31"/>
  <c r="FN31" i="31"/>
  <c r="DI36" i="31"/>
  <c r="DK29" i="31"/>
  <c r="FQ76" i="31" l="1"/>
  <c r="FP39" i="31"/>
  <c r="FR50" i="31"/>
  <c r="FQ48" i="31"/>
  <c r="FQ30" i="31" s="1"/>
  <c r="FR80" i="31"/>
  <c r="FQ78" i="31"/>
  <c r="FQ40" i="31" s="1"/>
  <c r="FR77" i="31"/>
  <c r="FQ75" i="31"/>
  <c r="FQ39" i="31" s="1"/>
  <c r="FR52" i="31"/>
  <c r="FQ82" i="31"/>
  <c r="FR82" i="31" s="1"/>
  <c r="FP41" i="31"/>
  <c r="FR83" i="31"/>
  <c r="FQ81" i="31"/>
  <c r="FQ41" i="31" s="1"/>
  <c r="FR53" i="31"/>
  <c r="FQ51" i="31"/>
  <c r="FQ31" i="31" s="1"/>
  <c r="FR74" i="31"/>
  <c r="FQ72" i="31"/>
  <c r="FQ38" i="31" s="1"/>
  <c r="FR73" i="31"/>
  <c r="FQ64" i="31"/>
  <c r="FR64" i="31" s="1"/>
  <c r="FP35" i="31"/>
  <c r="FQ49" i="31"/>
  <c r="FR49" i="31" s="1"/>
  <c r="FP30" i="31"/>
  <c r="FR65" i="31"/>
  <c r="FQ63" i="31"/>
  <c r="FQ35" i="31" s="1"/>
  <c r="FQ58" i="31"/>
  <c r="FP33" i="31"/>
  <c r="FQ68" i="31"/>
  <c r="FP66" i="31"/>
  <c r="FQ67" i="31" s="1"/>
  <c r="FR59" i="31"/>
  <c r="FQ57" i="31"/>
  <c r="FQ33" i="31" s="1"/>
  <c r="FR62" i="31"/>
  <c r="FQ60" i="31"/>
  <c r="FQ34" i="31" s="1"/>
  <c r="FQ55" i="31"/>
  <c r="FR55" i="31" s="1"/>
  <c r="FP32" i="31"/>
  <c r="FR71" i="31"/>
  <c r="FQ69" i="31"/>
  <c r="FQ37" i="31" s="1"/>
  <c r="FR61" i="31"/>
  <c r="FR56" i="31"/>
  <c r="FQ54" i="31"/>
  <c r="FQ32" i="31" s="1"/>
  <c r="FB40" i="31"/>
  <c r="FA37" i="31"/>
  <c r="ER42" i="31"/>
  <c r="FO31" i="31"/>
  <c r="C44" i="31"/>
  <c r="AZ24" i="25" s="1"/>
  <c r="BA24" i="25" s="1"/>
  <c r="FR58" i="31" l="1"/>
  <c r="FR76" i="31"/>
  <c r="FR70" i="31"/>
  <c r="FS77" i="31"/>
  <c r="FR75" i="31"/>
  <c r="FR39" i="31" s="1"/>
  <c r="FS65" i="31"/>
  <c r="FR63" i="31"/>
  <c r="FR35" i="31" s="1"/>
  <c r="FS62" i="31"/>
  <c r="FR60" i="31"/>
  <c r="FR34" i="31" s="1"/>
  <c r="FS59" i="31"/>
  <c r="FR57" i="31"/>
  <c r="FR33" i="31" s="1"/>
  <c r="FS80" i="31"/>
  <c r="FR78" i="31"/>
  <c r="FR40" i="31" s="1"/>
  <c r="FS74" i="31"/>
  <c r="FR72" i="31"/>
  <c r="FR38" i="31" s="1"/>
  <c r="FS71" i="31"/>
  <c r="FR69" i="31"/>
  <c r="FR37" i="31" s="1"/>
  <c r="FS50" i="31"/>
  <c r="FR48" i="31"/>
  <c r="FR30" i="31" s="1"/>
  <c r="FR68" i="31"/>
  <c r="FQ66" i="31"/>
  <c r="FQ36" i="31" s="1"/>
  <c r="FS56" i="31"/>
  <c r="FR54" i="31"/>
  <c r="FR32" i="31" s="1"/>
  <c r="FS53" i="31"/>
  <c r="FR51" i="31"/>
  <c r="FR31" i="31" s="1"/>
  <c r="FS83" i="31"/>
  <c r="FR81" i="31"/>
  <c r="FR41" i="31" s="1"/>
  <c r="FR79" i="31"/>
  <c r="FS79" i="31" s="1"/>
  <c r="FB38" i="31"/>
  <c r="FN34" i="31"/>
  <c r="DJ36" i="31"/>
  <c r="DL29" i="31"/>
  <c r="FS76" i="31" l="1"/>
  <c r="FS82" i="31"/>
  <c r="FS64" i="31"/>
  <c r="FS58" i="31"/>
  <c r="FR67" i="31"/>
  <c r="FT83" i="31"/>
  <c r="FS81" i="31"/>
  <c r="FT50" i="31"/>
  <c r="FT62" i="31"/>
  <c r="FS61" i="31"/>
  <c r="FS60" i="31" s="1"/>
  <c r="FT61" i="31" s="1"/>
  <c r="FS70" i="31"/>
  <c r="FS63" i="31"/>
  <c r="FT65" i="31"/>
  <c r="FT71" i="31"/>
  <c r="FS69" i="31"/>
  <c r="FT70" i="31" s="1"/>
  <c r="FS73" i="31"/>
  <c r="FT53" i="31"/>
  <c r="FS51" i="31"/>
  <c r="FT74" i="31"/>
  <c r="FS72" i="31"/>
  <c r="FT73" i="31" s="1"/>
  <c r="FT77" i="31"/>
  <c r="FS75" i="31"/>
  <c r="FT59" i="31"/>
  <c r="FS57" i="31"/>
  <c r="FT56" i="31"/>
  <c r="FS54" i="31"/>
  <c r="FS49" i="31"/>
  <c r="FS48" i="31" s="1"/>
  <c r="FT80" i="31"/>
  <c r="FS78" i="31"/>
  <c r="FT79" i="31" s="1"/>
  <c r="FS52" i="31"/>
  <c r="FS68" i="31"/>
  <c r="FR66" i="31"/>
  <c r="FS67" i="31" s="1"/>
  <c r="FS55" i="31"/>
  <c r="FE40" i="31"/>
  <c r="FB37" i="31"/>
  <c r="ES42" i="31"/>
  <c r="FP31" i="31"/>
  <c r="FU56" i="31" l="1"/>
  <c r="FT58" i="31"/>
  <c r="FS33" i="31"/>
  <c r="FU65" i="31"/>
  <c r="FT69" i="31"/>
  <c r="FU70" i="31" s="1"/>
  <c r="FU71" i="31"/>
  <c r="FT57" i="31"/>
  <c r="FU59" i="31"/>
  <c r="FT64" i="31"/>
  <c r="FT63" i="31" s="1"/>
  <c r="FS35" i="31"/>
  <c r="FT55" i="31"/>
  <c r="FT54" i="31" s="1"/>
  <c r="FS32" i="31"/>
  <c r="FT76" i="31"/>
  <c r="FS39" i="31"/>
  <c r="FT75" i="31"/>
  <c r="FU77" i="31"/>
  <c r="FU62" i="31"/>
  <c r="FT60" i="31"/>
  <c r="FU61" i="31" s="1"/>
  <c r="FT72" i="31"/>
  <c r="FU73" i="31" s="1"/>
  <c r="FU74" i="31"/>
  <c r="FT49" i="31"/>
  <c r="FT48" i="31" s="1"/>
  <c r="FS30" i="31"/>
  <c r="FT52" i="31"/>
  <c r="FU50" i="31"/>
  <c r="FT78" i="31"/>
  <c r="FU79" i="31" s="1"/>
  <c r="FU80" i="31"/>
  <c r="FT51" i="31"/>
  <c r="FU53" i="31"/>
  <c r="FT82" i="31"/>
  <c r="FT81" i="31" s="1"/>
  <c r="FS41" i="31"/>
  <c r="FT68" i="31"/>
  <c r="FS66" i="31"/>
  <c r="FT67" i="31" s="1"/>
  <c r="FU83" i="31"/>
  <c r="FE38" i="31"/>
  <c r="FO34" i="31"/>
  <c r="DK36" i="31"/>
  <c r="DN29" i="31"/>
  <c r="FU52" i="31" l="1"/>
  <c r="FV83" i="31"/>
  <c r="FV59" i="31"/>
  <c r="FU58" i="31"/>
  <c r="FU57" i="31" s="1"/>
  <c r="FT33" i="31"/>
  <c r="FU69" i="31"/>
  <c r="FV70" i="31" s="1"/>
  <c r="FV71" i="31"/>
  <c r="FV62" i="31"/>
  <c r="FU60" i="31"/>
  <c r="FV61" i="31" s="1"/>
  <c r="FV77" i="31"/>
  <c r="FU75" i="31"/>
  <c r="FU64" i="31"/>
  <c r="FT35" i="31"/>
  <c r="FT66" i="31"/>
  <c r="FU67" i="31" s="1"/>
  <c r="FU68" i="31"/>
  <c r="FU76" i="31"/>
  <c r="FT39" i="31"/>
  <c r="FV65" i="31"/>
  <c r="FU63" i="31"/>
  <c r="FU72" i="31"/>
  <c r="FV73" i="31" s="1"/>
  <c r="FV74" i="31"/>
  <c r="FV53" i="31"/>
  <c r="FU51" i="31"/>
  <c r="FV52" i="31" s="1"/>
  <c r="FV80" i="31"/>
  <c r="FU78" i="31"/>
  <c r="FV79" i="31" s="1"/>
  <c r="FU49" i="31"/>
  <c r="FU48" i="31" s="1"/>
  <c r="FT30" i="31"/>
  <c r="FV50" i="31"/>
  <c r="FU55" i="31"/>
  <c r="FT32" i="31"/>
  <c r="FU82" i="31"/>
  <c r="FU81" i="31" s="1"/>
  <c r="FT41" i="31"/>
  <c r="FV56" i="31"/>
  <c r="FU54" i="31"/>
  <c r="FF40" i="31"/>
  <c r="FE37" i="31"/>
  <c r="ET42" i="31"/>
  <c r="FS31" i="31"/>
  <c r="FV55" i="31" l="1"/>
  <c r="FU32" i="31"/>
  <c r="FV72" i="31"/>
  <c r="FW73" i="31" s="1"/>
  <c r="FW74" i="31"/>
  <c r="FV60" i="31"/>
  <c r="FW61" i="31" s="1"/>
  <c r="FW62" i="31"/>
  <c r="FV54" i="31"/>
  <c r="FW56" i="31"/>
  <c r="FV64" i="31"/>
  <c r="FU35" i="31"/>
  <c r="FV69" i="31"/>
  <c r="FW70" i="31" s="1"/>
  <c r="FW71" i="31"/>
  <c r="FV76" i="31"/>
  <c r="FU39" i="31"/>
  <c r="FV51" i="31"/>
  <c r="FW52" i="31" s="1"/>
  <c r="FW53" i="31"/>
  <c r="FV63" i="31"/>
  <c r="FW65" i="31"/>
  <c r="FW50" i="31"/>
  <c r="FV75" i="31"/>
  <c r="FW77" i="31"/>
  <c r="FV49" i="31"/>
  <c r="FV48" i="31" s="1"/>
  <c r="FU30" i="31"/>
  <c r="FU66" i="31"/>
  <c r="FV67" i="31" s="1"/>
  <c r="FV68" i="31"/>
  <c r="FV58" i="31"/>
  <c r="FV57" i="31" s="1"/>
  <c r="FU33" i="31"/>
  <c r="FW59" i="31"/>
  <c r="FW83" i="31"/>
  <c r="FV78" i="31"/>
  <c r="FW79" i="31" s="1"/>
  <c r="FW80" i="31"/>
  <c r="FV82" i="31"/>
  <c r="FV81" i="31" s="1"/>
  <c r="FU41" i="31"/>
  <c r="FF38" i="31"/>
  <c r="FP34" i="31"/>
  <c r="DL36" i="31"/>
  <c r="DN36" i="31"/>
  <c r="DO29" i="31"/>
  <c r="FX80" i="31" l="1"/>
  <c r="FW78" i="31"/>
  <c r="FX79" i="31" s="1"/>
  <c r="FW75" i="31"/>
  <c r="FX77" i="31"/>
  <c r="FW76" i="31"/>
  <c r="FV39" i="31"/>
  <c r="FX50" i="31"/>
  <c r="FX56" i="31"/>
  <c r="FW54" i="31"/>
  <c r="FW81" i="31"/>
  <c r="FX83" i="31"/>
  <c r="FW82" i="31"/>
  <c r="FV41" i="31"/>
  <c r="FW49" i="31"/>
  <c r="FW48" i="31" s="1"/>
  <c r="FW30" i="31" s="1"/>
  <c r="FV30" i="31"/>
  <c r="FW55" i="31"/>
  <c r="FV32" i="31"/>
  <c r="FX65" i="31"/>
  <c r="FW60" i="31"/>
  <c r="FX61" i="31" s="1"/>
  <c r="FX62" i="31"/>
  <c r="FX71" i="31"/>
  <c r="FW69" i="31"/>
  <c r="FX70" i="31" s="1"/>
  <c r="FW64" i="31"/>
  <c r="FW63" i="31" s="1"/>
  <c r="FV35" i="31"/>
  <c r="FW57" i="31"/>
  <c r="FX59" i="31"/>
  <c r="FW58" i="31"/>
  <c r="FV33" i="31"/>
  <c r="FW51" i="31"/>
  <c r="FX52" i="31" s="1"/>
  <c r="FX53" i="31"/>
  <c r="FW72" i="31"/>
  <c r="FX73" i="31" s="1"/>
  <c r="FX74" i="31"/>
  <c r="FV66" i="31"/>
  <c r="FW67" i="31" s="1"/>
  <c r="FW68" i="31"/>
  <c r="FG40" i="31"/>
  <c r="FF37" i="31"/>
  <c r="FT31" i="31"/>
  <c r="FW66" i="31" l="1"/>
  <c r="FX67" i="31" s="1"/>
  <c r="FX68" i="31"/>
  <c r="FY74" i="31"/>
  <c r="FX72" i="31"/>
  <c r="FX38" i="31" s="1"/>
  <c r="FY62" i="31"/>
  <c r="FX60" i="31"/>
  <c r="FX34" i="31" s="1"/>
  <c r="FX55" i="31"/>
  <c r="FW32" i="31"/>
  <c r="FY61" i="31"/>
  <c r="FY56" i="31"/>
  <c r="FX54" i="31"/>
  <c r="FX32" i="31" s="1"/>
  <c r="FY73" i="31"/>
  <c r="FY53" i="31"/>
  <c r="FX51" i="31"/>
  <c r="FX31" i="31" s="1"/>
  <c r="FX49" i="31"/>
  <c r="FY49" i="31" s="1"/>
  <c r="FY52" i="31"/>
  <c r="FY50" i="31"/>
  <c r="FX48" i="31"/>
  <c r="FX30" i="31" s="1"/>
  <c r="FY65" i="31"/>
  <c r="FX63" i="31"/>
  <c r="FX35" i="31" s="1"/>
  <c r="FX64" i="31"/>
  <c r="FY64" i="31" s="1"/>
  <c r="FW35" i="31"/>
  <c r="FX82" i="31"/>
  <c r="FY82" i="31" s="1"/>
  <c r="FW41" i="31"/>
  <c r="FY83" i="31"/>
  <c r="FX81" i="31"/>
  <c r="FX41" i="31" s="1"/>
  <c r="FY59" i="31"/>
  <c r="FX57" i="31"/>
  <c r="FX33" i="31" s="1"/>
  <c r="FY77" i="31"/>
  <c r="FX75" i="31"/>
  <c r="FX39" i="31" s="1"/>
  <c r="FX58" i="31"/>
  <c r="FY58" i="31" s="1"/>
  <c r="FW33" i="31"/>
  <c r="FX76" i="31"/>
  <c r="FY76" i="31" s="1"/>
  <c r="FW39" i="31"/>
  <c r="FY71" i="31"/>
  <c r="FX69" i="31"/>
  <c r="FX37" i="31" s="1"/>
  <c r="FY80" i="31"/>
  <c r="FX78" i="31"/>
  <c r="FX40" i="31" s="1"/>
  <c r="FG38" i="31"/>
  <c r="FS34" i="31"/>
  <c r="DP29" i="31"/>
  <c r="FZ64" i="31" l="1"/>
  <c r="FZ56" i="31"/>
  <c r="FY54" i="31"/>
  <c r="FY32" i="31" s="1"/>
  <c r="FZ65" i="31"/>
  <c r="FY63" i="31"/>
  <c r="FY35" i="31" s="1"/>
  <c r="FY70" i="31"/>
  <c r="FY55" i="31"/>
  <c r="FZ55" i="31" s="1"/>
  <c r="FZ77" i="31"/>
  <c r="FY75" i="31"/>
  <c r="FY39" i="31" s="1"/>
  <c r="FZ71" i="31"/>
  <c r="FY69" i="31"/>
  <c r="FY37" i="31" s="1"/>
  <c r="FZ50" i="31"/>
  <c r="FY48" i="31"/>
  <c r="FY30" i="31" s="1"/>
  <c r="FZ62" i="31"/>
  <c r="FY60" i="31"/>
  <c r="FY34" i="31" s="1"/>
  <c r="FZ59" i="31"/>
  <c r="FY57" i="31"/>
  <c r="FY33" i="31" s="1"/>
  <c r="FZ74" i="31"/>
  <c r="FY72" i="31"/>
  <c r="FY38" i="31" s="1"/>
  <c r="FZ80" i="31"/>
  <c r="FY78" i="31"/>
  <c r="FY40" i="31" s="1"/>
  <c r="FY79" i="31"/>
  <c r="FZ79" i="31" s="1"/>
  <c r="FZ83" i="31"/>
  <c r="FY81" i="31"/>
  <c r="FY41" i="31" s="1"/>
  <c r="FY68" i="31"/>
  <c r="FX66" i="31"/>
  <c r="FX36" i="31" s="1"/>
  <c r="FZ53" i="31"/>
  <c r="FY51" i="31"/>
  <c r="FY31" i="31" s="1"/>
  <c r="FY67" i="31"/>
  <c r="FH40" i="31"/>
  <c r="FG37" i="31"/>
  <c r="FU31" i="31"/>
  <c r="FZ49" i="31" l="1"/>
  <c r="FZ52" i="31"/>
  <c r="FZ76" i="31"/>
  <c r="FZ70" i="31"/>
  <c r="GA59" i="31"/>
  <c r="FZ82" i="31"/>
  <c r="FZ68" i="31"/>
  <c r="FY66" i="31"/>
  <c r="GA62" i="31"/>
  <c r="GA65" i="31"/>
  <c r="FZ63" i="31"/>
  <c r="FZ67" i="31"/>
  <c r="FZ51" i="31"/>
  <c r="GA52" i="31" s="1"/>
  <c r="GA53" i="31"/>
  <c r="FZ81" i="31"/>
  <c r="GA83" i="31"/>
  <c r="FZ58" i="31"/>
  <c r="FZ57" i="31" s="1"/>
  <c r="GA74" i="31"/>
  <c r="GA50" i="31"/>
  <c r="FZ48" i="31"/>
  <c r="FZ61" i="31"/>
  <c r="FZ60" i="31" s="1"/>
  <c r="FZ73" i="31"/>
  <c r="FZ72" i="31" s="1"/>
  <c r="GA73" i="31" s="1"/>
  <c r="GA80" i="31"/>
  <c r="FZ78" i="31"/>
  <c r="GA79" i="31" s="1"/>
  <c r="GA71" i="31"/>
  <c r="FZ69" i="31"/>
  <c r="GA70" i="31" s="1"/>
  <c r="FZ54" i="31"/>
  <c r="GA56" i="31"/>
  <c r="FZ75" i="31"/>
  <c r="GA77" i="31"/>
  <c r="FH38" i="31"/>
  <c r="FT34" i="31"/>
  <c r="DO36" i="31"/>
  <c r="GB80" i="31" l="1"/>
  <c r="GA78" i="31"/>
  <c r="GB79" i="31" s="1"/>
  <c r="GA64" i="31"/>
  <c r="GA63" i="31" s="1"/>
  <c r="FZ35" i="31"/>
  <c r="GB65" i="31"/>
  <c r="GA49" i="31"/>
  <c r="GA48" i="31" s="1"/>
  <c r="FZ30" i="31"/>
  <c r="GB62" i="31"/>
  <c r="GA60" i="31"/>
  <c r="GA69" i="31"/>
  <c r="GB70" i="31" s="1"/>
  <c r="GB71" i="31"/>
  <c r="GB50" i="31"/>
  <c r="GA61" i="31"/>
  <c r="GA51" i="31"/>
  <c r="GB52" i="31" s="1"/>
  <c r="GB53" i="31"/>
  <c r="GB77" i="31"/>
  <c r="GB74" i="31"/>
  <c r="GA72" i="31"/>
  <c r="GB73" i="31" s="1"/>
  <c r="GA68" i="31"/>
  <c r="FZ66" i="31"/>
  <c r="GA67" i="31" s="1"/>
  <c r="GB56" i="31"/>
  <c r="GA76" i="31"/>
  <c r="GA75" i="31" s="1"/>
  <c r="FZ39" i="31"/>
  <c r="GA55" i="31"/>
  <c r="GA54" i="31" s="1"/>
  <c r="FZ32" i="31"/>
  <c r="GB83" i="31"/>
  <c r="GB59" i="31"/>
  <c r="GA82" i="31"/>
  <c r="GA81" i="31" s="1"/>
  <c r="FZ41" i="31"/>
  <c r="GA58" i="31"/>
  <c r="GA57" i="31" s="1"/>
  <c r="FZ33" i="31"/>
  <c r="FI40" i="31"/>
  <c r="FH37" i="31"/>
  <c r="FV31" i="31"/>
  <c r="GA66" i="31" l="1"/>
  <c r="GB67" i="31" s="1"/>
  <c r="GB68" i="31"/>
  <c r="GB61" i="31"/>
  <c r="GB60" i="31"/>
  <c r="GC61" i="31" s="1"/>
  <c r="GC62" i="31"/>
  <c r="GC59" i="31"/>
  <c r="GB72" i="31"/>
  <c r="GC73" i="31" s="1"/>
  <c r="GC74" i="31"/>
  <c r="GB75" i="31"/>
  <c r="GC77" i="31"/>
  <c r="GB81" i="31"/>
  <c r="GC83" i="31"/>
  <c r="GB82" i="31"/>
  <c r="GA41" i="31"/>
  <c r="GC65" i="31"/>
  <c r="GB58" i="31"/>
  <c r="GB57" i="31" s="1"/>
  <c r="GA33" i="31"/>
  <c r="GB76" i="31"/>
  <c r="GA39" i="31"/>
  <c r="GC53" i="31"/>
  <c r="GB51" i="31"/>
  <c r="GC52" i="31" s="1"/>
  <c r="GB64" i="31"/>
  <c r="GB63" i="31" s="1"/>
  <c r="GA35" i="31"/>
  <c r="GB69" i="31"/>
  <c r="GC70" i="31" s="1"/>
  <c r="GC71" i="31"/>
  <c r="GC50" i="31"/>
  <c r="GC56" i="31"/>
  <c r="GB55" i="31"/>
  <c r="GB54" i="31" s="1"/>
  <c r="GA32" i="31"/>
  <c r="GB49" i="31"/>
  <c r="GB48" i="31" s="1"/>
  <c r="GA30" i="31"/>
  <c r="GB78" i="31"/>
  <c r="GC79" i="31" s="1"/>
  <c r="GC80" i="31"/>
  <c r="FI38" i="31"/>
  <c r="FU34" i="31"/>
  <c r="DP36" i="31"/>
  <c r="GC49" i="31" l="1"/>
  <c r="GB30" i="31"/>
  <c r="GC51" i="31"/>
  <c r="GD52" i="31" s="1"/>
  <c r="GD53" i="31"/>
  <c r="GC76" i="31"/>
  <c r="GB39" i="31"/>
  <c r="GD77" i="31"/>
  <c r="GC75" i="31"/>
  <c r="GC72" i="31"/>
  <c r="GD73" i="31" s="1"/>
  <c r="GD74" i="31"/>
  <c r="GC82" i="31"/>
  <c r="GC81" i="31" s="1"/>
  <c r="GB41" i="31"/>
  <c r="GD56" i="31"/>
  <c r="GD59" i="31"/>
  <c r="GC55" i="31"/>
  <c r="GC54" i="31" s="1"/>
  <c r="GB32" i="31"/>
  <c r="GC58" i="31"/>
  <c r="GC57" i="31" s="1"/>
  <c r="GB33" i="31"/>
  <c r="GC64" i="31"/>
  <c r="GC63" i="31" s="1"/>
  <c r="GB35" i="31"/>
  <c r="GD62" i="31"/>
  <c r="GC60" i="31"/>
  <c r="GD61" i="31" s="1"/>
  <c r="GD65" i="31"/>
  <c r="GD50" i="31"/>
  <c r="GC48" i="31"/>
  <c r="GD49" i="31" s="1"/>
  <c r="GD71" i="31"/>
  <c r="GC69" i="31"/>
  <c r="GD70" i="31" s="1"/>
  <c r="GC68" i="31"/>
  <c r="GB66" i="31"/>
  <c r="GC67" i="31" s="1"/>
  <c r="GD80" i="31"/>
  <c r="GC78" i="31"/>
  <c r="GD79" i="31" s="1"/>
  <c r="GD83" i="31"/>
  <c r="FL40" i="31"/>
  <c r="FI37" i="31"/>
  <c r="FW31" i="31"/>
  <c r="DQ29" i="31"/>
  <c r="GD55" i="31" l="1"/>
  <c r="GC32" i="31"/>
  <c r="GE65" i="31"/>
  <c r="GE56" i="31"/>
  <c r="GD54" i="31"/>
  <c r="GD60" i="31"/>
  <c r="GE61" i="31" s="1"/>
  <c r="GE62" i="31"/>
  <c r="GD72" i="31"/>
  <c r="GE73" i="31" s="1"/>
  <c r="GE74" i="31"/>
  <c r="GD76" i="31"/>
  <c r="GD75" i="31" s="1"/>
  <c r="GC39" i="31"/>
  <c r="GD64" i="31"/>
  <c r="GD63" i="31" s="1"/>
  <c r="GC35" i="31"/>
  <c r="GD82" i="31"/>
  <c r="GC41" i="31"/>
  <c r="GE77" i="31"/>
  <c r="GD68" i="31"/>
  <c r="GC66" i="31"/>
  <c r="GD67" i="31" s="1"/>
  <c r="GD81" i="31"/>
  <c r="GE83" i="31"/>
  <c r="GD69" i="31"/>
  <c r="GE70" i="31" s="1"/>
  <c r="GE71" i="31"/>
  <c r="GE80" i="31"/>
  <c r="GD78" i="31"/>
  <c r="GE79" i="31" s="1"/>
  <c r="GD58" i="31"/>
  <c r="GC33" i="31"/>
  <c r="GE53" i="31"/>
  <c r="GD51" i="31"/>
  <c r="GE52" i="31" s="1"/>
  <c r="GE50" i="31"/>
  <c r="GD48" i="31"/>
  <c r="GE49" i="31" s="1"/>
  <c r="GE59" i="31"/>
  <c r="GD57" i="31"/>
  <c r="FL38" i="31"/>
  <c r="FV34" i="31"/>
  <c r="GC30" i="31"/>
  <c r="DQ36" i="31"/>
  <c r="GE58" i="31" l="1"/>
  <c r="GD33" i="31"/>
  <c r="GF83" i="31"/>
  <c r="GF81" i="31" s="1"/>
  <c r="GF41" i="31" s="1"/>
  <c r="GE81" i="31"/>
  <c r="GE41" i="31" s="1"/>
  <c r="GF74" i="31"/>
  <c r="GF72" i="31" s="1"/>
  <c r="GF38" i="31" s="1"/>
  <c r="GE72" i="31"/>
  <c r="GE38" i="31" s="1"/>
  <c r="GF73" i="31"/>
  <c r="GF62" i="31"/>
  <c r="GF60" i="31" s="1"/>
  <c r="GF34" i="31" s="1"/>
  <c r="GE60" i="31"/>
  <c r="GE34" i="31" s="1"/>
  <c r="GF59" i="31"/>
  <c r="GF57" i="31" s="1"/>
  <c r="GF33" i="31" s="1"/>
  <c r="GE57" i="31"/>
  <c r="GE33" i="31" s="1"/>
  <c r="GF61" i="31"/>
  <c r="GE76" i="31"/>
  <c r="GD39" i="31"/>
  <c r="GE55" i="31"/>
  <c r="GD32" i="31"/>
  <c r="GF71" i="31"/>
  <c r="GF69" i="31" s="1"/>
  <c r="GF37" i="31" s="1"/>
  <c r="GE69" i="31"/>
  <c r="GE37" i="31" s="1"/>
  <c r="GF50" i="31"/>
  <c r="GF48" i="31" s="1"/>
  <c r="GF30" i="31" s="1"/>
  <c r="GE48" i="31"/>
  <c r="GE30" i="31" s="1"/>
  <c r="GF77" i="31"/>
  <c r="GF75" i="31" s="1"/>
  <c r="GF39" i="31" s="1"/>
  <c r="GE75" i="31"/>
  <c r="GE39" i="31" s="1"/>
  <c r="GF56" i="31"/>
  <c r="GF54" i="31" s="1"/>
  <c r="GF32" i="31" s="1"/>
  <c r="GE54" i="31"/>
  <c r="GE32" i="31" s="1"/>
  <c r="GE68" i="31"/>
  <c r="GD66" i="31"/>
  <c r="GE67" i="31" s="1"/>
  <c r="GF53" i="31"/>
  <c r="GF51" i="31" s="1"/>
  <c r="GF31" i="31" s="1"/>
  <c r="GE51" i="31"/>
  <c r="GE31" i="31" s="1"/>
  <c r="GF65" i="31"/>
  <c r="GF63" i="31" s="1"/>
  <c r="GF35" i="31" s="1"/>
  <c r="GE63" i="31"/>
  <c r="GE35" i="31" s="1"/>
  <c r="GE82" i="31"/>
  <c r="GF82" i="31" s="1"/>
  <c r="GD41" i="31"/>
  <c r="C41" i="31" s="1"/>
  <c r="BF140" i="4" s="1"/>
  <c r="BG140" i="4" s="1"/>
  <c r="GE64" i="31"/>
  <c r="GF64" i="31" s="1"/>
  <c r="GD35" i="31"/>
  <c r="GF49" i="31"/>
  <c r="GF80" i="31"/>
  <c r="GF78" i="31" s="1"/>
  <c r="GF40" i="31" s="1"/>
  <c r="GE78" i="31"/>
  <c r="GE40" i="31" s="1"/>
  <c r="FM40" i="31"/>
  <c r="FL37" i="31"/>
  <c r="FZ31" i="31"/>
  <c r="DR29" i="31"/>
  <c r="C35" i="31" l="1"/>
  <c r="BF131" i="4" s="1"/>
  <c r="BG131" i="4" s="1"/>
  <c r="GF55" i="31"/>
  <c r="GF52" i="31"/>
  <c r="GF70" i="31"/>
  <c r="C32" i="31"/>
  <c r="BF128" i="4" s="1"/>
  <c r="BG128" i="4" s="1"/>
  <c r="C39" i="31"/>
  <c r="BF138" i="4" s="1"/>
  <c r="BG138" i="4" s="1"/>
  <c r="GF68" i="31"/>
  <c r="GF66" i="31" s="1"/>
  <c r="GE66" i="31"/>
  <c r="GE36" i="31" s="1"/>
  <c r="GF76" i="31"/>
  <c r="GF79" i="31"/>
  <c r="C33" i="31"/>
  <c r="BF129" i="4" s="1"/>
  <c r="BG129" i="4" s="1"/>
  <c r="GF58" i="31"/>
  <c r="FM38" i="31"/>
  <c r="FW34" i="31"/>
  <c r="GD30" i="31"/>
  <c r="C30" i="31" s="1"/>
  <c r="BF125" i="4" s="1"/>
  <c r="BG125" i="4" s="1"/>
  <c r="DR36" i="31"/>
  <c r="GF67" i="31" l="1"/>
  <c r="FN40" i="31"/>
  <c r="FM37" i="31"/>
  <c r="GA31" i="31"/>
  <c r="DS29" i="31"/>
  <c r="FN38" i="31" l="1"/>
  <c r="FZ34" i="31"/>
  <c r="DS36" i="31"/>
  <c r="FO40" i="31" l="1"/>
  <c r="FN37" i="31"/>
  <c r="GB31" i="31"/>
  <c r="DU29" i="31"/>
  <c r="FO38" i="31" l="1"/>
  <c r="GA34" i="31"/>
  <c r="DU36" i="31"/>
  <c r="FP40" i="31" l="1"/>
  <c r="FO37" i="31"/>
  <c r="GC31" i="31"/>
  <c r="DV29" i="31"/>
  <c r="FP38" i="31" l="1"/>
  <c r="GB34" i="31"/>
  <c r="DV36" i="31"/>
  <c r="FS40" i="31" l="1"/>
  <c r="FP37" i="31"/>
  <c r="GD31" i="31"/>
  <c r="DW29" i="31"/>
  <c r="FS38" i="31" l="1"/>
  <c r="GC34" i="31"/>
  <c r="C31" i="31"/>
  <c r="BF126" i="4" s="1"/>
  <c r="BG126" i="4" s="1"/>
  <c r="DW36" i="31"/>
  <c r="FT40" i="31" l="1"/>
  <c r="FS37" i="31"/>
  <c r="DX29" i="31"/>
  <c r="FT38" i="31" l="1"/>
  <c r="GD34" i="31"/>
  <c r="C34" i="31" s="1"/>
  <c r="BF130" i="4" s="1"/>
  <c r="BG130" i="4" s="1"/>
  <c r="DX36" i="31"/>
  <c r="FU40" i="31" l="1"/>
  <c r="FT37" i="31"/>
  <c r="DY29" i="31"/>
  <c r="FU38" i="31" l="1"/>
  <c r="DY36" i="31"/>
  <c r="FV40" i="31" l="1"/>
  <c r="FU37" i="31"/>
  <c r="DZ29" i="31"/>
  <c r="FV38" i="31" l="1"/>
  <c r="DZ36" i="31"/>
  <c r="FW40" i="31" l="1"/>
  <c r="FV37" i="31"/>
  <c r="EB29" i="31"/>
  <c r="FW38" i="31" l="1"/>
  <c r="EB36" i="31"/>
  <c r="FZ40" i="31" l="1"/>
  <c r="FW37" i="31"/>
  <c r="EC29" i="31"/>
  <c r="FZ38" i="31" l="1"/>
  <c r="EC36" i="31"/>
  <c r="GA40" i="31" l="1"/>
  <c r="FZ37" i="31"/>
  <c r="ED29" i="31"/>
  <c r="GA38" i="31" l="1"/>
  <c r="ED36" i="31"/>
  <c r="C42" i="31"/>
  <c r="AZ22" i="25" s="1"/>
  <c r="GB40" i="31" l="1"/>
  <c r="GA37" i="31"/>
  <c r="EE29" i="31"/>
  <c r="BA22" i="25"/>
  <c r="GB38" i="31" l="1"/>
  <c r="EE36" i="31"/>
  <c r="GC40" i="31" l="1"/>
  <c r="GB37" i="31"/>
  <c r="EF29" i="31"/>
  <c r="GC38" i="31" l="1"/>
  <c r="EF36" i="31"/>
  <c r="GD40" i="31" l="1"/>
  <c r="C40" i="31" s="1"/>
  <c r="BF139" i="4" s="1"/>
  <c r="BG139" i="4" s="1"/>
  <c r="GC37" i="31"/>
  <c r="EG29" i="31"/>
  <c r="GD38" i="31" l="1"/>
  <c r="C38" i="31" s="1"/>
  <c r="BF137" i="4" s="1"/>
  <c r="BG137" i="4" s="1"/>
  <c r="EG36" i="31"/>
  <c r="GD37" i="31" l="1"/>
  <c r="C37" i="31" s="1"/>
  <c r="BF136" i="4" s="1"/>
  <c r="BG136" i="4" s="1"/>
  <c r="EI29" i="31"/>
  <c r="EI36" i="31" l="1"/>
  <c r="EJ29" i="31" l="1"/>
  <c r="EJ36" i="31" l="1"/>
  <c r="EK29" i="31" l="1"/>
  <c r="EK36" i="31" l="1"/>
  <c r="EL29" i="31" l="1"/>
  <c r="EL36" i="31" l="1"/>
  <c r="EM29" i="31" l="1"/>
  <c r="EM36" i="31" l="1"/>
  <c r="EN29" i="31" l="1"/>
  <c r="EN36" i="31" l="1"/>
  <c r="EP29" i="31" l="1"/>
  <c r="EP36" i="31" l="1"/>
  <c r="EQ29" i="31" l="1"/>
  <c r="EQ36" i="31" l="1"/>
  <c r="ER29" i="31" l="1"/>
  <c r="ER36" i="31" l="1"/>
  <c r="ES29" i="31" l="1"/>
  <c r="ES36" i="31" l="1"/>
  <c r="ET29" i="31" l="1"/>
  <c r="ET36" i="31" l="1"/>
  <c r="EU29" i="31" l="1"/>
  <c r="EU36" i="31" l="1"/>
  <c r="EW36" i="31" l="1"/>
  <c r="EX29" i="31" l="1"/>
  <c r="EX36" i="31" l="1"/>
  <c r="EY29" i="31" l="1"/>
  <c r="EY36" i="31" l="1"/>
  <c r="EZ29" i="31" l="1"/>
  <c r="EZ36" i="31" l="1"/>
  <c r="FA29" i="31" l="1"/>
  <c r="FA36" i="31" l="1"/>
  <c r="FB29" i="31" l="1"/>
  <c r="FB36" i="31" l="1"/>
  <c r="FD36" i="31" l="1"/>
  <c r="FE29" i="31" l="1"/>
  <c r="FE36" i="31" l="1"/>
  <c r="FF29" i="31" l="1"/>
  <c r="FF36" i="31" l="1"/>
  <c r="FG29" i="31" l="1"/>
  <c r="FG36" i="31" l="1"/>
  <c r="FH29" i="31" l="1"/>
  <c r="FH36" i="31" l="1"/>
  <c r="FI29" i="31" l="1"/>
  <c r="FI36" i="31" l="1"/>
  <c r="FK36" i="31" l="1"/>
  <c r="FL29" i="31" l="1"/>
  <c r="FL36" i="31" l="1"/>
  <c r="FM29" i="31" l="1"/>
  <c r="FM36" i="31" l="1"/>
  <c r="FN29" i="31" l="1"/>
  <c r="FN36" i="31" l="1"/>
  <c r="FO29" i="31" l="1"/>
  <c r="FO36" i="31" l="1"/>
  <c r="FP29" i="31" l="1"/>
  <c r="FP36" i="31" l="1"/>
  <c r="FR36" i="31" l="1"/>
  <c r="FS29" i="31" l="1"/>
  <c r="FS36" i="31" l="1"/>
  <c r="FT29" i="31" l="1"/>
  <c r="FT36" i="31" l="1"/>
  <c r="FU29" i="31" l="1"/>
  <c r="FU36" i="31" l="1"/>
  <c r="FV29" i="31" l="1"/>
  <c r="FV36" i="31" l="1"/>
  <c r="FW29" i="31" l="1"/>
  <c r="FW36" i="31" l="1"/>
  <c r="FY36" i="31" l="1"/>
  <c r="FZ29" i="31" l="1"/>
  <c r="FZ36" i="31" l="1"/>
  <c r="GA29" i="31" l="1"/>
  <c r="GA36" i="31" l="1"/>
  <c r="GB29" i="31" l="1"/>
  <c r="GB36" i="31" l="1"/>
  <c r="GC29" i="31" l="1"/>
  <c r="GC36" i="31" l="1"/>
  <c r="GD29" i="31" l="1"/>
  <c r="C29" i="31" s="1"/>
  <c r="BF124" i="4" l="1"/>
  <c r="BG124" i="4" s="1"/>
  <c r="GD36" i="31"/>
  <c r="GF36" i="31" l="1"/>
  <c r="C36" i="31" s="1"/>
  <c r="BF134" i="4" s="1"/>
  <c r="AL14" i="25"/>
  <c r="BG134" i="4" l="1"/>
  <c r="AK14" i="25"/>
  <c r="AS120" i="25" s="1"/>
  <c r="AT119" i="25" s="1"/>
  <c r="P14" i="25" l="1"/>
  <c r="AN26" i="29" s="1"/>
  <c r="AN29" i="29" s="1"/>
  <c r="AN79" i="29" s="1"/>
  <c r="AN80" i="29" s="1"/>
  <c r="AN14" i="25"/>
  <c r="AO26" i="29"/>
  <c r="Q14" i="25"/>
  <c r="AO29" i="29" l="1"/>
  <c r="P52" i="12"/>
  <c r="O52" i="12"/>
  <c r="AO80" i="29" l="1"/>
  <c r="B69" i="29" l="1"/>
  <c r="B31" i="29"/>
  <c r="B25" i="29"/>
  <c r="AO79" i="29"/>
  <c r="O33" i="12" l="1"/>
  <c r="Q2" i="25"/>
  <c r="P33" i="12"/>
  <c r="AA74" i="29"/>
  <c r="AG74" i="29" s="1"/>
  <c r="AU25" i="25" s="1"/>
  <c r="AE33" i="12" l="1"/>
  <c r="D10" i="1"/>
  <c r="S10" i="1"/>
  <c r="S13" i="1" s="1"/>
  <c r="E10" i="1" l="1"/>
  <c r="F10" i="1" s="1"/>
  <c r="G13" i="2" s="1"/>
  <c r="G19" i="2" s="1"/>
  <c r="I10" i="1"/>
  <c r="C10" i="1"/>
  <c r="G10" i="1" s="1"/>
  <c r="N10" i="1"/>
  <c r="K33" i="12" s="1"/>
  <c r="AI33" i="12" s="1"/>
  <c r="H10" i="1"/>
  <c r="P10" i="1"/>
  <c r="M33" i="12" s="1"/>
  <c r="AJ33" i="12" s="1"/>
  <c r="L10" i="1"/>
  <c r="I33" i="12" s="1"/>
  <c r="AH33" i="12" s="1"/>
  <c r="J10" i="1" l="1"/>
  <c r="J13" i="1" s="1"/>
  <c r="AG33" i="12"/>
  <c r="AF33" i="12"/>
  <c r="I4" i="2" s="1"/>
  <c r="C13" i="2"/>
  <c r="AE12" i="12" l="1"/>
  <c r="C14" i="18"/>
  <c r="D14" i="18"/>
  <c r="E14" i="18"/>
  <c r="C19" i="2"/>
  <c r="E13" i="2"/>
  <c r="AN52" i="3" l="1"/>
  <c r="F38" i="12"/>
  <c r="E19" i="2"/>
  <c r="F13" i="2"/>
  <c r="O45" i="12" l="1"/>
  <c r="O47" i="12" s="1"/>
  <c r="G38" i="12"/>
  <c r="P45" i="12" s="1"/>
  <c r="H13" i="2"/>
  <c r="F19" i="2"/>
  <c r="AE45" i="12" l="1"/>
  <c r="P47" i="12"/>
  <c r="F42" i="12"/>
  <c r="G42" i="12" s="1"/>
  <c r="I13" i="2"/>
  <c r="H19" i="2"/>
  <c r="J13" i="2" l="1"/>
  <c r="I19" i="2"/>
  <c r="M14" i="2" l="1"/>
  <c r="N19" i="2" s="1"/>
  <c r="J19" i="2"/>
  <c r="M20" i="2" l="1"/>
  <c r="H20" i="3" s="1"/>
  <c r="M20" i="3"/>
  <c r="A20" i="17" l="1"/>
  <c r="H22" i="3"/>
  <c r="A19"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AU51" authorId="0" shapeId="0" xr:uid="{794C52A4-A84F-45C8-AFC1-22703D6E7EB2}">
      <text>
        <r>
          <rPr>
            <b/>
            <sz val="14"/>
            <color indexed="81"/>
            <rFont val="游ゴシック"/>
            <family val="3"/>
            <charset val="128"/>
            <scheme val="minor"/>
          </rPr>
          <t>発熱外来患者が０人の日を除いた診療日数が表示されます。</t>
        </r>
      </text>
    </comment>
    <comment ref="AU52" authorId="0" shapeId="0" xr:uid="{C0DFE068-DB9F-4F3B-BFB1-F30CE45D1866}">
      <text>
        <r>
          <rPr>
            <b/>
            <sz val="14"/>
            <color indexed="81"/>
            <rFont val="游ゴシック"/>
            <family val="3"/>
            <charset val="128"/>
            <scheme val="minor"/>
          </rPr>
          <t>患者数はそれぞれ、
・申請日以前については実績値
・申請日以降については見込値
を入力してください。</t>
        </r>
      </text>
    </comment>
    <comment ref="AU56" authorId="0" shapeId="0" xr:uid="{7E62E1CE-370B-43F0-B0BF-57478626D867}">
      <text>
        <r>
          <rPr>
            <b/>
            <sz val="14"/>
            <color indexed="81"/>
            <rFont val="游ゴシック"/>
            <family val="3"/>
            <charset val="128"/>
            <scheme val="minor"/>
          </rPr>
          <t>常勤換算数については、配置職員の勤務時間の合計を月間の平均診療時間数×医師及び看護師の平均配置員数で除した値が表示されます。</t>
        </r>
      </text>
    </comment>
    <comment ref="AF83" authorId="0" shapeId="0" xr:uid="{8747174D-A136-4D0B-8125-FC39FD12A701}">
      <text>
        <r>
          <rPr>
            <b/>
            <sz val="14"/>
            <color indexed="81"/>
            <rFont val="游ゴシック"/>
            <family val="3"/>
            <charset val="128"/>
            <scheme val="minor"/>
          </rPr>
          <t>その他マスクについては、シールド付き及びN95、ハイラックマスク以外のマスク（サージカル、不織布等）のマスクの使用枚数を入力してください。</t>
        </r>
      </text>
    </comment>
    <comment ref="AF86" authorId="0" shapeId="0" xr:uid="{A9F52389-D9C4-47AC-A344-B3292951F83E}">
      <text>
        <r>
          <rPr>
            <b/>
            <sz val="14"/>
            <color indexed="81"/>
            <rFont val="游ゴシック"/>
            <family val="3"/>
            <charset val="128"/>
            <scheme val="minor"/>
          </rPr>
          <t>アイガード付マスクの使用枚数を入力してください。</t>
        </r>
      </text>
    </comment>
    <comment ref="AF89" authorId="0" shapeId="0" xr:uid="{50142123-A137-4A36-98E2-FE3362C0D4A1}">
      <text>
        <r>
          <rPr>
            <b/>
            <sz val="14"/>
            <color indexed="81"/>
            <rFont val="游ゴシック"/>
            <family val="3"/>
            <charset val="128"/>
            <scheme val="minor"/>
          </rPr>
          <t>N95、ハイラックマスクについては、「３．配置情報」で入力いただいた咳症状等を有する患者数に基づき目安の所要枚数が表示されます。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AQ49" authorId="0" shapeId="0" xr:uid="{792C2ED2-EFAB-4E7A-9272-02557363B517}">
      <text>
        <r>
          <rPr>
            <b/>
            <sz val="14"/>
            <color indexed="81"/>
            <rFont val="游ゴシック"/>
            <family val="3"/>
            <charset val="128"/>
            <scheme val="minor"/>
          </rPr>
          <t>診療日数及び、発熱外来患者合計数のいずれか少ない値が表示されます。</t>
        </r>
      </text>
    </comment>
    <comment ref="AQ50" authorId="0" shapeId="0" xr:uid="{2005CF28-5DE2-40BA-8CF2-A6E2B7EDD7FD}">
      <text>
        <r>
          <rPr>
            <b/>
            <sz val="14"/>
            <color indexed="81"/>
            <rFont val="游ゴシック"/>
            <family val="3"/>
            <charset val="128"/>
            <scheme val="minor"/>
          </rPr>
          <t>患者数はそれぞれ、
・申請日以前については実績値
・申請日以降については見込値
を入力してください。</t>
        </r>
      </text>
    </comment>
    <comment ref="AQ52" authorId="0" shapeId="0" xr:uid="{716A34A6-B15F-4455-8C81-ECB8CA6E7841}">
      <text>
        <r>
          <rPr>
            <b/>
            <sz val="14"/>
            <color indexed="81"/>
            <rFont val="游ゴシック"/>
            <family val="3"/>
            <charset val="128"/>
            <scheme val="minor"/>
          </rPr>
          <t>患者数はそれぞれ、
・申請日以前については実績値
・申請日以降については見込値
を入力してください。</t>
        </r>
      </text>
    </comment>
    <comment ref="AQ54" authorId="0" shapeId="0" xr:uid="{7721044A-B204-440C-A130-AFC9D0355158}">
      <text>
        <r>
          <rPr>
            <b/>
            <sz val="14"/>
            <color indexed="81"/>
            <rFont val="游ゴシック"/>
            <family val="3"/>
            <charset val="128"/>
            <scheme val="minor"/>
          </rPr>
          <t>常勤換算数については、配置職員の勤務時間の合計を月間の平均診療時間数×医師及び看護師の平均配置員数で除した値が表示されます。</t>
        </r>
      </text>
    </comment>
    <comment ref="AF82" authorId="0" shapeId="0" xr:uid="{5BB6180E-8B44-4D97-A0E7-FA7098E0EC34}">
      <text>
        <r>
          <rPr>
            <b/>
            <sz val="14"/>
            <color indexed="81"/>
            <rFont val="游ゴシック"/>
            <family val="3"/>
            <charset val="128"/>
            <scheme val="minor"/>
          </rPr>
          <t>その他マスクについては、シールド付き及びN95、ハイラックマスク以外のマスク（サージカル、不織布等）のマスクの使用枚数を入力してください。</t>
        </r>
      </text>
    </comment>
    <comment ref="AF85" authorId="0" shapeId="0" xr:uid="{F9277EAB-DA99-43FF-A2F6-551A2597D528}">
      <text>
        <r>
          <rPr>
            <b/>
            <sz val="14"/>
            <color indexed="81"/>
            <rFont val="游ゴシック"/>
            <family val="3"/>
            <charset val="128"/>
            <scheme val="minor"/>
          </rPr>
          <t>アイガード付マスクの使用枚数を入力してください。</t>
        </r>
      </text>
    </comment>
    <comment ref="AF88" authorId="0" shapeId="0" xr:uid="{13DAFB63-1090-463C-9732-B2A56A986434}">
      <text>
        <r>
          <rPr>
            <b/>
            <sz val="14"/>
            <color indexed="81"/>
            <rFont val="游ゴシック"/>
            <family val="3"/>
            <charset val="128"/>
            <scheme val="minor"/>
          </rPr>
          <t>N95、ハイラックマスクについては、「３．配置情報」で入力いただいた咳症状等を有する患者数に基づき目安の所要枚数が表示されます。</t>
        </r>
      </text>
    </comment>
  </commentList>
</comments>
</file>

<file path=xl/sharedStrings.xml><?xml version="1.0" encoding="utf-8"?>
<sst xmlns="http://schemas.openxmlformats.org/spreadsheetml/2006/main" count="4448" uniqueCount="1394">
  <si>
    <t>員数</t>
    <phoneticPr fontId="1"/>
  </si>
  <si>
    <t>数量</t>
    <phoneticPr fontId="1"/>
  </si>
  <si>
    <t>個人防護具</t>
    <phoneticPr fontId="1"/>
  </si>
  <si>
    <t>簡易ベッド</t>
    <phoneticPr fontId="1"/>
  </si>
  <si>
    <t>簡易診療室</t>
    <phoneticPr fontId="1"/>
  </si>
  <si>
    <t>円</t>
    <rPh sb="0" eb="1">
      <t>エン</t>
    </rPh>
    <phoneticPr fontId="1"/>
  </si>
  <si>
    <t>県補助額
(G)×10/10
(H)</t>
    <phoneticPr fontId="1"/>
  </si>
  <si>
    <t>差引事業費
(A)―(B)
（C）</t>
    <phoneticPr fontId="1"/>
  </si>
  <si>
    <t>合計</t>
    <rPh sb="0" eb="2">
      <t>ゴウケイ</t>
    </rPh>
    <phoneticPr fontId="1"/>
  </si>
  <si>
    <t>注１「県補助額」(H)には、１，０００円未満を切り捨てた額を記入すること。</t>
    <phoneticPr fontId="1"/>
  </si>
  <si>
    <t>個人防護具</t>
    <rPh sb="0" eb="2">
      <t>コジン</t>
    </rPh>
    <rPh sb="2" eb="4">
      <t>ボウゴ</t>
    </rPh>
    <rPh sb="4" eb="5">
      <t>グ</t>
    </rPh>
    <phoneticPr fontId="1"/>
  </si>
  <si>
    <t>補助事業者名</t>
    <rPh sb="0" eb="2">
      <t>ホジョ</t>
    </rPh>
    <rPh sb="2" eb="4">
      <t>ジギョウ</t>
    </rPh>
    <rPh sb="4" eb="5">
      <t>シャ</t>
    </rPh>
    <rPh sb="5" eb="6">
      <t>メイ</t>
    </rPh>
    <phoneticPr fontId="1"/>
  </si>
  <si>
    <t>代表者氏名</t>
    <rPh sb="0" eb="3">
      <t>ダイヒョウシャ</t>
    </rPh>
    <rPh sb="3" eb="5">
      <t>シメイ</t>
    </rPh>
    <phoneticPr fontId="1"/>
  </si>
  <si>
    <t>　愛　知　県　知　事　殿</t>
    <phoneticPr fontId="1"/>
  </si>
  <si>
    <t>事業者名</t>
    <rPh sb="0" eb="3">
      <t>ジギョウシャ</t>
    </rPh>
    <rPh sb="3" eb="4">
      <t>メイ</t>
    </rPh>
    <phoneticPr fontId="1"/>
  </si>
  <si>
    <t>代表者役職</t>
    <rPh sb="0" eb="3">
      <t>ダイヒョウシャ</t>
    </rPh>
    <rPh sb="3" eb="5">
      <t>ヤクショク</t>
    </rPh>
    <phoneticPr fontId="1"/>
  </si>
  <si>
    <t>記</t>
    <rPh sb="0" eb="1">
      <t>キ</t>
    </rPh>
    <phoneticPr fontId="1"/>
  </si>
  <si>
    <t>提出日</t>
    <rPh sb="0" eb="2">
      <t>テイシュツ</t>
    </rPh>
    <rPh sb="2" eb="3">
      <t>ビ</t>
    </rPh>
    <phoneticPr fontId="1"/>
  </si>
  <si>
    <t>文書番号</t>
    <rPh sb="0" eb="2">
      <t>ブンショ</t>
    </rPh>
    <rPh sb="2" eb="4">
      <t>バンゴウ</t>
    </rPh>
    <phoneticPr fontId="1"/>
  </si>
  <si>
    <t>担当部署</t>
    <rPh sb="0" eb="2">
      <t>タントウ</t>
    </rPh>
    <rPh sb="2" eb="4">
      <t>ブショ</t>
    </rPh>
    <phoneticPr fontId="1"/>
  </si>
  <si>
    <t>担当者名</t>
    <rPh sb="0" eb="2">
      <t>タントウ</t>
    </rPh>
    <rPh sb="2" eb="3">
      <t>シャ</t>
    </rPh>
    <rPh sb="3" eb="4">
      <t>メイ</t>
    </rPh>
    <phoneticPr fontId="1"/>
  </si>
  <si>
    <t>電話番号</t>
    <rPh sb="0" eb="2">
      <t>デンワ</t>
    </rPh>
    <rPh sb="2" eb="4">
      <t>バンゴウ</t>
    </rPh>
    <phoneticPr fontId="1"/>
  </si>
  <si>
    <t>Mailｱﾄﾞﾚｽ</t>
    <phoneticPr fontId="1"/>
  </si>
  <si>
    <t>所在地</t>
    <rPh sb="0" eb="3">
      <t>ショザイチ</t>
    </rPh>
    <phoneticPr fontId="1"/>
  </si>
  <si>
    <t>数量</t>
    <rPh sb="0" eb="2">
      <t>スウリョウ</t>
    </rPh>
    <phoneticPr fontId="1"/>
  </si>
  <si>
    <t>添付書類
番号</t>
    <rPh sb="0" eb="2">
      <t>テンプ</t>
    </rPh>
    <rPh sb="2" eb="4">
      <t>ショルイ</t>
    </rPh>
    <rPh sb="5" eb="7">
      <t>バンゴウ</t>
    </rPh>
    <phoneticPr fontId="1"/>
  </si>
  <si>
    <t>合計</t>
    <rPh sb="0" eb="1">
      <t>ゴウ</t>
    </rPh>
    <phoneticPr fontId="1"/>
  </si>
  <si>
    <t>歳入</t>
    <rPh sb="0" eb="2">
      <t>サイニュウ</t>
    </rPh>
    <phoneticPr fontId="4"/>
  </si>
  <si>
    <t>款</t>
    <rPh sb="0" eb="1">
      <t>カン</t>
    </rPh>
    <phoneticPr fontId="4"/>
  </si>
  <si>
    <t>項</t>
    <rPh sb="0" eb="1">
      <t>コウ</t>
    </rPh>
    <phoneticPr fontId="4"/>
  </si>
  <si>
    <t>目</t>
    <rPh sb="0" eb="1">
      <t>モク</t>
    </rPh>
    <phoneticPr fontId="4"/>
  </si>
  <si>
    <t>予算現額</t>
    <rPh sb="0" eb="2">
      <t>ヨサン</t>
    </rPh>
    <rPh sb="2" eb="3">
      <t>ウツツ</t>
    </rPh>
    <rPh sb="3" eb="4">
      <t>ガク</t>
    </rPh>
    <phoneticPr fontId="4"/>
  </si>
  <si>
    <t>節</t>
    <rPh sb="0" eb="1">
      <t>セツ</t>
    </rPh>
    <phoneticPr fontId="4"/>
  </si>
  <si>
    <t>備考</t>
    <rPh sb="0" eb="2">
      <t>ビコウ</t>
    </rPh>
    <phoneticPr fontId="4"/>
  </si>
  <si>
    <t>区分</t>
    <rPh sb="0" eb="2">
      <t>クブン</t>
    </rPh>
    <phoneticPr fontId="4"/>
  </si>
  <si>
    <t>金額</t>
    <rPh sb="0" eb="2">
      <t>キンガク</t>
    </rPh>
    <phoneticPr fontId="4"/>
  </si>
  <si>
    <t>歳出</t>
    <rPh sb="0" eb="2">
      <t>サイシュツ</t>
    </rPh>
    <phoneticPr fontId="4"/>
  </si>
  <si>
    <t>　　　原本と相違ないことを証明します。</t>
    <rPh sb="3" eb="5">
      <t>ゲンポン</t>
    </rPh>
    <rPh sb="6" eb="8">
      <t>ソウイ</t>
    </rPh>
    <rPh sb="13" eb="15">
      <t>ショウメイ</t>
    </rPh>
    <phoneticPr fontId="4"/>
  </si>
  <si>
    <t>代表者職氏名</t>
    <rPh sb="0" eb="3">
      <t>ダイヒョウシャ</t>
    </rPh>
    <rPh sb="3" eb="4">
      <t>ショク</t>
    </rPh>
    <rPh sb="4" eb="6">
      <t>シメイ</t>
    </rPh>
    <phoneticPr fontId="1"/>
  </si>
  <si>
    <t>１　施設の名称及び所在地</t>
    <phoneticPr fontId="1"/>
  </si>
  <si>
    <t>５　添付書類</t>
    <rPh sb="2" eb="4">
      <t>テンプ</t>
    </rPh>
    <rPh sb="4" eb="6">
      <t>ショルイ</t>
    </rPh>
    <phoneticPr fontId="1"/>
  </si>
  <si>
    <t>施設所在地</t>
    <rPh sb="0" eb="5">
      <t>シセツショザイチ</t>
    </rPh>
    <phoneticPr fontId="1"/>
  </si>
  <si>
    <t>(注）節の金額が他の事業を含む場合は、当該補助対象事業分を備考欄に記入すること。</t>
    <rPh sb="1" eb="2">
      <t>チュウ</t>
    </rPh>
    <rPh sb="3" eb="4">
      <t>セツ</t>
    </rPh>
    <rPh sb="5" eb="7">
      <t>キンガク</t>
    </rPh>
    <rPh sb="8" eb="9">
      <t>タ</t>
    </rPh>
    <rPh sb="10" eb="12">
      <t>ジギョウ</t>
    </rPh>
    <rPh sb="13" eb="14">
      <t>フク</t>
    </rPh>
    <rPh sb="15" eb="17">
      <t>バアイ</t>
    </rPh>
    <rPh sb="19" eb="21">
      <t>トウガイ</t>
    </rPh>
    <rPh sb="21" eb="23">
      <t>ホジョ</t>
    </rPh>
    <rPh sb="23" eb="25">
      <t>タイショウ</t>
    </rPh>
    <rPh sb="25" eb="27">
      <t>ジギョウ</t>
    </rPh>
    <rPh sb="27" eb="28">
      <t>ブン</t>
    </rPh>
    <rPh sb="29" eb="31">
      <t>ビコウ</t>
    </rPh>
    <rPh sb="31" eb="32">
      <t>ラン</t>
    </rPh>
    <rPh sb="33" eb="35">
      <t>キニュウ</t>
    </rPh>
    <phoneticPr fontId="4"/>
  </si>
  <si>
    <t>（４）その他参考となる書類</t>
    <rPh sb="5" eb="6">
      <t>タ</t>
    </rPh>
    <rPh sb="6" eb="8">
      <t>サンコウ</t>
    </rPh>
    <rPh sb="11" eb="13">
      <t>ショルイ</t>
    </rPh>
    <phoneticPr fontId="1"/>
  </si>
  <si>
    <t>空気清浄機</t>
    <rPh sb="0" eb="2">
      <t>クウキ</t>
    </rPh>
    <rPh sb="2" eb="5">
      <t>セイジョウキ</t>
    </rPh>
    <phoneticPr fontId="1"/>
  </si>
  <si>
    <t>簡易ベッド</t>
    <rPh sb="0" eb="2">
      <t>カンイ</t>
    </rPh>
    <phoneticPr fontId="1"/>
  </si>
  <si>
    <t>施設の名称</t>
    <rPh sb="0" eb="2">
      <t>シセツ</t>
    </rPh>
    <rPh sb="3" eb="5">
      <t>メイショウ</t>
    </rPh>
    <phoneticPr fontId="1"/>
  </si>
  <si>
    <t>県補助
基本額
(G)</t>
    <phoneticPr fontId="1"/>
  </si>
  <si>
    <t>HEPAフィルター付
空気清浄機</t>
    <phoneticPr fontId="1"/>
  </si>
  <si>
    <t>品目</t>
    <rPh sb="1" eb="2">
      <t>モク</t>
    </rPh>
    <phoneticPr fontId="1"/>
  </si>
  <si>
    <t>型番</t>
    <phoneticPr fontId="1"/>
  </si>
  <si>
    <t>単価</t>
    <phoneticPr fontId="1"/>
  </si>
  <si>
    <t>基準額</t>
    <phoneticPr fontId="1"/>
  </si>
  <si>
    <t>金額</t>
    <phoneticPr fontId="1"/>
  </si>
  <si>
    <t>備考</t>
    <phoneticPr fontId="1"/>
  </si>
  <si>
    <t>個人防護具　明細</t>
    <rPh sb="0" eb="2">
      <t>コジン</t>
    </rPh>
    <rPh sb="2" eb="4">
      <t>ボウゴ</t>
    </rPh>
    <rPh sb="4" eb="5">
      <t>グ</t>
    </rPh>
    <rPh sb="6" eb="8">
      <t>メイサイ</t>
    </rPh>
    <phoneticPr fontId="1"/>
  </si>
  <si>
    <t>種類</t>
    <rPh sb="0" eb="2">
      <t>シュルイ</t>
    </rPh>
    <phoneticPr fontId="1"/>
  </si>
  <si>
    <t>品目</t>
    <rPh sb="0" eb="1">
      <t>ヒン</t>
    </rPh>
    <rPh sb="1" eb="2">
      <t>モク</t>
    </rPh>
    <phoneticPr fontId="1"/>
  </si>
  <si>
    <t>所　  在 　 地</t>
    <rPh sb="0" eb="1">
      <t>トコロ</t>
    </rPh>
    <rPh sb="4" eb="5">
      <t>ザイ</t>
    </rPh>
    <rPh sb="8" eb="9">
      <t>チ</t>
    </rPh>
    <phoneticPr fontId="1"/>
  </si>
  <si>
    <t>HEPAフィルター付
パーテーション</t>
    <phoneticPr fontId="1"/>
  </si>
  <si>
    <t>総事業費
(A)</t>
    <phoneticPr fontId="1"/>
  </si>
  <si>
    <t>基準額
（E）</t>
    <phoneticPr fontId="1"/>
  </si>
  <si>
    <t>選定額
(F)</t>
    <phoneticPr fontId="1"/>
  </si>
  <si>
    <t>規格（型式）</t>
    <phoneticPr fontId="1"/>
  </si>
  <si>
    <t>計</t>
    <rPh sb="0" eb="1">
      <t>ケイ</t>
    </rPh>
    <phoneticPr fontId="1"/>
  </si>
  <si>
    <t>単価（税込）</t>
    <rPh sb="3" eb="5">
      <t>ゼイコ</t>
    </rPh>
    <phoneticPr fontId="1"/>
  </si>
  <si>
    <t>判定</t>
    <rPh sb="0" eb="2">
      <t>ハンテイ</t>
    </rPh>
    <phoneticPr fontId="1"/>
  </si>
  <si>
    <t>→</t>
  </si>
  <si>
    <t>→</t>
    <phoneticPr fontId="1"/>
  </si>
  <si>
    <t>判定</t>
    <rPh sb="0" eb="2">
      <t>ハンテイ</t>
    </rPh>
    <phoneticPr fontId="1"/>
  </si>
  <si>
    <t>単価(税抜)</t>
    <rPh sb="0" eb="2">
      <t>タンカ</t>
    </rPh>
    <rPh sb="3" eb="4">
      <t>ゼイ</t>
    </rPh>
    <rPh sb="4" eb="5">
      <t>ヌ</t>
    </rPh>
    <phoneticPr fontId="1"/>
  </si>
  <si>
    <t>単価(税込)</t>
    <rPh sb="0" eb="2">
      <t>タンカ</t>
    </rPh>
    <rPh sb="3" eb="4">
      <t>ゼイ</t>
    </rPh>
    <rPh sb="4" eb="5">
      <t>コミ</t>
    </rPh>
    <phoneticPr fontId="1"/>
  </si>
  <si>
    <t>金額(税込)</t>
    <rPh sb="0" eb="2">
      <t>キンガク</t>
    </rPh>
    <rPh sb="3" eb="5">
      <t>ゼイコミ</t>
    </rPh>
    <phoneticPr fontId="1"/>
  </si>
  <si>
    <t>不備の箇所等</t>
    <rPh sb="0" eb="2">
      <t>フビ</t>
    </rPh>
    <rPh sb="3" eb="5">
      <t>カショ</t>
    </rPh>
    <rPh sb="5" eb="6">
      <t>トウ</t>
    </rPh>
    <phoneticPr fontId="1"/>
  </si>
  <si>
    <t>令和</t>
    <rPh sb="0" eb="2">
      <t>レイワ</t>
    </rPh>
    <phoneticPr fontId="1"/>
  </si>
  <si>
    <t>年</t>
  </si>
  <si>
    <t>年</t>
    <rPh sb="0" eb="1">
      <t>ネン</t>
    </rPh>
    <phoneticPr fontId="1"/>
  </si>
  <si>
    <t>月</t>
  </si>
  <si>
    <t>月</t>
    <rPh sb="0" eb="1">
      <t>ツキ</t>
    </rPh>
    <phoneticPr fontId="1"/>
  </si>
  <si>
    <t>日</t>
  </si>
  <si>
    <t>簡易診療室　明細</t>
    <phoneticPr fontId="1"/>
  </si>
  <si>
    <t>←入力の過程で記載不十分の表示がされますが、
　適切に入力がされると表示は解消されます。</t>
    <phoneticPr fontId="1"/>
  </si>
  <si>
    <t>氏　名</t>
    <rPh sb="0" eb="1">
      <t>シ</t>
    </rPh>
    <rPh sb="2" eb="3">
      <t>ナ</t>
    </rPh>
    <phoneticPr fontId="12"/>
  </si>
  <si>
    <t>担　当　者</t>
    <rPh sb="0" eb="1">
      <t>タン</t>
    </rPh>
    <rPh sb="2" eb="3">
      <t>トウ</t>
    </rPh>
    <rPh sb="4" eb="5">
      <t>モノ</t>
    </rPh>
    <phoneticPr fontId="12"/>
  </si>
  <si>
    <t>電話番号</t>
    <rPh sb="0" eb="1">
      <t>デン</t>
    </rPh>
    <rPh sb="1" eb="2">
      <t>ハナシ</t>
    </rPh>
    <rPh sb="2" eb="4">
      <t>バンゴウ</t>
    </rPh>
    <phoneticPr fontId="12"/>
  </si>
  <si>
    <t>メールアドレス</t>
  </si>
  <si>
    <t>金融機関コード</t>
    <rPh sb="0" eb="2">
      <t>キンユウ</t>
    </rPh>
    <rPh sb="2" eb="4">
      <t>キカン</t>
    </rPh>
    <phoneticPr fontId="4"/>
  </si>
  <si>
    <t>支店番号</t>
    <rPh sb="0" eb="2">
      <t>シテン</t>
    </rPh>
    <rPh sb="2" eb="4">
      <t>バンゴウ</t>
    </rPh>
    <phoneticPr fontId="4"/>
  </si>
  <si>
    <t>金融機関名</t>
    <rPh sb="0" eb="2">
      <t>キンユウ</t>
    </rPh>
    <rPh sb="2" eb="4">
      <t>キカン</t>
    </rPh>
    <rPh sb="4" eb="5">
      <t>メイ</t>
    </rPh>
    <phoneticPr fontId="4"/>
  </si>
  <si>
    <t>店　名</t>
    <rPh sb="0" eb="1">
      <t>ミセ</t>
    </rPh>
    <rPh sb="2" eb="3">
      <t>ナ</t>
    </rPh>
    <phoneticPr fontId="4"/>
  </si>
  <si>
    <t>預金種類</t>
    <rPh sb="0" eb="2">
      <t>ヨキン</t>
    </rPh>
    <rPh sb="2" eb="4">
      <t>シュルイ</t>
    </rPh>
    <phoneticPr fontId="4"/>
  </si>
  <si>
    <t>口座番号</t>
    <rPh sb="0" eb="2">
      <t>コウザ</t>
    </rPh>
    <rPh sb="2" eb="4">
      <t>バンゴウ</t>
    </rPh>
    <phoneticPr fontId="4"/>
  </si>
  <si>
    <t>口座名義（ｶﾅ）</t>
    <rPh sb="0" eb="2">
      <t>コウザ</t>
    </rPh>
    <rPh sb="2" eb="4">
      <t>メイギ</t>
    </rPh>
    <phoneticPr fontId="12"/>
  </si>
  <si>
    <r>
      <t>　　※口座名義（カナ）：</t>
    </r>
    <r>
      <rPr>
        <b/>
        <u val="double"/>
        <sz val="14"/>
        <color rgb="FFFF0000"/>
        <rFont val="游ゴシック"/>
        <family val="3"/>
        <charset val="128"/>
        <scheme val="minor"/>
      </rPr>
      <t>通帳の見開き等に記載されているカタカナの名義</t>
    </r>
    <r>
      <rPr>
        <b/>
        <sz val="14"/>
        <color rgb="FFFF0000"/>
        <rFont val="游ゴシック"/>
        <family val="3"/>
        <charset val="128"/>
        <scheme val="minor"/>
      </rPr>
      <t>をスペースを含め正確に記載してください。</t>
    </r>
    <rPh sb="3" eb="5">
      <t>コウザ</t>
    </rPh>
    <rPh sb="5" eb="7">
      <t>メイギ</t>
    </rPh>
    <rPh sb="12" eb="14">
      <t>ツウチョウ</t>
    </rPh>
    <rPh sb="15" eb="17">
      <t>ミヒラ</t>
    </rPh>
    <rPh sb="18" eb="19">
      <t>トウ</t>
    </rPh>
    <rPh sb="20" eb="22">
      <t>キサイ</t>
    </rPh>
    <rPh sb="32" eb="34">
      <t>メイギ</t>
    </rPh>
    <rPh sb="40" eb="41">
      <t>フク</t>
    </rPh>
    <rPh sb="42" eb="44">
      <t>セイカク</t>
    </rPh>
    <rPh sb="45" eb="47">
      <t>キサイ</t>
    </rPh>
    <phoneticPr fontId="12"/>
  </si>
  <si>
    <t>以下のとおりです。</t>
    <phoneticPr fontId="1"/>
  </si>
  <si>
    <r>
      <t>振込先情報</t>
    </r>
    <r>
      <rPr>
        <b/>
        <sz val="12"/>
        <color rgb="FFFF0000"/>
        <rFont val="游ゴシック"/>
        <family val="3"/>
        <charset val="128"/>
        <scheme val="minor"/>
      </rPr>
      <t>※2</t>
    </r>
    <rPh sb="0" eb="3">
      <t>フリコミサキ</t>
    </rPh>
    <rPh sb="3" eb="5">
      <t>ジョウホウ</t>
    </rPh>
    <phoneticPr fontId="12"/>
  </si>
  <si>
    <t>簡易診療室</t>
    <rPh sb="0" eb="2">
      <t>カンイ</t>
    </rPh>
    <rPh sb="2" eb="5">
      <t>シンリョウシツ</t>
    </rPh>
    <phoneticPr fontId="1"/>
  </si>
  <si>
    <t>判定</t>
    <rPh sb="0" eb="2">
      <t>ハンテイ</t>
    </rPh>
    <phoneticPr fontId="1"/>
  </si>
  <si>
    <t>不備の箇所等</t>
    <rPh sb="0" eb="2">
      <t>フビ</t>
    </rPh>
    <rPh sb="3" eb="5">
      <t>カショ</t>
    </rPh>
    <rPh sb="5" eb="6">
      <t>トウ</t>
    </rPh>
    <phoneticPr fontId="1"/>
  </si>
  <si>
    <t>項目</t>
    <rPh sb="0" eb="2">
      <t>コウモク</t>
    </rPh>
    <phoneticPr fontId="1"/>
  </si>
  <si>
    <t>コメント</t>
    <phoneticPr fontId="1"/>
  </si>
  <si>
    <t>総合判定</t>
    <rPh sb="0" eb="2">
      <t>ソウゴウ</t>
    </rPh>
    <rPh sb="2" eb="4">
      <t>ハンテイ</t>
    </rPh>
    <phoneticPr fontId="1"/>
  </si>
  <si>
    <t>入力項目</t>
    <rPh sb="0" eb="2">
      <t>ニュウリョク</t>
    </rPh>
    <rPh sb="2" eb="4">
      <t>コウモク</t>
    </rPh>
    <phoneticPr fontId="1"/>
  </si>
  <si>
    <t>判定</t>
    <rPh sb="0" eb="2">
      <t>ハンテイ</t>
    </rPh>
    <phoneticPr fontId="1"/>
  </si>
  <si>
    <t>総合判定</t>
    <rPh sb="0" eb="2">
      <t>ソウゴウ</t>
    </rPh>
    <rPh sb="2" eb="4">
      <t>ハンテイ</t>
    </rPh>
    <phoneticPr fontId="1"/>
  </si>
  <si>
    <t>コメント</t>
    <phoneticPr fontId="1"/>
  </si>
  <si>
    <t>参考）○：未記入、×：入力不十分、◎：適切に入力</t>
    <rPh sb="0" eb="2">
      <t>サンコウ</t>
    </rPh>
    <rPh sb="5" eb="8">
      <t>ミキニュウ</t>
    </rPh>
    <rPh sb="11" eb="13">
      <t>ニュウリョク</t>
    </rPh>
    <rPh sb="13" eb="16">
      <t>フジュウブン</t>
    </rPh>
    <rPh sb="19" eb="21">
      <t>テキセツ</t>
    </rPh>
    <rPh sb="22" eb="24">
      <t>ニュウリョク</t>
    </rPh>
    <phoneticPr fontId="1"/>
  </si>
  <si>
    <t>２．防護具情報</t>
    <rPh sb="2" eb="4">
      <t>ボウゴ</t>
    </rPh>
    <rPh sb="4" eb="5">
      <t>グ</t>
    </rPh>
    <rPh sb="5" eb="7">
      <t>ジョウホウ</t>
    </rPh>
    <phoneticPr fontId="1"/>
  </si>
  <si>
    <t>電話番号（担当直通）</t>
    <rPh sb="0" eb="2">
      <t>デンワ</t>
    </rPh>
    <rPh sb="2" eb="4">
      <t>バンゴウ</t>
    </rPh>
    <rPh sb="5" eb="7">
      <t>タントウ</t>
    </rPh>
    <rPh sb="7" eb="9">
      <t>チョクツウ</t>
    </rPh>
    <phoneticPr fontId="1"/>
  </si>
  <si>
    <t>Mailｱﾄﾞﾚｽ（担当直通）</t>
    <rPh sb="10" eb="12">
      <t>タントウ</t>
    </rPh>
    <rPh sb="12" eb="14">
      <t>チョクツウ</t>
    </rPh>
    <phoneticPr fontId="1"/>
  </si>
  <si>
    <t>法人・個人事業主の別</t>
    <rPh sb="0" eb="2">
      <t>ホウジン</t>
    </rPh>
    <rPh sb="3" eb="5">
      <t>コジン</t>
    </rPh>
    <rPh sb="5" eb="8">
      <t>ジギョウヌシ</t>
    </rPh>
    <rPh sb="9" eb="10">
      <t>ベツ</t>
    </rPh>
    <phoneticPr fontId="1"/>
  </si>
  <si>
    <t>　　　法人（医療法人等）</t>
    <rPh sb="3" eb="5">
      <t>ホウジン</t>
    </rPh>
    <rPh sb="6" eb="8">
      <t>イリョウ</t>
    </rPh>
    <rPh sb="8" eb="10">
      <t>ホウジン</t>
    </rPh>
    <rPh sb="10" eb="11">
      <t>トウ</t>
    </rPh>
    <phoneticPr fontId="1"/>
  </si>
  <si>
    <t>　　　個人事業主（法人ではない）</t>
    <rPh sb="3" eb="5">
      <t>コジン</t>
    </rPh>
    <rPh sb="5" eb="7">
      <t>ジギョウ</t>
    </rPh>
    <rPh sb="7" eb="8">
      <t>ヌシ</t>
    </rPh>
    <rPh sb="9" eb="11">
      <t>ホウジン</t>
    </rPh>
    <phoneticPr fontId="1"/>
  </si>
  <si>
    <t>入力判定</t>
    <rPh sb="0" eb="2">
      <t>ニュウリョク</t>
    </rPh>
    <rPh sb="2" eb="4">
      <t>ハンテイ</t>
    </rPh>
    <phoneticPr fontId="1"/>
  </si>
  <si>
    <t>記入項目</t>
    <rPh sb="0" eb="2">
      <t>キニュウ</t>
    </rPh>
    <rPh sb="2" eb="4">
      <t>コウモク</t>
    </rPh>
    <phoneticPr fontId="1"/>
  </si>
  <si>
    <t>記入欄</t>
    <rPh sb="0" eb="2">
      <t>キニュウ</t>
    </rPh>
    <rPh sb="2" eb="3">
      <t>ラン</t>
    </rPh>
    <phoneticPr fontId="1"/>
  </si>
  <si>
    <t>令和</t>
    <rPh sb="0" eb="2">
      <t>レイワ</t>
    </rPh>
    <phoneticPr fontId="1"/>
  </si>
  <si>
    <t>年</t>
    <rPh sb="0" eb="1">
      <t>ネン</t>
    </rPh>
    <phoneticPr fontId="1"/>
  </si>
  <si>
    <t>月</t>
    <rPh sb="0" eb="1">
      <t>ガツ</t>
    </rPh>
    <phoneticPr fontId="1"/>
  </si>
  <si>
    <t>日</t>
    <rPh sb="0" eb="1">
      <t>ニチ</t>
    </rPh>
    <phoneticPr fontId="1"/>
  </si>
  <si>
    <t>○</t>
  </si>
  <si>
    <t>○</t>
    <phoneticPr fontId="1"/>
  </si>
  <si>
    <t>書類名称</t>
    <rPh sb="0" eb="2">
      <t>ショルイ</t>
    </rPh>
    <rPh sb="2" eb="4">
      <t>メイショウ</t>
    </rPh>
    <phoneticPr fontId="1"/>
  </si>
  <si>
    <t>はじめに入力してください</t>
    <rPh sb="4" eb="6">
      <t>ニュウリョク</t>
    </rPh>
    <phoneticPr fontId="1"/>
  </si>
  <si>
    <t>個人防護具明細</t>
    <rPh sb="0" eb="2">
      <t>コジン</t>
    </rPh>
    <rPh sb="2" eb="4">
      <t>ボウゴ</t>
    </rPh>
    <rPh sb="4" eb="5">
      <t>グ</t>
    </rPh>
    <rPh sb="5" eb="7">
      <t>メイサイ</t>
    </rPh>
    <phoneticPr fontId="1"/>
  </si>
  <si>
    <t>簡易診療室明細</t>
    <rPh sb="0" eb="2">
      <t>カンイ</t>
    </rPh>
    <rPh sb="2" eb="5">
      <t>シンリョウシツ</t>
    </rPh>
    <rPh sb="5" eb="7">
      <t>メイサイ</t>
    </rPh>
    <phoneticPr fontId="1"/>
  </si>
  <si>
    <t>【必須】</t>
    <rPh sb="1" eb="3">
      <t>ヒッス</t>
    </rPh>
    <phoneticPr fontId="1"/>
  </si>
  <si>
    <t>公立医療機関の場合のみ</t>
    <rPh sb="0" eb="2">
      <t>コウリツ</t>
    </rPh>
    <rPh sb="2" eb="4">
      <t>イリョウ</t>
    </rPh>
    <rPh sb="4" eb="6">
      <t>キカン</t>
    </rPh>
    <rPh sb="7" eb="9">
      <t>バアイ</t>
    </rPh>
    <phoneticPr fontId="1"/>
  </si>
  <si>
    <t>入力の要否</t>
    <rPh sb="0" eb="2">
      <t>ニュウリョク</t>
    </rPh>
    <rPh sb="3" eb="5">
      <t>ヨウヒ</t>
    </rPh>
    <phoneticPr fontId="1"/>
  </si>
  <si>
    <t>補助金以外で事業に充当する寄付金その他の収入がある場合は入力してください。
（ない場合は入力は不要です。）</t>
    <rPh sb="0" eb="3">
      <t>ホジョキン</t>
    </rPh>
    <rPh sb="3" eb="5">
      <t>イガイ</t>
    </rPh>
    <rPh sb="6" eb="8">
      <t>ジギョウ</t>
    </rPh>
    <rPh sb="9" eb="11">
      <t>ジュウトウ</t>
    </rPh>
    <rPh sb="25" eb="27">
      <t>バアイ</t>
    </rPh>
    <rPh sb="28" eb="30">
      <t>ニュウリョク</t>
    </rPh>
    <rPh sb="41" eb="43">
      <t>バアイ</t>
    </rPh>
    <rPh sb="44" eb="46">
      <t>ニュウリョク</t>
    </rPh>
    <rPh sb="47" eb="49">
      <t>フヨウ</t>
    </rPh>
    <phoneticPr fontId="1"/>
  </si>
  <si>
    <t>施設名称</t>
    <rPh sb="0" eb="2">
      <t>シセツ</t>
    </rPh>
    <rPh sb="2" eb="4">
      <t>メイショウ</t>
    </rPh>
    <phoneticPr fontId="1"/>
  </si>
  <si>
    <t>支店名</t>
    <rPh sb="0" eb="3">
      <t>シテンメイ</t>
    </rPh>
    <phoneticPr fontId="1"/>
  </si>
  <si>
    <t>口座番号</t>
    <rPh sb="0" eb="2">
      <t>コウザ</t>
    </rPh>
    <rPh sb="2" eb="4">
      <t>バンゴウ</t>
    </rPh>
    <phoneticPr fontId="1"/>
  </si>
  <si>
    <t>総合判定</t>
    <rPh sb="0" eb="2">
      <t>ソウゴウ</t>
    </rPh>
    <rPh sb="2" eb="4">
      <t>ハンテイ</t>
    </rPh>
    <phoneticPr fontId="1"/>
  </si>
  <si>
    <t>　　　公立医療機関</t>
    <rPh sb="3" eb="5">
      <t>コウリツ</t>
    </rPh>
    <rPh sb="5" eb="7">
      <t>イリョウ</t>
    </rPh>
    <rPh sb="7" eb="9">
      <t>キカン</t>
    </rPh>
    <phoneticPr fontId="1"/>
  </si>
  <si>
    <t>申立事項
申請内容が右記事項と相違ないことを確認し、「申立てする」を選択してください。</t>
    <rPh sb="0" eb="2">
      <t>モウシタテ</t>
    </rPh>
    <rPh sb="2" eb="4">
      <t>ジコウ</t>
    </rPh>
    <rPh sb="5" eb="7">
      <t>シンセイ</t>
    </rPh>
    <rPh sb="7" eb="9">
      <t>ナイヨウ</t>
    </rPh>
    <rPh sb="10" eb="12">
      <t>ウキ</t>
    </rPh>
    <rPh sb="12" eb="14">
      <t>ジコウ</t>
    </rPh>
    <rPh sb="15" eb="17">
      <t>ソウイ</t>
    </rPh>
    <rPh sb="22" eb="24">
      <t>カクニン</t>
    </rPh>
    <rPh sb="27" eb="28">
      <t>モウ</t>
    </rPh>
    <rPh sb="28" eb="29">
      <t>タ</t>
    </rPh>
    <rPh sb="34" eb="36">
      <t>センタク</t>
    </rPh>
    <phoneticPr fontId="1"/>
  </si>
  <si>
    <t>申立てする</t>
    <rPh sb="0" eb="2">
      <t>モウシタテ</t>
    </rPh>
    <phoneticPr fontId="1"/>
  </si>
  <si>
    <t>申し立てしない</t>
    <rPh sb="0" eb="1">
      <t>モウ</t>
    </rPh>
    <rPh sb="2" eb="3">
      <t>タ</t>
    </rPh>
    <phoneticPr fontId="1"/>
  </si>
  <si>
    <t>歳入</t>
    <rPh sb="0" eb="2">
      <t>サイニュウ</t>
    </rPh>
    <phoneticPr fontId="1"/>
  </si>
  <si>
    <t>歳出</t>
    <rPh sb="0" eb="2">
      <t>サイシュツ</t>
    </rPh>
    <phoneticPr fontId="1"/>
  </si>
  <si>
    <t>入力区分</t>
    <rPh sb="0" eb="2">
      <t>ニュウリョク</t>
    </rPh>
    <rPh sb="2" eb="4">
      <t>クブン</t>
    </rPh>
    <phoneticPr fontId="1"/>
  </si>
  <si>
    <t>←入力の過程で記載不十分の表示がされますが、適切に入力がされると表示は解消されます。</t>
    <rPh sb="1" eb="3">
      <t>ニュウリョク</t>
    </rPh>
    <rPh sb="4" eb="6">
      <t>カテイ</t>
    </rPh>
    <rPh sb="7" eb="9">
      <t>キサイ</t>
    </rPh>
    <rPh sb="9" eb="12">
      <t>フジュウブン</t>
    </rPh>
    <rPh sb="13" eb="15">
      <t>ヒョウジ</t>
    </rPh>
    <rPh sb="22" eb="24">
      <t>テキセツ</t>
    </rPh>
    <rPh sb="25" eb="27">
      <t>ニュウリョク</t>
    </rPh>
    <rPh sb="32" eb="34">
      <t>ヒョウジ</t>
    </rPh>
    <rPh sb="35" eb="37">
      <t>カイショウ</t>
    </rPh>
    <phoneticPr fontId="1"/>
  </si>
  <si>
    <t>②「防護具情報」の入力</t>
    <rPh sb="2" eb="4">
      <t>ボウゴ</t>
    </rPh>
    <rPh sb="4" eb="5">
      <t>グ</t>
    </rPh>
    <rPh sb="5" eb="7">
      <t>ジョウホウ</t>
    </rPh>
    <rPh sb="9" eb="11">
      <t>ニュウリョク</t>
    </rPh>
    <phoneticPr fontId="1"/>
  </si>
  <si>
    <t>（任意）文書を発出する際に文書番号が必要である場合は入力してください</t>
    <phoneticPr fontId="1"/>
  </si>
  <si>
    <t>交付申請</t>
    <rPh sb="0" eb="2">
      <t>コウフ</t>
    </rPh>
    <rPh sb="2" eb="4">
      <t>シンセイ</t>
    </rPh>
    <phoneticPr fontId="1"/>
  </si>
  <si>
    <t>変更申請</t>
    <rPh sb="0" eb="2">
      <t>ヘンコウ</t>
    </rPh>
    <rPh sb="2" eb="4">
      <t>シンセイ</t>
    </rPh>
    <phoneticPr fontId="1"/>
  </si>
  <si>
    <t>↘</t>
    <phoneticPr fontId="1"/>
  </si>
  <si>
    <t>項目</t>
    <rPh sb="0" eb="2">
      <t>コウモク</t>
    </rPh>
    <phoneticPr fontId="1"/>
  </si>
  <si>
    <t>チェック</t>
    <phoneticPr fontId="1"/>
  </si>
  <si>
    <t>整備理由</t>
    <rPh sb="0" eb="2">
      <t>セイビ</t>
    </rPh>
    <rPh sb="2" eb="4">
      <t>リユウ</t>
    </rPh>
    <phoneticPr fontId="1"/>
  </si>
  <si>
    <t>１．はじめに</t>
    <phoneticPr fontId="1"/>
  </si>
  <si>
    <t>建屋・テント等</t>
    <rPh sb="0" eb="2">
      <t>タテヤ</t>
    </rPh>
    <rPh sb="6" eb="7">
      <t>トウ</t>
    </rPh>
    <phoneticPr fontId="1"/>
  </si>
  <si>
    <t>備品（消耗品除く）</t>
    <rPh sb="0" eb="2">
      <t>ビヒン</t>
    </rPh>
    <rPh sb="3" eb="5">
      <t>ショウモウ</t>
    </rPh>
    <rPh sb="5" eb="6">
      <t>ヒン</t>
    </rPh>
    <rPh sb="6" eb="7">
      <t>ノゾ</t>
    </rPh>
    <phoneticPr fontId="1"/>
  </si>
  <si>
    <t>その他</t>
    <rPh sb="2" eb="3">
      <t>タ</t>
    </rPh>
    <phoneticPr fontId="1"/>
  </si>
  <si>
    <t>設置個所及び用途</t>
    <rPh sb="0" eb="2">
      <t>セッチ</t>
    </rPh>
    <rPh sb="2" eb="4">
      <t>カショ</t>
    </rPh>
    <rPh sb="4" eb="5">
      <t>オヨ</t>
    </rPh>
    <rPh sb="6" eb="8">
      <t>ヨウト</t>
    </rPh>
    <phoneticPr fontId="1"/>
  </si>
  <si>
    <t>金融機関
コード</t>
    <rPh sb="0" eb="2">
      <t>キンユウ</t>
    </rPh>
    <rPh sb="2" eb="4">
      <t>キカン</t>
    </rPh>
    <phoneticPr fontId="39"/>
  </si>
  <si>
    <t>預金種別</t>
    <rPh sb="0" eb="2">
      <t>ヨキン</t>
    </rPh>
    <rPh sb="2" eb="4">
      <t>シュベツ</t>
    </rPh>
    <phoneticPr fontId="39"/>
  </si>
  <si>
    <t>令和　　年　　月　　日　</t>
    <phoneticPr fontId="1"/>
  </si>
  <si>
    <t>　　愛知県知事　殿</t>
    <rPh sb="2" eb="5">
      <t>アイチケン</t>
    </rPh>
    <rPh sb="5" eb="7">
      <t>チジ</t>
    </rPh>
    <rPh sb="8" eb="9">
      <t>ドノ</t>
    </rPh>
    <phoneticPr fontId="1"/>
  </si>
  <si>
    <t>住所</t>
    <rPh sb="0" eb="2">
      <t>ジュウショ</t>
    </rPh>
    <phoneticPr fontId="1"/>
  </si>
  <si>
    <t>請　求　書</t>
    <rPh sb="0" eb="1">
      <t>ショウ</t>
    </rPh>
    <rPh sb="2" eb="3">
      <t>モトム</t>
    </rPh>
    <rPh sb="4" eb="5">
      <t>ショ</t>
    </rPh>
    <phoneticPr fontId="1"/>
  </si>
  <si>
    <t>１．請求金額</t>
    <rPh sb="2" eb="4">
      <t>セイキュウ</t>
    </rPh>
    <rPh sb="4" eb="6">
      <t>キンガク</t>
    </rPh>
    <phoneticPr fontId="1"/>
  </si>
  <si>
    <t>２．振込先口座</t>
    <rPh sb="2" eb="5">
      <t>フリコミサキ</t>
    </rPh>
    <rPh sb="5" eb="7">
      <t>コウザ</t>
    </rPh>
    <phoneticPr fontId="1"/>
  </si>
  <si>
    <t>金融機関名</t>
    <rPh sb="0" eb="2">
      <t>キンユウ</t>
    </rPh>
    <rPh sb="2" eb="4">
      <t>キカン</t>
    </rPh>
    <rPh sb="4" eb="5">
      <t>メイ</t>
    </rPh>
    <phoneticPr fontId="1"/>
  </si>
  <si>
    <t>口座種別</t>
    <rPh sb="0" eb="2">
      <t>コウザ</t>
    </rPh>
    <rPh sb="2" eb="4">
      <t>シュベツ</t>
    </rPh>
    <phoneticPr fontId="1"/>
  </si>
  <si>
    <t>金融機関</t>
    <rPh sb="0" eb="2">
      <t>キンユウ</t>
    </rPh>
    <rPh sb="2" eb="4">
      <t>キカン</t>
    </rPh>
    <phoneticPr fontId="1"/>
  </si>
  <si>
    <t>申請額</t>
    <rPh sb="0" eb="3">
      <t>シンセイガク</t>
    </rPh>
    <phoneticPr fontId="12"/>
  </si>
  <si>
    <t>総事業費</t>
    <rPh sb="0" eb="1">
      <t>ソウ</t>
    </rPh>
    <rPh sb="1" eb="3">
      <t>ジギョウ</t>
    </rPh>
    <rPh sb="3" eb="4">
      <t>ヒ</t>
    </rPh>
    <phoneticPr fontId="12"/>
  </si>
  <si>
    <t>寄付金等</t>
    <rPh sb="0" eb="3">
      <t>キフキン</t>
    </rPh>
    <rPh sb="3" eb="4">
      <t>トウ</t>
    </rPh>
    <phoneticPr fontId="12"/>
  </si>
  <si>
    <t>差引</t>
    <rPh sb="0" eb="2">
      <t>サシヒキ</t>
    </rPh>
    <phoneticPr fontId="12"/>
  </si>
  <si>
    <t>支出予定額</t>
    <rPh sb="0" eb="2">
      <t>シシュツ</t>
    </rPh>
    <rPh sb="2" eb="4">
      <t>ヨテイ</t>
    </rPh>
    <rPh sb="4" eb="5">
      <t>ガク</t>
    </rPh>
    <phoneticPr fontId="12"/>
  </si>
  <si>
    <t>基準額</t>
    <rPh sb="0" eb="2">
      <t>キジュン</t>
    </rPh>
    <rPh sb="2" eb="3">
      <t>ガク</t>
    </rPh>
    <phoneticPr fontId="12"/>
  </si>
  <si>
    <t>選定額</t>
    <rPh sb="0" eb="2">
      <t>センテイ</t>
    </rPh>
    <rPh sb="2" eb="3">
      <t>ガク</t>
    </rPh>
    <phoneticPr fontId="12"/>
  </si>
  <si>
    <t>補助基本額</t>
    <rPh sb="0" eb="2">
      <t>ホジョ</t>
    </rPh>
    <rPh sb="2" eb="4">
      <t>キホン</t>
    </rPh>
    <rPh sb="4" eb="5">
      <t>ガク</t>
    </rPh>
    <phoneticPr fontId="12"/>
  </si>
  <si>
    <t>補助額</t>
    <rPh sb="0" eb="2">
      <t>ホジョ</t>
    </rPh>
    <rPh sb="2" eb="3">
      <t>ガク</t>
    </rPh>
    <phoneticPr fontId="12"/>
  </si>
  <si>
    <t>パーテーション</t>
  </si>
  <si>
    <t>交付決定日</t>
    <rPh sb="0" eb="2">
      <t>コウフ</t>
    </rPh>
    <rPh sb="2" eb="4">
      <t>ケッテイ</t>
    </rPh>
    <rPh sb="4" eb="5">
      <t>ビ</t>
    </rPh>
    <phoneticPr fontId="1"/>
  </si>
  <si>
    <t>国事業完了日</t>
    <rPh sb="0" eb="1">
      <t>クニ</t>
    </rPh>
    <rPh sb="1" eb="3">
      <t>ジギョウ</t>
    </rPh>
    <rPh sb="3" eb="5">
      <t>カンリョウ</t>
    </rPh>
    <rPh sb="5" eb="6">
      <t>ビ</t>
    </rPh>
    <phoneticPr fontId="1"/>
  </si>
  <si>
    <t>判定</t>
    <rPh sb="0" eb="2">
      <t>ハンテイ</t>
    </rPh>
    <phoneticPr fontId="1"/>
  </si>
  <si>
    <t>コメント</t>
    <phoneticPr fontId="1"/>
  </si>
  <si>
    <t>年</t>
    <rPh sb="0" eb="1">
      <t>ネン</t>
    </rPh>
    <phoneticPr fontId="1"/>
  </si>
  <si>
    <t>月</t>
    <rPh sb="0" eb="1">
      <t>ツキ</t>
    </rPh>
    <phoneticPr fontId="1"/>
  </si>
  <si>
    <t>日</t>
    <rPh sb="0" eb="1">
      <t>ヒ</t>
    </rPh>
    <phoneticPr fontId="1"/>
  </si>
  <si>
    <t>補助事業者名</t>
    <rPh sb="0" eb="2">
      <t>ホジョ</t>
    </rPh>
    <rPh sb="2" eb="4">
      <t>ジギョウ</t>
    </rPh>
    <rPh sb="4" eb="5">
      <t>シャ</t>
    </rPh>
    <rPh sb="5" eb="6">
      <t>メイ</t>
    </rPh>
    <phoneticPr fontId="4"/>
  </si>
  <si>
    <t>代表者職氏名</t>
    <rPh sb="0" eb="3">
      <t>ダイヒョウシャ</t>
    </rPh>
    <rPh sb="3" eb="4">
      <t>ショク</t>
    </rPh>
    <rPh sb="4" eb="6">
      <t>シメイ</t>
    </rPh>
    <phoneticPr fontId="4"/>
  </si>
  <si>
    <t>有</t>
    <rPh sb="0" eb="1">
      <t>ア</t>
    </rPh>
    <phoneticPr fontId="1"/>
  </si>
  <si>
    <t>無</t>
    <rPh sb="0" eb="1">
      <t>ナ</t>
    </rPh>
    <phoneticPr fontId="1"/>
  </si>
  <si>
    <t>振込先口座名義（半角ｶﾅ）</t>
    <rPh sb="3" eb="5">
      <t>コウザ</t>
    </rPh>
    <rPh sb="5" eb="7">
      <t>メイギ</t>
    </rPh>
    <rPh sb="8" eb="10">
      <t>ハンカク</t>
    </rPh>
    <phoneticPr fontId="1"/>
  </si>
  <si>
    <t>金融機関名</t>
    <rPh sb="0" eb="2">
      <t>キンユウ</t>
    </rPh>
    <rPh sb="2" eb="4">
      <t>キカン</t>
    </rPh>
    <rPh sb="4" eb="5">
      <t>メイ</t>
    </rPh>
    <phoneticPr fontId="1"/>
  </si>
  <si>
    <t>申請者情報</t>
    <rPh sb="0" eb="3">
      <t>シンセイシャ</t>
    </rPh>
    <rPh sb="3" eb="5">
      <t>ジョウホウ</t>
    </rPh>
    <phoneticPr fontId="1"/>
  </si>
  <si>
    <t>振込先情報</t>
    <rPh sb="0" eb="3">
      <t>フリコミサキ</t>
    </rPh>
    <rPh sb="3" eb="5">
      <t>ジョウホウ</t>
    </rPh>
    <phoneticPr fontId="1"/>
  </si>
  <si>
    <t>申立て</t>
    <rPh sb="0" eb="1">
      <t>モウ</t>
    </rPh>
    <rPh sb="1" eb="2">
      <t>リツ</t>
    </rPh>
    <phoneticPr fontId="1"/>
  </si>
  <si>
    <t>店名</t>
    <rPh sb="0" eb="2">
      <t>テンメイ</t>
    </rPh>
    <phoneticPr fontId="1"/>
  </si>
  <si>
    <t>預金種類</t>
    <rPh sb="0" eb="2">
      <t>ヨキン</t>
    </rPh>
    <rPh sb="2" eb="4">
      <t>シュルイ</t>
    </rPh>
    <phoneticPr fontId="1"/>
  </si>
  <si>
    <t>１．普通　２．当座　</t>
    <phoneticPr fontId="1"/>
  </si>
  <si>
    <t>空気清浄機・パーテーション・簡易ベッド明細</t>
    <rPh sb="0" eb="2">
      <t>クウキ</t>
    </rPh>
    <rPh sb="2" eb="5">
      <t>セイジョウキ</t>
    </rPh>
    <rPh sb="14" eb="16">
      <t>カンイ</t>
    </rPh>
    <rPh sb="19" eb="21">
      <t>メイサイ</t>
    </rPh>
    <phoneticPr fontId="1"/>
  </si>
  <si>
    <t>設置場所</t>
    <rPh sb="0" eb="2">
      <t>セッチ</t>
    </rPh>
    <rPh sb="2" eb="4">
      <t>バショ</t>
    </rPh>
    <phoneticPr fontId="1"/>
  </si>
  <si>
    <t>陰圧化の方法</t>
    <rPh sb="0" eb="2">
      <t>インアツ</t>
    </rPh>
    <rPh sb="2" eb="3">
      <t>カ</t>
    </rPh>
    <rPh sb="4" eb="6">
      <t>ホウホウ</t>
    </rPh>
    <phoneticPr fontId="1"/>
  </si>
  <si>
    <t>【補助要件】</t>
    <rPh sb="1" eb="3">
      <t>ホジョ</t>
    </rPh>
    <rPh sb="3" eb="5">
      <t>ヨウケン</t>
    </rPh>
    <phoneticPr fontId="1"/>
  </si>
  <si>
    <t>②</t>
    <phoneticPr fontId="1"/>
  </si>
  <si>
    <t>①</t>
    <phoneticPr fontId="1"/>
  </si>
  <si>
    <t>③</t>
    <phoneticPr fontId="1"/>
  </si>
  <si>
    <t>（２）経費内訳</t>
    <rPh sb="3" eb="5">
      <t>ケイヒ</t>
    </rPh>
    <rPh sb="5" eb="7">
      <t>ウチワケ</t>
    </rPh>
    <phoneticPr fontId="1"/>
  </si>
  <si>
    <t>本体</t>
    <rPh sb="0" eb="2">
      <t>ホンタイ</t>
    </rPh>
    <phoneticPr fontId="1"/>
  </si>
  <si>
    <t>単価(税込)</t>
    <rPh sb="0" eb="2">
      <t>タンカ</t>
    </rPh>
    <rPh sb="3" eb="5">
      <t>ゼイコ</t>
    </rPh>
    <phoneticPr fontId="1"/>
  </si>
  <si>
    <t>金額(税込)</t>
    <rPh sb="0" eb="2">
      <t>キンガク</t>
    </rPh>
    <rPh sb="3" eb="5">
      <t>ゼイコ</t>
    </rPh>
    <phoneticPr fontId="1"/>
  </si>
  <si>
    <t>計(a)</t>
    <rPh sb="0" eb="1">
      <t>ケイ</t>
    </rPh>
    <phoneticPr fontId="1"/>
  </si>
  <si>
    <t>補助基準額/施設(b)</t>
    <rPh sb="0" eb="2">
      <t>ホジョ</t>
    </rPh>
    <rPh sb="2" eb="4">
      <t>キジュン</t>
    </rPh>
    <rPh sb="4" eb="5">
      <t>ガク</t>
    </rPh>
    <rPh sb="6" eb="8">
      <t>シセツ</t>
    </rPh>
    <phoneticPr fontId="1"/>
  </si>
  <si>
    <t>申請可能額(d=b-c)</t>
    <rPh sb="0" eb="2">
      <t>シンセイ</t>
    </rPh>
    <rPh sb="2" eb="4">
      <t>カノウ</t>
    </rPh>
    <rPh sb="4" eb="5">
      <t>ガク</t>
    </rPh>
    <phoneticPr fontId="1"/>
  </si>
  <si>
    <t>既交付額(c)</t>
    <rPh sb="0" eb="1">
      <t>スデ</t>
    </rPh>
    <rPh sb="1" eb="3">
      <t>コウフ</t>
    </rPh>
    <rPh sb="3" eb="4">
      <t>ガク</t>
    </rPh>
    <phoneticPr fontId="1"/>
  </si>
  <si>
    <t>申請額(a,dいずれか小さい額)</t>
    <rPh sb="0" eb="3">
      <t>シンセイガク</t>
    </rPh>
    <rPh sb="11" eb="12">
      <t>チイ</t>
    </rPh>
    <rPh sb="14" eb="15">
      <t>ガク</t>
    </rPh>
    <phoneticPr fontId="1"/>
  </si>
  <si>
    <t>設置場所</t>
    <rPh sb="0" eb="2">
      <t>セッチ</t>
    </rPh>
    <rPh sb="2" eb="4">
      <t>バショ</t>
    </rPh>
    <phoneticPr fontId="1"/>
  </si>
  <si>
    <t>計</t>
    <rPh sb="0" eb="1">
      <t>ケイ</t>
    </rPh>
    <phoneticPr fontId="1"/>
  </si>
  <si>
    <t>基準単価は205,000円/台。</t>
    <rPh sb="0" eb="2">
      <t>キジュン</t>
    </rPh>
    <rPh sb="2" eb="4">
      <t>タンカ</t>
    </rPh>
    <rPh sb="12" eb="13">
      <t>エン</t>
    </rPh>
    <rPh sb="14" eb="15">
      <t>ダイ</t>
    </rPh>
    <phoneticPr fontId="1"/>
  </si>
  <si>
    <t>補助額/台</t>
    <rPh sb="0" eb="2">
      <t>ホジョ</t>
    </rPh>
    <rPh sb="2" eb="3">
      <t>ガク</t>
    </rPh>
    <rPh sb="4" eb="5">
      <t>ダイ</t>
    </rPh>
    <phoneticPr fontId="1"/>
  </si>
  <si>
    <t>院内診療スペース</t>
    <rPh sb="0" eb="2">
      <t>インナイ</t>
    </rPh>
    <rPh sb="2" eb="4">
      <t>シンリョウ</t>
    </rPh>
    <phoneticPr fontId="1"/>
  </si>
  <si>
    <t>簡易診療室</t>
    <rPh sb="0" eb="2">
      <t>カンイ</t>
    </rPh>
    <rPh sb="2" eb="5">
      <t>シンリョウシツ</t>
    </rPh>
    <phoneticPr fontId="1"/>
  </si>
  <si>
    <t>基準単価は51,400円/台。</t>
    <rPh sb="0" eb="2">
      <t>キジュン</t>
    </rPh>
    <rPh sb="2" eb="4">
      <t>タンカ</t>
    </rPh>
    <rPh sb="11" eb="12">
      <t>エン</t>
    </rPh>
    <rPh sb="13" eb="14">
      <t>ダイ</t>
    </rPh>
    <phoneticPr fontId="1"/>
  </si>
  <si>
    <t>空気清浄機</t>
    <rPh sb="0" eb="2">
      <t>クウキ</t>
    </rPh>
    <rPh sb="2" eb="5">
      <t>セイジョウキ</t>
    </rPh>
    <phoneticPr fontId="1"/>
  </si>
  <si>
    <t>パーテーション</t>
    <phoneticPr fontId="1"/>
  </si>
  <si>
    <t>簡易ベッド</t>
    <rPh sb="0" eb="2">
      <t>カンイ</t>
    </rPh>
    <phoneticPr fontId="1"/>
  </si>
  <si>
    <t>ー</t>
    <phoneticPr fontId="1"/>
  </si>
  <si>
    <t>判定</t>
    <rPh sb="0" eb="2">
      <t>ハンテイ</t>
    </rPh>
    <phoneticPr fontId="1"/>
  </si>
  <si>
    <t>コメント</t>
    <phoneticPr fontId="1"/>
  </si>
  <si>
    <t>品名</t>
    <rPh sb="0" eb="2">
      <t>ヒンメイ</t>
    </rPh>
    <phoneticPr fontId="1"/>
  </si>
  <si>
    <t>数量</t>
    <rPh sb="0" eb="2">
      <t>スウリョウ</t>
    </rPh>
    <phoneticPr fontId="1"/>
  </si>
  <si>
    <t>税抜額算出</t>
    <rPh sb="0" eb="1">
      <t>ゼイ</t>
    </rPh>
    <rPh sb="1" eb="2">
      <t>ヌ</t>
    </rPh>
    <rPh sb="2" eb="3">
      <t>ガク</t>
    </rPh>
    <rPh sb="3" eb="5">
      <t>サンシュツ</t>
    </rPh>
    <phoneticPr fontId="1"/>
  </si>
  <si>
    <t>ここに入力</t>
    <rPh sb="3" eb="5">
      <t>ニュウリョク</t>
    </rPh>
    <phoneticPr fontId="1"/>
  </si>
  <si>
    <t>税抜額</t>
    <rPh sb="0" eb="1">
      <t>ゼイ</t>
    </rPh>
    <rPh sb="1" eb="2">
      <t>ヌ</t>
    </rPh>
    <rPh sb="2" eb="3">
      <t>ガク</t>
    </rPh>
    <phoneticPr fontId="1"/>
  </si>
  <si>
    <t>※税抜単価がわからない場合はこちらで算出してください。</t>
    <rPh sb="1" eb="3">
      <t>ゼイヌキ</t>
    </rPh>
    <rPh sb="3" eb="5">
      <t>タンカ</t>
    </rPh>
    <rPh sb="11" eb="13">
      <t>バアイ</t>
    </rPh>
    <rPh sb="18" eb="20">
      <t>サンシュツ</t>
    </rPh>
    <phoneticPr fontId="1"/>
  </si>
  <si>
    <t>マスク</t>
    <phoneticPr fontId="1"/>
  </si>
  <si>
    <t>ゴーグル</t>
    <phoneticPr fontId="1"/>
  </si>
  <si>
    <t>ガウン</t>
    <phoneticPr fontId="1"/>
  </si>
  <si>
    <t>グローブ</t>
    <phoneticPr fontId="1"/>
  </si>
  <si>
    <t>キャップ</t>
    <phoneticPr fontId="1"/>
  </si>
  <si>
    <t>過年度（または今年度に）簡易診療室設置に係る補助金の交付を受けているか記入してください。</t>
    <rPh sb="0" eb="3">
      <t>カネンド</t>
    </rPh>
    <rPh sb="7" eb="10">
      <t>コンネンド</t>
    </rPh>
    <phoneticPr fontId="1"/>
  </si>
  <si>
    <t>　　　　交付を受けていない。　　リース料の助成を受けた。　　購入費用の助成を受けた。(追加で整備する理由を以下に記入してください。)</t>
    <rPh sb="43" eb="45">
      <t>ツイカ</t>
    </rPh>
    <rPh sb="46" eb="48">
      <t>セイビ</t>
    </rPh>
    <phoneticPr fontId="1"/>
  </si>
  <si>
    <t>３．簡易診療室情報</t>
    <rPh sb="2" eb="4">
      <t>カンイ</t>
    </rPh>
    <rPh sb="4" eb="7">
      <t>シンリョウシツ</t>
    </rPh>
    <rPh sb="7" eb="9">
      <t>ジョウホウ</t>
    </rPh>
    <phoneticPr fontId="1"/>
  </si>
  <si>
    <t>２．整備方法</t>
    <rPh sb="2" eb="4">
      <t>セイビ</t>
    </rPh>
    <rPh sb="4" eb="6">
      <t>ホウホウ</t>
    </rPh>
    <phoneticPr fontId="1"/>
  </si>
  <si>
    <t>簡易診療室整備をリースにより行うか、購入により行うか記入してください。</t>
    <rPh sb="0" eb="2">
      <t>カンイ</t>
    </rPh>
    <rPh sb="2" eb="5">
      <t>シンリョウシツ</t>
    </rPh>
    <rPh sb="5" eb="7">
      <t>セイビ</t>
    </rPh>
    <rPh sb="14" eb="15">
      <t>オコナ</t>
    </rPh>
    <rPh sb="18" eb="20">
      <t>コウニュウ</t>
    </rPh>
    <rPh sb="23" eb="24">
      <t>オコナ</t>
    </rPh>
    <rPh sb="26" eb="28">
      <t>キニュウ</t>
    </rPh>
    <phoneticPr fontId="1"/>
  </si>
  <si>
    <t>検討結果</t>
    <rPh sb="0" eb="2">
      <t>ケントウ</t>
    </rPh>
    <rPh sb="2" eb="4">
      <t>ケッカ</t>
    </rPh>
    <phoneticPr fontId="1"/>
  </si>
  <si>
    <t>１．はじめに</t>
    <phoneticPr fontId="1"/>
  </si>
  <si>
    <t>※税抜単価がわからない場合はこちらで算出してください。</t>
    <phoneticPr fontId="1"/>
  </si>
  <si>
    <t>変更申請期間（起）</t>
    <rPh sb="0" eb="2">
      <t>ヘンコウ</t>
    </rPh>
    <rPh sb="2" eb="4">
      <t>シンセイ</t>
    </rPh>
    <rPh sb="4" eb="6">
      <t>キカン</t>
    </rPh>
    <rPh sb="7" eb="8">
      <t>オ</t>
    </rPh>
    <phoneticPr fontId="1"/>
  </si>
  <si>
    <t>変更申請期間（終）</t>
    <rPh sb="0" eb="2">
      <t>ヘンコウ</t>
    </rPh>
    <rPh sb="2" eb="4">
      <t>シンセイ</t>
    </rPh>
    <rPh sb="4" eb="6">
      <t>キカン</t>
    </rPh>
    <rPh sb="7" eb="8">
      <t>オ</t>
    </rPh>
    <phoneticPr fontId="1"/>
  </si>
  <si>
    <t>受付（起）</t>
    <rPh sb="0" eb="2">
      <t>ウケツケ</t>
    </rPh>
    <phoneticPr fontId="1"/>
  </si>
  <si>
    <t>受付（終）</t>
    <rPh sb="0" eb="2">
      <t>ウケツケ</t>
    </rPh>
    <phoneticPr fontId="1"/>
  </si>
  <si>
    <t>コメント</t>
    <phoneticPr fontId="1"/>
  </si>
  <si>
    <t>２．整備方法</t>
    <rPh sb="2" eb="4">
      <t>セイビ</t>
    </rPh>
    <rPh sb="4" eb="6">
      <t>ホウホウ</t>
    </rPh>
    <phoneticPr fontId="1"/>
  </si>
  <si>
    <t>←こちらに税込の単価を入力すると下段に税抜の額が自動で表示されます。</t>
    <rPh sb="5" eb="7">
      <t>ゼイコ</t>
    </rPh>
    <rPh sb="8" eb="10">
      <t>タンカ</t>
    </rPh>
    <rPh sb="11" eb="13">
      <t>ニュウリョク</t>
    </rPh>
    <rPh sb="16" eb="18">
      <t>ゲダン</t>
    </rPh>
    <rPh sb="19" eb="21">
      <t>ゼイヌキ</t>
    </rPh>
    <rPh sb="22" eb="23">
      <t>ガク</t>
    </rPh>
    <rPh sb="24" eb="26">
      <t>ジドウ</t>
    </rPh>
    <rPh sb="27" eb="29">
      <t>ヒョウジ</t>
    </rPh>
    <phoneticPr fontId="1"/>
  </si>
  <si>
    <t>※県記入欄</t>
    <rPh sb="1" eb="2">
      <t>ケン</t>
    </rPh>
    <rPh sb="2" eb="4">
      <t>キニュウ</t>
    </rPh>
    <rPh sb="4" eb="5">
      <t>ラン</t>
    </rPh>
    <phoneticPr fontId="1"/>
  </si>
  <si>
    <t>《以下の品目を申請する場合は、設置場所がわかる図面、購入品目の規格等がわかるカタログ及び見積書を提出すること。》</t>
    <rPh sb="1" eb="3">
      <t>イカ</t>
    </rPh>
    <rPh sb="4" eb="6">
      <t>ヒンモク</t>
    </rPh>
    <rPh sb="7" eb="9">
      <t>シンセイ</t>
    </rPh>
    <rPh sb="11" eb="13">
      <t>バアイ</t>
    </rPh>
    <rPh sb="15" eb="17">
      <t>セッチ</t>
    </rPh>
    <rPh sb="17" eb="19">
      <t>バショ</t>
    </rPh>
    <rPh sb="23" eb="25">
      <t>ズメン</t>
    </rPh>
    <rPh sb="26" eb="28">
      <t>コウニュウ</t>
    </rPh>
    <rPh sb="28" eb="30">
      <t>ヒンモク</t>
    </rPh>
    <rPh sb="31" eb="33">
      <t>キカク</t>
    </rPh>
    <rPh sb="33" eb="34">
      <t>トウ</t>
    </rPh>
    <rPh sb="42" eb="43">
      <t>オヨ</t>
    </rPh>
    <rPh sb="44" eb="47">
      <t>ミツモリショ</t>
    </rPh>
    <rPh sb="48" eb="50">
      <t>テイシュツ</t>
    </rPh>
    <phoneticPr fontId="1"/>
  </si>
  <si>
    <t>年</t>
    <rPh sb="0" eb="1">
      <t>ネン</t>
    </rPh>
    <phoneticPr fontId="1"/>
  </si>
  <si>
    <t>月</t>
    <rPh sb="0" eb="1">
      <t>ツキ</t>
    </rPh>
    <phoneticPr fontId="1"/>
  </si>
  <si>
    <t>日</t>
    <rPh sb="0" eb="1">
      <t>ヒ</t>
    </rPh>
    <phoneticPr fontId="1"/>
  </si>
  <si>
    <t>項目</t>
    <rPh sb="0" eb="2">
      <t>コウモク</t>
    </rPh>
    <phoneticPr fontId="1"/>
  </si>
  <si>
    <t>国事業開始日</t>
    <rPh sb="0" eb="1">
      <t>クニ</t>
    </rPh>
    <rPh sb="1" eb="3">
      <t>ジギョウ</t>
    </rPh>
    <rPh sb="3" eb="5">
      <t>カイシ</t>
    </rPh>
    <rPh sb="5" eb="6">
      <t>ビ</t>
    </rPh>
    <phoneticPr fontId="1"/>
  </si>
  <si>
    <t>提出日（年度）</t>
    <rPh sb="0" eb="2">
      <t>テイシュツ</t>
    </rPh>
    <rPh sb="2" eb="3">
      <t>ビ</t>
    </rPh>
    <rPh sb="4" eb="6">
      <t>ネンド</t>
    </rPh>
    <phoneticPr fontId="1"/>
  </si>
  <si>
    <t>新規</t>
    <rPh sb="0" eb="2">
      <t>シンキ</t>
    </rPh>
    <phoneticPr fontId="38"/>
  </si>
  <si>
    <r>
      <t>１．はじめに
　　今回申請するにあたり、以下の記入欄に必要事項を入力してください。
　　→　記入欄右の「判定」が全て「○」となり、</t>
    </r>
    <r>
      <rPr>
        <b/>
        <u/>
        <sz val="10"/>
        <color rgb="FFFF0000"/>
        <rFont val="游ゴシック"/>
        <family val="3"/>
        <charset val="128"/>
        <scheme val="minor"/>
      </rPr>
      <t>赤表示が全て白表示に変われば入力完了</t>
    </r>
    <r>
      <rPr>
        <b/>
        <sz val="10"/>
        <color theme="1"/>
        <rFont val="游ゴシック"/>
        <family val="3"/>
        <charset val="128"/>
        <scheme val="minor"/>
      </rPr>
      <t>です。
　　→　記載不十分等の箇所はコメント欄を参照ください。
　　こちらで入力した内容はその後に入力いただく各種様式の必要記載部分に反映されます。</t>
    </r>
    <rPh sb="9" eb="11">
      <t>コンカイ</t>
    </rPh>
    <rPh sb="11" eb="13">
      <t>シンセイ</t>
    </rPh>
    <rPh sb="20" eb="22">
      <t>イカ</t>
    </rPh>
    <rPh sb="23" eb="26">
      <t>キニュウラン</t>
    </rPh>
    <rPh sb="27" eb="29">
      <t>ヒツヨウ</t>
    </rPh>
    <rPh sb="29" eb="31">
      <t>ジコウ</t>
    </rPh>
    <rPh sb="32" eb="34">
      <t>ニュウリョク</t>
    </rPh>
    <rPh sb="46" eb="49">
      <t>キニュウラン</t>
    </rPh>
    <rPh sb="49" eb="50">
      <t>ミギ</t>
    </rPh>
    <rPh sb="52" eb="54">
      <t>ハンテイ</t>
    </rPh>
    <rPh sb="56" eb="57">
      <t>スベ</t>
    </rPh>
    <rPh sb="65" eb="66">
      <t>アカ</t>
    </rPh>
    <rPh sb="66" eb="68">
      <t>ヒョウジ</t>
    </rPh>
    <rPh sb="69" eb="70">
      <t>スベ</t>
    </rPh>
    <rPh sb="71" eb="72">
      <t>シロ</t>
    </rPh>
    <rPh sb="72" eb="74">
      <t>ヒョウジ</t>
    </rPh>
    <rPh sb="75" eb="76">
      <t>カ</t>
    </rPh>
    <rPh sb="79" eb="81">
      <t>ニュウリョク</t>
    </rPh>
    <rPh sb="81" eb="83">
      <t>カンリョウ</t>
    </rPh>
    <rPh sb="91" eb="93">
      <t>キサイ</t>
    </rPh>
    <rPh sb="93" eb="96">
      <t>フジュウブン</t>
    </rPh>
    <rPh sb="96" eb="97">
      <t>トウ</t>
    </rPh>
    <rPh sb="98" eb="100">
      <t>カショ</t>
    </rPh>
    <rPh sb="105" eb="106">
      <t>ラン</t>
    </rPh>
    <rPh sb="107" eb="109">
      <t>サンショウ</t>
    </rPh>
    <rPh sb="121" eb="123">
      <t>ニュウリョク</t>
    </rPh>
    <rPh sb="125" eb="127">
      <t>ナイヨウ</t>
    </rPh>
    <rPh sb="130" eb="131">
      <t>ゴ</t>
    </rPh>
    <rPh sb="132" eb="134">
      <t>ニュウリョク</t>
    </rPh>
    <rPh sb="138" eb="140">
      <t>カクシュ</t>
    </rPh>
    <rPh sb="140" eb="142">
      <t>ヨウシキ</t>
    </rPh>
    <rPh sb="143" eb="145">
      <t>ヒツヨウ</t>
    </rPh>
    <rPh sb="145" eb="147">
      <t>キサイ</t>
    </rPh>
    <rPh sb="147" eb="149">
      <t>ブブン</t>
    </rPh>
    <rPh sb="150" eb="152">
      <t>ハンエイ</t>
    </rPh>
    <phoneticPr fontId="1"/>
  </si>
  <si>
    <r>
      <t>２．各種様式の入力について
　　上記「１．はじめに」を入力後、関係の様式に必要情報を入力いただきます。
　　下の表は、それぞれの様式で必要情報が適切に入力されているか否かの表示がされるようにされています。
　　作成にあたっての参考としていただき、</t>
    </r>
    <r>
      <rPr>
        <b/>
        <u/>
        <sz val="10"/>
        <color rgb="FFFF0000"/>
        <rFont val="游ゴシック"/>
        <family val="3"/>
        <charset val="128"/>
        <scheme val="minor"/>
      </rPr>
      <t>提出にあたっては「総合判定」が「○」になっていることを必ず確認</t>
    </r>
    <r>
      <rPr>
        <b/>
        <sz val="10"/>
        <color theme="1"/>
        <rFont val="游ゴシック"/>
        <family val="3"/>
        <charset val="128"/>
        <scheme val="minor"/>
      </rPr>
      <t>してください。</t>
    </r>
    <rPh sb="2" eb="4">
      <t>カクシュ</t>
    </rPh>
    <rPh sb="4" eb="6">
      <t>ヨウシキ</t>
    </rPh>
    <rPh sb="7" eb="9">
      <t>ニュウリョク</t>
    </rPh>
    <rPh sb="16" eb="18">
      <t>ジョウキ</t>
    </rPh>
    <rPh sb="27" eb="29">
      <t>ニュウリョク</t>
    </rPh>
    <rPh sb="29" eb="30">
      <t>ゴ</t>
    </rPh>
    <rPh sb="31" eb="33">
      <t>カンケイ</t>
    </rPh>
    <rPh sb="34" eb="36">
      <t>ヨウシキ</t>
    </rPh>
    <rPh sb="37" eb="39">
      <t>ヒツヨウ</t>
    </rPh>
    <rPh sb="39" eb="41">
      <t>ジョウホウ</t>
    </rPh>
    <rPh sb="42" eb="44">
      <t>ニュウリョク</t>
    </rPh>
    <rPh sb="54" eb="55">
      <t>シタ</t>
    </rPh>
    <rPh sb="56" eb="57">
      <t>ヒョウ</t>
    </rPh>
    <rPh sb="64" eb="66">
      <t>ヨウシキ</t>
    </rPh>
    <rPh sb="67" eb="69">
      <t>ヒツヨウ</t>
    </rPh>
    <rPh sb="69" eb="71">
      <t>ジョウホウ</t>
    </rPh>
    <rPh sb="72" eb="74">
      <t>テキセツ</t>
    </rPh>
    <rPh sb="75" eb="77">
      <t>ニュウリョク</t>
    </rPh>
    <rPh sb="83" eb="84">
      <t>イナ</t>
    </rPh>
    <rPh sb="86" eb="88">
      <t>ヒョウジ</t>
    </rPh>
    <rPh sb="105" eb="107">
      <t>サクセイ</t>
    </rPh>
    <rPh sb="113" eb="115">
      <t>サンコウ</t>
    </rPh>
    <rPh sb="123" eb="125">
      <t>テイシュツ</t>
    </rPh>
    <rPh sb="132" eb="134">
      <t>ソウゴウ</t>
    </rPh>
    <rPh sb="134" eb="136">
      <t>ハンテイ</t>
    </rPh>
    <rPh sb="150" eb="151">
      <t>カナラ</t>
    </rPh>
    <rPh sb="152" eb="154">
      <t>カクニン</t>
    </rPh>
    <phoneticPr fontId="1"/>
  </si>
  <si>
    <t>転記用</t>
    <rPh sb="0" eb="2">
      <t>テンキ</t>
    </rPh>
    <rPh sb="2" eb="3">
      <t>ヨウ</t>
    </rPh>
    <phoneticPr fontId="1"/>
  </si>
  <si>
    <t>―</t>
    <phoneticPr fontId="1"/>
  </si>
  <si>
    <t xml:space="preserve">― </t>
    <phoneticPr fontId="1"/>
  </si>
  <si>
    <t>不備の点</t>
    <rPh sb="0" eb="2">
      <t>フビ</t>
    </rPh>
    <rPh sb="3" eb="4">
      <t>テン</t>
    </rPh>
    <phoneticPr fontId="1"/>
  </si>
  <si>
    <t>申立事項</t>
    <rPh sb="0" eb="2">
      <t>モウシタ</t>
    </rPh>
    <rPh sb="2" eb="4">
      <t>ジコウ</t>
    </rPh>
    <phoneticPr fontId="1"/>
  </si>
  <si>
    <t>空気清浄機・パーテーション・簡易ベッド明細</t>
    <phoneticPr fontId="1"/>
  </si>
  <si>
    <t>総合</t>
    <rPh sb="0" eb="2">
      <t>ソウゴウ</t>
    </rPh>
    <phoneticPr fontId="1"/>
  </si>
  <si>
    <t>0005301</t>
  </si>
  <si>
    <t>三菱ＵＦＪ銀行</t>
  </si>
  <si>
    <t>一宮支店</t>
  </si>
  <si>
    <t>1560046</t>
  </si>
  <si>
    <t>碧海信用金庫</t>
  </si>
  <si>
    <t>和泉支店</t>
  </si>
  <si>
    <t>0152036</t>
  </si>
  <si>
    <t>大垣共立銀行</t>
  </si>
  <si>
    <t>勝川支店</t>
  </si>
  <si>
    <t>1559011</t>
  </si>
  <si>
    <t>豊田信用金庫</t>
  </si>
  <si>
    <t>本店営業部</t>
  </si>
  <si>
    <t>0009482</t>
  </si>
  <si>
    <t>三井住友銀行</t>
  </si>
  <si>
    <t>上前津支店</t>
  </si>
  <si>
    <t>0005311</t>
  </si>
  <si>
    <t>東海支店</t>
  </si>
  <si>
    <t>1552096</t>
  </si>
  <si>
    <t>岡崎信用金庫</t>
  </si>
  <si>
    <t>一社支店</t>
  </si>
  <si>
    <t>0155030</t>
  </si>
  <si>
    <t>百五銀行</t>
  </si>
  <si>
    <t>戸田支店</t>
  </si>
  <si>
    <t>0005752</t>
  </si>
  <si>
    <t>植田支店</t>
  </si>
  <si>
    <t>0155035</t>
  </si>
  <si>
    <t>弥富支店</t>
  </si>
  <si>
    <t>0149621</t>
  </si>
  <si>
    <t>静岡銀行</t>
  </si>
  <si>
    <t>豊橋支店</t>
  </si>
  <si>
    <t>1530029</t>
  </si>
  <si>
    <t>岐阜信用金庫</t>
  </si>
  <si>
    <t>八田支店</t>
  </si>
  <si>
    <t>0543130</t>
  </si>
  <si>
    <t>名古屋銀行</t>
  </si>
  <si>
    <t>藤が丘支店</t>
  </si>
  <si>
    <t>香流橋支店</t>
  </si>
  <si>
    <t>0544316</t>
  </si>
  <si>
    <t>中京銀行</t>
  </si>
  <si>
    <t>岩倉支店</t>
  </si>
  <si>
    <t>1560018</t>
  </si>
  <si>
    <t>東郷支店</t>
  </si>
  <si>
    <t>0543283</t>
  </si>
  <si>
    <t>一ツ木支店</t>
  </si>
  <si>
    <t>0153564</t>
  </si>
  <si>
    <t>十六銀行</t>
  </si>
  <si>
    <t>名東支店</t>
  </si>
  <si>
    <t>0005697</t>
  </si>
  <si>
    <t>野並支店</t>
  </si>
  <si>
    <t>1556009</t>
  </si>
  <si>
    <t>知多信用金庫</t>
  </si>
  <si>
    <t>東浦支店</t>
  </si>
  <si>
    <t>0543105</t>
  </si>
  <si>
    <t>桜山支店</t>
  </si>
  <si>
    <t>0001431</t>
  </si>
  <si>
    <t>みずほ銀行</t>
  </si>
  <si>
    <t>名古屋支店</t>
  </si>
  <si>
    <t>0005221</t>
  </si>
  <si>
    <t>名古屋駅前支店</t>
  </si>
  <si>
    <t>0005238</t>
  </si>
  <si>
    <t>小田井支店</t>
  </si>
  <si>
    <t>1553021</t>
  </si>
  <si>
    <t>いちい信用金庫</t>
  </si>
  <si>
    <t>西江南支店</t>
  </si>
  <si>
    <t>0152054</t>
  </si>
  <si>
    <t>安城支店</t>
  </si>
  <si>
    <t>1530053</t>
  </si>
  <si>
    <t>末広支店</t>
  </si>
  <si>
    <t>0544302</t>
  </si>
  <si>
    <t>稲沢支店</t>
  </si>
  <si>
    <t>0155028</t>
  </si>
  <si>
    <t>西春支店</t>
  </si>
  <si>
    <t>0153520</t>
  </si>
  <si>
    <t>江南支店</t>
  </si>
  <si>
    <t>0005237</t>
  </si>
  <si>
    <t>1560008</t>
  </si>
  <si>
    <t>碧南支店</t>
  </si>
  <si>
    <t>0152060</t>
  </si>
  <si>
    <t>鵜沼支店</t>
  </si>
  <si>
    <t>1561011</t>
  </si>
  <si>
    <t>西尾信用金庫</t>
  </si>
  <si>
    <t>1556005</t>
  </si>
  <si>
    <t>乙川支店</t>
  </si>
  <si>
    <t>1552082</t>
  </si>
  <si>
    <t>国府支店</t>
  </si>
  <si>
    <t>0542229</t>
  </si>
  <si>
    <t>愛知銀行</t>
  </si>
  <si>
    <t>高針支店</t>
  </si>
  <si>
    <t>0038105</t>
  </si>
  <si>
    <t>住信ＳＢＩネット銀行</t>
  </si>
  <si>
    <t>リンゴ支店</t>
  </si>
  <si>
    <t>0005268</t>
  </si>
  <si>
    <t>滝子支店</t>
  </si>
  <si>
    <t>0152069</t>
  </si>
  <si>
    <t>西山支店</t>
  </si>
  <si>
    <t>0153551</t>
  </si>
  <si>
    <t>中村支店</t>
  </si>
  <si>
    <t>0155043</t>
  </si>
  <si>
    <t>1560021</t>
  </si>
  <si>
    <t>東刈谷支店</t>
  </si>
  <si>
    <t>0005214</t>
  </si>
  <si>
    <t>瀬戸支店</t>
  </si>
  <si>
    <t>0543139</t>
  </si>
  <si>
    <t>塩釜口支店</t>
  </si>
  <si>
    <t>1557013</t>
  </si>
  <si>
    <t>豊川信用金庫</t>
  </si>
  <si>
    <t>いなり支店</t>
  </si>
  <si>
    <t>0153588</t>
  </si>
  <si>
    <t>赤池支店</t>
  </si>
  <si>
    <t>1552067</t>
  </si>
  <si>
    <t>半田支店</t>
  </si>
  <si>
    <t>1560024</t>
  </si>
  <si>
    <t>高岡支店</t>
  </si>
  <si>
    <t>0005282</t>
  </si>
  <si>
    <t>1552049</t>
  </si>
  <si>
    <t>三好支店</t>
  </si>
  <si>
    <t>0152052</t>
  </si>
  <si>
    <t>内田橋支店</t>
  </si>
  <si>
    <t>0005677</t>
  </si>
  <si>
    <t>笹島支店</t>
  </si>
  <si>
    <t>0005288</t>
  </si>
  <si>
    <t>金山支店</t>
  </si>
  <si>
    <t>0005549</t>
  </si>
  <si>
    <t>新城支店</t>
  </si>
  <si>
    <t>1554054</t>
  </si>
  <si>
    <t>瀬戸信用金庫</t>
  </si>
  <si>
    <t>本地ケ原支店</t>
  </si>
  <si>
    <t>1552051</t>
  </si>
  <si>
    <t>春日井支店</t>
  </si>
  <si>
    <t>0153566</t>
  </si>
  <si>
    <t>0152034</t>
  </si>
  <si>
    <t>1554027</t>
  </si>
  <si>
    <t>猪子石支店</t>
  </si>
  <si>
    <t>0005792</t>
  </si>
  <si>
    <t>0542301</t>
  </si>
  <si>
    <t>0543114</t>
  </si>
  <si>
    <t>枇杷島通支店</t>
  </si>
  <si>
    <t>0153550</t>
  </si>
  <si>
    <t>美和支店</t>
  </si>
  <si>
    <t>0005095</t>
  </si>
  <si>
    <t>平針支店</t>
  </si>
  <si>
    <t>1554032</t>
  </si>
  <si>
    <t>尾張旭支店</t>
  </si>
  <si>
    <t>0155026</t>
  </si>
  <si>
    <t>黒川支店</t>
  </si>
  <si>
    <t>1557003</t>
  </si>
  <si>
    <t>諏訪支店</t>
  </si>
  <si>
    <t>1551002</t>
  </si>
  <si>
    <t>豊橋信用金庫</t>
  </si>
  <si>
    <t>1554003</t>
  </si>
  <si>
    <t>瀬戸東支店</t>
  </si>
  <si>
    <t>0155511</t>
  </si>
  <si>
    <t>久居支店</t>
  </si>
  <si>
    <t>0153569</t>
  </si>
  <si>
    <t>星が丘支店</t>
  </si>
  <si>
    <t>1530024</t>
  </si>
  <si>
    <t>1559028</t>
  </si>
  <si>
    <t>岡崎北支店</t>
  </si>
  <si>
    <t>0153517</t>
  </si>
  <si>
    <t>師勝支店</t>
  </si>
  <si>
    <t>1565018</t>
  </si>
  <si>
    <t>中日信用金庫</t>
  </si>
  <si>
    <t>本店</t>
  </si>
  <si>
    <t>1565003</t>
  </si>
  <si>
    <t>浄心支店</t>
  </si>
  <si>
    <t>1556021</t>
  </si>
  <si>
    <t>1552021</t>
  </si>
  <si>
    <t>高浜支店</t>
  </si>
  <si>
    <t>1559016</t>
  </si>
  <si>
    <t>上郷支店</t>
  </si>
  <si>
    <t>9900208</t>
  </si>
  <si>
    <t>ゆうちょ銀行</t>
  </si>
  <si>
    <t>二〇八</t>
  </si>
  <si>
    <t>0005216</t>
  </si>
  <si>
    <t>0005393</t>
  </si>
  <si>
    <t>0005757</t>
  </si>
  <si>
    <t>高蔵寺支店</t>
  </si>
  <si>
    <t>0005278</t>
  </si>
  <si>
    <t>石川橋支店</t>
  </si>
  <si>
    <t>1530039</t>
  </si>
  <si>
    <t>犬山支店</t>
  </si>
  <si>
    <t>0152043</t>
  </si>
  <si>
    <t>茶屋坂支店</t>
  </si>
  <si>
    <t>0005323</t>
  </si>
  <si>
    <t>小牧支店</t>
  </si>
  <si>
    <t>0542303</t>
  </si>
  <si>
    <t>0152136</t>
  </si>
  <si>
    <t>0153503</t>
  </si>
  <si>
    <t>0543230</t>
  </si>
  <si>
    <t>0005796</t>
  </si>
  <si>
    <t>0005772</t>
  </si>
  <si>
    <t>柴田支店</t>
  </si>
  <si>
    <t>0155037</t>
  </si>
  <si>
    <t>刈谷支店</t>
  </si>
  <si>
    <t>0152088</t>
  </si>
  <si>
    <t>東野支店</t>
  </si>
  <si>
    <t>0009486</t>
  </si>
  <si>
    <t>0005718</t>
  </si>
  <si>
    <t>岡崎駅前支店</t>
  </si>
  <si>
    <t>0036251</t>
  </si>
  <si>
    <t>楽天銀行</t>
  </si>
  <si>
    <t>第一営業支店</t>
  </si>
  <si>
    <t>0153578</t>
  </si>
  <si>
    <t>港支店</t>
  </si>
  <si>
    <t>0152039</t>
  </si>
  <si>
    <t>0005403</t>
  </si>
  <si>
    <t>新名古屋駅前支店</t>
  </si>
  <si>
    <t>0152061</t>
  </si>
  <si>
    <t>守山支店</t>
  </si>
  <si>
    <t>0005217</t>
  </si>
  <si>
    <t>上飯田支店</t>
  </si>
  <si>
    <t>1552083</t>
  </si>
  <si>
    <t>府相支店</t>
  </si>
  <si>
    <t>1552018</t>
  </si>
  <si>
    <t>熱田支店</t>
  </si>
  <si>
    <t>0005413</t>
  </si>
  <si>
    <t>1565012</t>
  </si>
  <si>
    <t>1551009</t>
  </si>
  <si>
    <t>田原支店</t>
  </si>
  <si>
    <t>0542202</t>
  </si>
  <si>
    <t>1566002</t>
  </si>
  <si>
    <t>東春信用金庫</t>
  </si>
  <si>
    <t>0005418</t>
  </si>
  <si>
    <t>0155034</t>
  </si>
  <si>
    <t>1562091</t>
  </si>
  <si>
    <t>蒲郡信用金庫</t>
  </si>
  <si>
    <t>飯村支店</t>
  </si>
  <si>
    <t>1552084</t>
  </si>
  <si>
    <t>1530042</t>
  </si>
  <si>
    <t>楠町支店</t>
  </si>
  <si>
    <t>1530041</t>
  </si>
  <si>
    <t>0543256</t>
  </si>
  <si>
    <t>1560064</t>
  </si>
  <si>
    <t>0152138</t>
  </si>
  <si>
    <t>1553009</t>
  </si>
  <si>
    <t>0009712</t>
  </si>
  <si>
    <t>0005559</t>
  </si>
  <si>
    <t>知多支店</t>
  </si>
  <si>
    <t>0005417</t>
  </si>
  <si>
    <t>新瑞橋支店</t>
  </si>
  <si>
    <t>1551006</t>
  </si>
  <si>
    <t>東支店</t>
  </si>
  <si>
    <t>0543280</t>
  </si>
  <si>
    <t>扶桑支店</t>
  </si>
  <si>
    <t>0010941</t>
  </si>
  <si>
    <t>りそな銀行</t>
  </si>
  <si>
    <t>サンライズ支店</t>
  </si>
  <si>
    <t>1552001</t>
  </si>
  <si>
    <t>1556014</t>
  </si>
  <si>
    <t>上野支店</t>
  </si>
  <si>
    <t>1562048</t>
  </si>
  <si>
    <t>岡崎南支店</t>
  </si>
  <si>
    <t>0543108</t>
  </si>
  <si>
    <t>0005203</t>
  </si>
  <si>
    <t>大津町支店</t>
  </si>
  <si>
    <t>1560011</t>
  </si>
  <si>
    <t>名古屋南支店</t>
  </si>
  <si>
    <t>0153558</t>
  </si>
  <si>
    <t>0543132</t>
  </si>
  <si>
    <t>0005267</t>
  </si>
  <si>
    <t>鶴舞支店</t>
  </si>
  <si>
    <t>1562039</t>
  </si>
  <si>
    <t>鶴ケ浜支店</t>
  </si>
  <si>
    <t>0154440</t>
  </si>
  <si>
    <t>三十三銀行</t>
  </si>
  <si>
    <t>堀田支店</t>
  </si>
  <si>
    <t>0152037</t>
  </si>
  <si>
    <t>1530036</t>
  </si>
  <si>
    <t>平田支店</t>
  </si>
  <si>
    <t>1551015</t>
  </si>
  <si>
    <t>井原支店</t>
  </si>
  <si>
    <t>0005433</t>
  </si>
  <si>
    <t>新橋支店</t>
  </si>
  <si>
    <t>0153560</t>
  </si>
  <si>
    <t>0005660</t>
  </si>
  <si>
    <t>0005830</t>
  </si>
  <si>
    <t>0001492</t>
  </si>
  <si>
    <t>名古屋中央支店</t>
  </si>
  <si>
    <t>0005276</t>
  </si>
  <si>
    <t>星ヶ丘支店</t>
  </si>
  <si>
    <t>0152045</t>
  </si>
  <si>
    <t>高辻支店</t>
  </si>
  <si>
    <t>1557001</t>
  </si>
  <si>
    <t>1552028</t>
  </si>
  <si>
    <t>安田通支店</t>
  </si>
  <si>
    <t>1556024</t>
  </si>
  <si>
    <t>0544112</t>
  </si>
  <si>
    <t>東山支店</t>
  </si>
  <si>
    <t>0542410</t>
  </si>
  <si>
    <t>知立団地出張所</t>
  </si>
  <si>
    <t>1551013</t>
  </si>
  <si>
    <t>南栄支店</t>
  </si>
  <si>
    <t>0005408</t>
  </si>
  <si>
    <t>豊田南支店</t>
  </si>
  <si>
    <t>0005693</t>
  </si>
  <si>
    <t>大曽根支店</t>
  </si>
  <si>
    <t>0152059</t>
  </si>
  <si>
    <t>大府支店</t>
  </si>
  <si>
    <t>0542220</t>
  </si>
  <si>
    <t>松葉町支店</t>
  </si>
  <si>
    <t>0152133</t>
  </si>
  <si>
    <t>1530023</t>
  </si>
  <si>
    <t>0005833</t>
  </si>
  <si>
    <t>一宮東支店</t>
  </si>
  <si>
    <t>0005461</t>
  </si>
  <si>
    <t>1559015</t>
  </si>
  <si>
    <t>高橋支店</t>
  </si>
  <si>
    <t>1562096</t>
  </si>
  <si>
    <t>佐藤町支店</t>
  </si>
  <si>
    <t>0542204</t>
  </si>
  <si>
    <t>新道支店</t>
  </si>
  <si>
    <t>0005273</t>
  </si>
  <si>
    <t>鳴海支店</t>
  </si>
  <si>
    <t>1559021</t>
  </si>
  <si>
    <t>猿投支店</t>
  </si>
  <si>
    <t>1530045</t>
  </si>
  <si>
    <t>清水支店</t>
  </si>
  <si>
    <t>1560016</t>
  </si>
  <si>
    <t>1552093</t>
  </si>
  <si>
    <t>0005894</t>
  </si>
  <si>
    <t>尾張新川支店</t>
  </si>
  <si>
    <t>1552057</t>
  </si>
  <si>
    <t>六名支店</t>
  </si>
  <si>
    <t>0542231</t>
  </si>
  <si>
    <t>島田支店</t>
  </si>
  <si>
    <t>1559031</t>
  </si>
  <si>
    <t>0543272</t>
  </si>
  <si>
    <t>0152064</t>
  </si>
  <si>
    <t>有松支店</t>
  </si>
  <si>
    <t>0542212</t>
  </si>
  <si>
    <t>東郊通支店</t>
  </si>
  <si>
    <t>1560072</t>
  </si>
  <si>
    <t>鳴海東支店</t>
  </si>
  <si>
    <t>0155023</t>
  </si>
  <si>
    <t>6483332</t>
  </si>
  <si>
    <t>愛知西農業協同組合</t>
  </si>
  <si>
    <t>下津支店</t>
  </si>
  <si>
    <t>0005764</t>
  </si>
  <si>
    <t>インターネット支店</t>
  </si>
  <si>
    <t>1552031</t>
  </si>
  <si>
    <t>城北支店</t>
  </si>
  <si>
    <t>0153516</t>
  </si>
  <si>
    <t>0005769</t>
  </si>
  <si>
    <t>0543270</t>
  </si>
  <si>
    <t>1552019</t>
  </si>
  <si>
    <t>尾頭橋支店</t>
  </si>
  <si>
    <t>0005449</t>
  </si>
  <si>
    <t>西尾支店</t>
  </si>
  <si>
    <t>0152121</t>
  </si>
  <si>
    <t>木曽川支店</t>
  </si>
  <si>
    <t>1562071</t>
  </si>
  <si>
    <t>1560050</t>
  </si>
  <si>
    <t>加木屋支店</t>
  </si>
  <si>
    <t>0544319</t>
  </si>
  <si>
    <t>一宮南支店</t>
  </si>
  <si>
    <t>0544335</t>
  </si>
  <si>
    <t>0543233</t>
  </si>
  <si>
    <t>津島支店</t>
  </si>
  <si>
    <t>0543232</t>
  </si>
  <si>
    <t>1553001</t>
  </si>
  <si>
    <t>1554018</t>
  </si>
  <si>
    <t>0154762</t>
  </si>
  <si>
    <t>天白支店</t>
  </si>
  <si>
    <t>1562067</t>
  </si>
  <si>
    <t>鷹丘支店</t>
  </si>
  <si>
    <t>1530057</t>
  </si>
  <si>
    <t>東江南支店</t>
  </si>
  <si>
    <t>1554041</t>
  </si>
  <si>
    <t>川村支店</t>
  </si>
  <si>
    <t>0005266</t>
  </si>
  <si>
    <t>八事支店</t>
  </si>
  <si>
    <t>0155039</t>
  </si>
  <si>
    <t>0005234</t>
  </si>
  <si>
    <t>蟹江支店</t>
  </si>
  <si>
    <t>1562041</t>
  </si>
  <si>
    <t>緑丘支店</t>
  </si>
  <si>
    <t>0153567</t>
  </si>
  <si>
    <t>稲熊支店</t>
  </si>
  <si>
    <t>0543273</t>
  </si>
  <si>
    <t>甚目寺支店</t>
  </si>
  <si>
    <t>0544133</t>
  </si>
  <si>
    <t>0543281</t>
  </si>
  <si>
    <t>羽黒支店</t>
  </si>
  <si>
    <t>0152068</t>
  </si>
  <si>
    <t>長良支店</t>
  </si>
  <si>
    <t>0005704</t>
  </si>
  <si>
    <t>1560013</t>
  </si>
  <si>
    <t>今村支店</t>
  </si>
  <si>
    <t>1560061</t>
  </si>
  <si>
    <t>岩津支店</t>
  </si>
  <si>
    <t>0544318</t>
  </si>
  <si>
    <t>0009408</t>
  </si>
  <si>
    <t>名古屋栄支店</t>
  </si>
  <si>
    <t>1557034</t>
  </si>
  <si>
    <t>新城中央支店</t>
  </si>
  <si>
    <t>0005297</t>
  </si>
  <si>
    <t>高畑支店</t>
  </si>
  <si>
    <t>0005292</t>
  </si>
  <si>
    <t>名古屋港支店</t>
  </si>
  <si>
    <t>0543275</t>
  </si>
  <si>
    <t>愛西支店</t>
  </si>
  <si>
    <t>0005208</t>
  </si>
  <si>
    <t>0153507</t>
  </si>
  <si>
    <t>山口支店</t>
  </si>
  <si>
    <t>0544313</t>
  </si>
  <si>
    <t>1559032</t>
  </si>
  <si>
    <t>三好北支店</t>
  </si>
  <si>
    <t>1557016</t>
  </si>
  <si>
    <t>三ノ輪支店</t>
  </si>
  <si>
    <t>1552013</t>
  </si>
  <si>
    <t>0152044</t>
  </si>
  <si>
    <t>尾西支店</t>
  </si>
  <si>
    <t>0010727</t>
  </si>
  <si>
    <t>今池支店</t>
  </si>
  <si>
    <t>1559064</t>
  </si>
  <si>
    <t>元町支店</t>
  </si>
  <si>
    <t>0010721</t>
  </si>
  <si>
    <t>0005344</t>
  </si>
  <si>
    <t>1553011</t>
  </si>
  <si>
    <t>1559052</t>
  </si>
  <si>
    <t>0542318</t>
  </si>
  <si>
    <t>三郷支店</t>
  </si>
  <si>
    <t>0152110</t>
  </si>
  <si>
    <t>七宝支店</t>
  </si>
  <si>
    <t>0544222</t>
  </si>
  <si>
    <t>0543113</t>
  </si>
  <si>
    <t>0543253</t>
  </si>
  <si>
    <t>0005424</t>
  </si>
  <si>
    <t>0005400</t>
  </si>
  <si>
    <t>0005465</t>
  </si>
  <si>
    <t>蒲郡支店</t>
  </si>
  <si>
    <t>0397400</t>
  </si>
  <si>
    <t>新生銀行</t>
  </si>
  <si>
    <t>1557021</t>
  </si>
  <si>
    <t>音羽支店</t>
  </si>
  <si>
    <t>1553027</t>
  </si>
  <si>
    <t>おりづ支店</t>
  </si>
  <si>
    <t>0005547</t>
  </si>
  <si>
    <t>1530102</t>
  </si>
  <si>
    <t>0149615</t>
  </si>
  <si>
    <t>0005467</t>
  </si>
  <si>
    <t>1553015</t>
  </si>
  <si>
    <t>1552035</t>
  </si>
  <si>
    <t>瑞穂支店</t>
  </si>
  <si>
    <t>1561045</t>
  </si>
  <si>
    <t>成岩支店</t>
  </si>
  <si>
    <t>0005587</t>
  </si>
  <si>
    <t>武豊支店</t>
  </si>
  <si>
    <t>1559022</t>
  </si>
  <si>
    <t>八橋支店</t>
  </si>
  <si>
    <t>1552014</t>
  </si>
  <si>
    <t>豊田支店</t>
  </si>
  <si>
    <t>1554007</t>
  </si>
  <si>
    <t>0153573</t>
  </si>
  <si>
    <t>1517022</t>
  </si>
  <si>
    <t>遠州信用金庫</t>
  </si>
  <si>
    <t>湖西支店</t>
  </si>
  <si>
    <t>1553010</t>
  </si>
  <si>
    <t>0544312</t>
  </si>
  <si>
    <t>0153559</t>
  </si>
  <si>
    <t>0152035</t>
  </si>
  <si>
    <t>0149346</t>
  </si>
  <si>
    <t>有玉支店</t>
  </si>
  <si>
    <t>0005150</t>
  </si>
  <si>
    <t>名古屋営業部</t>
  </si>
  <si>
    <t>1557004</t>
  </si>
  <si>
    <t>0152065</t>
  </si>
  <si>
    <t>岐南支店</t>
  </si>
  <si>
    <t>0005264</t>
  </si>
  <si>
    <t>覚王山支店</t>
  </si>
  <si>
    <t>1560005</t>
  </si>
  <si>
    <t>桜井支店</t>
  </si>
  <si>
    <t>1560038</t>
  </si>
  <si>
    <t>豊明北支店</t>
  </si>
  <si>
    <t>0005401</t>
  </si>
  <si>
    <t>1561050</t>
  </si>
  <si>
    <t>1559018</t>
  </si>
  <si>
    <t>神池支店</t>
  </si>
  <si>
    <t>1530013</t>
  </si>
  <si>
    <t>1552091</t>
  </si>
  <si>
    <t>碧南中央支店</t>
  </si>
  <si>
    <t>0153583</t>
  </si>
  <si>
    <t>岡崎支店</t>
  </si>
  <si>
    <t>0009481</t>
  </si>
  <si>
    <t>0177841</t>
  </si>
  <si>
    <t>福岡銀行</t>
  </si>
  <si>
    <t>0543246</t>
  </si>
  <si>
    <t>0009487</t>
  </si>
  <si>
    <t>0543116</t>
  </si>
  <si>
    <t>1556016</t>
  </si>
  <si>
    <t>青山支店</t>
  </si>
  <si>
    <t>1562062</t>
  </si>
  <si>
    <t>渥美支店</t>
  </si>
  <si>
    <t>向ケ丘支店</t>
  </si>
  <si>
    <t>0543234</t>
  </si>
  <si>
    <t>0009736</t>
  </si>
  <si>
    <t>御器所支店</t>
  </si>
  <si>
    <t>1559065</t>
  </si>
  <si>
    <t>浄水支店</t>
  </si>
  <si>
    <t>0543111</t>
  </si>
  <si>
    <t>1551005</t>
  </si>
  <si>
    <t>二川支店</t>
  </si>
  <si>
    <t>1553025</t>
  </si>
  <si>
    <t>葉栗支店</t>
  </si>
  <si>
    <t>1552065</t>
  </si>
  <si>
    <t>豊田美里支店</t>
  </si>
  <si>
    <t>0543141</t>
  </si>
  <si>
    <t>0542230</t>
  </si>
  <si>
    <t>陣中支店</t>
  </si>
  <si>
    <t>0152150</t>
  </si>
  <si>
    <t>0152062</t>
  </si>
  <si>
    <t>0005305</t>
  </si>
  <si>
    <t>常滑支店</t>
  </si>
  <si>
    <t>1552062</t>
  </si>
  <si>
    <t>幸田支店</t>
  </si>
  <si>
    <t>1553002</t>
  </si>
  <si>
    <t>神明津支店</t>
  </si>
  <si>
    <t>1552030</t>
  </si>
  <si>
    <t>代官町支店</t>
  </si>
  <si>
    <t>0005740</t>
  </si>
  <si>
    <t>1562064</t>
  </si>
  <si>
    <t>豊川北支店</t>
  </si>
  <si>
    <t>0153509</t>
  </si>
  <si>
    <t>0152132</t>
  </si>
  <si>
    <t>1552086</t>
  </si>
  <si>
    <t>高浜東支店</t>
  </si>
  <si>
    <t>1552100</t>
  </si>
  <si>
    <t>1533020</t>
  </si>
  <si>
    <t>東濃信用金庫</t>
  </si>
  <si>
    <t>0288560</t>
  </si>
  <si>
    <t>三菱ＵＦＪ信託銀行</t>
  </si>
  <si>
    <t>0152053</t>
  </si>
  <si>
    <t>0153513</t>
  </si>
  <si>
    <t>1552087</t>
  </si>
  <si>
    <t>1530051</t>
  </si>
  <si>
    <t>0544131</t>
  </si>
  <si>
    <t>0152127</t>
  </si>
  <si>
    <t>0153518</t>
  </si>
  <si>
    <t>0005686</t>
  </si>
  <si>
    <t>徳重支店</t>
  </si>
  <si>
    <t>0005745</t>
  </si>
  <si>
    <t>日進支店</t>
  </si>
  <si>
    <t>1554030</t>
  </si>
  <si>
    <t>菱野支店</t>
  </si>
  <si>
    <t>1556035</t>
  </si>
  <si>
    <t>0005519</t>
  </si>
  <si>
    <t>田口特別出張所</t>
  </si>
  <si>
    <t>1560054</t>
  </si>
  <si>
    <t>東境支店</t>
  </si>
  <si>
    <t>0153505</t>
  </si>
  <si>
    <t>0544323</t>
  </si>
  <si>
    <t>1554035</t>
  </si>
  <si>
    <t>0153545</t>
  </si>
  <si>
    <t>1553003</t>
  </si>
  <si>
    <t>1560017</t>
  </si>
  <si>
    <t>みよし支店</t>
  </si>
  <si>
    <t>0153506</t>
  </si>
  <si>
    <t>0152154</t>
  </si>
  <si>
    <t>ながくて支店</t>
  </si>
  <si>
    <t>0005591</t>
  </si>
  <si>
    <t>多摩センター支店</t>
  </si>
  <si>
    <t>1565005</t>
  </si>
  <si>
    <t>矢田支店</t>
  </si>
  <si>
    <t>0152102</t>
  </si>
  <si>
    <t>1552006</t>
  </si>
  <si>
    <t>井田支店</t>
  </si>
  <si>
    <t>1552038</t>
  </si>
  <si>
    <t>1561026</t>
  </si>
  <si>
    <t>1552037</t>
  </si>
  <si>
    <t>1562065</t>
  </si>
  <si>
    <t>小坂井支店</t>
  </si>
  <si>
    <t>0005213</t>
  </si>
  <si>
    <t>0542222</t>
  </si>
  <si>
    <t>0153519</t>
  </si>
  <si>
    <t>1559030</t>
  </si>
  <si>
    <t>刈谷北支店</t>
  </si>
  <si>
    <t>0153116</t>
  </si>
  <si>
    <t>0544171</t>
  </si>
  <si>
    <t>0542310</t>
  </si>
  <si>
    <t>1552026</t>
  </si>
  <si>
    <t>1560042</t>
  </si>
  <si>
    <t>1556001</t>
  </si>
  <si>
    <t>栄町支店</t>
  </si>
  <si>
    <t>1563015</t>
  </si>
  <si>
    <t>尾西信用金庫</t>
  </si>
  <si>
    <t>西成支店</t>
  </si>
  <si>
    <t>1552007</t>
  </si>
  <si>
    <t>美合支店</t>
  </si>
  <si>
    <t>0005784</t>
  </si>
  <si>
    <t>有松出張所</t>
  </si>
  <si>
    <t>1554059</t>
  </si>
  <si>
    <t>田代支店</t>
  </si>
  <si>
    <t>0542201</t>
  </si>
  <si>
    <t>1530089</t>
  </si>
  <si>
    <t>0153581</t>
  </si>
  <si>
    <t>0153553</t>
  </si>
  <si>
    <t>0009402</t>
  </si>
  <si>
    <t>1553121</t>
  </si>
  <si>
    <t>江東支店</t>
  </si>
  <si>
    <t>0009734</t>
  </si>
  <si>
    <t>天白植田支店</t>
  </si>
  <si>
    <t>0544134</t>
  </si>
  <si>
    <t>1563001</t>
  </si>
  <si>
    <t>0005235</t>
  </si>
  <si>
    <t>中村公園前支店</t>
  </si>
  <si>
    <t>1530049</t>
  </si>
  <si>
    <t>0542216</t>
  </si>
  <si>
    <t>0543255</t>
  </si>
  <si>
    <t>0152130</t>
  </si>
  <si>
    <t>1552009</t>
  </si>
  <si>
    <t>矢作支店</t>
  </si>
  <si>
    <t>0544103</t>
  </si>
  <si>
    <t>大津橋支店</t>
  </si>
  <si>
    <t>1553007</t>
  </si>
  <si>
    <t>奥町支店</t>
  </si>
  <si>
    <t>1552033</t>
  </si>
  <si>
    <t>1560070</t>
  </si>
  <si>
    <t>0001454</t>
  </si>
  <si>
    <t>1560073</t>
  </si>
  <si>
    <t>知立南支店</t>
  </si>
  <si>
    <t>1557022</t>
  </si>
  <si>
    <t>蔵子支店</t>
  </si>
  <si>
    <t>0005306</t>
  </si>
  <si>
    <t>1559025</t>
  </si>
  <si>
    <t>保見支店</t>
  </si>
  <si>
    <t>1554050</t>
  </si>
  <si>
    <t>1530101</t>
  </si>
  <si>
    <t>1560006</t>
  </si>
  <si>
    <t>0543266</t>
  </si>
  <si>
    <t>長久手支店</t>
  </si>
  <si>
    <t>1552008</t>
  </si>
  <si>
    <t>1560035</t>
  </si>
  <si>
    <t>1554062</t>
  </si>
  <si>
    <t>印場支店</t>
  </si>
  <si>
    <t>0542205</t>
  </si>
  <si>
    <t>1552004</t>
  </si>
  <si>
    <t>中央支店</t>
  </si>
  <si>
    <t>1557029</t>
  </si>
  <si>
    <t>豊支店</t>
  </si>
  <si>
    <t>0154432</t>
  </si>
  <si>
    <t>0154415</t>
  </si>
  <si>
    <t>広路支店</t>
  </si>
  <si>
    <t>0009733</t>
  </si>
  <si>
    <t>6430103</t>
  </si>
  <si>
    <t>鳴尾支店</t>
  </si>
  <si>
    <t>1553077</t>
  </si>
  <si>
    <t>津島営業部</t>
  </si>
  <si>
    <t>事業完了（予定）日</t>
    <phoneticPr fontId="1"/>
  </si>
  <si>
    <t>普通</t>
  </si>
  <si>
    <t>当座</t>
  </si>
  <si>
    <t>茶屋坂</t>
  </si>
  <si>
    <t>三菱UFJ銀行</t>
  </si>
  <si>
    <t>なごや農業協同</t>
  </si>
  <si>
    <t>6503024</t>
  </si>
  <si>
    <t>海部東農業協同組合</t>
  </si>
  <si>
    <t>0005694</t>
  </si>
  <si>
    <t>笠寺支店</t>
  </si>
  <si>
    <t>1554074</t>
  </si>
  <si>
    <t>金融機関番号</t>
    <rPh sb="0" eb="2">
      <t>キンユウ</t>
    </rPh>
    <rPh sb="2" eb="4">
      <t>キカン</t>
    </rPh>
    <rPh sb="4" eb="6">
      <t>バンゴウ</t>
    </rPh>
    <phoneticPr fontId="1"/>
  </si>
  <si>
    <t>支店番号</t>
    <rPh sb="0" eb="2">
      <t>シテン</t>
    </rPh>
    <rPh sb="2" eb="4">
      <t>バンゴウ</t>
    </rPh>
    <phoneticPr fontId="1"/>
  </si>
  <si>
    <r>
      <t xml:space="preserve">　申請者は、以下いずれの事項にも該当するものであることを申し立てます。
</t>
    </r>
    <r>
      <rPr>
        <b/>
        <sz val="11"/>
        <color theme="1"/>
        <rFont val="Segoe UI Symbol"/>
        <family val="2"/>
      </rPr>
      <t>☑</t>
    </r>
    <r>
      <rPr>
        <b/>
        <sz val="11"/>
        <color theme="1"/>
        <rFont val="游ゴシック"/>
        <family val="3"/>
        <charset val="128"/>
        <scheme val="minor"/>
      </rPr>
      <t xml:space="preserve">　補助を受ける経費について他の補助金等の交付を受けていないこと。
</t>
    </r>
    <r>
      <rPr>
        <b/>
        <sz val="11"/>
        <color theme="1"/>
        <rFont val="Segoe UI Symbol"/>
        <family val="2"/>
      </rPr>
      <t>☑</t>
    </r>
    <r>
      <rPr>
        <b/>
        <sz val="11"/>
        <color theme="1"/>
        <rFont val="游ゴシック"/>
        <family val="3"/>
        <charset val="128"/>
        <scheme val="minor"/>
      </rPr>
      <t xml:space="preserve">　本補助金により整備の物品は新型コロナウイルス感染症対策に基づく本事業の目的以外に使用しないこと。
</t>
    </r>
    <r>
      <rPr>
        <b/>
        <sz val="11"/>
        <color theme="1"/>
        <rFont val="Segoe UI Symbol"/>
        <family val="2"/>
      </rPr>
      <t>☑</t>
    </r>
    <r>
      <rPr>
        <b/>
        <sz val="11"/>
        <color theme="1"/>
        <rFont val="游ゴシック"/>
        <family val="3"/>
        <charset val="128"/>
        <scheme val="minor"/>
      </rPr>
      <t xml:space="preserve">　本補助金の収入、支出等に係る証拠書類を５年間適切に整備保管すること。
</t>
    </r>
    <r>
      <rPr>
        <b/>
        <sz val="11"/>
        <color theme="1"/>
        <rFont val="Segoe UI Symbol"/>
        <family val="2"/>
      </rPr>
      <t>☑</t>
    </r>
    <r>
      <rPr>
        <b/>
        <sz val="11"/>
        <color theme="1"/>
        <rFont val="游ゴシック"/>
        <family val="3"/>
        <charset val="128"/>
        <scheme val="minor"/>
      </rPr>
      <t>　暴力団員又は暴力団関係者と実質的を含めいかなる関係も有していないこと。</t>
    </r>
    <rPh sb="1" eb="3">
      <t>シンセイ</t>
    </rPh>
    <rPh sb="6" eb="8">
      <t>イカ</t>
    </rPh>
    <rPh sb="12" eb="14">
      <t>ジコウ</t>
    </rPh>
    <rPh sb="16" eb="18">
      <t>ガイトウ</t>
    </rPh>
    <rPh sb="28" eb="29">
      <t>モウ</t>
    </rPh>
    <rPh sb="30" eb="31">
      <t>タ</t>
    </rPh>
    <rPh sb="72" eb="73">
      <t>ホン</t>
    </rPh>
    <rPh sb="73" eb="76">
      <t>ホジョキン</t>
    </rPh>
    <rPh sb="100" eb="101">
      <t>モト</t>
    </rPh>
    <rPh sb="103" eb="104">
      <t>ホン</t>
    </rPh>
    <rPh sb="104" eb="106">
      <t>ジギョウ</t>
    </rPh>
    <rPh sb="109" eb="111">
      <t>イガイ</t>
    </rPh>
    <rPh sb="123" eb="124">
      <t>ホン</t>
    </rPh>
    <rPh sb="164" eb="165">
      <t>マタ</t>
    </rPh>
    <phoneticPr fontId="1"/>
  </si>
  <si>
    <t>　申請者は、以下いずれの事項にも該当するものであることを申し立てます。
□　補助を受ける経費について他の補助金等の交付を受けていないこと。
□　本補助金により整備した設備は新型コロナウイルス感染症対策に基づく本事業の目的以外に使用しないこと。
□　本補助金の収入、支出等に係る証拠書類を５年間適切に整備保管すること。
□　暴力団員又は暴力団関係者と実質的を含めいかなる関係も有していないこと。</t>
    <rPh sb="1" eb="3">
      <t>シンセイ</t>
    </rPh>
    <rPh sb="6" eb="8">
      <t>イカ</t>
    </rPh>
    <rPh sb="12" eb="14">
      <t>ジコウ</t>
    </rPh>
    <rPh sb="16" eb="18">
      <t>ガイトウ</t>
    </rPh>
    <rPh sb="28" eb="29">
      <t>モウ</t>
    </rPh>
    <rPh sb="30" eb="31">
      <t>タ</t>
    </rPh>
    <rPh sb="72" eb="73">
      <t>ホン</t>
    </rPh>
    <rPh sb="73" eb="76">
      <t>ホジョキン</t>
    </rPh>
    <rPh sb="79" eb="81">
      <t>セイビ</t>
    </rPh>
    <rPh sb="86" eb="88">
      <t>シンガタ</t>
    </rPh>
    <rPh sb="95" eb="98">
      <t>カンセンショウ</t>
    </rPh>
    <rPh sb="98" eb="100">
      <t>タイサク</t>
    </rPh>
    <rPh sb="101" eb="102">
      <t>モト</t>
    </rPh>
    <rPh sb="104" eb="105">
      <t>ホン</t>
    </rPh>
    <rPh sb="105" eb="107">
      <t>ジギョウ</t>
    </rPh>
    <rPh sb="108" eb="110">
      <t>モクテキ</t>
    </rPh>
    <rPh sb="111" eb="112">
      <t>ガイ</t>
    </rPh>
    <rPh sb="113" eb="115">
      <t>シヨウ</t>
    </rPh>
    <rPh sb="124" eb="125">
      <t>ホン</t>
    </rPh>
    <rPh sb="165" eb="166">
      <t>マタ</t>
    </rPh>
    <phoneticPr fontId="1"/>
  </si>
  <si>
    <t>発熱外来診療を提供するために整備するものであること。（患者移動を目的としたストレッチャー等は補助対象外）</t>
    <rPh sb="27" eb="29">
      <t>カンジャ</t>
    </rPh>
    <rPh sb="29" eb="31">
      <t>イドウ</t>
    </rPh>
    <rPh sb="32" eb="34">
      <t>モクテキ</t>
    </rPh>
    <rPh sb="44" eb="45">
      <t>トウ</t>
    </rPh>
    <rPh sb="46" eb="48">
      <t>ホジョ</t>
    </rPh>
    <rPh sb="48" eb="51">
      <t>タイショウガイ</t>
    </rPh>
    <phoneticPr fontId="1"/>
  </si>
  <si>
    <t>HEPAフィルター式であること。（これ以外の規格は補助対象外）</t>
    <rPh sb="19" eb="21">
      <t>イガイ</t>
    </rPh>
    <rPh sb="22" eb="24">
      <t>キカク</t>
    </rPh>
    <rPh sb="25" eb="27">
      <t>ホジョ</t>
    </rPh>
    <rPh sb="27" eb="29">
      <t>タイショウ</t>
    </rPh>
    <rPh sb="29" eb="30">
      <t>ガイ</t>
    </rPh>
    <phoneticPr fontId="1"/>
  </si>
  <si>
    <t>空気清浄機を設置することにより院内感染防止のための陰圧環境を確保していること。</t>
    <rPh sb="0" eb="2">
      <t>クウキ</t>
    </rPh>
    <rPh sb="2" eb="5">
      <t>セイジョウキ</t>
    </rPh>
    <rPh sb="6" eb="8">
      <t>セッチ</t>
    </rPh>
    <rPh sb="15" eb="17">
      <t>インナイ</t>
    </rPh>
    <rPh sb="17" eb="19">
      <t>カンセン</t>
    </rPh>
    <rPh sb="19" eb="21">
      <t>ボウシ</t>
    </rPh>
    <rPh sb="25" eb="27">
      <t>インアツ</t>
    </rPh>
    <rPh sb="27" eb="29">
      <t>カンキョウ</t>
    </rPh>
    <rPh sb="30" eb="32">
      <t>カクホ</t>
    </rPh>
    <phoneticPr fontId="1"/>
  </si>
  <si>
    <t>院内（発熱外来部門の診療スペースに限る。待合室、発熱外来部門以外の診療スペースを除く）</t>
    <rPh sb="0" eb="2">
      <t>インナイ</t>
    </rPh>
    <rPh sb="3" eb="5">
      <t>ハツネツ</t>
    </rPh>
    <rPh sb="5" eb="7">
      <t>ガイライ</t>
    </rPh>
    <rPh sb="7" eb="9">
      <t>ブモン</t>
    </rPh>
    <rPh sb="10" eb="12">
      <t>シンリョウ</t>
    </rPh>
    <rPh sb="17" eb="18">
      <t>カギ</t>
    </rPh>
    <rPh sb="20" eb="23">
      <t>マチアイシツ</t>
    </rPh>
    <rPh sb="24" eb="26">
      <t>ハツネツ</t>
    </rPh>
    <rPh sb="26" eb="28">
      <t>ガイライ</t>
    </rPh>
    <rPh sb="28" eb="30">
      <t>ブモン</t>
    </rPh>
    <rPh sb="30" eb="32">
      <t>イガイ</t>
    </rPh>
    <rPh sb="33" eb="35">
      <t>シンリョウ</t>
    </rPh>
    <rPh sb="40" eb="41">
      <t>ノゾ</t>
    </rPh>
    <phoneticPr fontId="1"/>
  </si>
  <si>
    <t>発熱外来診療を行うため院外設置の簡易診療室（診療スペースに限る。待機スペースを除く。）</t>
    <rPh sb="0" eb="2">
      <t>ハツネツ</t>
    </rPh>
    <rPh sb="2" eb="4">
      <t>ガイライ</t>
    </rPh>
    <rPh sb="4" eb="6">
      <t>シンリョウ</t>
    </rPh>
    <rPh sb="7" eb="8">
      <t>オコナ</t>
    </rPh>
    <rPh sb="11" eb="13">
      <t>インガイ</t>
    </rPh>
    <rPh sb="13" eb="15">
      <t>セッチ</t>
    </rPh>
    <rPh sb="16" eb="18">
      <t>カンイ</t>
    </rPh>
    <rPh sb="18" eb="21">
      <t>シンリョウシツ</t>
    </rPh>
    <rPh sb="22" eb="24">
      <t>シンリョウ</t>
    </rPh>
    <rPh sb="29" eb="30">
      <t>カギ</t>
    </rPh>
    <rPh sb="32" eb="34">
      <t>タイキ</t>
    </rPh>
    <rPh sb="39" eb="40">
      <t>ノゾ</t>
    </rPh>
    <phoneticPr fontId="1"/>
  </si>
  <si>
    <t>陰圧対応可能な室内に設置、壁へのダクト接続での外気へ清浄化した空気の放出による。</t>
    <rPh sb="23" eb="25">
      <t>ガイキ</t>
    </rPh>
    <rPh sb="26" eb="29">
      <t>セイジョウカ</t>
    </rPh>
    <rPh sb="31" eb="33">
      <t>クウキ</t>
    </rPh>
    <rPh sb="34" eb="36">
      <t>ホウシュツ</t>
    </rPh>
    <phoneticPr fontId="1"/>
  </si>
  <si>
    <t>簡易陰圧テントの設置による。</t>
    <rPh sb="0" eb="2">
      <t>カンイ</t>
    </rPh>
    <rPh sb="2" eb="4">
      <t>インアツ</t>
    </rPh>
    <rPh sb="8" eb="10">
      <t>セッチ</t>
    </rPh>
    <phoneticPr fontId="1"/>
  </si>
  <si>
    <t>付属備品（簡易陰圧ブース等）</t>
    <rPh sb="0" eb="2">
      <t>フゾク</t>
    </rPh>
    <rPh sb="2" eb="4">
      <t>ビヒン</t>
    </rPh>
    <rPh sb="5" eb="7">
      <t>カンイ</t>
    </rPh>
    <rPh sb="7" eb="9">
      <t>インアツ</t>
    </rPh>
    <rPh sb="12" eb="13">
      <t>トウ</t>
    </rPh>
    <phoneticPr fontId="1"/>
  </si>
  <si>
    <t>○上部の入力欄から順に入力していくようにしてください。</t>
    <rPh sb="1" eb="3">
      <t>ジョウブ</t>
    </rPh>
    <rPh sb="4" eb="6">
      <t>ニュウリョク</t>
    </rPh>
    <rPh sb="6" eb="7">
      <t>ラン</t>
    </rPh>
    <rPh sb="9" eb="10">
      <t>ジュン</t>
    </rPh>
    <rPh sb="11" eb="13">
      <t>ニュウリョク</t>
    </rPh>
    <phoneticPr fontId="12"/>
  </si>
  <si>
    <t>曜日</t>
    <rPh sb="0" eb="2">
      <t>ヨウビ</t>
    </rPh>
    <phoneticPr fontId="12"/>
  </si>
  <si>
    <t>月曜日</t>
    <rPh sb="0" eb="1">
      <t>ゲツ</t>
    </rPh>
    <rPh sb="1" eb="3">
      <t>ヨウビ</t>
    </rPh>
    <phoneticPr fontId="12"/>
  </si>
  <si>
    <t>火曜日</t>
  </si>
  <si>
    <t>水曜日</t>
  </si>
  <si>
    <t>木曜日</t>
  </si>
  <si>
    <t>金曜日</t>
  </si>
  <si>
    <t>土曜日</t>
  </si>
  <si>
    <t>日曜日</t>
  </si>
  <si>
    <t>診察日</t>
    <rPh sb="0" eb="3">
      <t>シンサツビ</t>
    </rPh>
    <phoneticPr fontId="12"/>
  </si>
  <si>
    <t>日付</t>
    <rPh sb="0" eb="2">
      <t>ヒヅケ</t>
    </rPh>
    <phoneticPr fontId="12"/>
  </si>
  <si>
    <t>診療日</t>
    <rPh sb="0" eb="2">
      <t>シンリョウ</t>
    </rPh>
    <rPh sb="2" eb="3">
      <t>ビ</t>
    </rPh>
    <phoneticPr fontId="12"/>
  </si>
  <si>
    <t>月曜日</t>
    <rPh sb="0" eb="3">
      <t>ゲツヨウビ</t>
    </rPh>
    <phoneticPr fontId="12"/>
  </si>
  <si>
    <t>休診日</t>
    <rPh sb="0" eb="3">
      <t>キュウシンビ</t>
    </rPh>
    <phoneticPr fontId="12"/>
  </si>
  <si>
    <t>マスク</t>
    <phoneticPr fontId="12"/>
  </si>
  <si>
    <t>グローブ</t>
    <phoneticPr fontId="12"/>
  </si>
  <si>
    <t>ガウン</t>
    <phoneticPr fontId="12"/>
  </si>
  <si>
    <t>ゴーグル</t>
    <phoneticPr fontId="12"/>
  </si>
  <si>
    <t>フェイスシールド</t>
    <phoneticPr fontId="12"/>
  </si>
  <si>
    <t>医師</t>
    <rPh sb="0" eb="2">
      <t>イシ</t>
    </rPh>
    <phoneticPr fontId="12"/>
  </si>
  <si>
    <t>看護師</t>
    <rPh sb="0" eb="3">
      <t>カンゴシ</t>
    </rPh>
    <phoneticPr fontId="12"/>
  </si>
  <si>
    <t>診療時間</t>
    <rPh sb="0" eb="2">
      <t>シンリョウ</t>
    </rPh>
    <rPh sb="2" eb="4">
      <t>ジカン</t>
    </rPh>
    <phoneticPr fontId="1"/>
  </si>
  <si>
    <t>～</t>
  </si>
  <si>
    <t>～</t>
    <phoneticPr fontId="1"/>
  </si>
  <si>
    <t>：</t>
  </si>
  <si>
    <t>：</t>
    <phoneticPr fontId="1"/>
  </si>
  <si>
    <t>00</t>
  </si>
  <si>
    <t>00</t>
    <phoneticPr fontId="1"/>
  </si>
  <si>
    <t>実施時間数</t>
    <rPh sb="0" eb="2">
      <t>ジッシ</t>
    </rPh>
    <rPh sb="2" eb="4">
      <t>ジカン</t>
    </rPh>
    <rPh sb="4" eb="5">
      <t>スウ</t>
    </rPh>
    <phoneticPr fontId="1"/>
  </si>
  <si>
    <t>職種</t>
    <rPh sb="0" eb="2">
      <t>ショクシュ</t>
    </rPh>
    <phoneticPr fontId="1"/>
  </si>
  <si>
    <t>４月</t>
    <rPh sb="1" eb="2">
      <t>ガツ</t>
    </rPh>
    <phoneticPr fontId="1"/>
  </si>
  <si>
    <t>５月</t>
    <rPh sb="1" eb="2">
      <t>ガツ</t>
    </rPh>
    <phoneticPr fontId="1"/>
  </si>
  <si>
    <t>コロナ疑い発熱外来患者数</t>
    <rPh sb="3" eb="4">
      <t>ウタガ</t>
    </rPh>
    <rPh sb="5" eb="7">
      <t>ハツネツ</t>
    </rPh>
    <rPh sb="7" eb="9">
      <t>ガイライ</t>
    </rPh>
    <rPh sb="9" eb="11">
      <t>カンジャ</t>
    </rPh>
    <rPh sb="11" eb="12">
      <t>スウ</t>
    </rPh>
    <phoneticPr fontId="1"/>
  </si>
  <si>
    <t>内、咳症状等を有する患者数</t>
    <rPh sb="0" eb="1">
      <t>ウチ</t>
    </rPh>
    <rPh sb="2" eb="3">
      <t>セキ</t>
    </rPh>
    <rPh sb="3" eb="5">
      <t>ショウジョウ</t>
    </rPh>
    <rPh sb="5" eb="6">
      <t>トウ</t>
    </rPh>
    <rPh sb="7" eb="8">
      <t>ユウ</t>
    </rPh>
    <rPh sb="10" eb="12">
      <t>カンジャ</t>
    </rPh>
    <rPh sb="12" eb="13">
      <t>スウ</t>
    </rPh>
    <phoneticPr fontId="1"/>
  </si>
  <si>
    <t>土</t>
  </si>
  <si>
    <t>土</t>
    <rPh sb="0" eb="1">
      <t>ド</t>
    </rPh>
    <phoneticPr fontId="1"/>
  </si>
  <si>
    <t>火</t>
  </si>
  <si>
    <t>水</t>
  </si>
  <si>
    <t>木</t>
  </si>
  <si>
    <t>金</t>
  </si>
  <si>
    <t>月</t>
    <rPh sb="0" eb="1">
      <t>ゲツ</t>
    </rPh>
    <phoneticPr fontId="1"/>
  </si>
  <si>
    <t>火</t>
    <rPh sb="0" eb="1">
      <t>カ</t>
    </rPh>
    <phoneticPr fontId="1"/>
  </si>
  <si>
    <t>診察日</t>
    <rPh sb="0" eb="3">
      <t>シンサツビ</t>
    </rPh>
    <phoneticPr fontId="1"/>
  </si>
  <si>
    <t>常勤換算数</t>
    <rPh sb="0" eb="2">
      <t>ジョウキン</t>
    </rPh>
    <rPh sb="2" eb="4">
      <t>カンサン</t>
    </rPh>
    <rPh sb="4" eb="5">
      <t>スウ</t>
    </rPh>
    <phoneticPr fontId="1"/>
  </si>
  <si>
    <t>１日あたり平均診療時間</t>
    <rPh sb="1" eb="2">
      <t>ニチ</t>
    </rPh>
    <rPh sb="5" eb="7">
      <t>ヘイキン</t>
    </rPh>
    <rPh sb="7" eb="11">
      <t>シンリョウジカン</t>
    </rPh>
    <phoneticPr fontId="1"/>
  </si>
  <si>
    <t>←</t>
    <phoneticPr fontId="1"/>
  </si>
  <si>
    <t>診療日数</t>
    <rPh sb="0" eb="2">
      <t>シンリョウ</t>
    </rPh>
    <rPh sb="2" eb="4">
      <t>ニッスウ</t>
    </rPh>
    <phoneticPr fontId="1"/>
  </si>
  <si>
    <t>平均従事人数</t>
    <rPh sb="0" eb="2">
      <t>ヘイキン</t>
    </rPh>
    <rPh sb="2" eb="4">
      <t>ジュウジ</t>
    </rPh>
    <rPh sb="4" eb="6">
      <t>ニンズウ</t>
    </rPh>
    <phoneticPr fontId="1"/>
  </si>
  <si>
    <t>基準額算定員数</t>
    <rPh sb="0" eb="2">
      <t>キジュン</t>
    </rPh>
    <rPh sb="2" eb="3">
      <t>ガク</t>
    </rPh>
    <rPh sb="3" eb="5">
      <t>サンテイ</t>
    </rPh>
    <rPh sb="5" eb="7">
      <t>インスウ</t>
    </rPh>
    <phoneticPr fontId="1"/>
  </si>
  <si>
    <t>補助上限額(税込)</t>
    <rPh sb="0" eb="2">
      <t>ホジョ</t>
    </rPh>
    <rPh sb="2" eb="5">
      <t>ジョウゲンガク</t>
    </rPh>
    <rPh sb="6" eb="8">
      <t>ゼイコ</t>
    </rPh>
    <phoneticPr fontId="1"/>
  </si>
  <si>
    <t>補助額(税込)</t>
    <rPh sb="0" eb="3">
      <t>ホジョガク</t>
    </rPh>
    <rPh sb="4" eb="6">
      <t>ゼイコ</t>
    </rPh>
    <phoneticPr fontId="1"/>
  </si>
  <si>
    <t>商品名及び品番</t>
    <rPh sb="0" eb="3">
      <t>ショウヒンメイ</t>
    </rPh>
    <rPh sb="3" eb="4">
      <t>オヨ</t>
    </rPh>
    <rPh sb="5" eb="7">
      <t>ヒンバン</t>
    </rPh>
    <phoneticPr fontId="1"/>
  </si>
  <si>
    <t>マスク</t>
    <phoneticPr fontId="1"/>
  </si>
  <si>
    <t>グローブ</t>
    <phoneticPr fontId="1"/>
  </si>
  <si>
    <t>ガウン</t>
    <phoneticPr fontId="1"/>
  </si>
  <si>
    <t>ゴーグル</t>
    <phoneticPr fontId="1"/>
  </si>
  <si>
    <t>フェイスシールド</t>
    <phoneticPr fontId="1"/>
  </si>
  <si>
    <t>キャップ</t>
    <phoneticPr fontId="1"/>
  </si>
  <si>
    <t>医師</t>
    <rPh sb="0" eb="2">
      <t>イシ</t>
    </rPh>
    <phoneticPr fontId="1"/>
  </si>
  <si>
    <t>看護師</t>
    <rPh sb="0" eb="3">
      <t>カンゴシ</t>
    </rPh>
    <phoneticPr fontId="1"/>
  </si>
  <si>
    <t>員数・数量
(数＊患者数)</t>
    <rPh sb="0" eb="2">
      <t>インスウ</t>
    </rPh>
    <rPh sb="3" eb="5">
      <t>スウリョウ</t>
    </rPh>
    <rPh sb="7" eb="8">
      <t>スウ</t>
    </rPh>
    <rPh sb="9" eb="12">
      <t>カンジャスウ</t>
    </rPh>
    <phoneticPr fontId="1"/>
  </si>
  <si>
    <t>大区分</t>
    <rPh sb="0" eb="3">
      <t>ダイクブン</t>
    </rPh>
    <phoneticPr fontId="1"/>
  </si>
  <si>
    <t>小区分</t>
    <rPh sb="0" eb="3">
      <t>ショウクブン</t>
    </rPh>
    <phoneticPr fontId="1"/>
  </si>
  <si>
    <t>その他マスク</t>
    <rPh sb="2" eb="3">
      <t>タ</t>
    </rPh>
    <phoneticPr fontId="1"/>
  </si>
  <si>
    <t>シールド付きマスク</t>
    <rPh sb="4" eb="5">
      <t>ツ</t>
    </rPh>
    <phoneticPr fontId="1"/>
  </si>
  <si>
    <t>N95マスク</t>
  </si>
  <si>
    <t>N95マスク</t>
    <phoneticPr fontId="1"/>
  </si>
  <si>
    <t>ハイラックマスク</t>
  </si>
  <si>
    <t>ハイラックマスク</t>
    <phoneticPr fontId="1"/>
  </si>
  <si>
    <t>アイソレーションガウン</t>
  </si>
  <si>
    <t>アイソレーションガウン</t>
    <phoneticPr fontId="1"/>
  </si>
  <si>
    <t>プラスチックガウン</t>
  </si>
  <si>
    <t>プラスチックガウン</t>
    <phoneticPr fontId="1"/>
  </si>
  <si>
    <t>エプロン</t>
  </si>
  <si>
    <t>エプロン</t>
    <phoneticPr fontId="1"/>
  </si>
  <si>
    <t>レンズ交換型</t>
    <rPh sb="3" eb="6">
      <t>コウカンガタ</t>
    </rPh>
    <phoneticPr fontId="1"/>
  </si>
  <si>
    <t>スペアレンズ</t>
  </si>
  <si>
    <t>スペアレンズ</t>
    <phoneticPr fontId="1"/>
  </si>
  <si>
    <t>ニトリルグローブ</t>
  </si>
  <si>
    <t>ニトリルグローブ</t>
    <phoneticPr fontId="1"/>
  </si>
  <si>
    <t>プラスチックグローブ等</t>
    <rPh sb="10" eb="11">
      <t>トウ</t>
    </rPh>
    <phoneticPr fontId="1"/>
  </si>
  <si>
    <t>使い捨て一体型</t>
    <rPh sb="0" eb="1">
      <t>ツカ</t>
    </rPh>
    <rPh sb="2" eb="3">
      <t>ス</t>
    </rPh>
    <rPh sb="4" eb="7">
      <t>イッタイガタ</t>
    </rPh>
    <phoneticPr fontId="1"/>
  </si>
  <si>
    <t>フレーム</t>
  </si>
  <si>
    <t>フレーム</t>
    <phoneticPr fontId="1"/>
  </si>
  <si>
    <t>交換用シールド</t>
    <rPh sb="0" eb="3">
      <t>コウカンヨウ</t>
    </rPh>
    <phoneticPr fontId="1"/>
  </si>
  <si>
    <t>←こちらに税込の単価を入力すると下段に税抜の額が自動で表示されます。</t>
    <phoneticPr fontId="1"/>
  </si>
  <si>
    <t>大分類</t>
    <rPh sb="0" eb="1">
      <t>ダイ</t>
    </rPh>
    <rPh sb="1" eb="3">
      <t>ブンルイ</t>
    </rPh>
    <phoneticPr fontId="1"/>
  </si>
  <si>
    <t>小分類</t>
    <rPh sb="0" eb="3">
      <t>ショウブンルイ</t>
    </rPh>
    <phoneticPr fontId="1"/>
  </si>
  <si>
    <t>購入量</t>
    <rPh sb="0" eb="3">
      <t>コウニュウリョウ</t>
    </rPh>
    <phoneticPr fontId="1"/>
  </si>
  <si>
    <t>フェイス
シールド</t>
    <phoneticPr fontId="1"/>
  </si>
  <si>
    <t>内容量/箱</t>
    <rPh sb="0" eb="3">
      <t>ナイヨウリョウ</t>
    </rPh>
    <rPh sb="4" eb="5">
      <t>ハコ</t>
    </rPh>
    <phoneticPr fontId="1"/>
  </si>
  <si>
    <t>箱数</t>
    <rPh sb="0" eb="2">
      <t>ハコスウ</t>
    </rPh>
    <phoneticPr fontId="1"/>
  </si>
  <si>
    <t>購入個数</t>
    <rPh sb="0" eb="2">
      <t>コウニュウ</t>
    </rPh>
    <rPh sb="2" eb="4">
      <t>コスウ</t>
    </rPh>
    <phoneticPr fontId="1"/>
  </si>
  <si>
    <t>患者数</t>
    <rPh sb="0" eb="3">
      <t>カンジャスウ</t>
    </rPh>
    <phoneticPr fontId="1"/>
  </si>
  <si>
    <t>エアロ</t>
    <phoneticPr fontId="1"/>
  </si>
  <si>
    <t>－</t>
    <phoneticPr fontId="1"/>
  </si>
  <si>
    <t>配置員数</t>
    <rPh sb="0" eb="2">
      <t>ハイチ</t>
    </rPh>
    <rPh sb="2" eb="4">
      <t>インスウ</t>
    </rPh>
    <phoneticPr fontId="1"/>
  </si>
  <si>
    <t>－</t>
    <phoneticPr fontId="1"/>
  </si>
  <si>
    <t>勤務時間数計</t>
    <rPh sb="0" eb="5">
      <t>キンムジカンスウ</t>
    </rPh>
    <rPh sb="5" eb="6">
      <t>ケイ</t>
    </rPh>
    <phoneticPr fontId="1"/>
  </si>
  <si>
    <t>最大勤務時間</t>
  </si>
  <si>
    <t>最大勤務時間</t>
    <rPh sb="0" eb="2">
      <t>サイダイ</t>
    </rPh>
    <rPh sb="2" eb="6">
      <t>キンムジカン</t>
    </rPh>
    <phoneticPr fontId="1"/>
  </si>
  <si>
    <t>その他</t>
    <rPh sb="2" eb="3">
      <t>タ</t>
    </rPh>
    <phoneticPr fontId="1"/>
  </si>
  <si>
    <t>シールド付</t>
    <rPh sb="4" eb="5">
      <t>ツ</t>
    </rPh>
    <phoneticPr fontId="1"/>
  </si>
  <si>
    <t>交換用レンズ</t>
    <rPh sb="0" eb="3">
      <t>コウカンヨウ</t>
    </rPh>
    <phoneticPr fontId="1"/>
  </si>
  <si>
    <t>使捨て一体型</t>
    <rPh sb="0" eb="1">
      <t>ツカ</t>
    </rPh>
    <rPh sb="1" eb="2">
      <t>ス</t>
    </rPh>
    <rPh sb="3" eb="6">
      <t>イッタイガタ</t>
    </rPh>
    <phoneticPr fontId="1"/>
  </si>
  <si>
    <t>交換用シールド</t>
    <rPh sb="0" eb="3">
      <t>コウカンヨウ</t>
    </rPh>
    <phoneticPr fontId="1"/>
  </si>
  <si>
    <t>使用見込</t>
    <rPh sb="0" eb="2">
      <t>シヨウ</t>
    </rPh>
    <rPh sb="2" eb="4">
      <t>ミコ</t>
    </rPh>
    <phoneticPr fontId="1"/>
  </si>
  <si>
    <t>差引</t>
    <rPh sb="0" eb="2">
      <t>サシヒキ</t>
    </rPh>
    <phoneticPr fontId="1"/>
  </si>
  <si>
    <t>購入量</t>
    <rPh sb="0" eb="2">
      <t>コウニュウ</t>
    </rPh>
    <rPh sb="2" eb="3">
      <t>リョウ</t>
    </rPh>
    <phoneticPr fontId="1"/>
  </si>
  <si>
    <t>HEPAフィルター付空気清浄機
（陰圧対応可能なものに限る）</t>
    <phoneticPr fontId="1"/>
  </si>
  <si>
    <t>○個人防護具及び消毒清掃経費の補助基準額は、以下により算定されます。</t>
    <rPh sb="1" eb="3">
      <t>コジン</t>
    </rPh>
    <rPh sb="3" eb="5">
      <t>ボウゴ</t>
    </rPh>
    <rPh sb="5" eb="6">
      <t>グ</t>
    </rPh>
    <rPh sb="6" eb="7">
      <t>オヨ</t>
    </rPh>
    <rPh sb="8" eb="10">
      <t>ショウドク</t>
    </rPh>
    <rPh sb="10" eb="12">
      <t>セイソウ</t>
    </rPh>
    <rPh sb="12" eb="14">
      <t>ケイヒ</t>
    </rPh>
    <rPh sb="15" eb="17">
      <t>ホジョ</t>
    </rPh>
    <rPh sb="17" eb="19">
      <t>キジュン</t>
    </rPh>
    <rPh sb="19" eb="20">
      <t>ガク</t>
    </rPh>
    <rPh sb="22" eb="24">
      <t>イカ</t>
    </rPh>
    <rPh sb="27" eb="29">
      <t>サンテイ</t>
    </rPh>
    <phoneticPr fontId="1"/>
  </si>
  <si>
    <t>診療体制に係る基礎情報</t>
    <rPh sb="0" eb="2">
      <t>シンリョウ</t>
    </rPh>
    <rPh sb="2" eb="4">
      <t>タイセイ</t>
    </rPh>
    <rPh sb="5" eb="6">
      <t>カカ</t>
    </rPh>
    <rPh sb="7" eb="9">
      <t>キソ</t>
    </rPh>
    <rPh sb="9" eb="11">
      <t>ジョウホウ</t>
    </rPh>
    <phoneticPr fontId="12"/>
  </si>
  <si>
    <t>補助基準額</t>
    <rPh sb="0" eb="2">
      <t>ホジョ</t>
    </rPh>
    <rPh sb="2" eb="4">
      <t>キジュン</t>
    </rPh>
    <rPh sb="4" eb="5">
      <t>ガク</t>
    </rPh>
    <phoneticPr fontId="1"/>
  </si>
  <si>
    <t>疑い患者数</t>
    <rPh sb="0" eb="1">
      <t>ウタガ</t>
    </rPh>
    <rPh sb="2" eb="5">
      <t>カンジャスウ</t>
    </rPh>
    <phoneticPr fontId="1"/>
  </si>
  <si>
    <t>「診療体制に係る基礎情報」シートを入力し、基準額の算定基礎数値（疑い患者数）が正しく表示されているか確認してください。
　※補助基準額は疑い患者数＊基準単価で得られた額の千円未満切り捨て</t>
    <rPh sb="1" eb="3">
      <t>シンリョウ</t>
    </rPh>
    <rPh sb="3" eb="5">
      <t>タイセイ</t>
    </rPh>
    <rPh sb="6" eb="7">
      <t>カカ</t>
    </rPh>
    <rPh sb="8" eb="10">
      <t>キソ</t>
    </rPh>
    <rPh sb="10" eb="12">
      <t>ジョウホウ</t>
    </rPh>
    <rPh sb="17" eb="19">
      <t>ニュウリョク</t>
    </rPh>
    <rPh sb="21" eb="23">
      <t>キジュン</t>
    </rPh>
    <rPh sb="23" eb="24">
      <t>ガク</t>
    </rPh>
    <rPh sb="25" eb="27">
      <t>サンテイ</t>
    </rPh>
    <rPh sb="27" eb="29">
      <t>キソ</t>
    </rPh>
    <rPh sb="29" eb="31">
      <t>スウチ</t>
    </rPh>
    <rPh sb="32" eb="33">
      <t>ウタガ</t>
    </rPh>
    <rPh sb="34" eb="37">
      <t>カンジャスウ</t>
    </rPh>
    <rPh sb="39" eb="40">
      <t>タダ</t>
    </rPh>
    <rPh sb="42" eb="44">
      <t>ヒョウジ</t>
    </rPh>
    <rPh sb="50" eb="52">
      <t>カクニン</t>
    </rPh>
    <phoneticPr fontId="1"/>
  </si>
  <si>
    <t>商品名・内容等</t>
    <rPh sb="0" eb="3">
      <t>ショウヒンメイ</t>
    </rPh>
    <rPh sb="4" eb="6">
      <t>ナイヨウ</t>
    </rPh>
    <rPh sb="6" eb="7">
      <t>トウ</t>
    </rPh>
    <phoneticPr fontId="1"/>
  </si>
  <si>
    <t>清掃用具</t>
    <rPh sb="0" eb="2">
      <t>セイソウ</t>
    </rPh>
    <rPh sb="2" eb="4">
      <t>ヨウグ</t>
    </rPh>
    <phoneticPr fontId="1"/>
  </si>
  <si>
    <t>人件費</t>
    <rPh sb="0" eb="3">
      <t>ジンケンヒ</t>
    </rPh>
    <phoneticPr fontId="1"/>
  </si>
  <si>
    <t>委託料</t>
    <rPh sb="0" eb="3">
      <t>イタクリョウ</t>
    </rPh>
    <phoneticPr fontId="1"/>
  </si>
  <si>
    <t>消耗品</t>
    <rPh sb="0" eb="2">
      <t>ショウモウ</t>
    </rPh>
    <rPh sb="2" eb="3">
      <t>ヒン</t>
    </rPh>
    <phoneticPr fontId="1"/>
  </si>
  <si>
    <t>その他</t>
    <rPh sb="2" eb="3">
      <t>タ</t>
    </rPh>
    <phoneticPr fontId="1"/>
  </si>
  <si>
    <t>※補助基準額の範囲内で補助額が表示されます。</t>
    <rPh sb="1" eb="3">
      <t>ホジョ</t>
    </rPh>
    <rPh sb="3" eb="5">
      <t>キジュン</t>
    </rPh>
    <rPh sb="5" eb="6">
      <t>ガク</t>
    </rPh>
    <rPh sb="7" eb="10">
      <t>ハンイナイ</t>
    </rPh>
    <rPh sb="11" eb="13">
      <t>ホジョ</t>
    </rPh>
    <rPh sb="13" eb="14">
      <t>ガク</t>
    </rPh>
    <rPh sb="15" eb="17">
      <t>ヒョウジ</t>
    </rPh>
    <phoneticPr fontId="1"/>
  </si>
  <si>
    <t>○リユーサブル品の使用数を計上する場合、例えば約20名の応需使用の度に交換する際は0.05（=1÷20）と入力してください。</t>
    <rPh sb="7" eb="8">
      <t>ヒン</t>
    </rPh>
    <rPh sb="9" eb="12">
      <t>シヨウスウ</t>
    </rPh>
    <rPh sb="13" eb="15">
      <t>ケイジョウ</t>
    </rPh>
    <rPh sb="17" eb="19">
      <t>バアイ</t>
    </rPh>
    <rPh sb="20" eb="21">
      <t>タト</t>
    </rPh>
    <rPh sb="23" eb="24">
      <t>ヤク</t>
    </rPh>
    <rPh sb="26" eb="27">
      <t>メイ</t>
    </rPh>
    <rPh sb="28" eb="30">
      <t>オウジュ</t>
    </rPh>
    <rPh sb="30" eb="32">
      <t>シヨウ</t>
    </rPh>
    <rPh sb="33" eb="34">
      <t>タビ</t>
    </rPh>
    <rPh sb="35" eb="37">
      <t>コウカン</t>
    </rPh>
    <rPh sb="39" eb="40">
      <t>サイ</t>
    </rPh>
    <rPh sb="53" eb="55">
      <t>ニュウリョク</t>
    </rPh>
    <phoneticPr fontId="1"/>
  </si>
  <si>
    <t>消毒清掃経費明細</t>
    <rPh sb="0" eb="2">
      <t>ショウドク</t>
    </rPh>
    <rPh sb="2" eb="4">
      <t>セイソウ</t>
    </rPh>
    <rPh sb="4" eb="6">
      <t>ケイヒ</t>
    </rPh>
    <rPh sb="6" eb="8">
      <t>メイサイ</t>
    </rPh>
    <phoneticPr fontId="1"/>
  </si>
  <si>
    <t>①「基礎情報」シートの入力</t>
    <rPh sb="2" eb="4">
      <t>キソ</t>
    </rPh>
    <rPh sb="4" eb="6">
      <t>ジョウホウ</t>
    </rPh>
    <rPh sb="11" eb="13">
      <t>ニュウリョク</t>
    </rPh>
    <phoneticPr fontId="1"/>
  </si>
  <si>
    <t>２．消毒清掃経費情報</t>
    <rPh sb="2" eb="4">
      <t>ショウドク</t>
    </rPh>
    <rPh sb="4" eb="6">
      <t>セイソウ</t>
    </rPh>
    <rPh sb="6" eb="8">
      <t>ケイヒ</t>
    </rPh>
    <rPh sb="8" eb="10">
      <t>ジョウホウ</t>
    </rPh>
    <phoneticPr fontId="1"/>
  </si>
  <si>
    <t>当該品目の申請を行う場合【必須】</t>
    <rPh sb="0" eb="2">
      <t>トウガイ</t>
    </rPh>
    <rPh sb="2" eb="4">
      <t>ヒンモク</t>
    </rPh>
    <rPh sb="5" eb="7">
      <t>シンセイ</t>
    </rPh>
    <rPh sb="8" eb="9">
      <t>オコナ</t>
    </rPh>
    <rPh sb="10" eb="12">
      <t>バアイ</t>
    </rPh>
    <rPh sb="13" eb="15">
      <t>ヒッス</t>
    </rPh>
    <phoneticPr fontId="1"/>
  </si>
  <si>
    <t>簡易診療室の申請を行う場合のみ</t>
    <rPh sb="0" eb="2">
      <t>カンイ</t>
    </rPh>
    <rPh sb="2" eb="5">
      <t>シンリョウシツ</t>
    </rPh>
    <rPh sb="6" eb="8">
      <t>シンセイ</t>
    </rPh>
    <rPh sb="9" eb="10">
      <t>オコナ</t>
    </rPh>
    <rPh sb="11" eb="13">
      <t>バアイ</t>
    </rPh>
    <phoneticPr fontId="1"/>
  </si>
  <si>
    <t>消毒清掃経費の申請を行う場合のみ</t>
    <rPh sb="0" eb="2">
      <t>ショウドク</t>
    </rPh>
    <rPh sb="2" eb="4">
      <t>セイソウ</t>
    </rPh>
    <rPh sb="4" eb="6">
      <t>ケイヒ</t>
    </rPh>
    <rPh sb="7" eb="9">
      <t>シンセイ</t>
    </rPh>
    <rPh sb="10" eb="11">
      <t>オコナ</t>
    </rPh>
    <rPh sb="12" eb="14">
      <t>バアイ</t>
    </rPh>
    <phoneticPr fontId="1"/>
  </si>
  <si>
    <t>個人防護具の申請を行う場合のみ</t>
    <rPh sb="0" eb="2">
      <t>コジン</t>
    </rPh>
    <rPh sb="2" eb="4">
      <t>ボウゴ</t>
    </rPh>
    <rPh sb="4" eb="5">
      <t>グ</t>
    </rPh>
    <rPh sb="6" eb="8">
      <t>シンセイ</t>
    </rPh>
    <rPh sb="9" eb="10">
      <t>オコナ</t>
    </rPh>
    <rPh sb="11" eb="13">
      <t>バアイ</t>
    </rPh>
    <phoneticPr fontId="1"/>
  </si>
  <si>
    <t>要綱用</t>
    <rPh sb="0" eb="2">
      <t>ヨウコウ</t>
    </rPh>
    <rPh sb="2" eb="3">
      <t>ヨウ</t>
    </rPh>
    <phoneticPr fontId="1"/>
  </si>
  <si>
    <t>様式用</t>
    <rPh sb="0" eb="2">
      <t>ヨウシキ</t>
    </rPh>
    <rPh sb="2" eb="3">
      <t>ヨウ</t>
    </rPh>
    <phoneticPr fontId="1"/>
  </si>
  <si>
    <t>必要添付書類（発送前に有無を確認しチェックしてください。）</t>
    <rPh sb="0" eb="2">
      <t>ヒツヨウ</t>
    </rPh>
    <rPh sb="2" eb="4">
      <t>テンプ</t>
    </rPh>
    <rPh sb="4" eb="6">
      <t>ショルイ</t>
    </rPh>
    <rPh sb="7" eb="9">
      <t>ハッソウ</t>
    </rPh>
    <rPh sb="9" eb="10">
      <t>マエ</t>
    </rPh>
    <rPh sb="11" eb="13">
      <t>ウム</t>
    </rPh>
    <rPh sb="14" eb="16">
      <t>カクニン</t>
    </rPh>
    <phoneticPr fontId="1"/>
  </si>
  <si>
    <t>通常診療時間帯と分けた時間枠を設け応需</t>
    <rPh sb="0" eb="2">
      <t>ツウジョウ</t>
    </rPh>
    <rPh sb="2" eb="4">
      <t>シンリョウ</t>
    </rPh>
    <rPh sb="4" eb="7">
      <t>ジカンタイ</t>
    </rPh>
    <rPh sb="8" eb="9">
      <t>ワ</t>
    </rPh>
    <rPh sb="11" eb="14">
      <t>ジカンワク</t>
    </rPh>
    <rPh sb="15" eb="16">
      <t>モウ</t>
    </rPh>
    <rPh sb="17" eb="19">
      <t>オウジュ</t>
    </rPh>
    <phoneticPr fontId="1"/>
  </si>
  <si>
    <t>通常診療時間帯において随時応需</t>
    <rPh sb="0" eb="4">
      <t>ツウジョウシンリョウ</t>
    </rPh>
    <rPh sb="4" eb="7">
      <t>ジカンタイ</t>
    </rPh>
    <rPh sb="11" eb="13">
      <t>ズイジ</t>
    </rPh>
    <rPh sb="13" eb="15">
      <t>オウジュ</t>
    </rPh>
    <phoneticPr fontId="1"/>
  </si>
  <si>
    <t>院内の診療スペースで実施</t>
    <rPh sb="0" eb="2">
      <t>インナイ</t>
    </rPh>
    <rPh sb="3" eb="5">
      <t>シンリョウ</t>
    </rPh>
    <rPh sb="10" eb="12">
      <t>ジッシ</t>
    </rPh>
    <phoneticPr fontId="1"/>
  </si>
  <si>
    <t>建物内の診療スペース外（勝手口等からの通用先等）で実施</t>
    <rPh sb="0" eb="3">
      <t>タテモノナイ</t>
    </rPh>
    <rPh sb="4" eb="6">
      <t>シンリョウ</t>
    </rPh>
    <rPh sb="10" eb="11">
      <t>ガイ</t>
    </rPh>
    <rPh sb="12" eb="15">
      <t>カッテグチ</t>
    </rPh>
    <rPh sb="15" eb="16">
      <t>トウ</t>
    </rPh>
    <rPh sb="19" eb="21">
      <t>ツウヨウ</t>
    </rPh>
    <rPh sb="21" eb="22">
      <t>サキ</t>
    </rPh>
    <rPh sb="22" eb="23">
      <t>トウ</t>
    </rPh>
    <rPh sb="25" eb="27">
      <t>ジッシ</t>
    </rPh>
    <phoneticPr fontId="1"/>
  </si>
  <si>
    <t>敷地外に設けたプレハブ、テント等で実施</t>
    <rPh sb="0" eb="3">
      <t>シキチガイ</t>
    </rPh>
    <rPh sb="4" eb="5">
      <t>モウ</t>
    </rPh>
    <rPh sb="15" eb="16">
      <t>トウ</t>
    </rPh>
    <rPh sb="17" eb="19">
      <t>ジッシ</t>
    </rPh>
    <phoneticPr fontId="1"/>
  </si>
  <si>
    <t>発熱外来診療スペースに整備するものであること。(診療を行わない待合、発熱外来部門以外への整備は補助対象外)</t>
    <rPh sb="27" eb="28">
      <t>オコナ</t>
    </rPh>
    <rPh sb="34" eb="36">
      <t>ハツネツ</t>
    </rPh>
    <rPh sb="36" eb="38">
      <t>ガイライ</t>
    </rPh>
    <rPh sb="38" eb="40">
      <t>ブモン</t>
    </rPh>
    <rPh sb="40" eb="42">
      <t>イガイ</t>
    </rPh>
    <rPh sb="44" eb="46">
      <t>セイビ</t>
    </rPh>
    <rPh sb="47" eb="49">
      <t>ホジョ</t>
    </rPh>
    <rPh sb="49" eb="51">
      <t>タイショウ</t>
    </rPh>
    <rPh sb="51" eb="52">
      <t>ガイ</t>
    </rPh>
    <phoneticPr fontId="1"/>
  </si>
  <si>
    <r>
      <t>○１日あたり平均配置員数は、配置員数の勤務時間の合計を診療時間の開始から終了までの時間数で除した</t>
    </r>
    <r>
      <rPr>
        <b/>
        <u/>
        <sz val="14"/>
        <color rgb="FFFF0000"/>
        <rFont val="游ゴシック"/>
        <family val="3"/>
        <charset val="128"/>
        <scheme val="minor"/>
      </rPr>
      <t>常勤換算数</t>
    </r>
    <r>
      <rPr>
        <b/>
        <sz val="14"/>
        <color theme="1"/>
        <rFont val="游ゴシック"/>
        <family val="3"/>
        <charset val="128"/>
        <scheme val="minor"/>
      </rPr>
      <t>により算定します。</t>
    </r>
    <rPh sb="2" eb="3">
      <t>ニチ</t>
    </rPh>
    <rPh sb="6" eb="8">
      <t>ヘイキン</t>
    </rPh>
    <rPh sb="8" eb="10">
      <t>ハイチ</t>
    </rPh>
    <rPh sb="10" eb="12">
      <t>インスウ</t>
    </rPh>
    <rPh sb="14" eb="16">
      <t>ハイチ</t>
    </rPh>
    <rPh sb="16" eb="18">
      <t>インスウ</t>
    </rPh>
    <rPh sb="19" eb="21">
      <t>キンム</t>
    </rPh>
    <rPh sb="21" eb="23">
      <t>ジカン</t>
    </rPh>
    <rPh sb="24" eb="26">
      <t>ゴウケイ</t>
    </rPh>
    <rPh sb="27" eb="29">
      <t>シンリョウ</t>
    </rPh>
    <rPh sb="29" eb="31">
      <t>ジカン</t>
    </rPh>
    <rPh sb="32" eb="34">
      <t>カイシ</t>
    </rPh>
    <rPh sb="36" eb="38">
      <t>シュウリョウ</t>
    </rPh>
    <rPh sb="41" eb="44">
      <t>ジカンスウ</t>
    </rPh>
    <rPh sb="45" eb="46">
      <t>ジョ</t>
    </rPh>
    <rPh sb="48" eb="50">
      <t>ジョウキン</t>
    </rPh>
    <rPh sb="50" eb="52">
      <t>カンサン</t>
    </rPh>
    <rPh sb="52" eb="53">
      <t>スウ</t>
    </rPh>
    <rPh sb="56" eb="58">
      <t>サンテイ</t>
    </rPh>
    <phoneticPr fontId="1"/>
  </si>
  <si>
    <t>・個人防護具：１日あたり平均配置員数（常勤換算）＊診療日数＊3,600円/日</t>
    <rPh sb="1" eb="6">
      <t>コジンボウゴグ</t>
    </rPh>
    <rPh sb="19" eb="21">
      <t>ジョウキン</t>
    </rPh>
    <rPh sb="21" eb="23">
      <t>カンサン</t>
    </rPh>
    <phoneticPr fontId="1"/>
  </si>
  <si>
    <t>・消毒清掃費：コロナ疑い発熱外来患者数＊400円/患者１人
（単価については、１外来対応における手指消毒及び消毒清掃にかかる経費等を評価。直営、外部委託による場合いずれも共通。）</t>
    <rPh sb="1" eb="3">
      <t>ショウドク</t>
    </rPh>
    <rPh sb="3" eb="6">
      <t>セイソウヒ</t>
    </rPh>
    <rPh sb="10" eb="11">
      <t>ウタガ</t>
    </rPh>
    <rPh sb="12" eb="16">
      <t>ハツネツガイライ</t>
    </rPh>
    <rPh sb="16" eb="19">
      <t>カンジャスウ</t>
    </rPh>
    <rPh sb="23" eb="24">
      <t>エン</t>
    </rPh>
    <rPh sb="25" eb="27">
      <t>カンジャ</t>
    </rPh>
    <rPh sb="28" eb="29">
      <t>ニン</t>
    </rPh>
    <rPh sb="31" eb="33">
      <t>タンカ</t>
    </rPh>
    <rPh sb="40" eb="42">
      <t>ガイライ</t>
    </rPh>
    <rPh sb="42" eb="44">
      <t>タイオウ</t>
    </rPh>
    <rPh sb="48" eb="49">
      <t>テ</t>
    </rPh>
    <rPh sb="49" eb="50">
      <t>ユビ</t>
    </rPh>
    <rPh sb="50" eb="52">
      <t>ショウドク</t>
    </rPh>
    <rPh sb="52" eb="53">
      <t>オヨ</t>
    </rPh>
    <rPh sb="54" eb="56">
      <t>ショウドク</t>
    </rPh>
    <rPh sb="56" eb="58">
      <t>セイソウ</t>
    </rPh>
    <rPh sb="62" eb="64">
      <t>ケイヒ</t>
    </rPh>
    <rPh sb="64" eb="65">
      <t>トウ</t>
    </rPh>
    <rPh sb="66" eb="68">
      <t>ヒョウカ</t>
    </rPh>
    <rPh sb="69" eb="71">
      <t>チョクエイ</t>
    </rPh>
    <rPh sb="72" eb="74">
      <t>ガイブ</t>
    </rPh>
    <rPh sb="74" eb="76">
      <t>イタク</t>
    </rPh>
    <rPh sb="79" eb="81">
      <t>バアイ</t>
    </rPh>
    <rPh sb="85" eb="87">
      <t>キョウツウ</t>
    </rPh>
    <phoneticPr fontId="1"/>
  </si>
  <si>
    <t>入力した時間帯同士が重複しない
よう注意して入力してください。</t>
    <rPh sb="0" eb="2">
      <t>ニュウリョク</t>
    </rPh>
    <rPh sb="4" eb="7">
      <t>ジカンタイ</t>
    </rPh>
    <rPh sb="7" eb="9">
      <t>ドウシ</t>
    </rPh>
    <rPh sb="10" eb="12">
      <t>チョウフク</t>
    </rPh>
    <rPh sb="18" eb="20">
      <t>チュウイ</t>
    </rPh>
    <rPh sb="22" eb="24">
      <t>ニュウリョク</t>
    </rPh>
    <phoneticPr fontId="1"/>
  </si>
  <si>
    <r>
      <t>氏名（員数の適切な算出のため１つの欄に氏名いずれも入力するようにしてください。</t>
    </r>
    <r>
      <rPr>
        <b/>
        <u/>
        <sz val="14"/>
        <color rgb="FFFF0000"/>
        <rFont val="游ゴシック"/>
        <family val="3"/>
        <charset val="128"/>
        <scheme val="minor"/>
      </rPr>
      <t>姓と名を別欄に入力しないようにすること。</t>
    </r>
    <r>
      <rPr>
        <b/>
        <sz val="14"/>
        <color theme="1"/>
        <rFont val="游ゴシック"/>
        <family val="3"/>
        <charset val="128"/>
        <scheme val="minor"/>
      </rPr>
      <t>）</t>
    </r>
    <rPh sb="0" eb="2">
      <t>シメイ</t>
    </rPh>
    <rPh sb="3" eb="5">
      <t>インスウ</t>
    </rPh>
    <rPh sb="6" eb="8">
      <t>テキセツ</t>
    </rPh>
    <rPh sb="9" eb="11">
      <t>サンシュツ</t>
    </rPh>
    <rPh sb="17" eb="18">
      <t>ラン</t>
    </rPh>
    <rPh sb="19" eb="21">
      <t>シメイ</t>
    </rPh>
    <rPh sb="25" eb="27">
      <t>ニュウリョク</t>
    </rPh>
    <rPh sb="39" eb="40">
      <t>セイ</t>
    </rPh>
    <rPh sb="41" eb="42">
      <t>メイ</t>
    </rPh>
    <rPh sb="43" eb="45">
      <t>ベツラン</t>
    </rPh>
    <rPh sb="46" eb="48">
      <t>ニュウリョク</t>
    </rPh>
    <phoneticPr fontId="1"/>
  </si>
  <si>
    <t>合計or
平均</t>
    <rPh sb="0" eb="1">
      <t>ゴウ</t>
    </rPh>
    <rPh sb="1" eb="2">
      <t>ケイ</t>
    </rPh>
    <rPh sb="5" eb="7">
      <t>ヘイキン</t>
    </rPh>
    <phoneticPr fontId="1"/>
  </si>
  <si>
    <t>○外来対応１件あたりの使用数量として多い数量を記載すると赤色で表示されます。
　その際、記載の数量の必要理由について確認させていただきますのであらかじめご了承ください。</t>
    <rPh sb="1" eb="3">
      <t>ガイライ</t>
    </rPh>
    <rPh sb="3" eb="5">
      <t>タイオウ</t>
    </rPh>
    <rPh sb="6" eb="7">
      <t>ケン</t>
    </rPh>
    <rPh sb="11" eb="13">
      <t>シヨウ</t>
    </rPh>
    <rPh sb="13" eb="15">
      <t>スウリョウ</t>
    </rPh>
    <rPh sb="18" eb="19">
      <t>オオ</t>
    </rPh>
    <rPh sb="20" eb="22">
      <t>スウリョウ</t>
    </rPh>
    <rPh sb="23" eb="25">
      <t>キサイ</t>
    </rPh>
    <rPh sb="28" eb="29">
      <t>アカ</t>
    </rPh>
    <rPh sb="29" eb="30">
      <t>イロ</t>
    </rPh>
    <rPh sb="31" eb="33">
      <t>ヒョウジ</t>
    </rPh>
    <rPh sb="42" eb="43">
      <t>サイ</t>
    </rPh>
    <rPh sb="44" eb="46">
      <t>キサイ</t>
    </rPh>
    <rPh sb="47" eb="49">
      <t>スウリョウ</t>
    </rPh>
    <rPh sb="50" eb="52">
      <t>ヒツヨウ</t>
    </rPh>
    <rPh sb="52" eb="54">
      <t>リユウ</t>
    </rPh>
    <rPh sb="58" eb="60">
      <t>カクニン</t>
    </rPh>
    <rPh sb="77" eb="79">
      <t>リョウショウ</t>
    </rPh>
    <phoneticPr fontId="1"/>
  </si>
  <si>
    <t>○人員配置体制については、必要と認める場合タイムカード等の賃金算定根拠となる勤務実績が判る帳簿のご提出をお願いする場合があります。
　（ご対応いただけない場合、公費補助整備が妥当と判断いたしかね交付決定できない場合がありますのでご了承ください。）</t>
    <rPh sb="1" eb="3">
      <t>ジンイン</t>
    </rPh>
    <rPh sb="3" eb="5">
      <t>ハイチ</t>
    </rPh>
    <rPh sb="5" eb="7">
      <t>タイセイ</t>
    </rPh>
    <rPh sb="13" eb="15">
      <t>ヒツヨウ</t>
    </rPh>
    <rPh sb="16" eb="17">
      <t>ミト</t>
    </rPh>
    <rPh sb="19" eb="21">
      <t>バアイ</t>
    </rPh>
    <rPh sb="27" eb="28">
      <t>トウ</t>
    </rPh>
    <rPh sb="29" eb="31">
      <t>チンギン</t>
    </rPh>
    <rPh sb="31" eb="33">
      <t>サンテイ</t>
    </rPh>
    <rPh sb="33" eb="35">
      <t>コンキョ</t>
    </rPh>
    <rPh sb="38" eb="40">
      <t>キンム</t>
    </rPh>
    <rPh sb="40" eb="42">
      <t>ジッセキ</t>
    </rPh>
    <rPh sb="43" eb="44">
      <t>ワカ</t>
    </rPh>
    <rPh sb="45" eb="47">
      <t>チョウボ</t>
    </rPh>
    <rPh sb="49" eb="51">
      <t>テイシュツ</t>
    </rPh>
    <rPh sb="53" eb="54">
      <t>ネガ</t>
    </rPh>
    <rPh sb="57" eb="59">
      <t>バアイ</t>
    </rPh>
    <rPh sb="69" eb="71">
      <t>タイオウ</t>
    </rPh>
    <rPh sb="77" eb="79">
      <t>バアイ</t>
    </rPh>
    <rPh sb="80" eb="82">
      <t>コウヒ</t>
    </rPh>
    <rPh sb="82" eb="84">
      <t>ホジョ</t>
    </rPh>
    <rPh sb="84" eb="86">
      <t>セイビ</t>
    </rPh>
    <rPh sb="87" eb="89">
      <t>ダトウ</t>
    </rPh>
    <rPh sb="90" eb="92">
      <t>ハンダン</t>
    </rPh>
    <rPh sb="97" eb="99">
      <t>コウフ</t>
    </rPh>
    <rPh sb="99" eb="101">
      <t>ケッテイ</t>
    </rPh>
    <rPh sb="105" eb="107">
      <t>バアイ</t>
    </rPh>
    <rPh sb="115" eb="117">
      <t>リョウショウ</t>
    </rPh>
    <phoneticPr fontId="1"/>
  </si>
  <si>
    <t>（２）現在発熱外来対応を行っている診療スペース（プルダウンから選択してください。）</t>
    <rPh sb="3" eb="5">
      <t>ゲンザイ</t>
    </rPh>
    <rPh sb="5" eb="7">
      <t>ハツネツ</t>
    </rPh>
    <rPh sb="7" eb="9">
      <t>ガイライ</t>
    </rPh>
    <rPh sb="9" eb="11">
      <t>タイオウ</t>
    </rPh>
    <rPh sb="12" eb="13">
      <t>オコナ</t>
    </rPh>
    <rPh sb="17" eb="19">
      <t>シンリョウ</t>
    </rPh>
    <phoneticPr fontId="1"/>
  </si>
  <si>
    <t>（１）発熱外来対応を行う時間帯の設定（プルダウンから選択してください。）</t>
    <rPh sb="3" eb="5">
      <t>ハツネツ</t>
    </rPh>
    <rPh sb="5" eb="7">
      <t>ガイライ</t>
    </rPh>
    <rPh sb="7" eb="9">
      <t>タイオウ</t>
    </rPh>
    <rPh sb="10" eb="11">
      <t>オコナ</t>
    </rPh>
    <rPh sb="12" eb="15">
      <t>ジカンタイ</t>
    </rPh>
    <rPh sb="16" eb="18">
      <t>セッテイ</t>
    </rPh>
    <rPh sb="26" eb="28">
      <t>センタク</t>
    </rPh>
    <phoneticPr fontId="1"/>
  </si>
  <si>
    <t>○以下入力欄に必要情報を入力してください。（個人防護具を申請する場合を除き「４．平均着脱使用枚数」以外は入力必須。）</t>
    <rPh sb="1" eb="3">
      <t>イカ</t>
    </rPh>
    <rPh sb="3" eb="5">
      <t>ニュウリョク</t>
    </rPh>
    <rPh sb="5" eb="6">
      <t>ラン</t>
    </rPh>
    <rPh sb="7" eb="9">
      <t>ヒツヨウ</t>
    </rPh>
    <rPh sb="9" eb="11">
      <t>ジョウホウ</t>
    </rPh>
    <rPh sb="12" eb="14">
      <t>ニュウリョク</t>
    </rPh>
    <rPh sb="22" eb="27">
      <t>コジンボウゴグ</t>
    </rPh>
    <rPh sb="28" eb="30">
      <t>シンセイ</t>
    </rPh>
    <rPh sb="32" eb="34">
      <t>バアイ</t>
    </rPh>
    <rPh sb="35" eb="36">
      <t>ノゾ</t>
    </rPh>
    <rPh sb="49" eb="51">
      <t>イガイ</t>
    </rPh>
    <rPh sb="52" eb="56">
      <t>ニュウリョクヒッス</t>
    </rPh>
    <phoneticPr fontId="12"/>
  </si>
  <si>
    <t>○「コロナ疑い発熱外来患者数」には各日のコロナ疑い外来患者数（結果陽性・陰性問わず）の人数を入力してください。
　（未入力欄がある場合、患者または職員の配置数を０として算定します。）</t>
    <rPh sb="17" eb="19">
      <t>カクジツ</t>
    </rPh>
    <rPh sb="23" eb="24">
      <t>ウタガ</t>
    </rPh>
    <rPh sb="25" eb="27">
      <t>ガイライ</t>
    </rPh>
    <rPh sb="27" eb="29">
      <t>カンジャ</t>
    </rPh>
    <rPh sb="29" eb="30">
      <t>スウ</t>
    </rPh>
    <rPh sb="31" eb="33">
      <t>ケッカ</t>
    </rPh>
    <rPh sb="33" eb="35">
      <t>ヨウセイ</t>
    </rPh>
    <rPh sb="36" eb="38">
      <t>インセイ</t>
    </rPh>
    <rPh sb="38" eb="39">
      <t>ト</t>
    </rPh>
    <rPh sb="43" eb="45">
      <t>ニンズウ</t>
    </rPh>
    <rPh sb="46" eb="48">
      <t>ニュウリョク</t>
    </rPh>
    <rPh sb="58" eb="61">
      <t>ミニュウリョク</t>
    </rPh>
    <rPh sb="61" eb="62">
      <t>ラン</t>
    </rPh>
    <rPh sb="65" eb="67">
      <t>バアイ</t>
    </rPh>
    <rPh sb="68" eb="70">
      <t>カンジャ</t>
    </rPh>
    <rPh sb="73" eb="75">
      <t>ショクイン</t>
    </rPh>
    <rPh sb="76" eb="78">
      <t>ハイチ</t>
    </rPh>
    <rPh sb="78" eb="79">
      <t>スウ</t>
    </rPh>
    <rPh sb="84" eb="86">
      <t>サンテイ</t>
    </rPh>
    <phoneticPr fontId="1"/>
  </si>
  <si>
    <t>○同じく個人防護具に係り、入力いただいた職員配置数及び患者数と比較し、計上されている使用数が著しく多い場合、計上の理由について県から問合せの上、
　公費補助整備に親和しないと判断される過剰分については計上から除外いただきます。</t>
    <rPh sb="1" eb="2">
      <t>オナ</t>
    </rPh>
    <rPh sb="4" eb="9">
      <t>コジンボウゴグ</t>
    </rPh>
    <rPh sb="10" eb="11">
      <t>カカ</t>
    </rPh>
    <rPh sb="13" eb="15">
      <t>ニュウリョク</t>
    </rPh>
    <rPh sb="20" eb="25">
      <t>ショクインハイチスウ</t>
    </rPh>
    <rPh sb="25" eb="26">
      <t>オヨ</t>
    </rPh>
    <rPh sb="27" eb="30">
      <t>カンジャスウ</t>
    </rPh>
    <rPh sb="31" eb="33">
      <t>ヒカク</t>
    </rPh>
    <rPh sb="35" eb="40">
      <t>コジンボウゴグ</t>
    </rPh>
    <rPh sb="40" eb="41">
      <t>オヨ</t>
    </rPh>
    <rPh sb="42" eb="44">
      <t>ケイジョウ</t>
    </rPh>
    <rPh sb="49" eb="52">
      <t>シヨウスウ</t>
    </rPh>
    <rPh sb="53" eb="54">
      <t>イチジル</t>
    </rPh>
    <rPh sb="56" eb="57">
      <t>オオ</t>
    </rPh>
    <rPh sb="58" eb="60">
      <t>バアイ</t>
    </rPh>
    <rPh sb="61" eb="63">
      <t>ケイジョウ</t>
    </rPh>
    <rPh sb="64" eb="66">
      <t>リユウ</t>
    </rPh>
    <rPh sb="70" eb="71">
      <t>ケン</t>
    </rPh>
    <rPh sb="75" eb="77">
      <t>トイアワ</t>
    </rPh>
    <rPh sb="79" eb="80">
      <t>ウエ</t>
    </rPh>
    <rPh sb="81" eb="83">
      <t>コウヒ</t>
    </rPh>
    <rPh sb="83" eb="85">
      <t>ホジョ</t>
    </rPh>
    <rPh sb="85" eb="87">
      <t>セイビ</t>
    </rPh>
    <rPh sb="88" eb="90">
      <t>シンワ</t>
    </rPh>
    <rPh sb="94" eb="96">
      <t>ハンダン</t>
    </rPh>
    <rPh sb="99" eb="101">
      <t>カジョウ</t>
    </rPh>
    <rPh sb="101" eb="102">
      <t>ブン</t>
    </rPh>
    <rPh sb="107" eb="109">
      <t>ケイジョウ</t>
    </rPh>
    <rPh sb="111" eb="113">
      <t>ジョガイ</t>
    </rPh>
    <phoneticPr fontId="12"/>
  </si>
  <si>
    <t>最大勤務時間/日</t>
    <rPh sb="0" eb="2">
      <t>サイダイ</t>
    </rPh>
    <rPh sb="2" eb="6">
      <t>キンムジカン</t>
    </rPh>
    <rPh sb="7" eb="8">
      <t>ニチ</t>
    </rPh>
    <phoneticPr fontId="1"/>
  </si>
  <si>
    <t>内、咳症状等を有する患者数 (月計)</t>
    <rPh sb="0" eb="1">
      <t>ウチ</t>
    </rPh>
    <rPh sb="2" eb="3">
      <t>セキ</t>
    </rPh>
    <rPh sb="3" eb="5">
      <t>ショウジョウ</t>
    </rPh>
    <rPh sb="5" eb="6">
      <t>トウ</t>
    </rPh>
    <rPh sb="7" eb="8">
      <t>ユウ</t>
    </rPh>
    <rPh sb="10" eb="12">
      <t>カンジャ</t>
    </rPh>
    <rPh sb="12" eb="13">
      <t>スウ</t>
    </rPh>
    <rPh sb="15" eb="17">
      <t>ゲッケイ</t>
    </rPh>
    <phoneticPr fontId="1"/>
  </si>
  <si>
    <t>コロナ疑い発熱外来患者数(月計)</t>
    <rPh sb="3" eb="4">
      <t>ウタガ</t>
    </rPh>
    <rPh sb="5" eb="7">
      <t>ハツネツ</t>
    </rPh>
    <rPh sb="7" eb="9">
      <t>ガイライ</t>
    </rPh>
    <rPh sb="9" eb="11">
      <t>カンジャ</t>
    </rPh>
    <rPh sb="11" eb="12">
      <t>スウ</t>
    </rPh>
    <rPh sb="13" eb="15">
      <t>ゲッケイ</t>
    </rPh>
    <rPh sb="14" eb="15">
      <t>ケイ</t>
    </rPh>
    <phoneticPr fontId="1"/>
  </si>
  <si>
    <t>最大勤務時間数計/月</t>
    <rPh sb="0" eb="2">
      <t>サイダイ</t>
    </rPh>
    <rPh sb="2" eb="6">
      <t>キンムジカン</t>
    </rPh>
    <rPh sb="6" eb="7">
      <t>スウ</t>
    </rPh>
    <rPh sb="7" eb="8">
      <t>ケイ</t>
    </rPh>
    <rPh sb="9" eb="10">
      <t>ツキ</t>
    </rPh>
    <phoneticPr fontId="1"/>
  </si>
  <si>
    <t>常勤換算数平均/日</t>
    <rPh sb="0" eb="2">
      <t>ジョウキン</t>
    </rPh>
    <rPh sb="2" eb="4">
      <t>カンサン</t>
    </rPh>
    <rPh sb="4" eb="5">
      <t>スウ</t>
    </rPh>
    <rPh sb="5" eb="7">
      <t>ヘイキン</t>
    </rPh>
    <rPh sb="8" eb="9">
      <t>ニチ</t>
    </rPh>
    <phoneticPr fontId="1"/>
  </si>
  <si>
    <t>全ての欄に当該月の疑い外来患者数を入力してください。</t>
    <rPh sb="0" eb="1">
      <t>スベ</t>
    </rPh>
    <rPh sb="3" eb="4">
      <t>ラン</t>
    </rPh>
    <rPh sb="5" eb="7">
      <t>トウガイ</t>
    </rPh>
    <rPh sb="7" eb="8">
      <t>ツキ</t>
    </rPh>
    <rPh sb="9" eb="10">
      <t>ウタガ</t>
    </rPh>
    <rPh sb="11" eb="13">
      <t>ガイライ</t>
    </rPh>
    <rPh sb="13" eb="16">
      <t>カンジャスウ</t>
    </rPh>
    <rPh sb="17" eb="19">
      <t>ニュウリョク</t>
    </rPh>
    <phoneticPr fontId="1"/>
  </si>
  <si>
    <t>入力上の注意点</t>
    <rPh sb="0" eb="3">
      <t>ニュウリョクジョウ</t>
    </rPh>
    <rPh sb="4" eb="7">
      <t>チュウイテン</t>
    </rPh>
    <phoneticPr fontId="1"/>
  </si>
  <si>
    <t>全ての欄に上段に入力した疑い外来患者の内、咳症状等を有する患者数を入力してください。</t>
    <rPh sb="0" eb="1">
      <t>スベ</t>
    </rPh>
    <rPh sb="3" eb="4">
      <t>ラン</t>
    </rPh>
    <rPh sb="5" eb="7">
      <t>ジョウダン</t>
    </rPh>
    <rPh sb="8" eb="10">
      <t>ニュウリョク</t>
    </rPh>
    <rPh sb="12" eb="13">
      <t>ウタガ</t>
    </rPh>
    <rPh sb="14" eb="16">
      <t>ガイライ</t>
    </rPh>
    <rPh sb="16" eb="18">
      <t>カンジャ</t>
    </rPh>
    <rPh sb="19" eb="20">
      <t>ウチ</t>
    </rPh>
    <rPh sb="33" eb="35">
      <t>ニュウリョク</t>
    </rPh>
    <phoneticPr fontId="1"/>
  </si>
  <si>
    <t>下段に入力いただいた医師及び勤務時間数の月毎の合計の和が自動で表示されます。</t>
    <rPh sb="0" eb="2">
      <t>ゲダン</t>
    </rPh>
    <rPh sb="3" eb="5">
      <t>ニュウリョク</t>
    </rPh>
    <rPh sb="10" eb="12">
      <t>イシ</t>
    </rPh>
    <rPh sb="12" eb="13">
      <t>オヨ</t>
    </rPh>
    <rPh sb="14" eb="16">
      <t>キンム</t>
    </rPh>
    <rPh sb="16" eb="19">
      <t>ジカンスウ</t>
    </rPh>
    <rPh sb="20" eb="21">
      <t>ガツ</t>
    </rPh>
    <rPh sb="21" eb="22">
      <t>ゴト</t>
    </rPh>
    <rPh sb="23" eb="25">
      <t>ゴウケイ</t>
    </rPh>
    <rPh sb="26" eb="27">
      <t>ワ</t>
    </rPh>
    <rPh sb="28" eb="30">
      <t>ジドウ</t>
    </rPh>
    <rPh sb="31" eb="33">
      <t>ヒョウジ</t>
    </rPh>
    <phoneticPr fontId="1"/>
  </si>
  <si>
    <t>１日あたり平均勤務時間数を週の平均診療時間数で除した常勤換算の配置員数が表示されます。</t>
    <rPh sb="1" eb="2">
      <t>ニチ</t>
    </rPh>
    <rPh sb="5" eb="7">
      <t>ヘイキン</t>
    </rPh>
    <rPh sb="7" eb="9">
      <t>キンム</t>
    </rPh>
    <rPh sb="9" eb="12">
      <t>ジカンスウ</t>
    </rPh>
    <rPh sb="13" eb="14">
      <t>シュウ</t>
    </rPh>
    <rPh sb="15" eb="17">
      <t>ヘイキン</t>
    </rPh>
    <rPh sb="17" eb="22">
      <t>シンリョウジカンスウ</t>
    </rPh>
    <rPh sb="23" eb="24">
      <t>ジョ</t>
    </rPh>
    <rPh sb="26" eb="30">
      <t>ジョウキンカンサン</t>
    </rPh>
    <rPh sb="31" eb="33">
      <t>ハイチ</t>
    </rPh>
    <rPh sb="33" eb="35">
      <t>インスウ</t>
    </rPh>
    <rPh sb="36" eb="38">
      <t>ヒョウジ</t>
    </rPh>
    <phoneticPr fontId="1"/>
  </si>
  <si>
    <t>「２．職員情報」に入力した医師の人数の範囲内の平均配置数を入力してください。</t>
    <rPh sb="3" eb="5">
      <t>ショクイン</t>
    </rPh>
    <rPh sb="5" eb="7">
      <t>ジョウホウ</t>
    </rPh>
    <rPh sb="9" eb="11">
      <t>ニュウリョク</t>
    </rPh>
    <rPh sb="13" eb="15">
      <t>イシ</t>
    </rPh>
    <rPh sb="16" eb="18">
      <t>ニンズウ</t>
    </rPh>
    <rPh sb="19" eb="22">
      <t>ハンイナイ</t>
    </rPh>
    <rPh sb="23" eb="25">
      <t>ヘイキン</t>
    </rPh>
    <rPh sb="25" eb="27">
      <t>ハイチ</t>
    </rPh>
    <rPh sb="27" eb="28">
      <t>スウ</t>
    </rPh>
    <rPh sb="29" eb="31">
      <t>ニュウリョク</t>
    </rPh>
    <phoneticPr fontId="1"/>
  </si>
  <si>
    <t>当該月の診療時間数の合計を医師の平均配置員数で乗じた最大勤務時間数が自動で表示されます。</t>
    <rPh sb="0" eb="3">
      <t>トウガイツキ</t>
    </rPh>
    <rPh sb="4" eb="9">
      <t>シンリョウジカンスウ</t>
    </rPh>
    <rPh sb="10" eb="12">
      <t>ゴウケイ</t>
    </rPh>
    <rPh sb="13" eb="15">
      <t>イシ</t>
    </rPh>
    <rPh sb="16" eb="18">
      <t>ヘイキン</t>
    </rPh>
    <rPh sb="18" eb="20">
      <t>ハイチ</t>
    </rPh>
    <rPh sb="20" eb="22">
      <t>インスウ</t>
    </rPh>
    <rPh sb="23" eb="24">
      <t>ジョウ</t>
    </rPh>
    <rPh sb="26" eb="28">
      <t>サイダイ</t>
    </rPh>
    <rPh sb="28" eb="33">
      <t>キンムジカンスウ</t>
    </rPh>
    <rPh sb="34" eb="36">
      <t>ジドウ</t>
    </rPh>
    <rPh sb="37" eb="39">
      <t>ヒョウジ</t>
    </rPh>
    <phoneticPr fontId="1"/>
  </si>
  <si>
    <t>「２．職員情報」に入力した看護師の人数の範囲内の平均配置数を入力してください。</t>
    <rPh sb="3" eb="5">
      <t>ショクイン</t>
    </rPh>
    <rPh sb="5" eb="7">
      <t>ジョウホウ</t>
    </rPh>
    <rPh sb="9" eb="11">
      <t>ニュウリョク</t>
    </rPh>
    <rPh sb="13" eb="16">
      <t>カンゴシ</t>
    </rPh>
    <rPh sb="17" eb="19">
      <t>ニンズウ</t>
    </rPh>
    <rPh sb="20" eb="23">
      <t>ハンイナイ</t>
    </rPh>
    <rPh sb="24" eb="26">
      <t>ヘイキン</t>
    </rPh>
    <rPh sb="26" eb="28">
      <t>ハイチ</t>
    </rPh>
    <rPh sb="28" eb="29">
      <t>スウ</t>
    </rPh>
    <rPh sb="30" eb="32">
      <t>ニュウリョク</t>
    </rPh>
    <phoneticPr fontId="1"/>
  </si>
  <si>
    <t>当該月の診療時間数の合計を看護師の平均配置員数で乗じた最大勤務時間数が自動で表示されます。</t>
    <rPh sb="0" eb="3">
      <t>トウガイツキ</t>
    </rPh>
    <rPh sb="4" eb="9">
      <t>シンリョウジカンスウ</t>
    </rPh>
    <rPh sb="10" eb="12">
      <t>ゴウケイ</t>
    </rPh>
    <rPh sb="13" eb="16">
      <t>カンゴシ</t>
    </rPh>
    <rPh sb="17" eb="19">
      <t>ヘイキン</t>
    </rPh>
    <rPh sb="19" eb="21">
      <t>ハイチ</t>
    </rPh>
    <rPh sb="21" eb="23">
      <t>インスウ</t>
    </rPh>
    <rPh sb="24" eb="25">
      <t>ジョウ</t>
    </rPh>
    <rPh sb="27" eb="29">
      <t>サイダイ</t>
    </rPh>
    <rPh sb="29" eb="34">
      <t>キンムジカンスウ</t>
    </rPh>
    <rPh sb="35" eb="37">
      <t>ジドウ</t>
    </rPh>
    <rPh sb="38" eb="40">
      <t>ヒョウジ</t>
    </rPh>
    <phoneticPr fontId="1"/>
  </si>
  <si>
    <t>※黄色セルを全て入力してください。職員数を上回る配置数や診療時間に基づく勤務時間数を上回る配置時間数が誤って入力されると赤色で表示されます。</t>
    <rPh sb="1" eb="3">
      <t>キイロ</t>
    </rPh>
    <rPh sb="6" eb="7">
      <t>スベ</t>
    </rPh>
    <rPh sb="8" eb="10">
      <t>ニュウリョク</t>
    </rPh>
    <rPh sb="17" eb="20">
      <t>ショクインスウ</t>
    </rPh>
    <rPh sb="21" eb="23">
      <t>ウワマワ</t>
    </rPh>
    <rPh sb="24" eb="26">
      <t>ハイチ</t>
    </rPh>
    <rPh sb="26" eb="27">
      <t>スウ</t>
    </rPh>
    <rPh sb="28" eb="30">
      <t>シンリョウ</t>
    </rPh>
    <rPh sb="30" eb="32">
      <t>ジカン</t>
    </rPh>
    <rPh sb="33" eb="34">
      <t>モト</t>
    </rPh>
    <rPh sb="36" eb="38">
      <t>キンム</t>
    </rPh>
    <rPh sb="38" eb="41">
      <t>ジカンスウ</t>
    </rPh>
    <rPh sb="42" eb="44">
      <t>ウワマワ</t>
    </rPh>
    <rPh sb="45" eb="47">
      <t>ハイチ</t>
    </rPh>
    <rPh sb="47" eb="50">
      <t>ジカンスウ</t>
    </rPh>
    <rPh sb="51" eb="52">
      <t>アヤマ</t>
    </rPh>
    <rPh sb="54" eb="56">
      <t>ニュウリョク</t>
    </rPh>
    <rPh sb="60" eb="62">
      <t>アカイロ</t>
    </rPh>
    <rPh sb="63" eb="65">
      <t>ヒョウジ</t>
    </rPh>
    <phoneticPr fontId="1"/>
  </si>
  <si>
    <t>入力上の注意点</t>
    <phoneticPr fontId="1"/>
  </si>
  <si>
    <t>患者１名あたり平均対応員数＊品目毎の医師・看護師の合計使用数＊前頁「３」で入力の外来患者数の数値が自動で表示されます。（「３」に入力不備があると「－」と表示されます。）</t>
    <rPh sb="0" eb="2">
      <t>カンジャ</t>
    </rPh>
    <rPh sb="3" eb="4">
      <t>メイ</t>
    </rPh>
    <rPh sb="7" eb="11">
      <t>ヘイキンタイオウ</t>
    </rPh>
    <rPh sb="11" eb="13">
      <t>インスウ</t>
    </rPh>
    <rPh sb="14" eb="16">
      <t>ヒンモク</t>
    </rPh>
    <rPh sb="16" eb="17">
      <t>ゴト</t>
    </rPh>
    <rPh sb="18" eb="20">
      <t>イシ</t>
    </rPh>
    <rPh sb="21" eb="24">
      <t>カンゴシ</t>
    </rPh>
    <rPh sb="25" eb="27">
      <t>ゴウケイ</t>
    </rPh>
    <rPh sb="27" eb="30">
      <t>シヨウスウ</t>
    </rPh>
    <rPh sb="31" eb="32">
      <t>マエ</t>
    </rPh>
    <rPh sb="32" eb="33">
      <t>ページ</t>
    </rPh>
    <rPh sb="37" eb="39">
      <t>ニュウリョク</t>
    </rPh>
    <rPh sb="40" eb="42">
      <t>ガイライ</t>
    </rPh>
    <rPh sb="42" eb="44">
      <t>カンジャ</t>
    </rPh>
    <rPh sb="44" eb="45">
      <t>スウ</t>
    </rPh>
    <rPh sb="46" eb="48">
      <t>スウチ</t>
    </rPh>
    <rPh sb="49" eb="51">
      <t>ジドウ</t>
    </rPh>
    <rPh sb="52" eb="54">
      <t>ヒョウジ</t>
    </rPh>
    <rPh sb="64" eb="66">
      <t>ニュウリョク</t>
    </rPh>
    <rPh sb="66" eb="68">
      <t>フビ</t>
    </rPh>
    <rPh sb="76" eb="78">
      <t>ヒョウジ</t>
    </rPh>
    <phoneticPr fontId="1"/>
  </si>
  <si>
    <t>合計or平均</t>
    <rPh sb="0" eb="1">
      <t>ゴウ</t>
    </rPh>
    <rPh sb="1" eb="2">
      <t>ケイ</t>
    </rPh>
    <rPh sb="4" eb="6">
      <t>ヘイキン</t>
    </rPh>
    <phoneticPr fontId="1"/>
  </si>
  <si>
    <t>「診療体制に係る基礎情報」シートを入力し、診療日数、平均従事人数及び基準額算定員数が正しく表示されているか確認してください。</t>
    <rPh sb="17" eb="19">
      <t>ニュウリョク</t>
    </rPh>
    <rPh sb="21" eb="25">
      <t>シンリョウニッスウ</t>
    </rPh>
    <rPh sb="26" eb="28">
      <t>ヘイキン</t>
    </rPh>
    <rPh sb="28" eb="30">
      <t>ジュウジ</t>
    </rPh>
    <rPh sb="30" eb="31">
      <t>ジン</t>
    </rPh>
    <rPh sb="31" eb="32">
      <t>スウ</t>
    </rPh>
    <rPh sb="32" eb="33">
      <t>オヨ</t>
    </rPh>
    <rPh sb="34" eb="37">
      <t>キジュンガク</t>
    </rPh>
    <rPh sb="37" eb="39">
      <t>サンテイ</t>
    </rPh>
    <rPh sb="39" eb="41">
      <t>インスウ</t>
    </rPh>
    <rPh sb="42" eb="43">
      <t>タダ</t>
    </rPh>
    <rPh sb="45" eb="47">
      <t>ヒョウジ</t>
    </rPh>
    <rPh sb="53" eb="55">
      <t>カクニン</t>
    </rPh>
    <phoneticPr fontId="1"/>
  </si>
  <si>
    <t>（３）発熱外来診療実施時間帯（左端から順に入力してください。）</t>
    <rPh sb="3" eb="5">
      <t>ハツネツ</t>
    </rPh>
    <rPh sb="5" eb="7">
      <t>ガイライ</t>
    </rPh>
    <rPh sb="7" eb="9">
      <t>シンリョウ</t>
    </rPh>
    <rPh sb="9" eb="11">
      <t>ジッシ</t>
    </rPh>
    <rPh sb="11" eb="14">
      <t>ジカンタイ</t>
    </rPh>
    <rPh sb="15" eb="17">
      <t>サタン</t>
    </rPh>
    <rPh sb="19" eb="20">
      <t>ジュン</t>
    </rPh>
    <rPh sb="21" eb="23">
      <t>ニュウリョク</t>
    </rPh>
    <phoneticPr fontId="1"/>
  </si>
  <si>
    <t>（３）発熱外来診療実施時間帯（左端から順に入力してください。）</t>
    <rPh sb="3" eb="5">
      <t>ハツネツ</t>
    </rPh>
    <rPh sb="5" eb="7">
      <t>ガイライ</t>
    </rPh>
    <rPh sb="7" eb="9">
      <t>シンリョウ</t>
    </rPh>
    <rPh sb="9" eb="11">
      <t>ジッシ</t>
    </rPh>
    <rPh sb="11" eb="14">
      <t>ジカンタイ</t>
    </rPh>
    <phoneticPr fontId="1"/>
  </si>
  <si>
    <r>
      <t>　　　　リースによる整備　　　　　　購入による整備</t>
    </r>
    <r>
      <rPr>
        <b/>
        <sz val="12"/>
        <color rgb="FFFF0000"/>
        <rFont val="游ゴシック"/>
        <family val="3"/>
        <charset val="128"/>
        <scheme val="minor"/>
      </rPr>
      <t>（コンテナ、プレハブ等、リースによる整備の選択が可能な場合はリース料の見積書の提出必須）</t>
    </r>
    <rPh sb="35" eb="36">
      <t>トウ</t>
    </rPh>
    <rPh sb="43" eb="45">
      <t>セイビ</t>
    </rPh>
    <rPh sb="46" eb="48">
      <t>センタク</t>
    </rPh>
    <rPh sb="49" eb="51">
      <t>カノウ</t>
    </rPh>
    <rPh sb="52" eb="54">
      <t>バアイ</t>
    </rPh>
    <rPh sb="58" eb="59">
      <t>リョウ</t>
    </rPh>
    <rPh sb="60" eb="62">
      <t>ミツモリ</t>
    </rPh>
    <rPh sb="62" eb="63">
      <t>ショ</t>
    </rPh>
    <rPh sb="64" eb="66">
      <t>テイシュツ</t>
    </rPh>
    <rPh sb="66" eb="68">
      <t>ヒッス</t>
    </rPh>
    <phoneticPr fontId="1"/>
  </si>
  <si>
    <t>☆空気清浄機、パーテーション、簡易診療室の経費申請を行う場合</t>
    <rPh sb="1" eb="3">
      <t>クウキ</t>
    </rPh>
    <rPh sb="3" eb="6">
      <t>セイジョウキ</t>
    </rPh>
    <rPh sb="15" eb="17">
      <t>カンイ</t>
    </rPh>
    <rPh sb="17" eb="20">
      <t>シンリョウシツ</t>
    </rPh>
    <rPh sb="21" eb="23">
      <t>ケイヒ</t>
    </rPh>
    <rPh sb="23" eb="25">
      <t>シンセイ</t>
    </rPh>
    <rPh sb="26" eb="27">
      <t>オコナ</t>
    </rPh>
    <rPh sb="28" eb="30">
      <t>バアイ</t>
    </rPh>
    <phoneticPr fontId="1"/>
  </si>
  <si>
    <t>　□　発熱外来を実施している診療時間が判る書類（HP等を印刷したもの）</t>
    <rPh sb="3" eb="5">
      <t>ハツネツ</t>
    </rPh>
    <rPh sb="5" eb="7">
      <t>ガイライ</t>
    </rPh>
    <rPh sb="8" eb="10">
      <t>ジッシ</t>
    </rPh>
    <rPh sb="14" eb="16">
      <t>シンリョウ</t>
    </rPh>
    <rPh sb="16" eb="18">
      <t>ジカン</t>
    </rPh>
    <rPh sb="19" eb="20">
      <t>ワカ</t>
    </rPh>
    <rPh sb="21" eb="23">
      <t>ショルイ</t>
    </rPh>
    <rPh sb="26" eb="27">
      <t>トウ</t>
    </rPh>
    <rPh sb="28" eb="30">
      <t>インサツ</t>
    </rPh>
    <phoneticPr fontId="1"/>
  </si>
  <si>
    <t>　□　発熱外来を実施する診療スペースの位置が判る敷地内平面図（手書きで可）</t>
    <rPh sb="3" eb="5">
      <t>ハツネツ</t>
    </rPh>
    <rPh sb="5" eb="7">
      <t>ガイライ</t>
    </rPh>
    <rPh sb="8" eb="10">
      <t>ジッシ</t>
    </rPh>
    <rPh sb="12" eb="14">
      <t>シンリョウ</t>
    </rPh>
    <rPh sb="19" eb="21">
      <t>イチ</t>
    </rPh>
    <rPh sb="22" eb="23">
      <t>ワカ</t>
    </rPh>
    <rPh sb="24" eb="26">
      <t>シキチ</t>
    </rPh>
    <rPh sb="26" eb="27">
      <t>ナイ</t>
    </rPh>
    <rPh sb="27" eb="30">
      <t>ヘイメンズ</t>
    </rPh>
    <rPh sb="31" eb="33">
      <t>テガ</t>
    </rPh>
    <rPh sb="35" eb="36">
      <t>カ</t>
    </rPh>
    <phoneticPr fontId="1"/>
  </si>
  <si>
    <t>☆共通必須</t>
    <rPh sb="1" eb="5">
      <t>キョウツウヒッス</t>
    </rPh>
    <phoneticPr fontId="1"/>
  </si>
  <si>
    <t>☆個人防護具の経費申請を行う場合</t>
    <rPh sb="1" eb="6">
      <t>コジンボウゴグ</t>
    </rPh>
    <rPh sb="7" eb="9">
      <t>ケイヒ</t>
    </rPh>
    <rPh sb="9" eb="11">
      <t>シンセイ</t>
    </rPh>
    <rPh sb="12" eb="13">
      <t>オコナ</t>
    </rPh>
    <rPh sb="14" eb="16">
      <t>バアイ</t>
    </rPh>
    <phoneticPr fontId="1"/>
  </si>
  <si>
    <t>☆消毒清掃に係る経費申請を行う場合</t>
    <rPh sb="1" eb="3">
      <t>ショウドク</t>
    </rPh>
    <rPh sb="3" eb="5">
      <t>セイソウ</t>
    </rPh>
    <rPh sb="6" eb="7">
      <t>カカ</t>
    </rPh>
    <rPh sb="8" eb="10">
      <t>ケイヒ</t>
    </rPh>
    <rPh sb="10" eb="12">
      <t>シンセイ</t>
    </rPh>
    <rPh sb="13" eb="14">
      <t>オコナ</t>
    </rPh>
    <rPh sb="15" eb="17">
      <t>バアイ</t>
    </rPh>
    <phoneticPr fontId="1"/>
  </si>
  <si>
    <t>マスク</t>
    <phoneticPr fontId="1"/>
  </si>
  <si>
    <t>ゴーグル</t>
    <phoneticPr fontId="1"/>
  </si>
  <si>
    <t>品目等</t>
    <rPh sb="0" eb="2">
      <t>ヒンモク</t>
    </rPh>
    <rPh sb="2" eb="3">
      <t>トウ</t>
    </rPh>
    <phoneticPr fontId="1"/>
  </si>
  <si>
    <t>患者１人あたり使用数</t>
    <rPh sb="0" eb="2">
      <t>カンジャ</t>
    </rPh>
    <rPh sb="3" eb="4">
      <t>ニン</t>
    </rPh>
    <rPh sb="7" eb="9">
      <t>シヨウ</t>
    </rPh>
    <rPh sb="9" eb="10">
      <t>スウ</t>
    </rPh>
    <phoneticPr fontId="1"/>
  </si>
  <si>
    <t>判定</t>
    <rPh sb="0" eb="2">
      <t>ハンテイ</t>
    </rPh>
    <phoneticPr fontId="1"/>
  </si>
  <si>
    <t>コメント</t>
    <phoneticPr fontId="1"/>
  </si>
  <si>
    <t>医師</t>
    <rPh sb="0" eb="2">
      <t>イシ</t>
    </rPh>
    <phoneticPr fontId="1"/>
  </si>
  <si>
    <t>看護師</t>
    <rPh sb="0" eb="3">
      <t>カンゴシ</t>
    </rPh>
    <phoneticPr fontId="1"/>
  </si>
  <si>
    <t>患者１名あたり
平均対応員数</t>
    <phoneticPr fontId="1"/>
  </si>
  <si>
    <t>職種</t>
    <rPh sb="0" eb="2">
      <t>ショクシュ</t>
    </rPh>
    <phoneticPr fontId="1"/>
  </si>
  <si>
    <t>計</t>
    <rPh sb="0" eb="1">
      <t>ケイ</t>
    </rPh>
    <phoneticPr fontId="1"/>
  </si>
  <si>
    <t>疑い患者数</t>
    <rPh sb="0" eb="1">
      <t>ウタガ</t>
    </rPh>
    <rPh sb="2" eb="5">
      <t>カンジャスウ</t>
    </rPh>
    <phoneticPr fontId="1"/>
  </si>
  <si>
    <t>内、有咳症状等</t>
    <rPh sb="0" eb="1">
      <t>ウチ</t>
    </rPh>
    <rPh sb="2" eb="3">
      <t>ユウ</t>
    </rPh>
    <rPh sb="3" eb="4">
      <t>セキ</t>
    </rPh>
    <rPh sb="4" eb="7">
      <t>ショウジョウトウ</t>
    </rPh>
    <phoneticPr fontId="1"/>
  </si>
  <si>
    <t>リユーサブル
(1以下の数値を入力)</t>
    <rPh sb="9" eb="11">
      <t>イカ</t>
    </rPh>
    <rPh sb="12" eb="14">
      <t>スウチ</t>
    </rPh>
    <rPh sb="15" eb="17">
      <t>ニュウリョク</t>
    </rPh>
    <phoneticPr fontId="1"/>
  </si>
  <si>
    <t>レンズ交換型本体
(1以下の数値を入力)</t>
    <rPh sb="3" eb="6">
      <t>コウカンガタ</t>
    </rPh>
    <rPh sb="6" eb="8">
      <t>ホンタイ</t>
    </rPh>
    <phoneticPr fontId="1"/>
  </si>
  <si>
    <t>リユーサブル
(1以下の数値を入力)</t>
    <phoneticPr fontId="1"/>
  </si>
  <si>
    <t>フレーム
(1以下の数値を入力)</t>
    <phoneticPr fontId="1"/>
  </si>
  <si>
    <t>○外来対応１件あたりの使用数量として通常想定されるより多い数量を記載すると赤色で表示されます。
　その際、記載の数量の必要理由について確認させていただきますのであらかじめご了承ください。</t>
    <rPh sb="1" eb="3">
      <t>ガイライ</t>
    </rPh>
    <rPh sb="3" eb="5">
      <t>タイオウ</t>
    </rPh>
    <rPh sb="6" eb="7">
      <t>ケン</t>
    </rPh>
    <rPh sb="11" eb="13">
      <t>シヨウ</t>
    </rPh>
    <rPh sb="13" eb="15">
      <t>スウリョウ</t>
    </rPh>
    <rPh sb="18" eb="20">
      <t>ツウジョウ</t>
    </rPh>
    <rPh sb="20" eb="22">
      <t>ソウテイ</t>
    </rPh>
    <rPh sb="27" eb="28">
      <t>オオ</t>
    </rPh>
    <rPh sb="29" eb="31">
      <t>スウリョウ</t>
    </rPh>
    <rPh sb="32" eb="34">
      <t>キサイ</t>
    </rPh>
    <rPh sb="37" eb="38">
      <t>アカ</t>
    </rPh>
    <rPh sb="38" eb="39">
      <t>イロ</t>
    </rPh>
    <rPh sb="40" eb="42">
      <t>ヒョウジ</t>
    </rPh>
    <rPh sb="51" eb="52">
      <t>サイ</t>
    </rPh>
    <rPh sb="53" eb="55">
      <t>キサイ</t>
    </rPh>
    <rPh sb="56" eb="58">
      <t>スウリョウ</t>
    </rPh>
    <rPh sb="59" eb="61">
      <t>ヒツヨウ</t>
    </rPh>
    <rPh sb="61" eb="63">
      <t>リユウ</t>
    </rPh>
    <rPh sb="67" eb="69">
      <t>カクニン</t>
    </rPh>
    <rPh sb="86" eb="88">
      <t>リョウショウ</t>
    </rPh>
    <phoneticPr fontId="1"/>
  </si>
  <si>
    <t>判定</t>
    <rPh sb="0" eb="2">
      <t>ハンテイ</t>
    </rPh>
    <phoneticPr fontId="1"/>
  </si>
  <si>
    <t>－</t>
    <phoneticPr fontId="1"/>
  </si>
  <si>
    <t>休診日（グレーのセル）以外は全て入力（０の場合は０）</t>
    <rPh sb="0" eb="3">
      <t>キュウシンビ</t>
    </rPh>
    <rPh sb="11" eb="13">
      <t>イガイ</t>
    </rPh>
    <rPh sb="14" eb="15">
      <t>スベ</t>
    </rPh>
    <rPh sb="16" eb="18">
      <t>ニュウリョク</t>
    </rPh>
    <rPh sb="21" eb="23">
      <t>バアイ</t>
    </rPh>
    <phoneticPr fontId="1"/>
  </si>
  <si>
    <t>上段の疑い患者数の範囲内。休診日（グレーのセル）以外は全て入力（０の場合は０）</t>
    <rPh sb="0" eb="2">
      <t>ジョウダン</t>
    </rPh>
    <rPh sb="3" eb="4">
      <t>ウタガ</t>
    </rPh>
    <rPh sb="5" eb="7">
      <t>カンジャ</t>
    </rPh>
    <rPh sb="7" eb="8">
      <t>スウ</t>
    </rPh>
    <rPh sb="9" eb="12">
      <t>ハンイナイ</t>
    </rPh>
    <rPh sb="13" eb="16">
      <t>キュウシンビ</t>
    </rPh>
    <rPh sb="24" eb="26">
      <t>イガイ</t>
    </rPh>
    <rPh sb="27" eb="28">
      <t>スベ</t>
    </rPh>
    <rPh sb="29" eb="31">
      <t>ニュウリョク</t>
    </rPh>
    <rPh sb="34" eb="36">
      <t>バアイ</t>
    </rPh>
    <phoneticPr fontId="1"/>
  </si>
  <si>
    <t>上段の最大勤務時間数の範囲内。休診日（グレーのセル）以外は全て入力（０の場合は０を入力）</t>
    <rPh sb="0" eb="2">
      <t>ジョウダン</t>
    </rPh>
    <rPh sb="3" eb="5">
      <t>サイダイ</t>
    </rPh>
    <rPh sb="5" eb="10">
      <t>キンムジカンスウ</t>
    </rPh>
    <rPh sb="11" eb="14">
      <t>ハンイナイ</t>
    </rPh>
    <rPh sb="15" eb="18">
      <t>キュウシンビ</t>
    </rPh>
    <rPh sb="26" eb="28">
      <t>イガイ</t>
    </rPh>
    <rPh sb="29" eb="30">
      <t>スベ</t>
    </rPh>
    <rPh sb="31" eb="33">
      <t>ニュウリョク</t>
    </rPh>
    <rPh sb="36" eb="38">
      <t>バアイ</t>
    </rPh>
    <rPh sb="41" eb="43">
      <t>ニュウリョク</t>
    </rPh>
    <phoneticPr fontId="1"/>
  </si>
  <si>
    <t>上段の最大勤務時間数の範囲内。休診日（グレーのセル）以外は全て入力（０の場合は０）</t>
    <rPh sb="15" eb="18">
      <t>キュウシンビ</t>
    </rPh>
    <rPh sb="26" eb="28">
      <t>イガイ</t>
    </rPh>
    <rPh sb="29" eb="30">
      <t>スベ</t>
    </rPh>
    <rPh sb="31" eb="33">
      <t>ニュウリョク</t>
    </rPh>
    <rPh sb="36" eb="38">
      <t>バアイ</t>
    </rPh>
    <phoneticPr fontId="1"/>
  </si>
  <si>
    <t>N95・ハイラックマスク
(咳症状等患者のみ)</t>
    <rPh sb="14" eb="17">
      <t>セキショウジョウ</t>
    </rPh>
    <rPh sb="17" eb="18">
      <t>トウ</t>
    </rPh>
    <rPh sb="18" eb="20">
      <t>カンジャ</t>
    </rPh>
    <phoneticPr fontId="1"/>
  </si>
  <si>
    <t>医師</t>
    <rPh sb="0" eb="2">
      <t>イシ</t>
    </rPh>
    <phoneticPr fontId="1"/>
  </si>
  <si>
    <t>看護師</t>
    <rPh sb="0" eb="3">
      <t>カンゴシ</t>
    </rPh>
    <phoneticPr fontId="1"/>
  </si>
  <si>
    <t>マスク
（その他）</t>
    <rPh sb="7" eb="8">
      <t>タ</t>
    </rPh>
    <phoneticPr fontId="1"/>
  </si>
  <si>
    <t>マスク
（ハイラック）</t>
    <phoneticPr fontId="1"/>
  </si>
  <si>
    <t>ガウン</t>
    <phoneticPr fontId="1"/>
  </si>
  <si>
    <t>グローブ</t>
    <phoneticPr fontId="1"/>
  </si>
  <si>
    <t>使用数量</t>
    <rPh sb="0" eb="4">
      <t>シヨウスウリョウ</t>
    </rPh>
    <phoneticPr fontId="1"/>
  </si>
  <si>
    <t>品目</t>
    <rPh sb="0" eb="2">
      <t>ヒンモク</t>
    </rPh>
    <phoneticPr fontId="1"/>
  </si>
  <si>
    <t>ゴーグル
（リユーサブル）</t>
    <phoneticPr fontId="1"/>
  </si>
  <si>
    <t>ゴーグル
（レンズ交換型）</t>
    <rPh sb="9" eb="12">
      <t>コウカンガタ</t>
    </rPh>
    <phoneticPr fontId="1"/>
  </si>
  <si>
    <t>ゴーグル
（交換用レンズ）</t>
    <rPh sb="6" eb="8">
      <t>コウカン</t>
    </rPh>
    <rPh sb="8" eb="9">
      <t>ヨウ</t>
    </rPh>
    <phoneticPr fontId="1"/>
  </si>
  <si>
    <t>キャップ</t>
    <phoneticPr fontId="1"/>
  </si>
  <si>
    <t>フェイスシールド
（使い捨て一体型）</t>
    <rPh sb="10" eb="11">
      <t>ツカ</t>
    </rPh>
    <rPh sb="12" eb="13">
      <t>ス</t>
    </rPh>
    <rPh sb="14" eb="17">
      <t>イッタイガタ</t>
    </rPh>
    <phoneticPr fontId="1"/>
  </si>
  <si>
    <t>フェイスシールド
（フレーム）</t>
    <phoneticPr fontId="1"/>
  </si>
  <si>
    <t>フェイスシールド
（交換用シールド）</t>
    <rPh sb="10" eb="12">
      <t>コウカン</t>
    </rPh>
    <rPh sb="12" eb="13">
      <t>ヨウ</t>
    </rPh>
    <phoneticPr fontId="1"/>
  </si>
  <si>
    <t>フェイスシールド
（リユーサブル）</t>
    <phoneticPr fontId="1"/>
  </si>
  <si>
    <t>着脱使用の手順</t>
    <rPh sb="0" eb="2">
      <t>チャクダツ</t>
    </rPh>
    <rPh sb="2" eb="4">
      <t>シヨウ</t>
    </rPh>
    <rPh sb="5" eb="7">
      <t>テジュン</t>
    </rPh>
    <phoneticPr fontId="1"/>
  </si>
  <si>
    <t>判定</t>
    <rPh sb="0" eb="2">
      <t>ハンテイ</t>
    </rPh>
    <phoneticPr fontId="1"/>
  </si>
  <si>
    <t>【品目毎の着脱使用の頻度】（「判定」が要入力となっている欄に、１患者対応あたりどのタイミングで着脱し当該数量になるか記載してください。）</t>
    <rPh sb="1" eb="3">
      <t>ヒンモク</t>
    </rPh>
    <rPh sb="3" eb="4">
      <t>ゴト</t>
    </rPh>
    <rPh sb="5" eb="7">
      <t>チャクダツ</t>
    </rPh>
    <rPh sb="7" eb="9">
      <t>シヨウ</t>
    </rPh>
    <rPh sb="10" eb="12">
      <t>ヒンド</t>
    </rPh>
    <rPh sb="15" eb="17">
      <t>ハンテイ</t>
    </rPh>
    <rPh sb="19" eb="22">
      <t>ヨウニュウリョク</t>
    </rPh>
    <rPh sb="28" eb="29">
      <t>ラン</t>
    </rPh>
    <rPh sb="32" eb="34">
      <t>カンジャ</t>
    </rPh>
    <rPh sb="34" eb="36">
      <t>タイオウ</t>
    </rPh>
    <rPh sb="47" eb="49">
      <t>チャクダツ</t>
    </rPh>
    <rPh sb="50" eb="52">
      <t>トウガイ</t>
    </rPh>
    <rPh sb="52" eb="54">
      <t>スウリョウ</t>
    </rPh>
    <rPh sb="58" eb="60">
      <t>キサイ</t>
    </rPh>
    <phoneticPr fontId="1"/>
  </si>
  <si>
    <t>【品目毎の着脱使用の頻度】（「判定」が要入力となっている黄色の欄に、１患者対応あたりどのタイミングで着脱し当該数量になるか記載してください。）</t>
    <rPh sb="1" eb="3">
      <t>ヒンモク</t>
    </rPh>
    <rPh sb="3" eb="4">
      <t>ゴト</t>
    </rPh>
    <rPh sb="5" eb="7">
      <t>チャクダツ</t>
    </rPh>
    <rPh sb="7" eb="9">
      <t>シヨウ</t>
    </rPh>
    <rPh sb="10" eb="12">
      <t>ヒンド</t>
    </rPh>
    <rPh sb="15" eb="17">
      <t>ハンテイ</t>
    </rPh>
    <rPh sb="19" eb="22">
      <t>ヨウニュウリョク</t>
    </rPh>
    <rPh sb="28" eb="30">
      <t>キイロ</t>
    </rPh>
    <rPh sb="31" eb="32">
      <t>ラン</t>
    </rPh>
    <rPh sb="35" eb="37">
      <t>カンジャ</t>
    </rPh>
    <rPh sb="37" eb="39">
      <t>タイオウ</t>
    </rPh>
    <rPh sb="50" eb="52">
      <t>チャクダツ</t>
    </rPh>
    <rPh sb="53" eb="55">
      <t>トウガイ</t>
    </rPh>
    <rPh sb="55" eb="57">
      <t>スウリョウ</t>
    </rPh>
    <rPh sb="61" eb="63">
      <t>キサイ</t>
    </rPh>
    <phoneticPr fontId="1"/>
  </si>
  <si>
    <t>空気清浄機</t>
    <rPh sb="0" eb="5">
      <t>クウキセイジョウキ</t>
    </rPh>
    <phoneticPr fontId="1"/>
  </si>
  <si>
    <t>パーテーション</t>
    <phoneticPr fontId="1"/>
  </si>
  <si>
    <t>個人防護具</t>
    <rPh sb="0" eb="5">
      <t>コジンボウゴグ</t>
    </rPh>
    <phoneticPr fontId="1"/>
  </si>
  <si>
    <t>消毒及び清掃に係る費用</t>
    <rPh sb="0" eb="2">
      <t>ショウドク</t>
    </rPh>
    <rPh sb="2" eb="3">
      <t>オヨ</t>
    </rPh>
    <rPh sb="4" eb="6">
      <t>セイソウ</t>
    </rPh>
    <rPh sb="7" eb="8">
      <t>カカ</t>
    </rPh>
    <rPh sb="9" eb="11">
      <t>ヒヨウ</t>
    </rPh>
    <phoneticPr fontId="1"/>
  </si>
  <si>
    <t>簡易ベッド</t>
    <rPh sb="0" eb="2">
      <t>カンイ</t>
    </rPh>
    <phoneticPr fontId="1"/>
  </si>
  <si>
    <t>簡易診療室</t>
    <rPh sb="0" eb="5">
      <t>カンイシンリョウシツ</t>
    </rPh>
    <phoneticPr fontId="1"/>
  </si>
  <si>
    <t>月</t>
    <rPh sb="0" eb="1">
      <t>ガツ</t>
    </rPh>
    <phoneticPr fontId="1"/>
  </si>
  <si>
    <t>日</t>
    <rPh sb="0" eb="1">
      <t>ニチ</t>
    </rPh>
    <phoneticPr fontId="1"/>
  </si>
  <si>
    <t>令和</t>
    <rPh sb="0" eb="2">
      <t>レイワ</t>
    </rPh>
    <phoneticPr fontId="1"/>
  </si>
  <si>
    <t>納品日情報等</t>
    <rPh sb="0" eb="3">
      <t>ノウヒンビ</t>
    </rPh>
    <rPh sb="3" eb="5">
      <t>ジョウホウ</t>
    </rPh>
    <rPh sb="5" eb="6">
      <t>トウ</t>
    </rPh>
    <phoneticPr fontId="1"/>
  </si>
  <si>
    <t>基礎情報</t>
    <rPh sb="0" eb="2">
      <t>キソ</t>
    </rPh>
    <rPh sb="2" eb="4">
      <t>ジョウホウ</t>
    </rPh>
    <phoneticPr fontId="1"/>
  </si>
  <si>
    <t>共通必須</t>
    <rPh sb="0" eb="2">
      <t>キョウツウ</t>
    </rPh>
    <rPh sb="2" eb="4">
      <t>ヒッス</t>
    </rPh>
    <phoneticPr fontId="1"/>
  </si>
  <si>
    <t>個人防護具のみ</t>
    <rPh sb="0" eb="2">
      <t>コジン</t>
    </rPh>
    <rPh sb="2" eb="4">
      <t>ボウゴ</t>
    </rPh>
    <rPh sb="4" eb="5">
      <t>グ</t>
    </rPh>
    <phoneticPr fontId="1"/>
  </si>
  <si>
    <t>１．診察情報</t>
    <rPh sb="2" eb="4">
      <t>シンサツ</t>
    </rPh>
    <rPh sb="4" eb="6">
      <t>ジョウホウ</t>
    </rPh>
    <phoneticPr fontId="1"/>
  </si>
  <si>
    <t>２．職員情報</t>
    <rPh sb="2" eb="4">
      <t>ショクイン</t>
    </rPh>
    <rPh sb="4" eb="6">
      <t>ジョウホウ</t>
    </rPh>
    <phoneticPr fontId="1"/>
  </si>
  <si>
    <t>３．配置情報</t>
    <rPh sb="2" eb="4">
      <t>ハイチ</t>
    </rPh>
    <rPh sb="4" eb="6">
      <t>ジョウホウ</t>
    </rPh>
    <phoneticPr fontId="1"/>
  </si>
  <si>
    <t>４．防護具使用情報</t>
    <rPh sb="2" eb="4">
      <t>ボウゴ</t>
    </rPh>
    <rPh sb="4" eb="5">
      <t>グ</t>
    </rPh>
    <rPh sb="5" eb="7">
      <t>シヨウ</t>
    </rPh>
    <rPh sb="7" eb="9">
      <t>ジョウホウ</t>
    </rPh>
    <phoneticPr fontId="1"/>
  </si>
  <si>
    <t>個人防護具以外（空気清浄機、パーテーション、簡易ベッド、消毒清掃経費、簡易診療室のいずれのみ申請であっても入力必須です。）</t>
    <rPh sb="0" eb="2">
      <t>コジン</t>
    </rPh>
    <rPh sb="2" eb="4">
      <t>ボウゴ</t>
    </rPh>
    <rPh sb="4" eb="5">
      <t>グ</t>
    </rPh>
    <rPh sb="5" eb="7">
      <t>イガイ</t>
    </rPh>
    <rPh sb="8" eb="13">
      <t>クウキセイジョウキ</t>
    </rPh>
    <rPh sb="22" eb="24">
      <t>カンイ</t>
    </rPh>
    <rPh sb="28" eb="30">
      <t>ショウドク</t>
    </rPh>
    <rPh sb="30" eb="32">
      <t>セイソウ</t>
    </rPh>
    <rPh sb="32" eb="34">
      <t>ケイヒ</t>
    </rPh>
    <rPh sb="35" eb="37">
      <t>カンイ</t>
    </rPh>
    <rPh sb="37" eb="40">
      <t>シンリョウシツ</t>
    </rPh>
    <rPh sb="46" eb="48">
      <t>シンセイ</t>
    </rPh>
    <rPh sb="53" eb="55">
      <t>ニュウリョク</t>
    </rPh>
    <rPh sb="55" eb="57">
      <t>ヒッス</t>
    </rPh>
    <phoneticPr fontId="1"/>
  </si>
  <si>
    <t>日</t>
    <rPh sb="0" eb="1">
      <t>ニチ</t>
    </rPh>
    <phoneticPr fontId="1"/>
  </si>
  <si>
    <t>年　　　月　　　日</t>
    <rPh sb="0" eb="1">
      <t>ネン</t>
    </rPh>
    <rPh sb="4" eb="5">
      <t>ツキ</t>
    </rPh>
    <rPh sb="8" eb="9">
      <t>ヒ</t>
    </rPh>
    <phoneticPr fontId="1"/>
  </si>
  <si>
    <t>○</t>
    <phoneticPr fontId="1"/>
  </si>
  <si>
    <t>入力シートが適切に入力されると自動で表示されます。</t>
    <rPh sb="0" eb="2">
      <t>ニュウリョク</t>
    </rPh>
    <rPh sb="6" eb="8">
      <t>テキセツ</t>
    </rPh>
    <rPh sb="9" eb="11">
      <t>ニュウリョク</t>
    </rPh>
    <rPh sb="15" eb="17">
      <t>ジドウ</t>
    </rPh>
    <rPh sb="18" eb="20">
      <t>ヒョウジ</t>
    </rPh>
    <phoneticPr fontId="1"/>
  </si>
  <si>
    <t>－</t>
    <phoneticPr fontId="1"/>
  </si>
  <si>
    <t>個人防護具の申請においては「3．患者１名の診療あたり対応人数及び品目毎の平均着脱使用枚数」に表示の各品目毎の使用数量を参照の上、
「個人防護具明細」シートに補助対象経費としての使用量を計上してください。（１箱単位で未使用分が生じることは可。ただしそれを超えるとみなされる数量を計上の場合は、県から理由を確認させていただいた上、必要の際には計上から除外いただきます。）</t>
    <rPh sb="0" eb="2">
      <t>コジン</t>
    </rPh>
    <rPh sb="2" eb="4">
      <t>ボウゴ</t>
    </rPh>
    <rPh sb="4" eb="5">
      <t>グ</t>
    </rPh>
    <rPh sb="6" eb="8">
      <t>シンセイ</t>
    </rPh>
    <rPh sb="46" eb="48">
      <t>ヒョウジ</t>
    </rPh>
    <rPh sb="49" eb="52">
      <t>カクヒンモク</t>
    </rPh>
    <rPh sb="52" eb="53">
      <t>ゴト</t>
    </rPh>
    <rPh sb="54" eb="58">
      <t>シヨウスウリョウ</t>
    </rPh>
    <rPh sb="59" eb="61">
      <t>サンショウ</t>
    </rPh>
    <rPh sb="62" eb="63">
      <t>ウエ</t>
    </rPh>
    <rPh sb="66" eb="71">
      <t>コジンボウゴグ</t>
    </rPh>
    <rPh sb="71" eb="73">
      <t>メイサイ</t>
    </rPh>
    <rPh sb="78" eb="84">
      <t>ホジョタイショウケイヒ</t>
    </rPh>
    <rPh sb="88" eb="91">
      <t>シヨウリョウ</t>
    </rPh>
    <rPh sb="92" eb="94">
      <t>ケイジョウ</t>
    </rPh>
    <rPh sb="103" eb="104">
      <t>ハコ</t>
    </rPh>
    <rPh sb="104" eb="106">
      <t>タンイ</t>
    </rPh>
    <rPh sb="107" eb="111">
      <t>ミシヨウブン</t>
    </rPh>
    <rPh sb="112" eb="113">
      <t>ショウ</t>
    </rPh>
    <rPh sb="118" eb="119">
      <t>カ</t>
    </rPh>
    <rPh sb="126" eb="127">
      <t>コ</t>
    </rPh>
    <rPh sb="138" eb="140">
      <t>ケイジョウ</t>
    </rPh>
    <rPh sb="141" eb="143">
      <t>バアイ</t>
    </rPh>
    <rPh sb="145" eb="146">
      <t>ケン</t>
    </rPh>
    <rPh sb="148" eb="150">
      <t>リユウ</t>
    </rPh>
    <rPh sb="151" eb="153">
      <t>カクニン</t>
    </rPh>
    <rPh sb="161" eb="162">
      <t>ウエ</t>
    </rPh>
    <rPh sb="163" eb="165">
      <t>ヒツヨウ</t>
    </rPh>
    <phoneticPr fontId="1"/>
  </si>
  <si>
    <t>例）山田太郎</t>
    <rPh sb="0" eb="1">
      <t>レイ</t>
    </rPh>
    <rPh sb="2" eb="4">
      <t>ヤマダ</t>
    </rPh>
    <rPh sb="4" eb="6">
      <t>タロウ</t>
    </rPh>
    <phoneticPr fontId="1"/>
  </si>
  <si>
    <t>例）田中花子</t>
    <rPh sb="0" eb="1">
      <t>レイ</t>
    </rPh>
    <rPh sb="2" eb="4">
      <t>タナカ</t>
    </rPh>
    <rPh sb="4" eb="6">
      <t>ハナコ</t>
    </rPh>
    <phoneticPr fontId="1"/>
  </si>
  <si>
    <t>○「内、咳症状等を有する患者数」には、上段の外来患者数の内、エアロゾル排出リスクが高い患者（咳嗽がある．喀痰吸引や口腔ケアを実施するなど）
　の人数を入力してください。）　（必要と認める際にはカルテ等の写しをご提出いただきます。）</t>
    <rPh sb="19" eb="21">
      <t>ジョウダン</t>
    </rPh>
    <rPh sb="22" eb="24">
      <t>ガイライ</t>
    </rPh>
    <rPh sb="24" eb="26">
      <t>カンジャ</t>
    </rPh>
    <rPh sb="26" eb="27">
      <t>スウ</t>
    </rPh>
    <rPh sb="28" eb="29">
      <t>ウチ</t>
    </rPh>
    <rPh sb="35" eb="37">
      <t>ハイシュツ</t>
    </rPh>
    <rPh sb="41" eb="42">
      <t>タカ</t>
    </rPh>
    <rPh sb="43" eb="45">
      <t>カンジャ</t>
    </rPh>
    <rPh sb="72" eb="74">
      <t>ニンズウ</t>
    </rPh>
    <rPh sb="75" eb="77">
      <t>ニュウリョク</t>
    </rPh>
    <phoneticPr fontId="1"/>
  </si>
  <si>
    <t>○○　○○</t>
    <phoneticPr fontId="1"/>
  </si>
  <si>
    <t>マスク</t>
  </si>
  <si>
    <t>○○　○○</t>
    <phoneticPr fontId="1"/>
  </si>
  <si>
    <t>①</t>
    <phoneticPr fontId="1"/>
  </si>
  <si>
    <t>②</t>
    <phoneticPr fontId="1"/>
  </si>
  <si>
    <t>③</t>
    <phoneticPr fontId="1"/>
  </si>
  <si>
    <r>
      <t>診療時間</t>
    </r>
    <r>
      <rPr>
        <b/>
        <sz val="12"/>
        <color rgb="FFFF0000"/>
        <rFont val="游ゴシック"/>
        <family val="3"/>
        <charset val="128"/>
        <scheme val="minor"/>
      </rPr>
      <t>（左詰めで入力してください。）</t>
    </r>
    <rPh sb="0" eb="2">
      <t>シンリョウ</t>
    </rPh>
    <rPh sb="2" eb="4">
      <t>ジカン</t>
    </rPh>
    <rPh sb="5" eb="7">
      <t>ヒダリヅ</t>
    </rPh>
    <rPh sb="9" eb="11">
      <t>ニュウリョク</t>
    </rPh>
    <phoneticPr fontId="1"/>
  </si>
  <si>
    <r>
      <rPr>
        <b/>
        <sz val="14"/>
        <color rgb="FFFF0000"/>
        <rFont val="游ゴシック"/>
        <family val="3"/>
        <charset val="128"/>
        <scheme val="minor"/>
      </rPr>
      <t>発熱外来</t>
    </r>
    <r>
      <rPr>
        <b/>
        <sz val="14"/>
        <color theme="1"/>
        <rFont val="游ゴシック"/>
        <family val="3"/>
        <charset val="128"/>
        <scheme val="minor"/>
      </rPr>
      <t>勤務時間数計</t>
    </r>
    <rPh sb="0" eb="4">
      <t>ハツネツガイライ</t>
    </rPh>
    <rPh sb="4" eb="9">
      <t>キンムジカンスウ</t>
    </rPh>
    <rPh sb="9" eb="10">
      <t>ケイ</t>
    </rPh>
    <phoneticPr fontId="1"/>
  </si>
  <si>
    <r>
      <rPr>
        <b/>
        <sz val="14"/>
        <color rgb="FFFF0000"/>
        <rFont val="游ゴシック"/>
        <family val="3"/>
        <charset val="128"/>
        <scheme val="minor"/>
      </rPr>
      <t>発熱外来</t>
    </r>
    <r>
      <rPr>
        <b/>
        <sz val="14"/>
        <color theme="1"/>
        <rFont val="游ゴシック"/>
        <family val="3"/>
        <charset val="128"/>
        <scheme val="minor"/>
      </rPr>
      <t>勤務時間数計/月</t>
    </r>
    <rPh sb="0" eb="4">
      <t>ハツネツガイライ</t>
    </rPh>
    <rPh sb="4" eb="9">
      <t>キンムジカンスウ</t>
    </rPh>
    <rPh sb="9" eb="10">
      <t>ケイ</t>
    </rPh>
    <rPh sb="11" eb="12">
      <t>ツキ</t>
    </rPh>
    <phoneticPr fontId="1"/>
  </si>
  <si>
    <r>
      <rPr>
        <b/>
        <sz val="14"/>
        <color rgb="FFFF0000"/>
        <rFont val="游ゴシック"/>
        <family val="3"/>
        <charset val="128"/>
        <scheme val="minor"/>
      </rPr>
      <t>発熱外来</t>
    </r>
    <r>
      <rPr>
        <b/>
        <sz val="14"/>
        <color theme="1"/>
        <rFont val="游ゴシック"/>
        <family val="3"/>
        <charset val="128"/>
        <scheme val="minor"/>
      </rPr>
      <t>平均配置員数/日</t>
    </r>
    <rPh sb="0" eb="4">
      <t>ハツネツガイライ</t>
    </rPh>
    <rPh sb="4" eb="6">
      <t>ヘイキン</t>
    </rPh>
    <rPh sb="6" eb="8">
      <t>ハイチ</t>
    </rPh>
    <rPh sb="8" eb="10">
      <t>インスウ</t>
    </rPh>
    <rPh sb="11" eb="12">
      <t>ニチ</t>
    </rPh>
    <phoneticPr fontId="1"/>
  </si>
  <si>
    <t>個人防護具の申請を行う場合は入力が必要です。</t>
    <rPh sb="0" eb="2">
      <t>コジン</t>
    </rPh>
    <rPh sb="2" eb="4">
      <t>ボウゴ</t>
    </rPh>
    <rPh sb="4" eb="5">
      <t>グ</t>
    </rPh>
    <rPh sb="6" eb="8">
      <t>シンセイ</t>
    </rPh>
    <rPh sb="9" eb="10">
      <t>オコナ</t>
    </rPh>
    <rPh sb="11" eb="13">
      <t>バアイ</t>
    </rPh>
    <rPh sb="14" eb="16">
      <t>ニュウリョク</t>
    </rPh>
    <rPh sb="17" eb="19">
      <t>ヒツヨウ</t>
    </rPh>
    <phoneticPr fontId="1"/>
  </si>
  <si>
    <r>
      <t>○「コロナ疑い発熱外来患者数」には各日のコロナ疑い外来患者（結果陽性・陰性問わず）の</t>
    </r>
    <r>
      <rPr>
        <b/>
        <sz val="14"/>
        <color rgb="FFFF0000"/>
        <rFont val="游ゴシック"/>
        <family val="3"/>
        <charset val="128"/>
        <scheme val="minor"/>
      </rPr>
      <t>実績及び見込数</t>
    </r>
    <r>
      <rPr>
        <b/>
        <sz val="14"/>
        <color theme="1"/>
        <rFont val="游ゴシック"/>
        <family val="3"/>
        <charset val="128"/>
        <scheme val="minor"/>
      </rPr>
      <t>を入力してください。（０人の場合は０を入力）</t>
    </r>
    <rPh sb="17" eb="19">
      <t>カクジツ</t>
    </rPh>
    <rPh sb="23" eb="24">
      <t>ウタガ</t>
    </rPh>
    <rPh sb="25" eb="27">
      <t>ガイライ</t>
    </rPh>
    <rPh sb="27" eb="29">
      <t>カンジャ</t>
    </rPh>
    <rPh sb="30" eb="32">
      <t>ケッカ</t>
    </rPh>
    <rPh sb="32" eb="34">
      <t>ヨウセイ</t>
    </rPh>
    <rPh sb="35" eb="37">
      <t>インセイ</t>
    </rPh>
    <rPh sb="37" eb="38">
      <t>ト</t>
    </rPh>
    <rPh sb="42" eb="44">
      <t>ジッセキ</t>
    </rPh>
    <rPh sb="44" eb="45">
      <t>オヨ</t>
    </rPh>
    <rPh sb="46" eb="49">
      <t>ミコミスウ</t>
    </rPh>
    <rPh sb="50" eb="52">
      <t>ニュウリョク</t>
    </rPh>
    <rPh sb="61" eb="62">
      <t>ニン</t>
    </rPh>
    <rPh sb="63" eb="65">
      <t>バアイ</t>
    </rPh>
    <rPh sb="68" eb="70">
      <t>ニュウリョク</t>
    </rPh>
    <phoneticPr fontId="1"/>
  </si>
  <si>
    <r>
      <t>○「内、咳症状等を有する患者数」には、上段の外来患者数の内、エアロゾル排出リスクが高い患者（咳嗽がある．喀痰吸引や口腔ケアを実施するなど）
　の</t>
    </r>
    <r>
      <rPr>
        <b/>
        <sz val="14"/>
        <color rgb="FFFF0000"/>
        <rFont val="游ゴシック"/>
        <family val="3"/>
        <charset val="128"/>
        <scheme val="minor"/>
      </rPr>
      <t>実績及び見込数</t>
    </r>
    <r>
      <rPr>
        <b/>
        <sz val="14"/>
        <color theme="1"/>
        <rFont val="游ゴシック"/>
        <family val="3"/>
        <charset val="128"/>
        <scheme val="minor"/>
      </rPr>
      <t>を入力してください。）　（必要と認める際にはカルテ等の写しをご提出いただきます。）</t>
    </r>
    <rPh sb="19" eb="21">
      <t>ジョウダン</t>
    </rPh>
    <rPh sb="22" eb="24">
      <t>ガイライ</t>
    </rPh>
    <rPh sb="24" eb="26">
      <t>カンジャ</t>
    </rPh>
    <rPh sb="26" eb="27">
      <t>スウ</t>
    </rPh>
    <rPh sb="28" eb="29">
      <t>ウチ</t>
    </rPh>
    <rPh sb="35" eb="37">
      <t>ハイシュツ</t>
    </rPh>
    <rPh sb="41" eb="42">
      <t>タカ</t>
    </rPh>
    <rPh sb="43" eb="45">
      <t>カンジャ</t>
    </rPh>
    <rPh sb="72" eb="74">
      <t>ジッセキ</t>
    </rPh>
    <rPh sb="74" eb="75">
      <t>オヨ</t>
    </rPh>
    <rPh sb="76" eb="79">
      <t>ミコミスウ</t>
    </rPh>
    <rPh sb="80" eb="82">
      <t>ニュウリョク</t>
    </rPh>
    <phoneticPr fontId="1"/>
  </si>
  <si>
    <t>補助単価/ヶ</t>
    <rPh sb="0" eb="2">
      <t>ホジョ</t>
    </rPh>
    <rPh sb="2" eb="4">
      <t>タンカ</t>
    </rPh>
    <phoneticPr fontId="1"/>
  </si>
  <si>
    <t>ゴーグル</t>
  </si>
  <si>
    <t>←入力不要です。</t>
    <rPh sb="1" eb="3">
      <t>ニュウリョク</t>
    </rPh>
    <rPh sb="3" eb="5">
      <t>フヨウ</t>
    </rPh>
    <phoneticPr fontId="1"/>
  </si>
  <si>
    <t>リユーサブルゴーグル</t>
    <phoneticPr fontId="1"/>
  </si>
  <si>
    <t>リユーサブルシールド</t>
    <phoneticPr fontId="1"/>
  </si>
  <si>
    <t>ガウン</t>
  </si>
  <si>
    <t>グローブ</t>
  </si>
  <si>
    <t>キャップ</t>
  </si>
  <si>
    <t>フェイス
シールド</t>
  </si>
  <si>
    <t>○リユーサブル品の使用数を計上する場合、例えば約100名の応需使用の度に交換する際は0.01（=1÷100）と入力してください。</t>
    <rPh sb="7" eb="8">
      <t>ヒン</t>
    </rPh>
    <rPh sb="9" eb="12">
      <t>シヨウスウ</t>
    </rPh>
    <rPh sb="13" eb="15">
      <t>ケイジョウ</t>
    </rPh>
    <rPh sb="17" eb="19">
      <t>バアイ</t>
    </rPh>
    <rPh sb="20" eb="21">
      <t>タト</t>
    </rPh>
    <rPh sb="23" eb="24">
      <t>ヤク</t>
    </rPh>
    <rPh sb="27" eb="28">
      <t>メイ</t>
    </rPh>
    <rPh sb="29" eb="31">
      <t>オウジュ</t>
    </rPh>
    <rPh sb="31" eb="33">
      <t>シヨウ</t>
    </rPh>
    <rPh sb="34" eb="35">
      <t>タビ</t>
    </rPh>
    <rPh sb="36" eb="38">
      <t>コウカン</t>
    </rPh>
    <rPh sb="40" eb="41">
      <t>サイ</t>
    </rPh>
    <rPh sb="55" eb="57">
      <t>ニュウリョク</t>
    </rPh>
    <phoneticPr fontId="1"/>
  </si>
  <si>
    <t>発生経費：</t>
    <rPh sb="0" eb="2">
      <t>ハッセイ</t>
    </rPh>
    <rPh sb="2" eb="4">
      <t>ケイヒ</t>
    </rPh>
    <phoneticPr fontId="1"/>
  </si>
  <si>
    <t>番号</t>
    <rPh sb="0" eb="2">
      <t>バンゴウ</t>
    </rPh>
    <phoneticPr fontId="12"/>
  </si>
  <si>
    <t>疑い外来患者数</t>
    <rPh sb="0" eb="1">
      <t>ウタガ</t>
    </rPh>
    <rPh sb="2" eb="4">
      <t>ガイライ</t>
    </rPh>
    <rPh sb="4" eb="7">
      <t>カンジャスウ</t>
    </rPh>
    <phoneticPr fontId="1"/>
  </si>
  <si>
    <t>00</t>
    <phoneticPr fontId="1"/>
  </si>
  <si>
    <t>15</t>
    <phoneticPr fontId="1"/>
  </si>
  <si>
    <t>30</t>
    <phoneticPr fontId="1"/>
  </si>
  <si>
    <t>45</t>
    <phoneticPr fontId="1"/>
  </si>
  <si>
    <t>必要書類（発送前に有無を確認しチェックしてください。）</t>
    <rPh sb="0" eb="2">
      <t>ヒツヨウ</t>
    </rPh>
    <rPh sb="2" eb="4">
      <t>ショルイ</t>
    </rPh>
    <rPh sb="3" eb="4">
      <t>テンショ</t>
    </rPh>
    <rPh sb="5" eb="7">
      <t>ハッソウ</t>
    </rPh>
    <rPh sb="7" eb="8">
      <t>マエ</t>
    </rPh>
    <rPh sb="9" eb="11">
      <t>ウム</t>
    </rPh>
    <rPh sb="12" eb="14">
      <t>カクニン</t>
    </rPh>
    <phoneticPr fontId="1"/>
  </si>
  <si>
    <t xml:space="preserve">
本枠内に振込先口座の通帳の表紙見開きの写しを貼り付けしてください。
挙証資料（品目に係る見積書、カタログ等）とともに郵送してください。
（封筒余白に「コロナ外来設備補助金交付申請」と朱書すること。）
</t>
    <rPh sb="81" eb="85">
      <t>ガイライセツビ</t>
    </rPh>
    <phoneticPr fontId="12"/>
  </si>
  <si>
    <r>
      <t>○個人防護具に係り、</t>
    </r>
    <r>
      <rPr>
        <b/>
        <u/>
        <sz val="14"/>
        <color rgb="FFFF0000"/>
        <rFont val="游ゴシック"/>
        <family val="3"/>
        <charset val="128"/>
        <scheme val="minor"/>
      </rPr>
      <t>N95マスク及びハイラックマスク</t>
    </r>
    <r>
      <rPr>
        <b/>
        <sz val="14"/>
        <color theme="1"/>
        <rFont val="游ゴシック"/>
        <family val="3"/>
        <charset val="128"/>
        <scheme val="minor"/>
      </rPr>
      <t>については、国が示す防護具着用の目安に基づき、</t>
    </r>
    <r>
      <rPr>
        <b/>
        <u/>
        <sz val="14"/>
        <color rgb="FFFF0000"/>
        <rFont val="游ゴシック"/>
        <family val="3"/>
        <charset val="128"/>
        <scheme val="minor"/>
      </rPr>
      <t>エアロゾル排出リスクが高い患者の外来対応の際における着用分のみ当該品目の基準単価にて補助</t>
    </r>
    <r>
      <rPr>
        <b/>
        <sz val="14"/>
        <color theme="1"/>
        <rFont val="游ゴシック"/>
        <family val="3"/>
        <charset val="128"/>
        <scheme val="minor"/>
      </rPr>
      <t>とします。（必要と認める際にはカルテ等の写しをご提出いただきます。説明等のご対応をいただけない場合及び必要数を超えた数量計上の場合は「その他マスク」の補助基準単価を適用します。）</t>
    </r>
    <rPh sb="1" eb="6">
      <t>コジンボウゴグ</t>
    </rPh>
    <rPh sb="7" eb="8">
      <t>カカ</t>
    </rPh>
    <rPh sb="16" eb="17">
      <t>オヨ</t>
    </rPh>
    <rPh sb="32" eb="33">
      <t>クニ</t>
    </rPh>
    <rPh sb="34" eb="35">
      <t>シメ</t>
    </rPh>
    <rPh sb="36" eb="39">
      <t>ボウゴグ</t>
    </rPh>
    <rPh sb="39" eb="41">
      <t>チャクヨウ</t>
    </rPh>
    <rPh sb="42" eb="44">
      <t>メヤス</t>
    </rPh>
    <rPh sb="45" eb="46">
      <t>モト</t>
    </rPh>
    <rPh sb="62" eb="64">
      <t>カンジャ</t>
    </rPh>
    <rPh sb="65" eb="67">
      <t>ガイライ</t>
    </rPh>
    <rPh sb="67" eb="69">
      <t>タイオウ</t>
    </rPh>
    <rPh sb="70" eb="71">
      <t>サイ</t>
    </rPh>
    <rPh sb="75" eb="78">
      <t>チャクヨウブン</t>
    </rPh>
    <rPh sb="80" eb="82">
      <t>トウガイ</t>
    </rPh>
    <rPh sb="82" eb="84">
      <t>ヒンモク</t>
    </rPh>
    <rPh sb="85" eb="89">
      <t>キジュンタンカ</t>
    </rPh>
    <rPh sb="99" eb="101">
      <t>ヒツヨウ</t>
    </rPh>
    <rPh sb="102" eb="103">
      <t>ミト</t>
    </rPh>
    <rPh sb="105" eb="106">
      <t>サイ</t>
    </rPh>
    <rPh sb="111" eb="112">
      <t>トウ</t>
    </rPh>
    <rPh sb="113" eb="114">
      <t>ウツ</t>
    </rPh>
    <rPh sb="117" eb="119">
      <t>テイシュツ</t>
    </rPh>
    <rPh sb="126" eb="128">
      <t>セツメイ</t>
    </rPh>
    <rPh sb="128" eb="129">
      <t>トウ</t>
    </rPh>
    <rPh sb="131" eb="133">
      <t>タイオウ</t>
    </rPh>
    <rPh sb="140" eb="142">
      <t>バアイ</t>
    </rPh>
    <rPh sb="142" eb="143">
      <t>オヨ</t>
    </rPh>
    <rPh sb="144" eb="147">
      <t>ヒツヨウスウ</t>
    </rPh>
    <rPh sb="148" eb="149">
      <t>コ</t>
    </rPh>
    <rPh sb="151" eb="153">
      <t>スウリョウ</t>
    </rPh>
    <rPh sb="153" eb="155">
      <t>ケイジョウ</t>
    </rPh>
    <rPh sb="156" eb="158">
      <t>バアイ</t>
    </rPh>
    <rPh sb="162" eb="163">
      <t>タ</t>
    </rPh>
    <rPh sb="168" eb="174">
      <t>ホジョキジュンタンカ</t>
    </rPh>
    <rPh sb="175" eb="177">
      <t>テキヨウ</t>
    </rPh>
    <phoneticPr fontId="1"/>
  </si>
  <si>
    <r>
      <rPr>
        <b/>
        <sz val="14"/>
        <color rgb="FFFF0000"/>
        <rFont val="游ゴシック"/>
        <family val="3"/>
        <charset val="128"/>
        <scheme val="minor"/>
      </rPr>
      <t>発熱外来</t>
    </r>
    <r>
      <rPr>
        <b/>
        <sz val="14"/>
        <color theme="1"/>
        <rFont val="游ゴシック"/>
        <family val="3"/>
        <charset val="128"/>
        <scheme val="minor"/>
      </rPr>
      <t>勤務時間数計</t>
    </r>
    <rPh sb="0" eb="2">
      <t>ハツネツ</t>
    </rPh>
    <rPh sb="2" eb="4">
      <t>ガイライ</t>
    </rPh>
    <rPh sb="4" eb="6">
      <t>キンム</t>
    </rPh>
    <rPh sb="6" eb="9">
      <t>ジカンスウ</t>
    </rPh>
    <rPh sb="9" eb="10">
      <t>ケイ</t>
    </rPh>
    <phoneticPr fontId="1"/>
  </si>
  <si>
    <t>発熱外来勤務時間数計</t>
    <rPh sb="0" eb="2">
      <t>ハツネツ</t>
    </rPh>
    <rPh sb="2" eb="4">
      <t>ガイライ</t>
    </rPh>
    <rPh sb="4" eb="6">
      <t>キンム</t>
    </rPh>
    <rPh sb="6" eb="9">
      <t>ジカンスウ</t>
    </rPh>
    <rPh sb="9" eb="10">
      <t>ケイ</t>
    </rPh>
    <phoneticPr fontId="1"/>
  </si>
  <si>
    <t>（参考書式）</t>
    <rPh sb="1" eb="5">
      <t>サンコウショシキ</t>
    </rPh>
    <phoneticPr fontId="12"/>
  </si>
  <si>
    <t>職種</t>
    <rPh sb="0" eb="2">
      <t>ショクシュ</t>
    </rPh>
    <phoneticPr fontId="12"/>
  </si>
  <si>
    <t>雇用契約書（労働条件通知書）情報</t>
    <rPh sb="0" eb="5">
      <t>コヨウケイヤクショ</t>
    </rPh>
    <rPh sb="6" eb="10">
      <t>ロウドウジョウケン</t>
    </rPh>
    <rPh sb="10" eb="13">
      <t>ツウチショ</t>
    </rPh>
    <rPh sb="14" eb="16">
      <t>ジョウホウ</t>
    </rPh>
    <phoneticPr fontId="12"/>
  </si>
  <si>
    <t>平均時給額</t>
    <rPh sb="0" eb="2">
      <t>ヘイキン</t>
    </rPh>
    <rPh sb="2" eb="5">
      <t>ジキュウガク</t>
    </rPh>
    <phoneticPr fontId="12"/>
  </si>
  <si>
    <t>判定</t>
    <rPh sb="0" eb="2">
      <t>ハンテイ</t>
    </rPh>
    <phoneticPr fontId="12"/>
  </si>
  <si>
    <t>コメント</t>
    <phoneticPr fontId="12"/>
  </si>
  <si>
    <t>月例給の場合</t>
    <rPh sb="0" eb="2">
      <t>ゲツレイ</t>
    </rPh>
    <rPh sb="2" eb="3">
      <t>キュウ</t>
    </rPh>
    <rPh sb="4" eb="6">
      <t>バアイ</t>
    </rPh>
    <phoneticPr fontId="12"/>
  </si>
  <si>
    <t>時給雇用の場合</t>
    <rPh sb="0" eb="2">
      <t>ジキュウ</t>
    </rPh>
    <rPh sb="2" eb="4">
      <t>コヨウ</t>
    </rPh>
    <rPh sb="5" eb="7">
      <t>バアイ</t>
    </rPh>
    <phoneticPr fontId="12"/>
  </si>
  <si>
    <t>給与月額</t>
    <rPh sb="0" eb="2">
      <t>キュウヨ</t>
    </rPh>
    <rPh sb="2" eb="4">
      <t>ゲツガク</t>
    </rPh>
    <phoneticPr fontId="12"/>
  </si>
  <si>
    <t>労働時間/月</t>
    <rPh sb="0" eb="2">
      <t>ロウドウ</t>
    </rPh>
    <rPh sb="2" eb="4">
      <t>ジカン</t>
    </rPh>
    <rPh sb="5" eb="6">
      <t>ツキ</t>
    </rPh>
    <phoneticPr fontId="12"/>
  </si>
  <si>
    <t>時給換算額</t>
    <rPh sb="0" eb="2">
      <t>ジキュウ</t>
    </rPh>
    <rPh sb="2" eb="4">
      <t>カンサン</t>
    </rPh>
    <rPh sb="4" eb="5">
      <t>ガク</t>
    </rPh>
    <phoneticPr fontId="12"/>
  </si>
  <si>
    <t>時給額</t>
    <rPh sb="0" eb="3">
      <t>ジキュウガク</t>
    </rPh>
    <phoneticPr fontId="12"/>
  </si>
  <si>
    <t>職員１</t>
    <rPh sb="0" eb="2">
      <t>ショクイン</t>
    </rPh>
    <phoneticPr fontId="12"/>
  </si>
  <si>
    <t>職員２</t>
    <rPh sb="0" eb="2">
      <t>ショクイン</t>
    </rPh>
    <phoneticPr fontId="12"/>
  </si>
  <si>
    <t>職員３</t>
    <rPh sb="0" eb="2">
      <t>ショクイン</t>
    </rPh>
    <phoneticPr fontId="12"/>
  </si>
  <si>
    <t>職員４</t>
    <rPh sb="0" eb="2">
      <t>ショクイン</t>
    </rPh>
    <phoneticPr fontId="12"/>
  </si>
  <si>
    <t>職員５</t>
    <rPh sb="0" eb="2">
      <t>ショクイン</t>
    </rPh>
    <phoneticPr fontId="12"/>
  </si>
  <si>
    <t>職員６</t>
    <rPh sb="0" eb="2">
      <t>ショクイン</t>
    </rPh>
    <phoneticPr fontId="12"/>
  </si>
  <si>
    <t>職員７</t>
    <rPh sb="0" eb="2">
      <t>ショクイン</t>
    </rPh>
    <phoneticPr fontId="12"/>
  </si>
  <si>
    <t>職員８</t>
    <rPh sb="0" eb="2">
      <t>ショクイン</t>
    </rPh>
    <phoneticPr fontId="12"/>
  </si>
  <si>
    <t>職員９</t>
    <rPh sb="0" eb="2">
      <t>ショクイン</t>
    </rPh>
    <phoneticPr fontId="12"/>
  </si>
  <si>
    <t>職員１０</t>
    <rPh sb="0" eb="2">
      <t>ショクイン</t>
    </rPh>
    <phoneticPr fontId="12"/>
  </si>
  <si>
    <t>（分単位で入力してください。）</t>
    <rPh sb="1" eb="4">
      <t>フンタンイ</t>
    </rPh>
    <rPh sb="5" eb="7">
      <t>ニュウリョク</t>
    </rPh>
    <phoneticPr fontId="12"/>
  </si>
  <si>
    <t>所要時間/回</t>
    <rPh sb="0" eb="4">
      <t>ショヨウジカン</t>
    </rPh>
    <rPh sb="5" eb="6">
      <t>カイ</t>
    </rPh>
    <phoneticPr fontId="12"/>
  </si>
  <si>
    <t>作業回数</t>
    <rPh sb="0" eb="4">
      <t>サギョウカイスウ</t>
    </rPh>
    <phoneticPr fontId="12"/>
  </si>
  <si>
    <t>×</t>
    <phoneticPr fontId="12"/>
  </si>
  <si>
    <t>÷</t>
    <phoneticPr fontId="12"/>
  </si>
  <si>
    <t>＝</t>
    <phoneticPr fontId="12"/>
  </si>
  <si>
    <t>基礎情報</t>
    <rPh sb="0" eb="4">
      <t>キソジョウホウ</t>
    </rPh>
    <phoneticPr fontId="12"/>
  </si>
  <si>
    <t>その他</t>
    <rPh sb="2" eb="3">
      <t>タ</t>
    </rPh>
    <phoneticPr fontId="12"/>
  </si>
  <si>
    <t>年</t>
    <rPh sb="0" eb="1">
      <t>ネン</t>
    </rPh>
    <phoneticPr fontId="1"/>
  </si>
  <si>
    <t>月</t>
    <rPh sb="0" eb="1">
      <t>ツキ</t>
    </rPh>
    <phoneticPr fontId="1"/>
  </si>
  <si>
    <t>日</t>
    <rPh sb="0" eb="1">
      <t>ヒ</t>
    </rPh>
    <phoneticPr fontId="1"/>
  </si>
  <si>
    <t>リユーサブルゴーグル</t>
  </si>
  <si>
    <t>リユーサブルシールド</t>
  </si>
  <si>
    <t>残余</t>
    <rPh sb="0" eb="2">
      <t>ザンヨ</t>
    </rPh>
    <phoneticPr fontId="1"/>
  </si>
  <si>
    <t>平均患者数</t>
    <rPh sb="0" eb="2">
      <t>ヘイキン</t>
    </rPh>
    <rPh sb="2" eb="5">
      <t>カンジャスウ</t>
    </rPh>
    <phoneticPr fontId="1"/>
  </si>
  <si>
    <t>患者1人</t>
    <rPh sb="0" eb="2">
      <t>カンジャ</t>
    </rPh>
    <rPh sb="3" eb="4">
      <t>ニン</t>
    </rPh>
    <phoneticPr fontId="1"/>
  </si>
  <si>
    <t>N95マスク・ハイラックマスク</t>
    <phoneticPr fontId="1"/>
  </si>
  <si>
    <t>物資配布</t>
    <rPh sb="0" eb="4">
      <t>ブッシハイフ</t>
    </rPh>
    <phoneticPr fontId="1"/>
  </si>
  <si>
    <t>購入分</t>
    <rPh sb="0" eb="2">
      <t>コウニュウ</t>
    </rPh>
    <rPh sb="2" eb="3">
      <t>ブン</t>
    </rPh>
    <phoneticPr fontId="1"/>
  </si>
  <si>
    <t>使用数計</t>
    <rPh sb="0" eb="3">
      <t>シヨウスウ</t>
    </rPh>
    <rPh sb="3" eb="4">
      <t>ケイ</t>
    </rPh>
    <phoneticPr fontId="1"/>
  </si>
  <si>
    <t>ペーパータオル</t>
    <phoneticPr fontId="1"/>
  </si>
  <si>
    <t>ウェットティッシュ</t>
    <phoneticPr fontId="1"/>
  </si>
  <si>
    <t>→</t>
    <phoneticPr fontId="1"/>
  </si>
  <si>
    <t>消毒液（噴霧回数）</t>
    <rPh sb="0" eb="2">
      <t>ショウドク</t>
    </rPh>
    <rPh sb="2" eb="3">
      <t>エキ</t>
    </rPh>
    <rPh sb="4" eb="6">
      <t>フンム</t>
    </rPh>
    <rPh sb="6" eb="8">
      <t>カイスウ</t>
    </rPh>
    <phoneticPr fontId="1"/>
  </si>
  <si>
    <t>（１噴霧で3ml換算）</t>
    <rPh sb="2" eb="4">
      <t>フンム</t>
    </rPh>
    <rPh sb="8" eb="10">
      <t>カンサン</t>
    </rPh>
    <phoneticPr fontId="1"/>
  </si>
  <si>
    <t>消毒経費に係る所要額算定書</t>
    <rPh sb="0" eb="2">
      <t>ショウドク</t>
    </rPh>
    <rPh sb="2" eb="4">
      <t>ケイヒ</t>
    </rPh>
    <rPh sb="5" eb="6">
      <t>カカ</t>
    </rPh>
    <rPh sb="7" eb="10">
      <t>ショヨウガク</t>
    </rPh>
    <rPh sb="10" eb="12">
      <t>サンテイ</t>
    </rPh>
    <rPh sb="12" eb="13">
      <t>ショ</t>
    </rPh>
    <phoneticPr fontId="12"/>
  </si>
  <si>
    <t>○補助対象費目は賃金であることから、雇用契約を締結していない医療機関開設者等の情報は記載しないようにしてください。</t>
    <rPh sb="1" eb="5">
      <t>ホジョタイショウ</t>
    </rPh>
    <rPh sb="5" eb="7">
      <t>ヒモク</t>
    </rPh>
    <rPh sb="8" eb="10">
      <t>チンギン</t>
    </rPh>
    <rPh sb="18" eb="22">
      <t>コヨウケイヤク</t>
    </rPh>
    <rPh sb="23" eb="25">
      <t>テイケツ</t>
    </rPh>
    <rPh sb="30" eb="34">
      <t>イリョウキカン</t>
    </rPh>
    <rPh sb="34" eb="37">
      <t>カイセツシャ</t>
    </rPh>
    <rPh sb="37" eb="38">
      <t>トウ</t>
    </rPh>
    <rPh sb="39" eb="41">
      <t>ジョウホウ</t>
    </rPh>
    <rPh sb="42" eb="44">
      <t>キサイ</t>
    </rPh>
    <phoneticPr fontId="1"/>
  </si>
  <si>
    <t>消耗品（消毒液・希釈使用）</t>
    <rPh sb="0" eb="3">
      <t>ショウモウヒン</t>
    </rPh>
    <rPh sb="4" eb="7">
      <t>ショウドクエキ</t>
    </rPh>
    <rPh sb="8" eb="10">
      <t>キシャク</t>
    </rPh>
    <rPh sb="10" eb="12">
      <t>シヨウ</t>
    </rPh>
    <phoneticPr fontId="1"/>
  </si>
  <si>
    <t>消耗品（消毒液・希釈なし）</t>
    <rPh sb="0" eb="3">
      <t>ショウモウヒン</t>
    </rPh>
    <rPh sb="4" eb="7">
      <t>ショウドクエキ</t>
    </rPh>
    <rPh sb="8" eb="10">
      <t>キシャク</t>
    </rPh>
    <phoneticPr fontId="1"/>
  </si>
  <si>
    <t>消耗品（ペーパータオル）</t>
    <rPh sb="0" eb="3">
      <t>ショウモウヒン</t>
    </rPh>
    <phoneticPr fontId="1"/>
  </si>
  <si>
    <t>消耗品（ウェットティッシュ）</t>
    <rPh sb="0" eb="3">
      <t>ショウモウヒン</t>
    </rPh>
    <phoneticPr fontId="1"/>
  </si>
  <si>
    <t>備品</t>
    <rPh sb="0" eb="2">
      <t>ビヒン</t>
    </rPh>
    <phoneticPr fontId="1"/>
  </si>
  <si>
    <t>人件費</t>
    <rPh sb="0" eb="3">
      <t>ジンケンヒ</t>
    </rPh>
    <phoneticPr fontId="1"/>
  </si>
  <si>
    <t>委託料</t>
    <rPh sb="0" eb="3">
      <t>イタクリョウ</t>
    </rPh>
    <phoneticPr fontId="1"/>
  </si>
  <si>
    <t>年</t>
    <rPh sb="0" eb="1">
      <t>ネン</t>
    </rPh>
    <phoneticPr fontId="1"/>
  </si>
  <si>
    <t>月</t>
    <rPh sb="0" eb="1">
      <t>ツキ</t>
    </rPh>
    <phoneticPr fontId="1"/>
  </si>
  <si>
    <t>日</t>
    <rPh sb="0" eb="1">
      <t>ヒ</t>
    </rPh>
    <phoneticPr fontId="1"/>
  </si>
  <si>
    <t>内容量</t>
    <rPh sb="0" eb="3">
      <t>ナイヨウリョウ</t>
    </rPh>
    <phoneticPr fontId="1"/>
  </si>
  <si>
    <t>希釈倍率</t>
    <rPh sb="0" eb="2">
      <t>キシャク</t>
    </rPh>
    <rPh sb="2" eb="4">
      <t>バイリツ</t>
    </rPh>
    <phoneticPr fontId="1"/>
  </si>
  <si>
    <t>消耗品（その他）</t>
    <rPh sb="0" eb="3">
      <t>ショウモウヒン</t>
    </rPh>
    <rPh sb="6" eb="7">
      <t>タ</t>
    </rPh>
    <phoneticPr fontId="1"/>
  </si>
  <si>
    <t>補助対象外</t>
    <rPh sb="0" eb="5">
      <t>ホジョタイショウガイ</t>
    </rPh>
    <phoneticPr fontId="1"/>
  </si>
  <si>
    <t>消耗品（消毒液・手指消毒）</t>
    <rPh sb="0" eb="3">
      <t>ショウモウヒン</t>
    </rPh>
    <rPh sb="4" eb="7">
      <t>ショウドクエキ</t>
    </rPh>
    <rPh sb="8" eb="12">
      <t>シュシショウドク</t>
    </rPh>
    <phoneticPr fontId="1"/>
  </si>
  <si>
    <t>消耗品（ペーパータオル）</t>
    <phoneticPr fontId="1"/>
  </si>
  <si>
    <t>消耗品（ウェットティッシュ）</t>
    <phoneticPr fontId="1"/>
  </si>
  <si>
    <t>消耗品（消毒液）</t>
    <phoneticPr fontId="1"/>
  </si>
  <si>
    <t>消耗品（消毒液）</t>
    <rPh sb="0" eb="3">
      <t>ショウモウヒン</t>
    </rPh>
    <rPh sb="4" eb="6">
      <t>ショウドク</t>
    </rPh>
    <rPh sb="6" eb="7">
      <t>エキ</t>
    </rPh>
    <phoneticPr fontId="1"/>
  </si>
  <si>
    <t>２段目：前日までの購入在庫数量から前日の購入在庫からの使用量を差引、当日の納入数量を合計した数</t>
    <rPh sb="1" eb="3">
      <t>ダンメ</t>
    </rPh>
    <rPh sb="4" eb="6">
      <t>ゼンジツ</t>
    </rPh>
    <rPh sb="9" eb="11">
      <t>コウニュウ</t>
    </rPh>
    <rPh sb="11" eb="13">
      <t>ザイコ</t>
    </rPh>
    <rPh sb="13" eb="15">
      <t>スウリョウ</t>
    </rPh>
    <rPh sb="17" eb="19">
      <t>ゼンジツ</t>
    </rPh>
    <rPh sb="20" eb="24">
      <t>コウニュウザイコ</t>
    </rPh>
    <rPh sb="27" eb="30">
      <t>シヨウリョウ</t>
    </rPh>
    <rPh sb="31" eb="33">
      <t>サシヒキ</t>
    </rPh>
    <rPh sb="34" eb="36">
      <t>トウジツ</t>
    </rPh>
    <rPh sb="37" eb="39">
      <t>ノウニュウ</t>
    </rPh>
    <rPh sb="39" eb="41">
      <t>スウリョウ</t>
    </rPh>
    <rPh sb="42" eb="44">
      <t>ゴウケイ</t>
    </rPh>
    <rPh sb="46" eb="47">
      <t>スウ</t>
    </rPh>
    <phoneticPr fontId="1"/>
  </si>
  <si>
    <t>３段目：前日までの国の物資配布による在庫数量から前日の物資配布分からの使用量を差し引いた値</t>
    <rPh sb="1" eb="3">
      <t>ダンメ</t>
    </rPh>
    <rPh sb="4" eb="6">
      <t>ゼンジツ</t>
    </rPh>
    <rPh sb="9" eb="10">
      <t>クニ</t>
    </rPh>
    <rPh sb="11" eb="15">
      <t>ブッシハイフ</t>
    </rPh>
    <rPh sb="18" eb="20">
      <t>ザイコ</t>
    </rPh>
    <rPh sb="20" eb="22">
      <t>スウリョウ</t>
    </rPh>
    <rPh sb="24" eb="26">
      <t>ゼンジツ</t>
    </rPh>
    <rPh sb="27" eb="32">
      <t>ブッシハイフブン</t>
    </rPh>
    <rPh sb="35" eb="38">
      <t>シヨウリョウ</t>
    </rPh>
    <rPh sb="39" eb="40">
      <t>サ</t>
    </rPh>
    <rPh sb="41" eb="42">
      <t>ヒ</t>
    </rPh>
    <rPh sb="44" eb="45">
      <t>アタイ</t>
    </rPh>
    <phoneticPr fontId="1"/>
  </si>
  <si>
    <t>各品目の数値内訳は以下のとおり。</t>
    <rPh sb="0" eb="3">
      <t>カクヒンモク</t>
    </rPh>
    <rPh sb="4" eb="6">
      <t>スウチ</t>
    </rPh>
    <rPh sb="6" eb="8">
      <t>ウチワケ</t>
    </rPh>
    <rPh sb="9" eb="11">
      <t>イカ</t>
    </rPh>
    <phoneticPr fontId="1"/>
  </si>
  <si>
    <t>⑤</t>
    <phoneticPr fontId="1"/>
  </si>
  <si>
    <t>④</t>
    <phoneticPr fontId="1"/>
  </si>
  <si>
    <t>【補助要件等】</t>
    <rPh sb="1" eb="3">
      <t>ホジョ</t>
    </rPh>
    <rPh sb="3" eb="5">
      <t>ヨウケン</t>
    </rPh>
    <rPh sb="5" eb="6">
      <t>トウ</t>
    </rPh>
    <phoneticPr fontId="1"/>
  </si>
  <si>
    <t>（２）設置場所</t>
    <rPh sb="3" eb="5">
      <t>セッチ</t>
    </rPh>
    <rPh sb="5" eb="7">
      <t>バショ</t>
    </rPh>
    <phoneticPr fontId="1"/>
  </si>
  <si>
    <t>（３）経費内訳</t>
    <rPh sb="3" eb="5">
      <t>ケイヒ</t>
    </rPh>
    <rPh sb="5" eb="7">
      <t>ウチワケ</t>
    </rPh>
    <phoneticPr fontId="1"/>
  </si>
  <si>
    <t>年</t>
    <rPh sb="0" eb="1">
      <t>ネン</t>
    </rPh>
    <phoneticPr fontId="1"/>
  </si>
  <si>
    <t>月</t>
    <rPh sb="0" eb="1">
      <t>ガツ</t>
    </rPh>
    <phoneticPr fontId="1"/>
  </si>
  <si>
    <t>日</t>
    <rPh sb="0" eb="1">
      <t>ニチ</t>
    </rPh>
    <phoneticPr fontId="1"/>
  </si>
  <si>
    <t>令和</t>
    <rPh sb="0" eb="2">
      <t>レイワ</t>
    </rPh>
    <phoneticPr fontId="1"/>
  </si>
  <si>
    <t>（１）最終納品（予定）日　※実績報告の際は納品書に記載の日付を入力してください。</t>
    <rPh sb="3" eb="5">
      <t>サイシュウ</t>
    </rPh>
    <rPh sb="5" eb="7">
      <t>ノウヒン</t>
    </rPh>
    <rPh sb="8" eb="10">
      <t>ヨテイ</t>
    </rPh>
    <rPh sb="11" eb="12">
      <t>ビ</t>
    </rPh>
    <rPh sb="14" eb="16">
      <t>ジッセキ</t>
    </rPh>
    <rPh sb="16" eb="18">
      <t>ホウコク</t>
    </rPh>
    <rPh sb="19" eb="20">
      <t>サイ</t>
    </rPh>
    <rPh sb="21" eb="24">
      <t>ノウヒンショ</t>
    </rPh>
    <rPh sb="25" eb="27">
      <t>キサイ</t>
    </rPh>
    <rPh sb="28" eb="30">
      <t>ヒヅケ</t>
    </rPh>
    <rPh sb="31" eb="33">
      <t>ニュウリョク</t>
    </rPh>
    <phoneticPr fontId="1"/>
  </si>
  <si>
    <t>（１）納品（予定）日　※実績報告の際は納品書に記載の日付（複数台を整備の際は最も直近の日付）を入力してください。</t>
    <rPh sb="3" eb="5">
      <t>ノウヒン</t>
    </rPh>
    <rPh sb="6" eb="8">
      <t>ヨテイ</t>
    </rPh>
    <rPh sb="9" eb="10">
      <t>ビ</t>
    </rPh>
    <phoneticPr fontId="1"/>
  </si>
  <si>
    <t>日付</t>
    <rPh sb="0" eb="2">
      <t>ヒヅケ</t>
    </rPh>
    <phoneticPr fontId="1"/>
  </si>
  <si>
    <t>納入日</t>
    <rPh sb="0" eb="3">
      <t>ノウニュウビ</t>
    </rPh>
    <phoneticPr fontId="1"/>
  </si>
  <si>
    <t>年</t>
    <rPh sb="0" eb="1">
      <t>ネン</t>
    </rPh>
    <phoneticPr fontId="1"/>
  </si>
  <si>
    <t>月</t>
    <rPh sb="0" eb="1">
      <t>ツキ</t>
    </rPh>
    <phoneticPr fontId="1"/>
  </si>
  <si>
    <t>日</t>
    <rPh sb="0" eb="1">
      <t>ヒ</t>
    </rPh>
    <phoneticPr fontId="1"/>
  </si>
  <si>
    <t>総合</t>
    <rPh sb="0" eb="2">
      <t>ソウゴウ</t>
    </rPh>
    <phoneticPr fontId="1"/>
  </si>
  <si>
    <t>１．空気清浄機</t>
    <rPh sb="2" eb="7">
      <t>クウキセイジョウキ</t>
    </rPh>
    <phoneticPr fontId="1"/>
  </si>
  <si>
    <t>２．パーテーション</t>
    <phoneticPr fontId="1"/>
  </si>
  <si>
    <t>３．簡易ベッド</t>
    <rPh sb="2" eb="4">
      <t>カンイ</t>
    </rPh>
    <phoneticPr fontId="1"/>
  </si>
  <si>
    <t>② 本書（消毒経費情報）の入力</t>
    <rPh sb="2" eb="4">
      <t>ホンショ</t>
    </rPh>
    <rPh sb="5" eb="7">
      <t>ショウドク</t>
    </rPh>
    <rPh sb="7" eb="9">
      <t>ケイヒ</t>
    </rPh>
    <rPh sb="9" eb="11">
      <t>ジョウホウ</t>
    </rPh>
    <rPh sb="13" eb="15">
      <t>ニュウリョク</t>
    </rPh>
    <phoneticPr fontId="1"/>
  </si>
  <si>
    <t>③「消毒積算」シート（人件費関係）の入力</t>
    <rPh sb="2" eb="4">
      <t>ショウドク</t>
    </rPh>
    <rPh sb="4" eb="6">
      <t>セキサン</t>
    </rPh>
    <rPh sb="11" eb="16">
      <t>ジンケンヒカンケイ</t>
    </rPh>
    <rPh sb="18" eb="20">
      <t>ニュウリョク</t>
    </rPh>
    <phoneticPr fontId="1"/>
  </si>
  <si>
    <t>③「消毒積算」シート（消耗品関係）の入力</t>
    <rPh sb="2" eb="4">
      <t>ショウドク</t>
    </rPh>
    <rPh sb="4" eb="6">
      <t>セキサン</t>
    </rPh>
    <rPh sb="11" eb="14">
      <t>ショウモウヒン</t>
    </rPh>
    <rPh sb="14" eb="16">
      <t>カンケイ</t>
    </rPh>
    <rPh sb="18" eb="20">
      <t>ニュウリョク</t>
    </rPh>
    <phoneticPr fontId="1"/>
  </si>
  <si>
    <t>入力の過程で記載不十分の表示がされますが、適切に入力がされると表示は解消されます。</t>
    <phoneticPr fontId="1"/>
  </si>
  <si>
    <r>
      <t>○「金額（税込）」が、見積書等（納品書、請求書、領収書など）の記載金額と一致するようにし、表示の「添付資料番号」は資料中、該当の記述箇所に番号を付記すること。
○なお、</t>
    </r>
    <r>
      <rPr>
        <b/>
        <u/>
        <sz val="12"/>
        <color rgb="FFFF0000"/>
        <rFont val="游ゴシック"/>
        <family val="3"/>
        <charset val="128"/>
        <scheme val="minor"/>
      </rPr>
      <t>疑い患者の鑑別診断を行うことを目的とする発熱外来診療と直接の関係を有しない検査機器等</t>
    </r>
    <r>
      <rPr>
        <b/>
        <sz val="12"/>
        <color theme="1"/>
        <rFont val="游ゴシック"/>
        <family val="3"/>
        <charset val="128"/>
        <scheme val="minor"/>
      </rPr>
      <t>の経費及び、空気清浄機設置に簡易陰圧テントを含め</t>
    </r>
    <r>
      <rPr>
        <b/>
        <u/>
        <sz val="12"/>
        <color rgb="FFFF0000"/>
        <rFont val="游ゴシック"/>
        <family val="3"/>
        <charset val="128"/>
        <scheme val="minor"/>
      </rPr>
      <t>他の補助品目に分類されるもの</t>
    </r>
    <r>
      <rPr>
        <b/>
        <sz val="12"/>
        <color theme="1"/>
        <rFont val="游ゴシック"/>
        <family val="3"/>
        <charset val="128"/>
        <scheme val="minor"/>
      </rPr>
      <t>については計上しないようにしてください。（必要の際には県から確認させてもらい、真に必要と認める経費を除き補助対象外とする場合があります。
○また補正を要する際、交付決定までに当該所要の時間が生じることとなりますこと、併せて御理解願います。）</t>
    </r>
    <rPh sb="84" eb="85">
      <t>ウタガ</t>
    </rPh>
    <rPh sb="86" eb="88">
      <t>カンジャ</t>
    </rPh>
    <rPh sb="89" eb="93">
      <t>カンベツシンダン</t>
    </rPh>
    <rPh sb="94" eb="95">
      <t>オコナ</t>
    </rPh>
    <rPh sb="99" eb="101">
      <t>モクテキ</t>
    </rPh>
    <rPh sb="104" eb="106">
      <t>ハツネツ</t>
    </rPh>
    <rPh sb="106" eb="108">
      <t>ガイライ</t>
    </rPh>
    <rPh sb="108" eb="110">
      <t>シンリョウ</t>
    </rPh>
    <rPh sb="111" eb="113">
      <t>チョクセツ</t>
    </rPh>
    <rPh sb="114" eb="116">
      <t>カンケイ</t>
    </rPh>
    <rPh sb="117" eb="118">
      <t>ユウ</t>
    </rPh>
    <rPh sb="121" eb="125">
      <t>ケンサキキ</t>
    </rPh>
    <rPh sb="125" eb="126">
      <t>トウ</t>
    </rPh>
    <rPh sb="127" eb="129">
      <t>ケイヒ</t>
    </rPh>
    <rPh sb="129" eb="130">
      <t>オヨ</t>
    </rPh>
    <rPh sb="132" eb="134">
      <t>クウキ</t>
    </rPh>
    <rPh sb="134" eb="136">
      <t>セイジョウ</t>
    </rPh>
    <rPh sb="136" eb="137">
      <t>キ</t>
    </rPh>
    <rPh sb="137" eb="139">
      <t>セッチ</t>
    </rPh>
    <rPh sb="140" eb="142">
      <t>カンイ</t>
    </rPh>
    <rPh sb="142" eb="144">
      <t>インアツ</t>
    </rPh>
    <rPh sb="148" eb="149">
      <t>フク</t>
    </rPh>
    <rPh sb="150" eb="151">
      <t>タ</t>
    </rPh>
    <rPh sb="152" eb="154">
      <t>ホジョ</t>
    </rPh>
    <rPh sb="154" eb="156">
      <t>ヒンモク</t>
    </rPh>
    <rPh sb="157" eb="159">
      <t>ブンルイ</t>
    </rPh>
    <rPh sb="169" eb="171">
      <t>ケイジョウ</t>
    </rPh>
    <rPh sb="185" eb="187">
      <t>ヒツヨウ</t>
    </rPh>
    <rPh sb="188" eb="189">
      <t>サイ</t>
    </rPh>
    <rPh sb="191" eb="192">
      <t>ケン</t>
    </rPh>
    <rPh sb="194" eb="196">
      <t>カクニン</t>
    </rPh>
    <rPh sb="203" eb="204">
      <t>シン</t>
    </rPh>
    <rPh sb="205" eb="207">
      <t>ヒツヨウ</t>
    </rPh>
    <rPh sb="208" eb="209">
      <t>ミト</t>
    </rPh>
    <rPh sb="211" eb="213">
      <t>ケイヒ</t>
    </rPh>
    <rPh sb="214" eb="215">
      <t>ノゾ</t>
    </rPh>
    <rPh sb="216" eb="221">
      <t>ホジョタイショウガイ</t>
    </rPh>
    <rPh sb="224" eb="226">
      <t>バアイ</t>
    </rPh>
    <rPh sb="236" eb="238">
      <t>ホセイ</t>
    </rPh>
    <rPh sb="239" eb="240">
      <t>ヨウ</t>
    </rPh>
    <rPh sb="242" eb="243">
      <t>サイ</t>
    </rPh>
    <rPh sb="244" eb="246">
      <t>コウフ</t>
    </rPh>
    <rPh sb="246" eb="248">
      <t>ケッテイ</t>
    </rPh>
    <rPh sb="251" eb="253">
      <t>トウガイ</t>
    </rPh>
    <rPh sb="253" eb="255">
      <t>ショヨウ</t>
    </rPh>
    <rPh sb="256" eb="258">
      <t>ジカン</t>
    </rPh>
    <rPh sb="259" eb="260">
      <t>ショウ</t>
    </rPh>
    <rPh sb="272" eb="273">
      <t>アワ</t>
    </rPh>
    <rPh sb="275" eb="278">
      <t>ゴリカイ</t>
    </rPh>
    <rPh sb="278" eb="279">
      <t>ネガ</t>
    </rPh>
    <phoneticPr fontId="1"/>
  </si>
  <si>
    <t>（１）納品（予定）日　※実績報告の際は納品書に記載の日付（複数台を整備の際は最終の日付）を入力してください。</t>
    <rPh sb="3" eb="5">
      <t>ノウヒン</t>
    </rPh>
    <rPh sb="6" eb="8">
      <t>ヨテイ</t>
    </rPh>
    <rPh sb="9" eb="10">
      <t>ビ</t>
    </rPh>
    <rPh sb="29" eb="32">
      <t>フクスウダイ</t>
    </rPh>
    <rPh sb="33" eb="35">
      <t>セイビ</t>
    </rPh>
    <rPh sb="36" eb="37">
      <t>サイ</t>
    </rPh>
    <rPh sb="38" eb="40">
      <t>サイシュウ</t>
    </rPh>
    <rPh sb="41" eb="43">
      <t>ヒヅケ</t>
    </rPh>
    <phoneticPr fontId="1"/>
  </si>
  <si>
    <t>交付申請（２次）</t>
    <rPh sb="0" eb="2">
      <t>コウフ</t>
    </rPh>
    <rPh sb="2" eb="4">
      <t>シンセイ</t>
    </rPh>
    <rPh sb="6" eb="7">
      <t>ジ</t>
    </rPh>
    <phoneticPr fontId="1"/>
  </si>
  <si>
    <t>実績報告（１次）</t>
    <rPh sb="6" eb="7">
      <t>ジ</t>
    </rPh>
    <phoneticPr fontId="1"/>
  </si>
  <si>
    <t>交付申請兼実績報告（２次）</t>
    <rPh sb="0" eb="5">
      <t>コウフシンセイケン</t>
    </rPh>
    <rPh sb="5" eb="9">
      <t>ジッセキホウコク</t>
    </rPh>
    <rPh sb="11" eb="12">
      <t>ジ</t>
    </rPh>
    <phoneticPr fontId="1"/>
  </si>
  <si>
    <t>実績報告（２次）</t>
    <rPh sb="0" eb="2">
      <t>ジッセキ</t>
    </rPh>
    <rPh sb="2" eb="4">
      <t>ホウコク</t>
    </rPh>
    <rPh sb="6" eb="7">
      <t>ジ</t>
    </rPh>
    <phoneticPr fontId="1"/>
  </si>
  <si>
    <t>消毒経費</t>
    <rPh sb="0" eb="4">
      <t>ショウドクケイヒ</t>
    </rPh>
    <phoneticPr fontId="1"/>
  </si>
  <si>
    <t>－</t>
    <phoneticPr fontId="1"/>
  </si>
  <si>
    <t>品目</t>
    <rPh sb="0" eb="2">
      <t>ヒンモク</t>
    </rPh>
    <phoneticPr fontId="1"/>
  </si>
  <si>
    <t>使用数/人</t>
    <rPh sb="0" eb="3">
      <t>シヨウスウ</t>
    </rPh>
    <rPh sb="4" eb="5">
      <t>ニン</t>
    </rPh>
    <phoneticPr fontId="1"/>
  </si>
  <si>
    <t>月</t>
    <rPh sb="0" eb="1">
      <t>ツキ</t>
    </rPh>
    <phoneticPr fontId="1"/>
  </si>
  <si>
    <t>平均患者数</t>
    <rPh sb="0" eb="2">
      <t>ヘイキン</t>
    </rPh>
    <rPh sb="2" eb="5">
      <t>カンジャスウ</t>
    </rPh>
    <phoneticPr fontId="1"/>
  </si>
  <si>
    <t>フェイスシールド</t>
  </si>
  <si>
    <t>患者人数</t>
    <rPh sb="0" eb="4">
      <t>カンジャニンズウ</t>
    </rPh>
    <phoneticPr fontId="1"/>
  </si>
  <si>
    <t>段　階</t>
    <rPh sb="0" eb="1">
      <t>ダン</t>
    </rPh>
    <rPh sb="2" eb="3">
      <t>カイ</t>
    </rPh>
    <phoneticPr fontId="1"/>
  </si>
  <si>
    <t>N95マスク・ハイラックマスク</t>
  </si>
  <si>
    <t>消耗品（ペーパータオル）</t>
  </si>
  <si>
    <t>消耗品（ウェットティッシュ）</t>
  </si>
  <si>
    <t>指定時点</t>
    <rPh sb="0" eb="2">
      <t>シテイ</t>
    </rPh>
    <rPh sb="2" eb="4">
      <t>ジテン</t>
    </rPh>
    <phoneticPr fontId="1"/>
  </si>
  <si>
    <t>○著しく賃金水準の高い者のみで対応されるとする場合、公費補助の妥当性の観点から各医療機関の平均時給額でもって部分補助とさせていただく場合があります。</t>
    <rPh sb="1" eb="2">
      <t>イチジル</t>
    </rPh>
    <rPh sb="4" eb="6">
      <t>チンギン</t>
    </rPh>
    <rPh sb="6" eb="8">
      <t>スイジュン</t>
    </rPh>
    <rPh sb="9" eb="10">
      <t>タカ</t>
    </rPh>
    <rPh sb="11" eb="12">
      <t>モノ</t>
    </rPh>
    <rPh sb="15" eb="17">
      <t>タイオウ</t>
    </rPh>
    <rPh sb="23" eb="25">
      <t>バアイ</t>
    </rPh>
    <rPh sb="39" eb="42">
      <t>カクイリョウ</t>
    </rPh>
    <rPh sb="42" eb="44">
      <t>キカン</t>
    </rPh>
    <rPh sb="45" eb="47">
      <t>ヘイキン</t>
    </rPh>
    <rPh sb="47" eb="49">
      <t>ジキュウ</t>
    </rPh>
    <rPh sb="49" eb="50">
      <t>ガク</t>
    </rPh>
    <rPh sb="54" eb="56">
      <t>ブブン</t>
    </rPh>
    <rPh sb="56" eb="58">
      <t>ホジョ</t>
    </rPh>
    <rPh sb="66" eb="68">
      <t>バアイ</t>
    </rPh>
    <phoneticPr fontId="1"/>
  </si>
  <si>
    <t>消毒経費として人件費を費用計上する場合の算定のありかたの一例として当該書式をお示しします。
入力いただいた情報に基づく人件費は、消毒経費明細シートに自動で転記表示されます。（改めての計上記載は不要です。）
なお、厳密な人件費の算定が可能な場合は当該書式によらず、独自の算定書類によりご説明いただくことも可能です。（この場合は当該シートは入力不要です。）</t>
    <rPh sb="0" eb="2">
      <t>ショウドク</t>
    </rPh>
    <rPh sb="2" eb="4">
      <t>ケイヒ</t>
    </rPh>
    <rPh sb="7" eb="10">
      <t>ジンケンヒ</t>
    </rPh>
    <rPh sb="11" eb="15">
      <t>ヒヨウケイジョウ</t>
    </rPh>
    <rPh sb="17" eb="19">
      <t>バアイ</t>
    </rPh>
    <rPh sb="20" eb="22">
      <t>サンテイ</t>
    </rPh>
    <rPh sb="28" eb="30">
      <t>イチレイ</t>
    </rPh>
    <rPh sb="33" eb="35">
      <t>トウガイ</t>
    </rPh>
    <rPh sb="35" eb="37">
      <t>ショシキ</t>
    </rPh>
    <rPh sb="39" eb="40">
      <t>シメ</t>
    </rPh>
    <rPh sb="46" eb="48">
      <t>ニュウリョク</t>
    </rPh>
    <rPh sb="53" eb="55">
      <t>ジョウホウ</t>
    </rPh>
    <rPh sb="56" eb="57">
      <t>モト</t>
    </rPh>
    <rPh sb="59" eb="62">
      <t>ジンケンヒ</t>
    </rPh>
    <rPh sb="64" eb="66">
      <t>ショウドク</t>
    </rPh>
    <rPh sb="66" eb="68">
      <t>ケイヒ</t>
    </rPh>
    <rPh sb="68" eb="70">
      <t>メイサイ</t>
    </rPh>
    <rPh sb="74" eb="76">
      <t>ジドウ</t>
    </rPh>
    <rPh sb="77" eb="79">
      <t>テンキ</t>
    </rPh>
    <rPh sb="79" eb="81">
      <t>ヒョウジ</t>
    </rPh>
    <rPh sb="87" eb="88">
      <t>アラタ</t>
    </rPh>
    <rPh sb="91" eb="93">
      <t>ケイジョウ</t>
    </rPh>
    <rPh sb="93" eb="95">
      <t>キサイ</t>
    </rPh>
    <rPh sb="96" eb="98">
      <t>フヨウ</t>
    </rPh>
    <rPh sb="106" eb="108">
      <t>ゲンミツ</t>
    </rPh>
    <rPh sb="109" eb="112">
      <t>ジンケンヒ</t>
    </rPh>
    <rPh sb="113" eb="115">
      <t>サンテイ</t>
    </rPh>
    <rPh sb="116" eb="118">
      <t>カノウ</t>
    </rPh>
    <rPh sb="119" eb="121">
      <t>バアイ</t>
    </rPh>
    <rPh sb="122" eb="124">
      <t>トウガイ</t>
    </rPh>
    <rPh sb="124" eb="126">
      <t>ショシキ</t>
    </rPh>
    <rPh sb="131" eb="133">
      <t>ドクジ</t>
    </rPh>
    <rPh sb="134" eb="136">
      <t>サンテイ</t>
    </rPh>
    <rPh sb="136" eb="138">
      <t>ショルイ</t>
    </rPh>
    <rPh sb="142" eb="144">
      <t>セツメイ</t>
    </rPh>
    <rPh sb="151" eb="153">
      <t>カノウ</t>
    </rPh>
    <rPh sb="159" eb="161">
      <t>バアイ</t>
    </rPh>
    <rPh sb="162" eb="164">
      <t>トウガイ</t>
    </rPh>
    <rPh sb="168" eb="170">
      <t>ニュウリョク</t>
    </rPh>
    <rPh sb="170" eb="172">
      <t>フヨウ</t>
    </rPh>
    <phoneticPr fontId="12"/>
  </si>
  <si>
    <t>あ</t>
    <phoneticPr fontId="1"/>
  </si>
  <si>
    <t>消毒液の使用量はスプレー噴霧の回数で換算して入力ください。その際、１噴霧あたりの使用容量は3mlとし算定します。</t>
    <rPh sb="0" eb="2">
      <t>ショウドク</t>
    </rPh>
    <rPh sb="2" eb="3">
      <t>エキ</t>
    </rPh>
    <rPh sb="4" eb="7">
      <t>シヨウリョウ</t>
    </rPh>
    <rPh sb="12" eb="14">
      <t>フンム</t>
    </rPh>
    <rPh sb="15" eb="17">
      <t>カイスウ</t>
    </rPh>
    <rPh sb="18" eb="20">
      <t>カンサン</t>
    </rPh>
    <rPh sb="22" eb="24">
      <t>ニュウリョク</t>
    </rPh>
    <rPh sb="31" eb="32">
      <t>サイ</t>
    </rPh>
    <rPh sb="34" eb="36">
      <t>フンム</t>
    </rPh>
    <rPh sb="40" eb="42">
      <t>シヨウ</t>
    </rPh>
    <rPh sb="42" eb="44">
      <t>ヨウリョウ</t>
    </rPh>
    <rPh sb="50" eb="52">
      <t>サンテイ</t>
    </rPh>
    <phoneticPr fontId="1"/>
  </si>
  <si>
    <t>（１）</t>
    <phoneticPr fontId="1"/>
  </si>
  <si>
    <t>（２）</t>
    <phoneticPr fontId="1"/>
  </si>
  <si>
    <t>（３）</t>
  </si>
  <si>
    <t>→</t>
    <phoneticPr fontId="1"/>
  </si>
  <si>
    <t>１外来対応毎に消毒する際の所要時間であるため、患者が触れている等しておらず消毒不要の箇所も含め全て消毒する際の所要時間は入力しないでください。</t>
    <rPh sb="1" eb="3">
      <t>ガイライ</t>
    </rPh>
    <rPh sb="3" eb="5">
      <t>タイオウ</t>
    </rPh>
    <rPh sb="5" eb="6">
      <t>ゴト</t>
    </rPh>
    <rPh sb="7" eb="9">
      <t>ショウドク</t>
    </rPh>
    <rPh sb="11" eb="12">
      <t>サイ</t>
    </rPh>
    <rPh sb="13" eb="15">
      <t>ショヨウ</t>
    </rPh>
    <rPh sb="15" eb="17">
      <t>ジカン</t>
    </rPh>
    <rPh sb="23" eb="25">
      <t>カンジャ</t>
    </rPh>
    <rPh sb="26" eb="27">
      <t>フ</t>
    </rPh>
    <rPh sb="31" eb="32">
      <t>トウ</t>
    </rPh>
    <rPh sb="37" eb="39">
      <t>ショウドク</t>
    </rPh>
    <rPh sb="39" eb="41">
      <t>フヨウ</t>
    </rPh>
    <rPh sb="42" eb="44">
      <t>カショ</t>
    </rPh>
    <rPh sb="45" eb="46">
      <t>フク</t>
    </rPh>
    <rPh sb="47" eb="48">
      <t>スベ</t>
    </rPh>
    <rPh sb="49" eb="51">
      <t>ショウドク</t>
    </rPh>
    <rPh sb="53" eb="54">
      <t>サイ</t>
    </rPh>
    <rPh sb="55" eb="57">
      <t>ショヨウ</t>
    </rPh>
    <rPh sb="57" eb="59">
      <t>ジカン</t>
    </rPh>
    <rPh sb="60" eb="62">
      <t>ニュウリョク</t>
    </rPh>
    <phoneticPr fontId="1"/>
  </si>
  <si>
    <t>説明内容に疑義または所要時間が著しく多く公費補助に親和しないと判断される場合は補正を指導し部分補助とする場合があります。</t>
    <rPh sb="0" eb="2">
      <t>セツメイ</t>
    </rPh>
    <rPh sb="2" eb="4">
      <t>ナイヨウ</t>
    </rPh>
    <rPh sb="5" eb="7">
      <t>ギギ</t>
    </rPh>
    <rPh sb="10" eb="12">
      <t>ショヨウ</t>
    </rPh>
    <rPh sb="12" eb="14">
      <t>ジカン</t>
    </rPh>
    <rPh sb="15" eb="16">
      <t>イチジル</t>
    </rPh>
    <rPh sb="18" eb="19">
      <t>オオ</t>
    </rPh>
    <rPh sb="20" eb="22">
      <t>コウヒ</t>
    </rPh>
    <rPh sb="22" eb="24">
      <t>ホジョ</t>
    </rPh>
    <rPh sb="25" eb="27">
      <t>シンワ</t>
    </rPh>
    <rPh sb="31" eb="33">
      <t>ハンダン</t>
    </rPh>
    <rPh sb="36" eb="38">
      <t>バアイ</t>
    </rPh>
    <rPh sb="39" eb="41">
      <t>ホセイ</t>
    </rPh>
    <rPh sb="42" eb="44">
      <t>シドウ</t>
    </rPh>
    <rPh sb="45" eb="47">
      <t>ブブン</t>
    </rPh>
    <rPh sb="47" eb="49">
      <t>ホジョ</t>
    </rPh>
    <rPh sb="52" eb="54">
      <t>バアイ</t>
    </rPh>
    <phoneticPr fontId="1"/>
  </si>
  <si>
    <t>平均的な所要時間が生じる消毒手順を入力してください。
（記載例）コロナ感染が疑われる患者は一般患者と別の医院裏手から建屋内に入っていただき、専用待合室で待機の上、診察は通常の診察室で行っている。
消毒対象箇所は以下のとおり。
①待合室：椅子２脚（それぞれ表面）、待合室のドアノブ（表裏）
②診察室：患者用椅子（１台）、診察台（１台）、パルスオキシメーター（１台）、聴診器（１個）
消毒方法は、ペーパータオルに消毒液を噴霧し含ませ拭き取りを行う。所要時間は①（待合室）は１分、②（診察室）は２分の計３分程度。</t>
    <rPh sb="0" eb="2">
      <t>ヘイキン</t>
    </rPh>
    <rPh sb="2" eb="3">
      <t>テキ</t>
    </rPh>
    <rPh sb="4" eb="6">
      <t>ショヨウ</t>
    </rPh>
    <rPh sb="6" eb="8">
      <t>ジカン</t>
    </rPh>
    <rPh sb="9" eb="10">
      <t>ショウ</t>
    </rPh>
    <rPh sb="12" eb="14">
      <t>ショウドク</t>
    </rPh>
    <rPh sb="14" eb="16">
      <t>テジュン</t>
    </rPh>
    <rPh sb="17" eb="19">
      <t>ニュウリョク</t>
    </rPh>
    <rPh sb="28" eb="30">
      <t>キサイ</t>
    </rPh>
    <rPh sb="30" eb="31">
      <t>レイ</t>
    </rPh>
    <rPh sb="35" eb="37">
      <t>カンセン</t>
    </rPh>
    <rPh sb="38" eb="39">
      <t>ウタガ</t>
    </rPh>
    <rPh sb="42" eb="44">
      <t>カンジャ</t>
    </rPh>
    <rPh sb="45" eb="49">
      <t>イッパンカンジャ</t>
    </rPh>
    <rPh sb="50" eb="51">
      <t>ベツ</t>
    </rPh>
    <rPh sb="52" eb="54">
      <t>イイン</t>
    </rPh>
    <rPh sb="54" eb="56">
      <t>ウラテ</t>
    </rPh>
    <rPh sb="58" eb="61">
      <t>タテヤナイ</t>
    </rPh>
    <rPh sb="62" eb="63">
      <t>ハイ</t>
    </rPh>
    <rPh sb="70" eb="72">
      <t>センヨウ</t>
    </rPh>
    <rPh sb="72" eb="74">
      <t>マチアイ</t>
    </rPh>
    <rPh sb="74" eb="75">
      <t>シツ</t>
    </rPh>
    <rPh sb="76" eb="78">
      <t>タイキ</t>
    </rPh>
    <rPh sb="79" eb="80">
      <t>ウエ</t>
    </rPh>
    <rPh sb="81" eb="83">
      <t>シンサツ</t>
    </rPh>
    <rPh sb="84" eb="86">
      <t>ツウジョウ</t>
    </rPh>
    <rPh sb="87" eb="89">
      <t>シンサツ</t>
    </rPh>
    <rPh sb="89" eb="90">
      <t>シツ</t>
    </rPh>
    <rPh sb="91" eb="92">
      <t>オコナ</t>
    </rPh>
    <rPh sb="98" eb="100">
      <t>ショウドク</t>
    </rPh>
    <rPh sb="100" eb="102">
      <t>タイショウ</t>
    </rPh>
    <rPh sb="102" eb="104">
      <t>カショ</t>
    </rPh>
    <rPh sb="105" eb="107">
      <t>イカ</t>
    </rPh>
    <rPh sb="114" eb="117">
      <t>マチアイシツ</t>
    </rPh>
    <rPh sb="118" eb="120">
      <t>イス</t>
    </rPh>
    <rPh sb="121" eb="122">
      <t>キャク</t>
    </rPh>
    <rPh sb="127" eb="129">
      <t>ヒョウメン</t>
    </rPh>
    <rPh sb="131" eb="134">
      <t>マチアイシツ</t>
    </rPh>
    <rPh sb="140" eb="142">
      <t>オモテウラ</t>
    </rPh>
    <rPh sb="145" eb="148">
      <t>シンサツシツ</t>
    </rPh>
    <rPh sb="149" eb="152">
      <t>カンジャヨウ</t>
    </rPh>
    <rPh sb="152" eb="154">
      <t>イス</t>
    </rPh>
    <rPh sb="156" eb="157">
      <t>ダイ</t>
    </rPh>
    <rPh sb="159" eb="162">
      <t>シンサツダイ</t>
    </rPh>
    <rPh sb="164" eb="165">
      <t>ダイ</t>
    </rPh>
    <rPh sb="179" eb="180">
      <t>ダイ</t>
    </rPh>
    <rPh sb="182" eb="185">
      <t>チョウシンキ</t>
    </rPh>
    <rPh sb="187" eb="188">
      <t>コ</t>
    </rPh>
    <rPh sb="190" eb="192">
      <t>ショウドク</t>
    </rPh>
    <rPh sb="192" eb="194">
      <t>ホウホウ</t>
    </rPh>
    <rPh sb="204" eb="207">
      <t>ショウドクエキ</t>
    </rPh>
    <rPh sb="208" eb="210">
      <t>フンム</t>
    </rPh>
    <rPh sb="211" eb="212">
      <t>フク</t>
    </rPh>
    <rPh sb="214" eb="215">
      <t>フ</t>
    </rPh>
    <rPh sb="216" eb="217">
      <t>ト</t>
    </rPh>
    <rPh sb="219" eb="220">
      <t>オコナ</t>
    </rPh>
    <rPh sb="222" eb="226">
      <t>ショヨウジカン</t>
    </rPh>
    <rPh sb="229" eb="232">
      <t>マチアイシツ</t>
    </rPh>
    <rPh sb="235" eb="236">
      <t>フン</t>
    </rPh>
    <rPh sb="239" eb="242">
      <t>シンサツシツ</t>
    </rPh>
    <rPh sb="245" eb="246">
      <t>フン</t>
    </rPh>
    <rPh sb="247" eb="248">
      <t>ケイ</t>
    </rPh>
    <rPh sb="249" eb="250">
      <t>フン</t>
    </rPh>
    <rPh sb="250" eb="252">
      <t>テイド</t>
    </rPh>
    <phoneticPr fontId="1"/>
  </si>
  <si>
    <t>ペーパータオル、ウェットティッシュ、消毒液の３品目の経費を計上する場合、外来１回あたりの消毒に係る使用量を入力してください。</t>
    <rPh sb="18" eb="20">
      <t>ショウドク</t>
    </rPh>
    <rPh sb="20" eb="21">
      <t>エキ</t>
    </rPh>
    <rPh sb="23" eb="25">
      <t>ヒンモク</t>
    </rPh>
    <rPh sb="26" eb="28">
      <t>ケイヒ</t>
    </rPh>
    <rPh sb="29" eb="31">
      <t>ケイジョウ</t>
    </rPh>
    <rPh sb="33" eb="35">
      <t>バアイ</t>
    </rPh>
    <rPh sb="36" eb="38">
      <t>ガイライ</t>
    </rPh>
    <rPh sb="39" eb="40">
      <t>カイ</t>
    </rPh>
    <rPh sb="44" eb="46">
      <t>ショウドク</t>
    </rPh>
    <rPh sb="47" eb="48">
      <t>カカ</t>
    </rPh>
    <rPh sb="49" eb="52">
      <t>シヨウリョウ</t>
    </rPh>
    <rPh sb="53" eb="55">
      <t>ニュウリョク</t>
    </rPh>
    <phoneticPr fontId="1"/>
  </si>
  <si>
    <t>　　当該書式で算出された額は消毒経費明細シートに自動で計上されません。そのため、事業者の責任において間違いなく計上記載いただくようお願いします。</t>
    <rPh sb="2" eb="4">
      <t>トウガイ</t>
    </rPh>
    <rPh sb="4" eb="6">
      <t>ショシキ</t>
    </rPh>
    <rPh sb="7" eb="9">
      <t>サンシュツ</t>
    </rPh>
    <rPh sb="12" eb="13">
      <t>ガク</t>
    </rPh>
    <rPh sb="14" eb="16">
      <t>ショウドク</t>
    </rPh>
    <rPh sb="16" eb="18">
      <t>ケイヒ</t>
    </rPh>
    <rPh sb="18" eb="20">
      <t>メイサイ</t>
    </rPh>
    <rPh sb="24" eb="26">
      <t>ジドウ</t>
    </rPh>
    <rPh sb="27" eb="29">
      <t>ケイジョウ</t>
    </rPh>
    <rPh sb="40" eb="43">
      <t>ジギョウシャ</t>
    </rPh>
    <rPh sb="44" eb="46">
      <t>セキニン</t>
    </rPh>
    <rPh sb="50" eb="52">
      <t>マチガ</t>
    </rPh>
    <rPh sb="55" eb="57">
      <t>ケイジョウ</t>
    </rPh>
    <rPh sb="57" eb="59">
      <t>キサイ</t>
    </rPh>
    <rPh sb="66" eb="67">
      <t>ネガ</t>
    </rPh>
    <phoneticPr fontId="1"/>
  </si>
  <si>
    <t>人件費実費相当額</t>
    <rPh sb="0" eb="3">
      <t>ジンケンヒ</t>
    </rPh>
    <rPh sb="3" eb="5">
      <t>ジッピ</t>
    </rPh>
    <rPh sb="5" eb="7">
      <t>ソウトウ</t>
    </rPh>
    <rPh sb="7" eb="8">
      <t>ガク</t>
    </rPh>
    <phoneticPr fontId="12"/>
  </si>
  <si>
    <t>→</t>
    <phoneticPr fontId="12"/>
  </si>
  <si>
    <t>税抜額（転記用）</t>
    <rPh sb="0" eb="1">
      <t>ゼイ</t>
    </rPh>
    <rPh sb="1" eb="2">
      <t>ヌ</t>
    </rPh>
    <rPh sb="2" eb="3">
      <t>ガク</t>
    </rPh>
    <rPh sb="4" eb="6">
      <t>テンキ</t>
    </rPh>
    <rPh sb="6" eb="7">
      <t>ヨウ</t>
    </rPh>
    <phoneticPr fontId="12"/>
  </si>
  <si>
    <t>１段目：１日あたりの平均使用量から国の物資配布分を差し引き、購入在庫数量から賄うことができる使用量（国の物資配布分で賄える場合、使用量計上は０）</t>
    <rPh sb="1" eb="3">
      <t>ダンメ</t>
    </rPh>
    <rPh sb="5" eb="6">
      <t>ニチ</t>
    </rPh>
    <rPh sb="10" eb="12">
      <t>ヘイキン</t>
    </rPh>
    <rPh sb="12" eb="15">
      <t>シヨウリョウ</t>
    </rPh>
    <rPh sb="17" eb="18">
      <t>クニ</t>
    </rPh>
    <rPh sb="19" eb="23">
      <t>ブッシハイフ</t>
    </rPh>
    <rPh sb="23" eb="24">
      <t>ブン</t>
    </rPh>
    <rPh sb="25" eb="26">
      <t>サ</t>
    </rPh>
    <rPh sb="27" eb="28">
      <t>ヒ</t>
    </rPh>
    <rPh sb="30" eb="34">
      <t>コウニュウザイコ</t>
    </rPh>
    <rPh sb="34" eb="36">
      <t>スウリョウ</t>
    </rPh>
    <rPh sb="38" eb="39">
      <t>マカナ</t>
    </rPh>
    <rPh sb="46" eb="49">
      <t>シヨウリョウ</t>
    </rPh>
    <rPh sb="50" eb="51">
      <t>クニ</t>
    </rPh>
    <rPh sb="52" eb="54">
      <t>ブッシ</t>
    </rPh>
    <rPh sb="54" eb="56">
      <t>ハイフ</t>
    </rPh>
    <rPh sb="56" eb="57">
      <t>ブン</t>
    </rPh>
    <rPh sb="58" eb="59">
      <t>マカナ</t>
    </rPh>
    <rPh sb="61" eb="63">
      <t>バアイ</t>
    </rPh>
    <rPh sb="64" eb="66">
      <t>シヨウ</t>
    </rPh>
    <rPh sb="66" eb="67">
      <t>リョウ</t>
    </rPh>
    <rPh sb="67" eb="69">
      <t>ケイジョウ</t>
    </rPh>
    <phoneticPr fontId="1"/>
  </si>
  <si>
    <t>他の医療機関に比して使用数量が著しく多いと見受けられた場合、公費補助の妥当性の観点から補正を指導する場合があります。</t>
    <phoneticPr fontId="1"/>
  </si>
  <si>
    <r>
      <t>　　なお、本書式は参考書式であり、</t>
    </r>
    <r>
      <rPr>
        <b/>
        <sz val="10"/>
        <color rgb="FFFF0000"/>
        <rFont val="游ゴシック"/>
        <family val="3"/>
        <charset val="128"/>
        <scheme val="minor"/>
      </rPr>
      <t>「消毒」シートに記載がない場合は、試算しているものの計上されないものとして処理させていただきます</t>
    </r>
    <r>
      <rPr>
        <b/>
        <sz val="10"/>
        <color theme="1"/>
        <rFont val="游ゴシック"/>
        <family val="3"/>
        <charset val="128"/>
        <scheme val="minor"/>
      </rPr>
      <t>ので予め御了承ください。</t>
    </r>
    <rPh sb="5" eb="8">
      <t>ホンショシキ</t>
    </rPh>
    <rPh sb="9" eb="13">
      <t>サンコウショシキ</t>
    </rPh>
    <rPh sb="18" eb="20">
      <t>ショウドク</t>
    </rPh>
    <rPh sb="25" eb="27">
      <t>キサイ</t>
    </rPh>
    <rPh sb="30" eb="32">
      <t>バアイ</t>
    </rPh>
    <rPh sb="34" eb="36">
      <t>シサン</t>
    </rPh>
    <rPh sb="43" eb="45">
      <t>ケイジョウ</t>
    </rPh>
    <rPh sb="54" eb="56">
      <t>ショリ</t>
    </rPh>
    <rPh sb="67" eb="68">
      <t>アラカジ</t>
    </rPh>
    <rPh sb="69" eb="70">
      <t>ゴ</t>
    </rPh>
    <rPh sb="70" eb="72">
      <t>リョウショウ</t>
    </rPh>
    <phoneticPr fontId="1"/>
  </si>
  <si>
    <t>B</t>
    <phoneticPr fontId="1"/>
  </si>
  <si>
    <t>C</t>
    <phoneticPr fontId="1"/>
  </si>
  <si>
    <t>D</t>
    <phoneticPr fontId="1"/>
  </si>
  <si>
    <t>E</t>
    <phoneticPr fontId="1"/>
  </si>
  <si>
    <t>○同じく個人防護具に係り、患者１人当たりの各品目使用数及び月平均患者数に基づく１日あたり使用量を、計上品目の各納品日に基づくストック量から賄った分を補助対象とします。</t>
    <rPh sb="1" eb="2">
      <t>オナ</t>
    </rPh>
    <rPh sb="4" eb="9">
      <t>コジンボウゴグ</t>
    </rPh>
    <rPh sb="10" eb="11">
      <t>カカ</t>
    </rPh>
    <rPh sb="21" eb="22">
      <t>カク</t>
    </rPh>
    <rPh sb="22" eb="24">
      <t>ヒンモク</t>
    </rPh>
    <rPh sb="24" eb="27">
      <t>シヨウスウ</t>
    </rPh>
    <rPh sb="27" eb="28">
      <t>オヨ</t>
    </rPh>
    <rPh sb="29" eb="30">
      <t>ツキ</t>
    </rPh>
    <rPh sb="30" eb="32">
      <t>ヘイキン</t>
    </rPh>
    <rPh sb="32" eb="35">
      <t>カンジャスウ</t>
    </rPh>
    <rPh sb="36" eb="37">
      <t>モト</t>
    </rPh>
    <rPh sb="40" eb="41">
      <t>ニチ</t>
    </rPh>
    <rPh sb="44" eb="47">
      <t>シヨウリョウ</t>
    </rPh>
    <rPh sb="49" eb="51">
      <t>ケイジョウ</t>
    </rPh>
    <rPh sb="51" eb="53">
      <t>ヒンモク</t>
    </rPh>
    <rPh sb="54" eb="55">
      <t>カク</t>
    </rPh>
    <rPh sb="55" eb="58">
      <t>ノウヒンビ</t>
    </rPh>
    <rPh sb="59" eb="60">
      <t>モト</t>
    </rPh>
    <rPh sb="66" eb="67">
      <t>リョウ</t>
    </rPh>
    <rPh sb="69" eb="70">
      <t>マカナ</t>
    </rPh>
    <rPh sb="72" eb="73">
      <t>ブン</t>
    </rPh>
    <rPh sb="74" eb="78">
      <t>ホジョタイショウ</t>
    </rPh>
    <phoneticPr fontId="12"/>
  </si>
  <si>
    <t>○以下に消毒作業の対象箇所、手順、所要時間を判りやすく記入してください。
○なお、院内感染防止を目的とする観点から、接触感染リスクが伴う箇所の消毒に係る経費に限り補助対象とし、例えばトイレや流しの管清掃、塵芥清掃のみを目的としたもの、感染性廃棄物の格納容器の消毒等に係る備品・消耗品に係る経費あるいは日常的に消毒を行っている上での消毒委託料等は補助対象外となります。
○公費補助として必要最小限度であるべき観点からこれを超えた範囲の対象、使用量とされている場合は補助対象外となります。</t>
    <rPh sb="1" eb="3">
      <t>イカ</t>
    </rPh>
    <rPh sb="4" eb="6">
      <t>ショウドク</t>
    </rPh>
    <rPh sb="6" eb="8">
      <t>サギョウ</t>
    </rPh>
    <rPh sb="9" eb="13">
      <t>タイショウカショ</t>
    </rPh>
    <rPh sb="14" eb="16">
      <t>テジュン</t>
    </rPh>
    <rPh sb="17" eb="21">
      <t>ショヨウジカン</t>
    </rPh>
    <rPh sb="22" eb="23">
      <t>ワカ</t>
    </rPh>
    <rPh sb="27" eb="29">
      <t>キニュウ</t>
    </rPh>
    <rPh sb="45" eb="47">
      <t>ボウシ</t>
    </rPh>
    <rPh sb="48" eb="50">
      <t>モクテキ</t>
    </rPh>
    <rPh sb="53" eb="55">
      <t>カンテン</t>
    </rPh>
    <rPh sb="58" eb="62">
      <t>セッショクカンセン</t>
    </rPh>
    <rPh sb="66" eb="67">
      <t>トモナ</t>
    </rPh>
    <rPh sb="68" eb="70">
      <t>カショ</t>
    </rPh>
    <rPh sb="71" eb="73">
      <t>ショウドク</t>
    </rPh>
    <rPh sb="74" eb="75">
      <t>カカ</t>
    </rPh>
    <rPh sb="76" eb="78">
      <t>ケイヒ</t>
    </rPh>
    <rPh sb="79" eb="80">
      <t>カギ</t>
    </rPh>
    <rPh sb="81" eb="85">
      <t>ホジョタイショウ</t>
    </rPh>
    <rPh sb="88" eb="89">
      <t>タト</t>
    </rPh>
    <rPh sb="95" eb="96">
      <t>ナガ</t>
    </rPh>
    <rPh sb="98" eb="99">
      <t>カン</t>
    </rPh>
    <rPh sb="99" eb="101">
      <t>セイソウ</t>
    </rPh>
    <rPh sb="102" eb="104">
      <t>ジンカイ</t>
    </rPh>
    <rPh sb="104" eb="106">
      <t>セイソウ</t>
    </rPh>
    <rPh sb="109" eb="111">
      <t>モクテキ</t>
    </rPh>
    <rPh sb="117" eb="120">
      <t>カンセンセイ</t>
    </rPh>
    <rPh sb="120" eb="123">
      <t>ハイキブツ</t>
    </rPh>
    <rPh sb="124" eb="126">
      <t>カクノウ</t>
    </rPh>
    <rPh sb="126" eb="128">
      <t>ヨウキ</t>
    </rPh>
    <rPh sb="129" eb="131">
      <t>ショウドク</t>
    </rPh>
    <rPh sb="131" eb="132">
      <t>トウ</t>
    </rPh>
    <rPh sb="133" eb="134">
      <t>カカ</t>
    </rPh>
    <rPh sb="135" eb="137">
      <t>ビヒン</t>
    </rPh>
    <rPh sb="138" eb="141">
      <t>ショウモウヒン</t>
    </rPh>
    <rPh sb="142" eb="143">
      <t>カカ</t>
    </rPh>
    <rPh sb="144" eb="146">
      <t>ケイヒ</t>
    </rPh>
    <rPh sb="150" eb="153">
      <t>ニチジョウテキ</t>
    </rPh>
    <rPh sb="154" eb="156">
      <t>ショウドク</t>
    </rPh>
    <rPh sb="157" eb="158">
      <t>オコナ</t>
    </rPh>
    <rPh sb="162" eb="163">
      <t>ウエ</t>
    </rPh>
    <rPh sb="165" eb="167">
      <t>ショウドク</t>
    </rPh>
    <rPh sb="167" eb="169">
      <t>イタク</t>
    </rPh>
    <rPh sb="169" eb="170">
      <t>リョウ</t>
    </rPh>
    <rPh sb="170" eb="171">
      <t>トウ</t>
    </rPh>
    <rPh sb="172" eb="177">
      <t>ホジョタイショウガイ</t>
    </rPh>
    <rPh sb="210" eb="211">
      <t>コ</t>
    </rPh>
    <rPh sb="216" eb="218">
      <t>タイショウ</t>
    </rPh>
    <rPh sb="219" eb="222">
      <t>シヨウリョウ</t>
    </rPh>
    <rPh sb="228" eb="230">
      <t>バアイ</t>
    </rPh>
    <rPh sb="231" eb="236">
      <t>ホジョタイショウガイ</t>
    </rPh>
    <phoneticPr fontId="1"/>
  </si>
  <si>
    <t>使用量/回</t>
    <rPh sb="0" eb="3">
      <t>シヨウリョウ</t>
    </rPh>
    <rPh sb="4" eb="5">
      <t>カイ</t>
    </rPh>
    <phoneticPr fontId="1"/>
  </si>
  <si>
    <t>使用量/回</t>
    <phoneticPr fontId="1"/>
  </si>
  <si>
    <t>上限単価</t>
    <rPh sb="0" eb="4">
      <t>ジョウゲンタンカ</t>
    </rPh>
    <phoneticPr fontId="1"/>
  </si>
  <si>
    <t>「２．上限単価」は疑い外来患者１人あたり400円です。</t>
    <rPh sb="3" eb="5">
      <t>ジョウゲン</t>
    </rPh>
    <rPh sb="5" eb="7">
      <t>タンカ</t>
    </rPh>
    <rPh sb="9" eb="10">
      <t>ウタガ</t>
    </rPh>
    <rPh sb="11" eb="13">
      <t>ガイライ</t>
    </rPh>
    <rPh sb="13" eb="15">
      <t>カンジャ</t>
    </rPh>
    <rPh sb="16" eb="17">
      <t>ニン</t>
    </rPh>
    <rPh sb="23" eb="24">
      <t>エン</t>
    </rPh>
    <phoneticPr fontId="1"/>
  </si>
  <si>
    <r>
      <t>なお、購入により整備する場合は、必ずリースによる整備を検討し、購入による整備とせざるを得ないと判断した理由を以下の欄に記入してください。（リースによる整備を検討していない及び、購入による整備とせざるを得ないとする理由が不十分と判断される場合には公費による整備に親和しないことから、交付しないこととする場合があります。）
また、本補助金の目的である補助対象期間における緊急的かつ一時的な対応及び、公費整備の前提である必要最小限度かつ低廉な整備の範囲を逸脱する品目選択及び単価の場合、その一部または全部につき交付しないこととする場合があります。</t>
    </r>
    <r>
      <rPr>
        <b/>
        <sz val="12"/>
        <color rgb="FFFF0000"/>
        <rFont val="游ゴシック"/>
        <family val="3"/>
        <charset val="128"/>
        <scheme val="minor"/>
      </rPr>
      <t>（直近募集における平均整備費は約47万５千円。これを大幅に超える場合は当該額の範囲内での部分補助とし、また確認の結果、より低廉な品目選択が可能であるにもかかわらずこれによる整備を検討していなかったあるいは、県要綱第14条に基づく県の指導に従わず特定事業者以外からの見積徴取を行わなかった場合は、その一部または全部を補助交付しないこととする場合があります。</t>
    </r>
    <r>
      <rPr>
        <b/>
        <sz val="12"/>
        <color theme="1"/>
        <rFont val="游ゴシック"/>
        <family val="3"/>
        <charset val="128"/>
        <scheme val="minor"/>
      </rPr>
      <t>）</t>
    </r>
    <rPh sb="3" eb="5">
      <t>コウニュウ</t>
    </rPh>
    <rPh sb="8" eb="10">
      <t>セイビ</t>
    </rPh>
    <rPh sb="12" eb="14">
      <t>バアイ</t>
    </rPh>
    <rPh sb="16" eb="17">
      <t>カナラ</t>
    </rPh>
    <rPh sb="24" eb="26">
      <t>セイビ</t>
    </rPh>
    <rPh sb="27" eb="29">
      <t>ケントウ</t>
    </rPh>
    <rPh sb="31" eb="33">
      <t>コウニュウ</t>
    </rPh>
    <rPh sb="36" eb="38">
      <t>セイビ</t>
    </rPh>
    <rPh sb="43" eb="44">
      <t>エ</t>
    </rPh>
    <rPh sb="47" eb="49">
      <t>ハンダン</t>
    </rPh>
    <rPh sb="51" eb="53">
      <t>リユウ</t>
    </rPh>
    <rPh sb="54" eb="56">
      <t>イカ</t>
    </rPh>
    <rPh sb="57" eb="58">
      <t>ラン</t>
    </rPh>
    <rPh sb="59" eb="61">
      <t>キニュウ</t>
    </rPh>
    <rPh sb="75" eb="77">
      <t>セイビ</t>
    </rPh>
    <rPh sb="78" eb="80">
      <t>ケントウ</t>
    </rPh>
    <rPh sb="85" eb="86">
      <t>オヨ</t>
    </rPh>
    <rPh sb="88" eb="90">
      <t>コウニュウ</t>
    </rPh>
    <rPh sb="93" eb="95">
      <t>セイビ</t>
    </rPh>
    <rPh sb="100" eb="101">
      <t>エ</t>
    </rPh>
    <rPh sb="106" eb="108">
      <t>リユウ</t>
    </rPh>
    <rPh sb="109" eb="112">
      <t>フジュウブン</t>
    </rPh>
    <rPh sb="113" eb="115">
      <t>ハンダン</t>
    </rPh>
    <rPh sb="118" eb="120">
      <t>バアイ</t>
    </rPh>
    <rPh sb="122" eb="124">
      <t>コウヒ</t>
    </rPh>
    <rPh sb="127" eb="129">
      <t>セイビ</t>
    </rPh>
    <rPh sb="130" eb="132">
      <t>シンワ</t>
    </rPh>
    <rPh sb="140" eb="142">
      <t>コウフ</t>
    </rPh>
    <rPh sb="150" eb="152">
      <t>バアイ</t>
    </rPh>
    <rPh sb="163" eb="164">
      <t>ホン</t>
    </rPh>
    <rPh sb="164" eb="167">
      <t>ホジョキン</t>
    </rPh>
    <rPh sb="168" eb="170">
      <t>モクテキ</t>
    </rPh>
    <rPh sb="173" eb="175">
      <t>ホジョ</t>
    </rPh>
    <rPh sb="175" eb="177">
      <t>タイショウ</t>
    </rPh>
    <rPh sb="177" eb="179">
      <t>キカン</t>
    </rPh>
    <rPh sb="183" eb="186">
      <t>キンキュウテキ</t>
    </rPh>
    <rPh sb="188" eb="191">
      <t>イチジテキ</t>
    </rPh>
    <rPh sb="192" eb="194">
      <t>タイオウ</t>
    </rPh>
    <rPh sb="194" eb="195">
      <t>オヨ</t>
    </rPh>
    <rPh sb="197" eb="199">
      <t>コウヒ</t>
    </rPh>
    <rPh sb="199" eb="201">
      <t>セイビ</t>
    </rPh>
    <rPh sb="202" eb="204">
      <t>ゼンテイ</t>
    </rPh>
    <rPh sb="207" eb="209">
      <t>ヒツヨウ</t>
    </rPh>
    <rPh sb="209" eb="211">
      <t>サイショウ</t>
    </rPh>
    <rPh sb="211" eb="213">
      <t>ゲンド</t>
    </rPh>
    <rPh sb="215" eb="217">
      <t>テイレン</t>
    </rPh>
    <rPh sb="218" eb="220">
      <t>セイビ</t>
    </rPh>
    <rPh sb="221" eb="223">
      <t>ハンイ</t>
    </rPh>
    <rPh sb="228" eb="230">
      <t>ヒンモク</t>
    </rPh>
    <rPh sb="230" eb="232">
      <t>センタク</t>
    </rPh>
    <rPh sb="232" eb="233">
      <t>オヨ</t>
    </rPh>
    <rPh sb="234" eb="236">
      <t>タンカ</t>
    </rPh>
    <rPh sb="237" eb="239">
      <t>バアイ</t>
    </rPh>
    <rPh sb="242" eb="244">
      <t>イチブ</t>
    </rPh>
    <rPh sb="247" eb="249">
      <t>ゼンブ</t>
    </rPh>
    <rPh sb="252" eb="254">
      <t>コウフ</t>
    </rPh>
    <rPh sb="262" eb="264">
      <t>バアイ</t>
    </rPh>
    <rPh sb="271" eb="275">
      <t>チョッキンボシュウ</t>
    </rPh>
    <rPh sb="279" eb="281">
      <t>ヘイキン</t>
    </rPh>
    <rPh sb="281" eb="283">
      <t>セイビ</t>
    </rPh>
    <rPh sb="283" eb="284">
      <t>ヒ</t>
    </rPh>
    <rPh sb="285" eb="286">
      <t>ヤク</t>
    </rPh>
    <rPh sb="288" eb="289">
      <t>マン</t>
    </rPh>
    <rPh sb="290" eb="292">
      <t>センエン</t>
    </rPh>
    <rPh sb="296" eb="298">
      <t>オオハバ</t>
    </rPh>
    <rPh sb="299" eb="300">
      <t>コ</t>
    </rPh>
    <rPh sb="302" eb="304">
      <t>バアイ</t>
    </rPh>
    <rPh sb="323" eb="325">
      <t>カクニン</t>
    </rPh>
    <rPh sb="326" eb="328">
      <t>ケッカ</t>
    </rPh>
    <rPh sb="331" eb="333">
      <t>テイレン</t>
    </rPh>
    <rPh sb="334" eb="338">
      <t>ヒンモクセンタク</t>
    </rPh>
    <rPh sb="339" eb="341">
      <t>カノウ</t>
    </rPh>
    <rPh sb="356" eb="358">
      <t>セイビ</t>
    </rPh>
    <rPh sb="359" eb="361">
      <t>ケントウ</t>
    </rPh>
    <rPh sb="373" eb="376">
      <t>ケンヨウコウ</t>
    </rPh>
    <rPh sb="376" eb="377">
      <t>ダイ</t>
    </rPh>
    <rPh sb="379" eb="380">
      <t>ジョウ</t>
    </rPh>
    <rPh sb="381" eb="382">
      <t>モト</t>
    </rPh>
    <rPh sb="384" eb="385">
      <t>ケン</t>
    </rPh>
    <rPh sb="386" eb="388">
      <t>シドウ</t>
    </rPh>
    <rPh sb="389" eb="390">
      <t>シタガ</t>
    </rPh>
    <rPh sb="392" eb="394">
      <t>トクテイ</t>
    </rPh>
    <rPh sb="394" eb="397">
      <t>ジギョウシャ</t>
    </rPh>
    <rPh sb="397" eb="399">
      <t>イガイ</t>
    </rPh>
    <rPh sb="402" eb="404">
      <t>ミツモリ</t>
    </rPh>
    <rPh sb="404" eb="406">
      <t>チョウシュ</t>
    </rPh>
    <rPh sb="407" eb="408">
      <t>オコナ</t>
    </rPh>
    <rPh sb="413" eb="415">
      <t>バアイ</t>
    </rPh>
    <rPh sb="419" eb="421">
      <t>イチブ</t>
    </rPh>
    <rPh sb="424" eb="426">
      <t>ゼンブ</t>
    </rPh>
    <rPh sb="427" eb="431">
      <t>ホジョコウフ</t>
    </rPh>
    <rPh sb="439" eb="441">
      <t>バアイ</t>
    </rPh>
    <phoneticPr fontId="1"/>
  </si>
  <si>
    <t>建屋外の簡易診療スペースへの整備は陰圧環境確保の必要性がないため補助対象外となること。</t>
    <rPh sb="0" eb="2">
      <t>タテヤ</t>
    </rPh>
    <rPh sb="2" eb="3">
      <t>ガイ</t>
    </rPh>
    <rPh sb="4" eb="6">
      <t>カンイ</t>
    </rPh>
    <rPh sb="6" eb="8">
      <t>シンリョウ</t>
    </rPh>
    <rPh sb="14" eb="16">
      <t>セイビ</t>
    </rPh>
    <rPh sb="17" eb="19">
      <t>インアツ</t>
    </rPh>
    <rPh sb="19" eb="21">
      <t>カンキョウ</t>
    </rPh>
    <rPh sb="21" eb="23">
      <t>カクホ</t>
    </rPh>
    <rPh sb="24" eb="27">
      <t>ヒツヨウセイ</t>
    </rPh>
    <rPh sb="32" eb="34">
      <t>ホジョ</t>
    </rPh>
    <rPh sb="34" eb="36">
      <t>タイショウ</t>
    </rPh>
    <rPh sb="36" eb="37">
      <t>ガイ</t>
    </rPh>
    <phoneticPr fontId="1"/>
  </si>
  <si>
    <t>建屋構造あるいは運用のありかた変更により空間分離が可能な場合、公費補助整備の観点から補助対象外となること。</t>
    <rPh sb="0" eb="2">
      <t>タテヤ</t>
    </rPh>
    <rPh sb="2" eb="4">
      <t>コウゾウ</t>
    </rPh>
    <rPh sb="8" eb="10">
      <t>ウンヨウ</t>
    </rPh>
    <rPh sb="15" eb="17">
      <t>ヘンコウ</t>
    </rPh>
    <rPh sb="20" eb="22">
      <t>クウカン</t>
    </rPh>
    <rPh sb="22" eb="24">
      <t>ブンリ</t>
    </rPh>
    <rPh sb="25" eb="27">
      <t>カノウ</t>
    </rPh>
    <rPh sb="28" eb="30">
      <t>バアイ</t>
    </rPh>
    <rPh sb="31" eb="33">
      <t>コウヒ</t>
    </rPh>
    <rPh sb="33" eb="35">
      <t>ホジョ</t>
    </rPh>
    <rPh sb="35" eb="37">
      <t>セイビ</t>
    </rPh>
    <rPh sb="38" eb="40">
      <t>カンテン</t>
    </rPh>
    <rPh sb="42" eb="44">
      <t>ホジョ</t>
    </rPh>
    <rPh sb="44" eb="46">
      <t>タイショウ</t>
    </rPh>
    <rPh sb="46" eb="47">
      <t>ガイ</t>
    </rPh>
    <phoneticPr fontId="1"/>
  </si>
  <si>
    <t>振込先口座番号</t>
    <rPh sb="3" eb="5">
      <t>コウザ</t>
    </rPh>
    <rPh sb="5" eb="7">
      <t>バンゴウ</t>
    </rPh>
    <phoneticPr fontId="1"/>
  </si>
  <si>
    <t>消耗品増減差引簿</t>
    <rPh sb="0" eb="3">
      <t>ショウモウヒン</t>
    </rPh>
    <rPh sb="3" eb="5">
      <t>ゾウゲン</t>
    </rPh>
    <rPh sb="5" eb="8">
      <t>サシヒキボ</t>
    </rPh>
    <phoneticPr fontId="1"/>
  </si>
  <si>
    <t>消毒経費　明細</t>
    <rPh sb="0" eb="2">
      <t>ショウドク</t>
    </rPh>
    <rPh sb="2" eb="4">
      <t>ケイヒ</t>
    </rPh>
    <rPh sb="5" eb="7">
      <t>メイサイ</t>
    </rPh>
    <phoneticPr fontId="1"/>
  </si>
  <si>
    <t>診療日</t>
    <rPh sb="0" eb="3">
      <t>シンリョウビ</t>
    </rPh>
    <phoneticPr fontId="1"/>
  </si>
  <si>
    <t>休診日</t>
    <rPh sb="0" eb="3">
      <t>キュウシンビ</t>
    </rPh>
    <phoneticPr fontId="1"/>
  </si>
  <si>
    <t>人件費</t>
    <rPh sb="0" eb="3">
      <t>ジンケンヒ</t>
    </rPh>
    <phoneticPr fontId="1"/>
  </si>
  <si>
    <t>消耗品３品目</t>
    <rPh sb="0" eb="3">
      <t>ショウモウヒン</t>
    </rPh>
    <rPh sb="4" eb="6">
      <t>ヒンモク</t>
    </rPh>
    <phoneticPr fontId="1"/>
  </si>
  <si>
    <t>8/15以降</t>
  </si>
  <si>
    <t>その他マスク</t>
    <rPh sb="2" eb="3">
      <t>タ</t>
    </rPh>
    <phoneticPr fontId="13"/>
  </si>
  <si>
    <t>シールド付きマスク</t>
    <rPh sb="4" eb="5">
      <t>ツ</t>
    </rPh>
    <phoneticPr fontId="13"/>
  </si>
  <si>
    <t>レンズ交換型</t>
    <rPh sb="3" eb="6">
      <t>コウカンガタ</t>
    </rPh>
    <phoneticPr fontId="13"/>
  </si>
  <si>
    <t>プラスチックグローブ等</t>
    <rPh sb="10" eb="11">
      <t>トウ</t>
    </rPh>
    <phoneticPr fontId="13"/>
  </si>
  <si>
    <t>使い捨て一体型</t>
    <rPh sb="0" eb="1">
      <t>ツカ</t>
    </rPh>
    <rPh sb="2" eb="3">
      <t>ス</t>
    </rPh>
    <rPh sb="4" eb="7">
      <t>イッタイガタ</t>
    </rPh>
    <phoneticPr fontId="13"/>
  </si>
  <si>
    <t>交換用シールド</t>
    <rPh sb="0" eb="3">
      <t>コウカンヨウ</t>
    </rPh>
    <phoneticPr fontId="13"/>
  </si>
  <si>
    <t>期首備蓄分（国からの配布分を含む）</t>
    <rPh sb="0" eb="2">
      <t>キシュ</t>
    </rPh>
    <rPh sb="2" eb="5">
      <t>ビチクブン</t>
    </rPh>
    <rPh sb="6" eb="7">
      <t>クニ</t>
    </rPh>
    <rPh sb="10" eb="12">
      <t>ハイフ</t>
    </rPh>
    <rPh sb="12" eb="13">
      <t>ブン</t>
    </rPh>
    <rPh sb="14" eb="15">
      <t>フク</t>
    </rPh>
    <phoneticPr fontId="9"/>
  </si>
  <si>
    <t>通期補助対象使用量</t>
    <rPh sb="0" eb="2">
      <t>ツウキ</t>
    </rPh>
    <rPh sb="2" eb="6">
      <t>ホジョタイショウ</t>
    </rPh>
    <rPh sb="6" eb="9">
      <t>シヨウリョウ</t>
    </rPh>
    <phoneticPr fontId="12"/>
  </si>
  <si>
    <t>期間内購入量</t>
    <rPh sb="0" eb="3">
      <t>キカンナイ</t>
    </rPh>
    <rPh sb="3" eb="6">
      <t>コウニュウリョウ</t>
    </rPh>
    <phoneticPr fontId="12"/>
  </si>
  <si>
    <t>期首備蓄＆国配布分</t>
    <rPh sb="0" eb="2">
      <t>キシュ</t>
    </rPh>
    <rPh sb="2" eb="4">
      <t>ビチク</t>
    </rPh>
    <rPh sb="5" eb="6">
      <t>クニ</t>
    </rPh>
    <rPh sb="6" eb="9">
      <t>ハイフブン</t>
    </rPh>
    <phoneticPr fontId="12"/>
  </si>
  <si>
    <t>内、有咳症状者</t>
    <rPh sb="0" eb="1">
      <t>ウチ</t>
    </rPh>
    <rPh sb="2" eb="3">
      <t>ユウ</t>
    </rPh>
    <rPh sb="3" eb="4">
      <t>セキ</t>
    </rPh>
    <rPh sb="4" eb="7">
      <t>ショウジョウシャ</t>
    </rPh>
    <phoneticPr fontId="1"/>
  </si>
  <si>
    <t>内、有咳症状者</t>
    <rPh sb="0" eb="1">
      <t>ウチ</t>
    </rPh>
    <rPh sb="2" eb="4">
      <t>ユウセキ</t>
    </rPh>
    <rPh sb="4" eb="7">
      <t>ショウジョウシャ</t>
    </rPh>
    <phoneticPr fontId="1"/>
  </si>
  <si>
    <t>有咳症状者</t>
    <rPh sb="0" eb="1">
      <t>ユウ</t>
    </rPh>
    <rPh sb="1" eb="5">
      <t>セキショウジョウシャ</t>
    </rPh>
    <phoneticPr fontId="1"/>
  </si>
  <si>
    <t>令和５年度　新型コロナウイルス感染症外来対応医療機関等設備整備費補助金（１０月３１日～３月３１日分）</t>
    <phoneticPr fontId="1"/>
  </si>
  <si>
    <t>交付申請兼実績報告</t>
    <rPh sb="0" eb="5">
      <t>コウフシンセイケン</t>
    </rPh>
    <rPh sb="5" eb="9">
      <t>ジッセキホウコク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</si>
</sst>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5">
    <numFmt numFmtId="176" formatCode="#,##0_);[Red]\(#,##0\)"/>
    <numFmt numFmtId="177" formatCode="[$-411]ggge&quot;年&quot;m&quot;月&quot;d&quot;日&quot;;@"/>
    <numFmt numFmtId="178" formatCode="#,##0&quot;円&quot;;[Red]\(#,##0\)&quot;円&quot;"/>
    <numFmt numFmtId="179" formatCode="#,##0&quot;円&quot;"/>
    <numFmt numFmtId="180" formatCode="#,##0&quot;台&quot;"/>
    <numFmt numFmtId="181" formatCode="#,##0&quot;式&quot;"/>
    <numFmt numFmtId="182" formatCode="#,##0&quot;日&quot;"/>
    <numFmt numFmtId="183" formatCode="#,##0&quot;人&quot;"/>
    <numFmt numFmtId="184" formatCode="&quot;金&quot;#,##0&quot;円&quot;"/>
    <numFmt numFmtId="185" formatCode="&quot;金&quot;#,##0&quot;円&quot;\ "/>
    <numFmt numFmtId="186" formatCode="#,##0&quot;円&quot;\ "/>
    <numFmt numFmtId="187" formatCode="&quot;金&quot;#,##0&quot;円&quot;;&quot;△ &quot;&quot;金&quot;#,##0&quot;円&quot;"/>
    <numFmt numFmtId="188" formatCode="#,##0&quot;施設&quot;"/>
    <numFmt numFmtId="189" formatCode="#,##0&quot;行&quot;&quot;目&quot;"/>
    <numFmt numFmtId="190" formatCode="\4&quot;感&quot;&quot;対&quot;&quot;第1411－&quot;0&quot;号&quot;\ "/>
    <numFmt numFmtId="191" formatCode="0_);[Red]\(0\)"/>
    <numFmt numFmtId="192" formatCode="&quot;診&quot;&quot;検&quot;&quot;第&quot;0&quot;号&quot;\ "/>
    <numFmt numFmtId="193" formatCode="\(#,##0&quot;円&quot;\)"/>
    <numFmt numFmtId="194" formatCode="&quot;診&quot;&quot;検&quot;&quot;第&quot;0&quot;号&quot;"/>
    <numFmt numFmtId="195" formatCode="#,##0.00&quot;円&quot;"/>
    <numFmt numFmtId="196" formatCode="#,##0_ "/>
    <numFmt numFmtId="197" formatCode="#,##0.0&quot;枚&quot;"/>
    <numFmt numFmtId="198" formatCode="#,##0.0&quot;個&quot;"/>
    <numFmt numFmtId="199" formatCode="#,##0.0&quot;着&quot;"/>
    <numFmt numFmtId="200" formatCode="0_ "/>
    <numFmt numFmtId="201" formatCode="&quot;【&quot;#,##0&quot;円&quot;&quot;】&quot;"/>
    <numFmt numFmtId="202" formatCode="0&quot;円&quot;"/>
    <numFmt numFmtId="203" formatCode="#,##0&quot;枚&quot;"/>
    <numFmt numFmtId="204" formatCode="#,##0&quot;個&quot;"/>
    <numFmt numFmtId="205" formatCode="#,##0&quot;箱&quot;"/>
    <numFmt numFmtId="206" formatCode="#,##0&quot;着&quot;"/>
    <numFmt numFmtId="207" formatCode="[h]:mm"/>
    <numFmt numFmtId="208" formatCode="#,##0.0&quot;時&quot;&quot;間&quot;"/>
    <numFmt numFmtId="209" formatCode="#,##0&quot;時&quot;&quot;間&quot;"/>
    <numFmt numFmtId="210" formatCode="#,##0.0&quot;人&quot;"/>
    <numFmt numFmtId="211" formatCode="#,##0.0"/>
    <numFmt numFmtId="212" formatCode="#,##0.0&quot;円&quot;"/>
    <numFmt numFmtId="213" formatCode="#,##0&quot;ヶ&quot;"/>
    <numFmt numFmtId="214" formatCode="#,##0.00&quot;枚&quot;"/>
    <numFmt numFmtId="215" formatCode="0.00&quot;着&quot;"/>
    <numFmt numFmtId="216" formatCode="#,##0.00&quot;着&quot;"/>
    <numFmt numFmtId="217" formatCode="#,##0.00&quot;個&quot;"/>
    <numFmt numFmtId="218" formatCode="&quot;計&quot;#,##0&quot;日&quot;"/>
    <numFmt numFmtId="219" formatCode="&quot;計&quot;#,##0.0&quot;人&quot;"/>
    <numFmt numFmtId="220" formatCode="#,##0.00&quot;時&quot;&quot;間&quot;"/>
    <numFmt numFmtId="221" formatCode="0.00&quot;時間/日&quot;"/>
    <numFmt numFmtId="222" formatCode="#,##0.00&quot;人/日&quot;"/>
    <numFmt numFmtId="223" formatCode="#,##0.0&quot;枚&quot;;&quot;△ &quot;#,##0.0&quot;枚&quot;"/>
    <numFmt numFmtId="224" formatCode="#,##0.0&quot;個&quot;;&quot;△ &quot;#,##0.0&quot;個&quot;"/>
    <numFmt numFmtId="225" formatCode="#,##0.0&quot;着&quot;;&quot;△ &quot;#,##0.0&quot;着&quot;"/>
    <numFmt numFmtId="226" formatCode="#,##0.00&quot;時&quot;&quot;間/日&quot;"/>
    <numFmt numFmtId="227" formatCode="&quot;平均&quot;#,##0.00&quot;時間/日&quot;"/>
    <numFmt numFmtId="228" formatCode="&quot;平&quot;&quot;均&quot;#,##0.00&quot;時間/月&quot;"/>
    <numFmt numFmtId="229" formatCode="#,##0.00&quot;時間/月&quot;"/>
    <numFmt numFmtId="230" formatCode="0.00&quot;時&quot;&quot;間/月&quot;"/>
    <numFmt numFmtId="231" formatCode="#,##0.00&quot;名&quot;"/>
    <numFmt numFmtId="232" formatCode="#,##0.00&quot;枚/患者&quot;"/>
    <numFmt numFmtId="233" formatCode="0.00&quot;着/患者&quot;"/>
    <numFmt numFmtId="234" formatCode="#,##0.00&quot;個/患者&quot;"/>
    <numFmt numFmtId="235" formatCode="&quot;計&quot;#,##0&quot;人&quot;"/>
    <numFmt numFmtId="236" formatCode="yyyy&quot;年&quot;m&quot;月&quot;d&quot;日&quot;;@"/>
    <numFmt numFmtId="237" formatCode="&quot;平均&quot;#,##0.0&quot;人&quot;"/>
    <numFmt numFmtId="238" formatCode="#,##0&quot;時間&quot;"/>
    <numFmt numFmtId="239" formatCode="#,##0&quot;分&quot;"/>
    <numFmt numFmtId="240" formatCode="#,##0&quot;回&quot;"/>
    <numFmt numFmtId="241" formatCode="0&quot;月&quot;"/>
    <numFmt numFmtId="242" formatCode="m/d;@"/>
    <numFmt numFmtId="243" formatCode="#,##0&quot;噴&quot;&quot;霧&quot;"/>
    <numFmt numFmtId="244" formatCode="#,##0&quot;ml&quot;"/>
    <numFmt numFmtId="245" formatCode="#,##0&quot;倍&quot;"/>
    <numFmt numFmtId="246" formatCode="#,##0.0&quot;ml&quot;"/>
    <numFmt numFmtId="247" formatCode="#,##0.0_);[Red]\(#,##0.0\)"/>
    <numFmt numFmtId="248" formatCode="yyyy/m/d;@"/>
    <numFmt numFmtId="249" formatCode="0.0_);[Red]\(0.0\)"/>
    <numFmt numFmtId="253" formatCode="&quot;段&quot;&quot;階&quot;0"/>
  </numFmts>
  <fonts count="74"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1"/>
      <name val="ＭＳ Ｐゴシック"/>
      <family val="3"/>
      <charset val="128"/>
    </font>
    <font>
      <sz val="6"/>
      <name val="ＭＳ Ｐゴシック"/>
      <family val="3"/>
      <charset val="128"/>
    </font>
    <font>
      <sz val="11"/>
      <color theme="1"/>
      <name val="游ゴシック"/>
      <family val="2"/>
      <charset val="128"/>
      <scheme val="minor"/>
    </font>
    <font>
      <sz val="11"/>
      <color theme="1"/>
      <name val="游ゴシック"/>
      <family val="3"/>
      <charset val="128"/>
      <scheme val="minor"/>
    </font>
    <font>
      <b/>
      <sz val="11"/>
      <color theme="1"/>
      <name val="游ゴシック"/>
      <family val="3"/>
      <charset val="128"/>
      <scheme val="minor"/>
    </font>
    <font>
      <b/>
      <sz val="10"/>
      <color theme="1"/>
      <name val="游ゴシック"/>
      <family val="3"/>
      <charset val="128"/>
      <scheme val="minor"/>
    </font>
    <font>
      <b/>
      <sz val="12"/>
      <color theme="1"/>
      <name val="游ゴシック"/>
      <family val="3"/>
      <charset val="128"/>
      <scheme val="minor"/>
    </font>
    <font>
      <b/>
      <sz val="11"/>
      <color rgb="FFFF0000"/>
      <name val="游ゴシック"/>
      <family val="3"/>
      <charset val="128"/>
      <scheme val="minor"/>
    </font>
    <font>
      <b/>
      <sz val="12"/>
      <color rgb="FFFF0000"/>
      <name val="游ゴシック"/>
      <family val="3"/>
      <charset val="128"/>
      <scheme val="minor"/>
    </font>
    <font>
      <sz val="6"/>
      <name val="游ゴシック"/>
      <family val="3"/>
      <charset val="128"/>
      <scheme val="minor"/>
    </font>
    <font>
      <sz val="14"/>
      <color theme="1"/>
      <name val="游ゴシック"/>
      <family val="3"/>
      <charset val="128"/>
      <scheme val="minor"/>
    </font>
    <font>
      <b/>
      <sz val="14"/>
      <color rgb="FFFF0000"/>
      <name val="游ゴシック"/>
      <family val="3"/>
      <charset val="128"/>
      <scheme val="minor"/>
    </font>
    <font>
      <b/>
      <u val="double"/>
      <sz val="14"/>
      <color rgb="FFFF0000"/>
      <name val="游ゴシック"/>
      <family val="3"/>
      <charset val="128"/>
      <scheme val="minor"/>
    </font>
    <font>
      <b/>
      <sz val="12"/>
      <name val="游ゴシック"/>
      <family val="3"/>
      <charset val="128"/>
      <scheme val="minor"/>
    </font>
    <font>
      <b/>
      <sz val="14"/>
      <color theme="1"/>
      <name val="游ゴシック"/>
      <family val="3"/>
      <charset val="128"/>
      <scheme val="minor"/>
    </font>
    <font>
      <b/>
      <sz val="16"/>
      <color theme="1"/>
      <name val="游ゴシック"/>
      <family val="3"/>
      <charset val="128"/>
      <scheme val="minor"/>
    </font>
    <font>
      <b/>
      <sz val="6"/>
      <color theme="1"/>
      <name val="游ゴシック"/>
      <family val="3"/>
      <charset val="128"/>
      <scheme val="minor"/>
    </font>
    <font>
      <b/>
      <sz val="18"/>
      <color theme="1"/>
      <name val="游ゴシック"/>
      <family val="3"/>
      <charset val="128"/>
      <scheme val="minor"/>
    </font>
    <font>
      <b/>
      <sz val="11"/>
      <name val="游ゴシック"/>
      <family val="3"/>
      <charset val="128"/>
      <scheme val="minor"/>
    </font>
    <font>
      <b/>
      <sz val="14"/>
      <name val="游ゴシック"/>
      <family val="3"/>
      <charset val="128"/>
      <scheme val="minor"/>
    </font>
    <font>
      <b/>
      <sz val="10.5"/>
      <name val="游ゴシック"/>
      <family val="3"/>
      <charset val="128"/>
      <scheme val="minor"/>
    </font>
    <font>
      <sz val="9"/>
      <color rgb="FFFF0000"/>
      <name val="游ゴシック"/>
      <family val="3"/>
      <charset val="128"/>
      <scheme val="minor"/>
    </font>
    <font>
      <b/>
      <u/>
      <sz val="11"/>
      <color theme="10"/>
      <name val="游ゴシック"/>
      <family val="3"/>
      <charset val="128"/>
      <scheme val="minor"/>
    </font>
    <font>
      <b/>
      <sz val="9"/>
      <color rgb="FFFFFF00"/>
      <name val="游ゴシック"/>
      <family val="3"/>
      <charset val="128"/>
      <scheme val="minor"/>
    </font>
    <font>
      <b/>
      <sz val="11"/>
      <color rgb="FFFFFF00"/>
      <name val="游ゴシック"/>
      <family val="3"/>
      <charset val="128"/>
      <scheme val="minor"/>
    </font>
    <font>
      <b/>
      <sz val="11"/>
      <color rgb="FF444444"/>
      <name val="游ゴシック"/>
      <family val="3"/>
      <charset val="128"/>
      <scheme val="minor"/>
    </font>
    <font>
      <sz val="10"/>
      <color theme="1"/>
      <name val="游ゴシック"/>
      <family val="3"/>
      <charset val="128"/>
      <scheme val="minor"/>
    </font>
    <font>
      <b/>
      <sz val="9"/>
      <color theme="1"/>
      <name val="游ゴシック"/>
      <family val="3"/>
      <charset val="128"/>
      <scheme val="minor"/>
    </font>
    <font>
      <b/>
      <sz val="10"/>
      <name val="游ゴシック"/>
      <family val="3"/>
      <charset val="128"/>
      <scheme val="minor"/>
    </font>
    <font>
      <b/>
      <sz val="10"/>
      <color rgb="FFFF0000"/>
      <name val="游ゴシック"/>
      <family val="3"/>
      <charset val="128"/>
      <scheme val="minor"/>
    </font>
    <font>
      <sz val="10"/>
      <color rgb="FFFF0000"/>
      <name val="游ゴシック"/>
      <family val="3"/>
      <charset val="128"/>
      <scheme val="minor"/>
    </font>
    <font>
      <sz val="10"/>
      <color theme="1"/>
      <name val="Segoe UI Symbol"/>
      <family val="3"/>
    </font>
    <font>
      <b/>
      <sz val="11"/>
      <color theme="1"/>
      <name val="Segoe UI Symbol"/>
      <family val="2"/>
    </font>
    <font>
      <sz val="12"/>
      <color theme="1"/>
      <name val="游ゴシック"/>
      <family val="3"/>
      <charset val="128"/>
      <scheme val="minor"/>
    </font>
    <font>
      <sz val="16"/>
      <color theme="1"/>
      <name val="游ゴシック"/>
      <family val="3"/>
      <charset val="128"/>
      <scheme val="minor"/>
    </font>
    <font>
      <sz val="11"/>
      <color rgb="FF006100"/>
      <name val="游ゴシック"/>
      <family val="2"/>
      <charset val="128"/>
      <scheme val="minor"/>
    </font>
    <font>
      <sz val="11"/>
      <color theme="1"/>
      <name val="游ゴシック"/>
      <family val="2"/>
      <scheme val="minor"/>
    </font>
    <font>
      <b/>
      <sz val="22"/>
      <color theme="1"/>
      <name val="游ゴシック"/>
      <family val="3"/>
      <charset val="128"/>
      <scheme val="minor"/>
    </font>
    <font>
      <sz val="22"/>
      <color theme="1"/>
      <name val="游ゴシック"/>
      <family val="3"/>
      <charset val="128"/>
      <scheme val="minor"/>
    </font>
    <font>
      <b/>
      <sz val="36"/>
      <color theme="1"/>
      <name val="游ゴシック"/>
      <family val="3"/>
      <charset val="128"/>
      <scheme val="minor"/>
    </font>
    <font>
      <sz val="36"/>
      <color theme="1"/>
      <name val="游ゴシック"/>
      <family val="3"/>
      <charset val="128"/>
      <scheme val="minor"/>
    </font>
    <font>
      <b/>
      <sz val="6"/>
      <color rgb="FFFF0000"/>
      <name val="游ゴシック"/>
      <family val="3"/>
      <charset val="128"/>
      <scheme val="minor"/>
    </font>
    <font>
      <b/>
      <sz val="9"/>
      <name val="游ゴシック"/>
      <family val="3"/>
      <charset val="128"/>
      <scheme val="minor"/>
    </font>
    <font>
      <sz val="11"/>
      <name val="游ゴシック"/>
      <family val="3"/>
      <charset val="128"/>
      <scheme val="minor"/>
    </font>
    <font>
      <sz val="18"/>
      <color theme="1"/>
      <name val="游ゴシック"/>
      <family val="3"/>
      <charset val="128"/>
      <scheme val="minor"/>
    </font>
    <font>
      <sz val="11"/>
      <color rgb="FFFF0000"/>
      <name val="游ゴシック"/>
      <family val="3"/>
      <charset val="128"/>
      <scheme val="minor"/>
    </font>
    <font>
      <b/>
      <u/>
      <sz val="10"/>
      <color rgb="FFFF0000"/>
      <name val="游ゴシック"/>
      <family val="3"/>
      <charset val="128"/>
      <scheme val="minor"/>
    </font>
    <font>
      <sz val="10"/>
      <color theme="1"/>
      <name val="游ゴシック"/>
      <family val="2"/>
      <charset val="128"/>
      <scheme val="minor"/>
    </font>
    <font>
      <u/>
      <sz val="11"/>
      <color theme="10"/>
      <name val="游ゴシック"/>
      <family val="2"/>
      <scheme val="minor"/>
    </font>
    <font>
      <sz val="11"/>
      <color theme="1"/>
      <name val="ＭＳ Ｐゴシック"/>
      <family val="2"/>
      <charset val="128"/>
    </font>
    <font>
      <sz val="11"/>
      <name val="ＭＳ Ｐゴシック"/>
      <family val="3"/>
    </font>
    <font>
      <b/>
      <sz val="8"/>
      <color theme="1"/>
      <name val="游ゴシック"/>
      <family val="3"/>
      <charset val="128"/>
      <scheme val="minor"/>
    </font>
    <font>
      <b/>
      <sz val="11"/>
      <color theme="1"/>
      <name val="游ゴシック"/>
      <family val="2"/>
      <scheme val="minor"/>
    </font>
    <font>
      <b/>
      <sz val="18"/>
      <color theme="1"/>
      <name val="ＭＳ ゴシック"/>
      <family val="3"/>
      <charset val="128"/>
    </font>
    <font>
      <b/>
      <sz val="11"/>
      <color theme="0"/>
      <name val="游ゴシック"/>
      <family val="2"/>
      <scheme val="minor"/>
    </font>
    <font>
      <b/>
      <sz val="11"/>
      <color theme="0"/>
      <name val="游ゴシック"/>
      <family val="3"/>
      <charset val="128"/>
      <scheme val="minor"/>
    </font>
    <font>
      <b/>
      <sz val="16"/>
      <color rgb="FFFF0000"/>
      <name val="游ゴシック"/>
      <family val="3"/>
      <charset val="128"/>
      <scheme val="minor"/>
    </font>
    <font>
      <sz val="16"/>
      <color rgb="FFFF0000"/>
      <name val="游ゴシック"/>
      <family val="3"/>
      <charset val="128"/>
      <scheme val="minor"/>
    </font>
    <font>
      <b/>
      <sz val="16"/>
      <color theme="1"/>
      <name val="游ゴシック"/>
      <family val="2"/>
      <scheme val="minor"/>
    </font>
    <font>
      <sz val="12"/>
      <color theme="1"/>
      <name val="游ゴシック"/>
      <family val="2"/>
      <scheme val="minor"/>
    </font>
    <font>
      <b/>
      <u/>
      <sz val="14"/>
      <color rgb="FFFF0000"/>
      <name val="游ゴシック"/>
      <family val="3"/>
      <charset val="128"/>
      <scheme val="minor"/>
    </font>
    <font>
      <b/>
      <sz val="14"/>
      <color theme="1"/>
      <name val="游ゴシック"/>
      <family val="2"/>
      <scheme val="minor"/>
    </font>
    <font>
      <sz val="14"/>
      <color rgb="FFFF0000"/>
      <name val="游ゴシック"/>
      <family val="3"/>
      <charset val="128"/>
      <scheme val="minor"/>
    </font>
    <font>
      <sz val="14"/>
      <color theme="1"/>
      <name val="游ゴシック"/>
      <family val="2"/>
      <scheme val="minor"/>
    </font>
    <font>
      <b/>
      <u/>
      <sz val="12"/>
      <color rgb="FFFF0000"/>
      <name val="游ゴシック"/>
      <family val="3"/>
      <charset val="128"/>
      <scheme val="minor"/>
    </font>
    <font>
      <b/>
      <sz val="12"/>
      <color theme="1"/>
      <name val="游ゴシック"/>
      <family val="2"/>
      <scheme val="minor"/>
    </font>
    <font>
      <b/>
      <sz val="14"/>
      <color indexed="81"/>
      <name val="游ゴシック"/>
      <family val="3"/>
      <charset val="128"/>
      <scheme val="minor"/>
    </font>
    <font>
      <b/>
      <sz val="8"/>
      <name val="游ゴシック"/>
      <family val="3"/>
      <charset val="128"/>
      <scheme val="minor"/>
    </font>
    <font>
      <b/>
      <sz val="6"/>
      <name val="游ゴシック"/>
      <family val="3"/>
      <charset val="128"/>
      <scheme val="minor"/>
    </font>
    <font>
      <sz val="12"/>
      <color theme="1"/>
      <name val="ＭＳ ゴシック"/>
      <family val="3"/>
      <charset val="128"/>
    </font>
    <font>
      <b/>
      <sz val="6"/>
      <color theme="5" tint="0.79998168889431442"/>
      <name val="游ゴシック"/>
      <family val="3"/>
      <charset val="128"/>
      <scheme val="minor"/>
    </font>
  </fonts>
  <fills count="1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FFFF99"/>
        <bgColor indexed="64"/>
      </patternFill>
    </fill>
    <fill>
      <patternFill patternType="solid">
        <fgColor theme="6"/>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8" tint="0.79998168889431442"/>
        <bgColor indexed="64"/>
      </patternFill>
    </fill>
  </fills>
  <borders count="19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hair">
        <color indexed="64"/>
      </left>
      <right style="hair">
        <color indexed="64"/>
      </right>
      <top style="hair">
        <color indexed="64"/>
      </top>
      <bottom style="hair">
        <color indexed="64"/>
      </bottom>
      <diagonal/>
    </border>
    <border>
      <left/>
      <right/>
      <top style="medium">
        <color auto="1"/>
      </top>
      <bottom/>
      <diagonal/>
    </border>
    <border>
      <left/>
      <right style="medium">
        <color indexed="64"/>
      </right>
      <top style="medium">
        <color indexed="64"/>
      </top>
      <bottom/>
      <diagonal/>
    </border>
    <border>
      <left style="medium">
        <color auto="1"/>
      </left>
      <right/>
      <top/>
      <bottom/>
      <diagonal/>
    </border>
    <border>
      <left/>
      <right style="medium">
        <color auto="1"/>
      </right>
      <top/>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right/>
      <top style="hair">
        <color auto="1"/>
      </top>
      <bottom/>
      <diagonal/>
    </border>
    <border>
      <left/>
      <right/>
      <top/>
      <bottom style="hair">
        <color auto="1"/>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dashed">
        <color auto="1"/>
      </left>
      <right/>
      <top/>
      <bottom/>
      <diagonal/>
    </border>
    <border>
      <left/>
      <right style="dashed">
        <color auto="1"/>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auto="1"/>
      </left>
      <right style="double">
        <color auto="1"/>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diagonal/>
    </border>
    <border>
      <left/>
      <right/>
      <top style="thin">
        <color indexed="64"/>
      </top>
      <bottom style="medium">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thin">
        <color indexed="64"/>
      </left>
      <right/>
      <top/>
      <bottom style="double">
        <color indexed="64"/>
      </bottom>
      <diagonal/>
    </border>
    <border>
      <left/>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medium">
        <color indexed="64"/>
      </left>
      <right style="thin">
        <color indexed="64"/>
      </right>
      <top style="double">
        <color indexed="64"/>
      </top>
      <bottom/>
      <diagonal/>
    </border>
    <border>
      <left/>
      <right style="medium">
        <color indexed="64"/>
      </right>
      <top/>
      <bottom style="double">
        <color indexed="64"/>
      </bottom>
      <diagonal/>
    </border>
    <border>
      <left/>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double">
        <color indexed="64"/>
      </left>
      <right/>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double">
        <color indexed="64"/>
      </left>
      <right/>
      <top style="double">
        <color indexed="64"/>
      </top>
      <bottom/>
      <diagonal/>
    </border>
    <border>
      <left style="double">
        <color indexed="64"/>
      </left>
      <right/>
      <top style="thin">
        <color indexed="64"/>
      </top>
      <bottom/>
      <diagonal/>
    </border>
    <border>
      <left style="medium">
        <color indexed="64"/>
      </left>
      <right style="thin">
        <color indexed="64"/>
      </right>
      <top/>
      <bottom style="thin">
        <color indexed="64"/>
      </bottom>
      <diagonal/>
    </border>
    <border>
      <left style="double">
        <color indexed="64"/>
      </left>
      <right/>
      <top/>
      <bottom style="thin">
        <color indexed="64"/>
      </bottom>
      <diagonal/>
    </border>
    <border>
      <left/>
      <right style="medium">
        <color indexed="64"/>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auto="1"/>
      </right>
      <top style="double">
        <color auto="1"/>
      </top>
      <bottom/>
      <diagonal/>
    </border>
    <border>
      <left/>
      <right style="double">
        <color auto="1"/>
      </right>
      <top/>
      <bottom/>
      <diagonal/>
    </border>
    <border>
      <left/>
      <right style="double">
        <color auto="1"/>
      </right>
      <top/>
      <bottom style="double">
        <color auto="1"/>
      </bottom>
      <diagonal/>
    </border>
    <border>
      <left style="double">
        <color auto="1"/>
      </left>
      <right/>
      <top style="double">
        <color auto="1"/>
      </top>
      <bottom style="hair">
        <color auto="1"/>
      </bottom>
      <diagonal/>
    </border>
    <border>
      <left/>
      <right/>
      <top style="double">
        <color auto="1"/>
      </top>
      <bottom style="hair">
        <color auto="1"/>
      </bottom>
      <diagonal/>
    </border>
    <border>
      <left/>
      <right style="double">
        <color auto="1"/>
      </right>
      <top style="double">
        <color auto="1"/>
      </top>
      <bottom style="hair">
        <color auto="1"/>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double">
        <color rgb="FFFF0000"/>
      </bottom>
      <diagonal/>
    </border>
    <border>
      <left style="thin">
        <color indexed="64"/>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double">
        <color rgb="FFFF0000"/>
      </top>
      <bottom style="thin">
        <color rgb="FFFF0000"/>
      </bottom>
      <diagonal/>
    </border>
    <border>
      <left/>
      <right style="double">
        <color rgb="FFFF0000"/>
      </right>
      <top style="double">
        <color rgb="FFFF0000"/>
      </top>
      <bottom style="thin">
        <color rgb="FFFF0000"/>
      </bottom>
      <diagonal/>
    </border>
    <border>
      <left style="double">
        <color rgb="FFFF0000"/>
      </left>
      <right/>
      <top style="thin">
        <color rgb="FFFF0000"/>
      </top>
      <bottom style="thin">
        <color rgb="FFFF0000"/>
      </bottom>
      <diagonal/>
    </border>
    <border>
      <left/>
      <right style="double">
        <color rgb="FFFF0000"/>
      </right>
      <top style="thin">
        <color rgb="FFFF0000"/>
      </top>
      <bottom style="thin">
        <color rgb="FFFF0000"/>
      </bottom>
      <diagonal/>
    </border>
    <border>
      <left style="double">
        <color rgb="FFFF0000"/>
      </left>
      <right/>
      <top style="thin">
        <color rgb="FFFF0000"/>
      </top>
      <bottom style="double">
        <color rgb="FFFF0000"/>
      </bottom>
      <diagonal/>
    </border>
    <border>
      <left/>
      <right style="double">
        <color rgb="FFFF0000"/>
      </right>
      <top style="thin">
        <color rgb="FFFF0000"/>
      </top>
      <bottom style="double">
        <color rgb="FFFF0000"/>
      </bottom>
      <diagonal/>
    </border>
    <border>
      <left style="double">
        <color rgb="FFFF0000"/>
      </left>
      <right style="double">
        <color rgb="FFFF0000"/>
      </right>
      <top style="double">
        <color rgb="FFFF0000"/>
      </top>
      <bottom style="thin">
        <color rgb="FFFF0000"/>
      </bottom>
      <diagonal/>
    </border>
    <border>
      <left style="double">
        <color rgb="FFFF0000"/>
      </left>
      <right style="double">
        <color rgb="FFFF0000"/>
      </right>
      <top style="thin">
        <color rgb="FFFF0000"/>
      </top>
      <bottom style="thin">
        <color rgb="FFFF0000"/>
      </bottom>
      <diagonal/>
    </border>
    <border>
      <left style="double">
        <color rgb="FFFF0000"/>
      </left>
      <right style="double">
        <color rgb="FFFF0000"/>
      </right>
      <top style="thin">
        <color rgb="FFFF0000"/>
      </top>
      <bottom style="double">
        <color rgb="FFFF0000"/>
      </bottom>
      <diagonal/>
    </border>
    <border>
      <left style="double">
        <color rgb="FFFF0000"/>
      </left>
      <right style="double">
        <color rgb="FFFF0000"/>
      </right>
      <top style="thin">
        <color rgb="FFFF0000"/>
      </top>
      <bottom/>
      <diagonal/>
    </border>
    <border>
      <left style="double">
        <color rgb="FFFF0000"/>
      </left>
      <right style="double">
        <color rgb="FFFF0000"/>
      </right>
      <top/>
      <bottom/>
      <diagonal/>
    </border>
    <border>
      <left style="thin">
        <color indexed="64"/>
      </left>
      <right style="double">
        <color indexed="64"/>
      </right>
      <top style="thin">
        <color indexed="64"/>
      </top>
      <bottom style="double">
        <color indexed="64"/>
      </bottom>
      <diagonal/>
    </border>
    <border>
      <left/>
      <right style="double">
        <color rgb="FFFF0000"/>
      </right>
      <top style="thin">
        <color indexed="64"/>
      </top>
      <bottom style="double">
        <color indexed="64"/>
      </bottom>
      <diagonal/>
    </border>
    <border>
      <left style="double">
        <color rgb="FFFF0000"/>
      </left>
      <right style="double">
        <color rgb="FFFF0000"/>
      </right>
      <top style="double">
        <color rgb="FFFF0000"/>
      </top>
      <bottom/>
      <diagonal/>
    </border>
    <border>
      <left style="double">
        <color rgb="FFFF0000"/>
      </left>
      <right style="double">
        <color rgb="FFFF0000"/>
      </right>
      <top/>
      <bottom style="double">
        <color rgb="FFFF0000"/>
      </bottom>
      <diagonal/>
    </border>
    <border>
      <left style="double">
        <color indexed="64"/>
      </left>
      <right/>
      <top style="medium">
        <color indexed="64"/>
      </top>
      <bottom style="medium">
        <color auto="1"/>
      </bottom>
      <diagonal/>
    </border>
    <border>
      <left style="double">
        <color rgb="FFFF0000"/>
      </left>
      <right/>
      <top style="thin">
        <color rgb="FFFF0000"/>
      </top>
      <bottom/>
      <diagonal/>
    </border>
    <border>
      <left/>
      <right style="double">
        <color rgb="FFFF0000"/>
      </right>
      <top style="thin">
        <color rgb="FFFF0000"/>
      </top>
      <bottom/>
      <diagonal/>
    </border>
    <border>
      <left style="double">
        <color rgb="FFFF0000"/>
      </left>
      <right/>
      <top style="medium">
        <color rgb="FFFF0000"/>
      </top>
      <bottom/>
      <diagonal/>
    </border>
    <border>
      <left/>
      <right style="double">
        <color rgb="FFFF0000"/>
      </right>
      <top style="medium">
        <color rgb="FFFF0000"/>
      </top>
      <bottom/>
      <diagonal/>
    </border>
    <border>
      <left style="double">
        <color rgb="FFFF0000"/>
      </left>
      <right style="thin">
        <color rgb="FFFF0000"/>
      </right>
      <top style="double">
        <color rgb="FFFF0000"/>
      </top>
      <bottom style="double">
        <color rgb="FFFF0000"/>
      </bottom>
      <diagonal/>
    </border>
    <border>
      <left style="thin">
        <color rgb="FFFF0000"/>
      </left>
      <right style="thin">
        <color rgb="FFFF0000"/>
      </right>
      <top style="double">
        <color rgb="FFFF0000"/>
      </top>
      <bottom style="double">
        <color rgb="FFFF0000"/>
      </bottom>
      <diagonal/>
    </border>
    <border>
      <left style="thin">
        <color rgb="FFFF0000"/>
      </left>
      <right style="double">
        <color rgb="FFFF0000"/>
      </right>
      <top style="double">
        <color rgb="FFFF0000"/>
      </top>
      <bottom style="double">
        <color rgb="FFFF0000"/>
      </bottom>
      <diagonal/>
    </border>
    <border>
      <left style="double">
        <color rgb="FFFF0000"/>
      </left>
      <right style="thin">
        <color indexed="64"/>
      </right>
      <top style="double">
        <color rgb="FFFF0000"/>
      </top>
      <bottom style="thin">
        <color rgb="FFFF0000"/>
      </bottom>
      <diagonal/>
    </border>
    <border>
      <left style="thin">
        <color indexed="64"/>
      </left>
      <right style="double">
        <color rgb="FFFF0000"/>
      </right>
      <top style="double">
        <color rgb="FFFF0000"/>
      </top>
      <bottom style="thin">
        <color rgb="FFFF0000"/>
      </bottom>
      <diagonal/>
    </border>
    <border>
      <left style="double">
        <color rgb="FFFF0000"/>
      </left>
      <right style="thin">
        <color indexed="64"/>
      </right>
      <top style="thin">
        <color rgb="FFFF0000"/>
      </top>
      <bottom style="thin">
        <color rgb="FFFF0000"/>
      </bottom>
      <diagonal/>
    </border>
    <border>
      <left style="thin">
        <color indexed="64"/>
      </left>
      <right style="double">
        <color rgb="FFFF0000"/>
      </right>
      <top style="thin">
        <color rgb="FFFF0000"/>
      </top>
      <bottom style="thin">
        <color rgb="FFFF0000"/>
      </bottom>
      <diagonal/>
    </border>
    <border>
      <left style="double">
        <color rgb="FFFF0000"/>
      </left>
      <right style="thin">
        <color indexed="64"/>
      </right>
      <top style="thin">
        <color rgb="FFFF0000"/>
      </top>
      <bottom style="double">
        <color rgb="FFFF0000"/>
      </bottom>
      <diagonal/>
    </border>
    <border>
      <left style="thin">
        <color indexed="64"/>
      </left>
      <right style="double">
        <color rgb="FFFF0000"/>
      </right>
      <top style="thin">
        <color rgb="FFFF0000"/>
      </top>
      <bottom style="double">
        <color rgb="FFFF0000"/>
      </bottom>
      <diagonal/>
    </border>
    <border>
      <left style="double">
        <color indexed="64"/>
      </left>
      <right style="thin">
        <color indexed="64"/>
      </right>
      <top style="double">
        <color indexed="64"/>
      </top>
      <bottom/>
      <diagonal/>
    </border>
    <border>
      <left/>
      <right style="double">
        <color indexed="64"/>
      </right>
      <top style="double">
        <color indexed="64"/>
      </top>
      <bottom style="thin">
        <color indexed="64"/>
      </bottom>
      <diagonal/>
    </border>
    <border>
      <left style="double">
        <color indexed="64"/>
      </left>
      <right style="thin">
        <color indexed="64"/>
      </right>
      <top/>
      <bottom/>
      <diagonal/>
    </border>
    <border>
      <left style="double">
        <color indexed="64"/>
      </left>
      <right style="thin">
        <color indexed="64"/>
      </right>
      <top/>
      <bottom style="double">
        <color indexed="64"/>
      </bottom>
      <diagonal/>
    </border>
    <border>
      <left/>
      <right style="double">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hair">
        <color auto="1"/>
      </right>
      <top style="double">
        <color indexed="64"/>
      </top>
      <bottom style="thin">
        <color indexed="64"/>
      </bottom>
      <diagonal/>
    </border>
    <border>
      <left style="hair">
        <color auto="1"/>
      </left>
      <right style="hair">
        <color auto="1"/>
      </right>
      <top style="double">
        <color indexed="64"/>
      </top>
      <bottom style="thin">
        <color indexed="64"/>
      </bottom>
      <diagonal/>
    </border>
    <border>
      <left style="hair">
        <color auto="1"/>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hair">
        <color auto="1"/>
      </right>
      <top style="thin">
        <color indexed="64"/>
      </top>
      <bottom style="double">
        <color indexed="64"/>
      </bottom>
      <diagonal/>
    </border>
    <border>
      <left style="hair">
        <color auto="1"/>
      </left>
      <right style="hair">
        <color auto="1"/>
      </right>
      <top style="thin">
        <color indexed="64"/>
      </top>
      <bottom style="double">
        <color indexed="64"/>
      </bottom>
      <diagonal/>
    </border>
    <border>
      <left style="hair">
        <color auto="1"/>
      </left>
      <right style="thin">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rgb="FFFF0000"/>
      </left>
      <right style="double">
        <color rgb="FFFF0000"/>
      </right>
      <top style="double">
        <color rgb="FFFF0000"/>
      </top>
      <bottom style="thin">
        <color indexed="64"/>
      </bottom>
      <diagonal/>
    </border>
    <border>
      <left style="double">
        <color rgb="FFFF0000"/>
      </left>
      <right style="double">
        <color rgb="FFFF0000"/>
      </right>
      <top style="thin">
        <color indexed="64"/>
      </top>
      <bottom style="thin">
        <color indexed="64"/>
      </bottom>
      <diagonal/>
    </border>
    <border>
      <left style="hair">
        <color indexed="64"/>
      </left>
      <right style="hair">
        <color indexed="64"/>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s>
  <cellStyleXfs count="21">
    <xf numFmtId="0" fontId="0" fillId="0" borderId="0">
      <alignment vertical="center"/>
    </xf>
    <xf numFmtId="0" fontId="2" fillId="0" borderId="0" applyNumberForma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xf numFmtId="38" fontId="5" fillId="0" borderId="0" applyFont="0" applyFill="0" applyBorder="0" applyAlignment="0" applyProtection="0">
      <alignment vertical="center"/>
    </xf>
    <xf numFmtId="0" fontId="39" fillId="0" borderId="0"/>
    <xf numFmtId="38" fontId="39" fillId="0" borderId="0" applyFont="0" applyFill="0" applyBorder="0" applyAlignment="0" applyProtection="0">
      <alignment vertical="center"/>
    </xf>
    <xf numFmtId="0" fontId="51" fillId="0" borderId="0" applyNumberFormat="0" applyFill="0" applyBorder="0" applyAlignment="0" applyProtection="0"/>
    <xf numFmtId="0" fontId="5" fillId="0" borderId="0">
      <alignment vertical="center"/>
    </xf>
    <xf numFmtId="0" fontId="39" fillId="0" borderId="0"/>
    <xf numFmtId="0" fontId="5" fillId="0" borderId="0">
      <alignment vertical="center"/>
    </xf>
    <xf numFmtId="0" fontId="52" fillId="0" borderId="0">
      <alignment vertical="center"/>
    </xf>
    <xf numFmtId="0" fontId="3" fillId="0" borderId="0">
      <alignment vertical="center"/>
    </xf>
    <xf numFmtId="0" fontId="52" fillId="0" borderId="0">
      <alignment vertical="center"/>
    </xf>
    <xf numFmtId="0" fontId="53" fillId="0" borderId="0">
      <alignment vertical="center"/>
    </xf>
    <xf numFmtId="0" fontId="52" fillId="0" borderId="0">
      <alignment vertical="center"/>
    </xf>
    <xf numFmtId="0" fontId="2" fillId="0" borderId="0" applyNumberForma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cellStyleXfs>
  <cellXfs count="2094">
    <xf numFmtId="0" fontId="0" fillId="0" borderId="0" xfId="0">
      <alignment vertical="center"/>
    </xf>
    <xf numFmtId="0" fontId="9"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Font="1" applyAlignment="1" applyProtection="1">
      <alignment horizontal="center" vertical="center" shrinkToFit="1"/>
    </xf>
    <xf numFmtId="0" fontId="17" fillId="0" borderId="0" xfId="0" applyFont="1" applyAlignment="1" applyProtection="1">
      <alignment horizontal="left" vertical="center"/>
    </xf>
    <xf numFmtId="3" fontId="17" fillId="0" borderId="0" xfId="0" applyNumberFormat="1" applyFont="1" applyBorder="1" applyProtection="1">
      <alignment vertical="center"/>
    </xf>
    <xf numFmtId="0" fontId="17" fillId="0" borderId="0" xfId="0" applyFont="1" applyBorder="1" applyProtection="1">
      <alignment vertical="center"/>
    </xf>
    <xf numFmtId="0" fontId="17" fillId="0" borderId="3" xfId="0" applyFont="1" applyBorder="1" applyAlignment="1" applyProtection="1">
      <alignment horizontal="center" vertical="center"/>
    </xf>
    <xf numFmtId="0" fontId="17" fillId="0" borderId="3" xfId="0" applyFont="1" applyBorder="1" applyAlignment="1" applyProtection="1">
      <alignment horizontal="right" vertical="center"/>
    </xf>
    <xf numFmtId="0" fontId="17" fillId="0" borderId="3" xfId="0" applyFont="1" applyBorder="1" applyAlignment="1" applyProtection="1">
      <alignment horizontal="right" vertical="center" wrapText="1"/>
    </xf>
    <xf numFmtId="179" fontId="17" fillId="0" borderId="14" xfId="0" applyNumberFormat="1" applyFont="1" applyBorder="1" applyAlignment="1" applyProtection="1">
      <alignment vertical="center" shrinkToFit="1"/>
    </xf>
    <xf numFmtId="180" fontId="17" fillId="0" borderId="15" xfId="0" applyNumberFormat="1" applyFont="1" applyFill="1" applyBorder="1" applyAlignment="1" applyProtection="1">
      <alignment vertical="center" wrapText="1"/>
    </xf>
    <xf numFmtId="179" fontId="17" fillId="0" borderId="15" xfId="0" applyNumberFormat="1" applyFont="1" applyBorder="1" applyAlignment="1" applyProtection="1">
      <alignment vertical="center" shrinkToFit="1"/>
    </xf>
    <xf numFmtId="181" fontId="17" fillId="0" borderId="15" xfId="0" applyNumberFormat="1" applyFont="1" applyBorder="1" applyProtection="1">
      <alignment vertical="center"/>
    </xf>
    <xf numFmtId="0" fontId="17" fillId="0" borderId="0" xfId="0" applyFont="1" applyFill="1" applyBorder="1" applyAlignment="1" applyProtection="1">
      <alignment horizontal="center" vertical="center"/>
    </xf>
    <xf numFmtId="179" fontId="17" fillId="0" borderId="15" xfId="0" applyNumberFormat="1" applyFont="1" applyFill="1" applyBorder="1" applyAlignment="1" applyProtection="1">
      <alignment vertical="center" shrinkToFit="1"/>
    </xf>
    <xf numFmtId="179" fontId="17" fillId="0" borderId="13" xfId="0" applyNumberFormat="1" applyFont="1" applyBorder="1" applyAlignment="1" applyProtection="1">
      <alignment vertical="center" shrinkToFit="1"/>
    </xf>
    <xf numFmtId="14" fontId="17" fillId="0" borderId="0" xfId="0" applyNumberFormat="1" applyFont="1" applyAlignment="1" applyProtection="1">
      <alignment horizontal="center" vertical="center" shrinkToFit="1"/>
    </xf>
    <xf numFmtId="0" fontId="22" fillId="6" borderId="1" xfId="0" applyFont="1" applyFill="1" applyBorder="1" applyAlignment="1" applyProtection="1">
      <alignment horizontal="center" vertical="center"/>
    </xf>
    <xf numFmtId="0" fontId="9" fillId="0" borderId="0" xfId="0" applyFont="1" applyAlignment="1" applyProtection="1">
      <alignment vertical="center" shrinkToFit="1"/>
    </xf>
    <xf numFmtId="0" fontId="9" fillId="2" borderId="1" xfId="0" applyFont="1" applyFill="1" applyBorder="1" applyAlignment="1" applyProtection="1">
      <alignment horizontal="center" vertical="center" shrinkToFit="1"/>
    </xf>
    <xf numFmtId="0" fontId="9" fillId="2" borderId="1" xfId="0" applyFont="1" applyFill="1" applyBorder="1" applyAlignment="1" applyProtection="1">
      <alignment horizontal="center" vertical="center" wrapText="1"/>
    </xf>
    <xf numFmtId="0" fontId="7" fillId="0" borderId="0" xfId="0" applyFont="1" applyBorder="1" applyAlignment="1" applyProtection="1"/>
    <xf numFmtId="0" fontId="17" fillId="0" borderId="0" xfId="0" applyFont="1" applyBorder="1" applyAlignment="1" applyProtection="1">
      <alignment vertical="center"/>
    </xf>
    <xf numFmtId="0" fontId="17" fillId="0" borderId="0" xfId="0" applyFont="1" applyFill="1" applyBorder="1" applyAlignment="1" applyProtection="1">
      <alignment horizontal="center" vertical="center" shrinkToFit="1"/>
    </xf>
    <xf numFmtId="0" fontId="7" fillId="0" borderId="0" xfId="0" applyFont="1" applyBorder="1" applyAlignment="1" applyProtection="1">
      <alignment vertical="center"/>
    </xf>
    <xf numFmtId="0" fontId="17" fillId="0" borderId="0" xfId="0" applyFont="1" applyAlignment="1" applyProtection="1"/>
    <xf numFmtId="0" fontId="19" fillId="0" borderId="0" xfId="0" applyFont="1" applyAlignment="1">
      <alignment horizontal="left" vertical="center"/>
    </xf>
    <xf numFmtId="14" fontId="19" fillId="0" borderId="0" xfId="0" applyNumberFormat="1" applyFont="1" applyAlignment="1">
      <alignment horizontal="left" vertical="center"/>
    </xf>
    <xf numFmtId="14" fontId="19" fillId="4" borderId="1" xfId="0" applyNumberFormat="1" applyFont="1" applyFill="1" applyBorder="1" applyAlignment="1">
      <alignment horizontal="center" vertical="center"/>
    </xf>
    <xf numFmtId="188" fontId="17" fillId="0" borderId="14" xfId="0" applyNumberFormat="1" applyFont="1" applyFill="1" applyBorder="1" applyAlignment="1" applyProtection="1">
      <alignment vertical="center" wrapText="1"/>
    </xf>
    <xf numFmtId="0" fontId="29" fillId="0" borderId="0" xfId="0" applyFont="1" applyBorder="1" applyAlignment="1" applyProtection="1">
      <alignment vertical="center"/>
    </xf>
    <xf numFmtId="0" fontId="29" fillId="0" borderId="0" xfId="0" applyFont="1" applyProtection="1">
      <alignment vertical="center"/>
    </xf>
    <xf numFmtId="0" fontId="8" fillId="0" borderId="0" xfId="0" applyFont="1" applyProtection="1">
      <alignment vertical="center"/>
    </xf>
    <xf numFmtId="0" fontId="29" fillId="0" borderId="1" xfId="0" applyFont="1" applyBorder="1" applyAlignment="1" applyProtection="1">
      <alignment horizontal="center" vertical="center"/>
    </xf>
    <xf numFmtId="0" fontId="29" fillId="0" borderId="0" xfId="0" applyFont="1" applyBorder="1" applyAlignment="1" applyProtection="1">
      <alignment horizontal="left" vertical="center" shrinkToFit="1"/>
    </xf>
    <xf numFmtId="177" fontId="8" fillId="0" borderId="7" xfId="0" applyNumberFormat="1" applyFont="1" applyFill="1" applyBorder="1" applyAlignment="1" applyProtection="1">
      <alignment horizontal="center" vertical="center"/>
    </xf>
    <xf numFmtId="177" fontId="8" fillId="0" borderId="8" xfId="0" applyNumberFormat="1" applyFont="1" applyFill="1" applyBorder="1" applyAlignment="1" applyProtection="1">
      <alignment horizontal="center" vertical="center"/>
    </xf>
    <xf numFmtId="177" fontId="8" fillId="0" borderId="6" xfId="0" applyNumberFormat="1" applyFont="1" applyFill="1" applyBorder="1" applyAlignment="1" applyProtection="1">
      <alignment horizontal="center" vertical="center"/>
    </xf>
    <xf numFmtId="0" fontId="8" fillId="0" borderId="0" xfId="0" applyFont="1" applyBorder="1" applyAlignment="1" applyProtection="1">
      <alignment horizontal="center" vertical="center"/>
    </xf>
    <xf numFmtId="0" fontId="29" fillId="0" borderId="0" xfId="0" applyFont="1" applyBorder="1" applyAlignment="1" applyProtection="1">
      <alignment horizontal="left" vertical="center"/>
    </xf>
    <xf numFmtId="0" fontId="8" fillId="0" borderId="0" xfId="0" applyFont="1" applyBorder="1" applyAlignment="1" applyProtection="1">
      <alignment vertical="center" shrinkToFit="1"/>
    </xf>
    <xf numFmtId="0" fontId="29" fillId="0" borderId="0" xfId="0" applyFont="1" applyBorder="1" applyAlignment="1" applyProtection="1">
      <alignment vertical="center" shrinkToFit="1"/>
    </xf>
    <xf numFmtId="0" fontId="8" fillId="0" borderId="0" xfId="0" applyFont="1" applyBorder="1" applyProtection="1">
      <alignment vertical="center"/>
    </xf>
    <xf numFmtId="0" fontId="34" fillId="0" borderId="0" xfId="0" applyFont="1" applyAlignment="1" applyProtection="1">
      <alignment horizontal="center" vertical="center"/>
    </xf>
    <xf numFmtId="0" fontId="8" fillId="0" borderId="27" xfId="0" applyFont="1" applyBorder="1" applyAlignment="1" applyProtection="1">
      <alignment horizontal="center" vertical="center"/>
    </xf>
    <xf numFmtId="0" fontId="8" fillId="0" borderId="0" xfId="0" applyFont="1" applyAlignment="1" applyProtection="1">
      <alignment horizontal="center" vertical="center"/>
    </xf>
    <xf numFmtId="0" fontId="29" fillId="0" borderId="0" xfId="0" applyFont="1" applyAlignment="1" applyProtection="1">
      <alignment horizontal="center" vertical="center"/>
    </xf>
    <xf numFmtId="0" fontId="8" fillId="0" borderId="0" xfId="0" applyFont="1" applyBorder="1" applyAlignment="1" applyProtection="1">
      <alignment vertical="center" wrapText="1" shrinkToFit="1"/>
    </xf>
    <xf numFmtId="0" fontId="8" fillId="0" borderId="0" xfId="0" applyFont="1" applyFill="1" applyBorder="1" applyAlignment="1" applyProtection="1">
      <alignment vertical="top" wrapText="1" shrinkToFit="1"/>
    </xf>
    <xf numFmtId="0" fontId="29" fillId="0" borderId="0" xfId="0" applyFont="1" applyAlignment="1" applyProtection="1">
      <alignment vertical="top"/>
    </xf>
    <xf numFmtId="0" fontId="8" fillId="0" borderId="1" xfId="0" applyFont="1" applyBorder="1" applyAlignment="1" applyProtection="1">
      <alignment horizontal="center" vertical="center"/>
    </xf>
    <xf numFmtId="0" fontId="7" fillId="0" borderId="0" xfId="0" applyFont="1" applyProtection="1">
      <alignment vertical="center"/>
    </xf>
    <xf numFmtId="0" fontId="14" fillId="0" borderId="0" xfId="0" applyFont="1" applyAlignment="1" applyProtection="1"/>
    <xf numFmtId="3" fontId="7" fillId="0" borderId="0" xfId="0" applyNumberFormat="1" applyFont="1" applyProtection="1">
      <alignment vertical="center"/>
    </xf>
    <xf numFmtId="0" fontId="7" fillId="0" borderId="0" xfId="0" applyFont="1" applyBorder="1" applyAlignment="1" applyProtection="1">
      <alignment horizontal="center" vertical="center"/>
    </xf>
    <xf numFmtId="0" fontId="7" fillId="0" borderId="0" xfId="0" applyFont="1" applyBorder="1" applyProtection="1">
      <alignment vertical="center"/>
    </xf>
    <xf numFmtId="0" fontId="7" fillId="0" borderId="5" xfId="0" applyFont="1" applyBorder="1" applyAlignment="1" applyProtection="1">
      <alignment horizontal="center" vertical="center"/>
    </xf>
    <xf numFmtId="177" fontId="7" fillId="0" borderId="5" xfId="0" applyNumberFormat="1" applyFont="1" applyFill="1" applyBorder="1" applyAlignment="1" applyProtection="1">
      <alignment vertical="center"/>
    </xf>
    <xf numFmtId="0" fontId="7" fillId="0" borderId="1" xfId="0" applyFont="1" applyBorder="1" applyAlignment="1" applyProtection="1">
      <alignment horizontal="center" vertical="center" wrapText="1"/>
    </xf>
    <xf numFmtId="0" fontId="7" fillId="0" borderId="1" xfId="0" applyFont="1" applyBorder="1" applyAlignment="1" applyProtection="1">
      <alignment horizontal="right" vertical="center"/>
    </xf>
    <xf numFmtId="3" fontId="7" fillId="0" borderId="0" xfId="0" applyNumberFormat="1" applyFont="1" applyBorder="1" applyProtection="1">
      <alignment vertical="center"/>
    </xf>
    <xf numFmtId="0" fontId="18" fillId="0" borderId="0" xfId="0" applyFont="1" applyProtection="1">
      <alignment vertical="center"/>
    </xf>
    <xf numFmtId="0" fontId="6" fillId="0" borderId="0" xfId="0" applyFont="1" applyBorder="1" applyAlignment="1" applyProtection="1">
      <alignment vertical="center"/>
    </xf>
    <xf numFmtId="0" fontId="9" fillId="0" borderId="0" xfId="0" applyFont="1" applyAlignment="1" applyProtection="1">
      <alignment horizontal="center" vertical="center"/>
    </xf>
    <xf numFmtId="0" fontId="9" fillId="0" borderId="0" xfId="0" applyFont="1" applyBorder="1" applyAlignment="1" applyProtection="1">
      <alignment horizontal="center" vertical="center"/>
    </xf>
    <xf numFmtId="179" fontId="9" fillId="0" borderId="0" xfId="0" applyNumberFormat="1" applyFont="1" applyBorder="1" applyAlignment="1" applyProtection="1">
      <alignment horizontal="center" vertical="center"/>
    </xf>
    <xf numFmtId="0" fontId="9" fillId="0" borderId="0" xfId="0" applyFont="1" applyBorder="1" applyProtection="1">
      <alignment vertical="center"/>
    </xf>
    <xf numFmtId="0" fontId="9" fillId="0" borderId="1" xfId="0" applyFont="1" applyBorder="1" applyAlignment="1" applyProtection="1">
      <alignment vertical="center" shrinkToFit="1"/>
    </xf>
    <xf numFmtId="0" fontId="9" fillId="0" borderId="0" xfId="0" applyFont="1" applyBorder="1" applyAlignment="1" applyProtection="1">
      <alignment horizontal="center" vertical="center" shrinkToFit="1"/>
    </xf>
    <xf numFmtId="0" fontId="9" fillId="0" borderId="0" xfId="0" applyFont="1" applyAlignment="1" applyProtection="1">
      <alignment horizontal="left" vertical="center"/>
    </xf>
    <xf numFmtId="189" fontId="9" fillId="0" borderId="1" xfId="0" applyNumberFormat="1" applyFont="1" applyBorder="1" applyAlignment="1" applyProtection="1">
      <alignment horizontal="center" vertical="center"/>
    </xf>
    <xf numFmtId="0" fontId="9" fillId="0" borderId="0" xfId="0" applyFont="1" applyBorder="1" applyAlignment="1" applyProtection="1">
      <alignment horizontal="left" vertical="center"/>
    </xf>
    <xf numFmtId="0" fontId="19" fillId="0" borderId="1" xfId="6" applyFont="1" applyBorder="1" applyAlignment="1">
      <alignment horizontal="center"/>
    </xf>
    <xf numFmtId="0" fontId="19" fillId="3" borderId="1" xfId="6" applyFont="1" applyFill="1" applyBorder="1" applyAlignment="1">
      <alignment horizontal="center"/>
    </xf>
    <xf numFmtId="0" fontId="19" fillId="0" borderId="0" xfId="6" applyFont="1" applyAlignment="1">
      <alignment horizontal="center"/>
    </xf>
    <xf numFmtId="0" fontId="19" fillId="0" borderId="0" xfId="6" applyFont="1"/>
    <xf numFmtId="0" fontId="40" fillId="0" borderId="0" xfId="0" applyFont="1">
      <alignment vertical="center"/>
    </xf>
    <xf numFmtId="0" fontId="40" fillId="0" borderId="0" xfId="0" applyFont="1" applyAlignment="1">
      <alignment horizontal="right" vertical="center"/>
    </xf>
    <xf numFmtId="0" fontId="40" fillId="0" borderId="0" xfId="0" applyFont="1" applyAlignment="1">
      <alignment horizontal="distributed" vertical="center"/>
    </xf>
    <xf numFmtId="0" fontId="19" fillId="3" borderId="0" xfId="6" applyFont="1" applyFill="1"/>
    <xf numFmtId="0" fontId="44" fillId="0" borderId="0" xfId="6" applyFont="1" applyFill="1" applyAlignment="1">
      <alignment horizontal="center" shrinkToFit="1"/>
    </xf>
    <xf numFmtId="0" fontId="44" fillId="0" borderId="1" xfId="6" applyFont="1" applyFill="1" applyBorder="1" applyAlignment="1">
      <alignment horizontal="center" shrinkToFit="1"/>
    </xf>
    <xf numFmtId="0" fontId="19" fillId="7" borderId="0" xfId="6" applyFont="1" applyFill="1" applyAlignment="1">
      <alignment horizontal="center" shrinkToFit="1"/>
    </xf>
    <xf numFmtId="0" fontId="19" fillId="0" borderId="0" xfId="6" applyFont="1" applyFill="1" applyAlignment="1">
      <alignment horizontal="center" shrinkToFit="1"/>
    </xf>
    <xf numFmtId="179" fontId="44" fillId="0" borderId="1" xfId="6" applyNumberFormat="1" applyFont="1" applyFill="1" applyBorder="1" applyAlignment="1">
      <alignment shrinkToFit="1"/>
    </xf>
    <xf numFmtId="179" fontId="19" fillId="7" borderId="1" xfId="6" applyNumberFormat="1" applyFont="1" applyFill="1" applyBorder="1" applyAlignment="1">
      <alignment shrinkToFit="1"/>
    </xf>
    <xf numFmtId="179" fontId="19" fillId="0" borderId="1" xfId="6" applyNumberFormat="1" applyFont="1" applyFill="1" applyBorder="1" applyAlignment="1">
      <alignment shrinkToFit="1"/>
    </xf>
    <xf numFmtId="0" fontId="44" fillId="0" borderId="0" xfId="6" applyFont="1" applyFill="1" applyAlignment="1">
      <alignment shrinkToFit="1"/>
    </xf>
    <xf numFmtId="0" fontId="19" fillId="7" borderId="0" xfId="6" applyFont="1" applyFill="1" applyAlignment="1">
      <alignment shrinkToFit="1"/>
    </xf>
    <xf numFmtId="0" fontId="19" fillId="0" borderId="0" xfId="6" applyFont="1" applyFill="1" applyAlignment="1">
      <alignment shrinkToFit="1"/>
    </xf>
    <xf numFmtId="178" fontId="7" fillId="0" borderId="2" xfId="0" applyNumberFormat="1" applyFont="1" applyBorder="1" applyAlignment="1" applyProtection="1">
      <alignment vertical="center" shrinkToFit="1"/>
    </xf>
    <xf numFmtId="193" fontId="7" fillId="0" borderId="4" xfId="0" applyNumberFormat="1" applyFont="1" applyBorder="1" applyAlignment="1" applyProtection="1">
      <alignment vertical="center" shrinkToFit="1"/>
    </xf>
    <xf numFmtId="0" fontId="7" fillId="0" borderId="1" xfId="0" applyFont="1" applyBorder="1" applyAlignment="1" applyProtection="1">
      <alignment vertical="center"/>
    </xf>
    <xf numFmtId="0" fontId="7" fillId="0" borderId="1" xfId="0" applyFont="1" applyBorder="1" applyAlignment="1" applyProtection="1">
      <alignment horizontal="center" vertical="center"/>
    </xf>
    <xf numFmtId="0" fontId="7" fillId="0" borderId="0" xfId="0" applyFont="1" applyAlignment="1" applyProtection="1">
      <alignment horizontal="center" vertical="center"/>
    </xf>
    <xf numFmtId="0" fontId="29" fillId="0" borderId="0" xfId="0" applyFont="1" applyBorder="1" applyProtection="1">
      <alignment vertical="center"/>
    </xf>
    <xf numFmtId="0" fontId="19" fillId="0" borderId="0" xfId="0" applyFont="1" applyAlignment="1">
      <alignment horizontal="center" vertical="center"/>
    </xf>
    <xf numFmtId="0" fontId="20" fillId="0" borderId="1" xfId="0" applyFont="1" applyBorder="1" applyAlignment="1">
      <alignment horizontal="center" vertical="center"/>
    </xf>
    <xf numFmtId="0" fontId="19" fillId="0" borderId="1" xfId="6" applyFont="1" applyFill="1" applyBorder="1" applyAlignment="1">
      <alignment horizontal="center"/>
    </xf>
    <xf numFmtId="0" fontId="17" fillId="0" borderId="8" xfId="0" applyFont="1" applyBorder="1" applyAlignment="1" applyProtection="1">
      <alignment vertical="center" shrinkToFit="1"/>
    </xf>
    <xf numFmtId="0" fontId="7" fillId="0" borderId="0" xfId="0" applyFont="1" applyAlignment="1" applyProtection="1"/>
    <xf numFmtId="0" fontId="22" fillId="0" borderId="25" xfId="0" applyFont="1" applyFill="1" applyBorder="1" applyAlignment="1" applyProtection="1">
      <alignment horizontal="center" vertical="center"/>
    </xf>
    <xf numFmtId="0" fontId="22" fillId="0" borderId="26" xfId="0" applyFont="1" applyFill="1" applyBorder="1" applyAlignment="1" applyProtection="1">
      <alignment horizontal="center" vertical="center"/>
    </xf>
    <xf numFmtId="0" fontId="22" fillId="0" borderId="27" xfId="0" applyFont="1" applyFill="1" applyBorder="1" applyAlignment="1" applyProtection="1">
      <alignment horizontal="center" vertical="center"/>
    </xf>
    <xf numFmtId="0" fontId="17" fillId="0" borderId="25" xfId="0" applyFont="1" applyFill="1" applyBorder="1" applyAlignment="1" applyProtection="1">
      <alignment horizontal="center" vertical="center" shrinkToFit="1"/>
    </xf>
    <xf numFmtId="0" fontId="17" fillId="0" borderId="26" xfId="0" applyFont="1" applyFill="1" applyBorder="1" applyAlignment="1" applyProtection="1">
      <alignment horizontal="center" vertical="center" shrinkToFit="1"/>
    </xf>
    <xf numFmtId="0" fontId="17" fillId="0" borderId="27" xfId="0" applyFont="1" applyFill="1" applyBorder="1" applyAlignment="1" applyProtection="1">
      <alignment horizontal="center" vertical="center" shrinkToFit="1"/>
    </xf>
    <xf numFmtId="0" fontId="17" fillId="0" borderId="0" xfId="0" applyFont="1" applyBorder="1" applyAlignment="1" applyProtection="1">
      <alignment vertical="center"/>
    </xf>
    <xf numFmtId="0" fontId="17" fillId="0" borderId="0" xfId="0" applyFont="1" applyBorder="1" applyAlignment="1" applyProtection="1">
      <alignment horizontal="center" vertical="center"/>
    </xf>
    <xf numFmtId="0" fontId="0" fillId="0" borderId="0" xfId="0" applyBorder="1" applyAlignment="1" applyProtection="1">
      <alignment vertical="center"/>
    </xf>
    <xf numFmtId="0" fontId="9" fillId="0" borderId="1" xfId="0" applyFont="1" applyBorder="1" applyAlignment="1" applyProtection="1">
      <alignment horizontal="center" vertical="center" shrinkToFit="1"/>
    </xf>
    <xf numFmtId="179" fontId="16" fillId="0" borderId="1" xfId="0" applyNumberFormat="1" applyFont="1" applyBorder="1" applyAlignment="1" applyProtection="1">
      <alignment vertical="center" shrinkToFit="1"/>
    </xf>
    <xf numFmtId="0" fontId="9" fillId="8" borderId="0" xfId="0" applyFont="1" applyFill="1" applyProtection="1">
      <alignment vertical="center"/>
    </xf>
    <xf numFmtId="0" fontId="17" fillId="8" borderId="0" xfId="0" applyFont="1" applyFill="1" applyProtection="1">
      <alignment vertical="center"/>
    </xf>
    <xf numFmtId="0" fontId="9" fillId="8" borderId="0" xfId="0" applyFont="1" applyFill="1" applyBorder="1" applyProtection="1">
      <alignment vertical="center"/>
    </xf>
    <xf numFmtId="0" fontId="17" fillId="8" borderId="0" xfId="0" applyFont="1" applyFill="1" applyBorder="1" applyAlignment="1" applyProtection="1">
      <alignment vertical="center"/>
    </xf>
    <xf numFmtId="0" fontId="9" fillId="8" borderId="0" xfId="0" applyFont="1" applyFill="1" applyBorder="1" applyAlignment="1" applyProtection="1">
      <alignment vertical="center"/>
    </xf>
    <xf numFmtId="195" fontId="9" fillId="0" borderId="0" xfId="0" applyNumberFormat="1" applyFont="1" applyBorder="1" applyAlignment="1" applyProtection="1">
      <alignment horizontal="right" vertical="center" wrapText="1"/>
    </xf>
    <xf numFmtId="0" fontId="9" fillId="0" borderId="11" xfId="0" applyFont="1" applyBorder="1" applyAlignment="1" applyProtection="1">
      <alignment horizontal="center" vertical="center" shrinkToFit="1"/>
    </xf>
    <xf numFmtId="0" fontId="17" fillId="0" borderId="0" xfId="0" applyFont="1" applyBorder="1" applyAlignment="1" applyProtection="1">
      <alignment horizontal="center" vertical="center" shrinkToFit="1"/>
    </xf>
    <xf numFmtId="3" fontId="17" fillId="0" borderId="0" xfId="0" applyNumberFormat="1" applyFont="1" applyBorder="1" applyAlignment="1" applyProtection="1">
      <alignment vertical="center"/>
    </xf>
    <xf numFmtId="0" fontId="13" fillId="0" borderId="0" xfId="0" applyFont="1" applyBorder="1" applyAlignment="1" applyProtection="1">
      <alignment horizontal="center" vertical="center" shrinkToFit="1"/>
    </xf>
    <xf numFmtId="14" fontId="17" fillId="0" borderId="0" xfId="0" applyNumberFormat="1" applyFont="1" applyBorder="1" applyAlignment="1" applyProtection="1">
      <alignment horizontal="center" vertical="center" shrinkToFit="1"/>
    </xf>
    <xf numFmtId="0" fontId="9" fillId="0" borderId="1" xfId="0" applyFont="1" applyBorder="1" applyAlignment="1" applyProtection="1">
      <alignment horizontal="center" vertical="center" wrapText="1"/>
    </xf>
    <xf numFmtId="0" fontId="29" fillId="0" borderId="0" xfId="0" applyFont="1" applyAlignment="1" applyProtection="1">
      <alignment horizontal="center" vertical="center" wrapText="1"/>
    </xf>
    <xf numFmtId="0" fontId="9" fillId="0" borderId="1" xfId="0" applyFont="1" applyBorder="1" applyProtection="1">
      <alignment vertical="center"/>
    </xf>
    <xf numFmtId="179" fontId="9" fillId="0" borderId="1" xfId="0" applyNumberFormat="1" applyFont="1" applyFill="1" applyBorder="1" applyAlignment="1" applyProtection="1">
      <alignment vertical="center" shrinkToFit="1"/>
    </xf>
    <xf numFmtId="0" fontId="7" fillId="0" borderId="0" xfId="0" applyFont="1" applyAlignment="1" applyProtection="1">
      <alignment horizontal="left" vertical="center" shrinkToFit="1"/>
    </xf>
    <xf numFmtId="0" fontId="7" fillId="0" borderId="0" xfId="0" applyFont="1" applyAlignment="1" applyProtection="1">
      <alignment vertical="center" wrapText="1"/>
    </xf>
    <xf numFmtId="0" fontId="7" fillId="0" borderId="0" xfId="0" applyFont="1" applyAlignment="1" applyProtection="1">
      <alignment horizontal="center" vertical="center" wrapText="1"/>
    </xf>
    <xf numFmtId="0" fontId="7" fillId="0" borderId="0" xfId="0" applyFont="1" applyAlignment="1" applyProtection="1">
      <alignment horizontal="left" vertical="center"/>
    </xf>
    <xf numFmtId="0" fontId="7" fillId="0" borderId="0" xfId="0" applyFont="1" applyBorder="1" applyAlignment="1" applyProtection="1">
      <alignment horizontal="center" vertical="center" wrapText="1"/>
    </xf>
    <xf numFmtId="0" fontId="7" fillId="0" borderId="1" xfId="0" applyFont="1" applyBorder="1" applyAlignment="1" applyProtection="1">
      <alignment vertical="center" wrapText="1"/>
    </xf>
    <xf numFmtId="0" fontId="7" fillId="0" borderId="0" xfId="0" applyFont="1" applyBorder="1" applyAlignment="1" applyProtection="1">
      <alignment vertical="center" wrapText="1"/>
    </xf>
    <xf numFmtId="0" fontId="7" fillId="0" borderId="17" xfId="0" applyFont="1" applyBorder="1" applyAlignment="1" applyProtection="1">
      <alignment horizontal="center" vertical="center"/>
    </xf>
    <xf numFmtId="0" fontId="7" fillId="0" borderId="17" xfId="0" applyFont="1" applyBorder="1" applyAlignment="1" applyProtection="1">
      <alignment vertical="center" wrapText="1"/>
    </xf>
    <xf numFmtId="183" fontId="7" fillId="0" borderId="0" xfId="0" applyNumberFormat="1" applyFont="1" applyBorder="1" applyAlignment="1" applyProtection="1">
      <alignment vertical="center" shrinkToFit="1"/>
    </xf>
    <xf numFmtId="0" fontId="7" fillId="0" borderId="0" xfId="0" applyFont="1" applyBorder="1" applyAlignment="1" applyProtection="1">
      <alignment horizontal="right" vertical="center" wrapText="1"/>
    </xf>
    <xf numFmtId="179" fontId="7" fillId="0" borderId="1" xfId="0" applyNumberFormat="1" applyFont="1" applyFill="1" applyBorder="1" applyAlignment="1" applyProtection="1">
      <alignment horizontal="right" vertical="center" shrinkToFit="1"/>
    </xf>
    <xf numFmtId="179" fontId="21" fillId="0" borderId="1" xfId="0" applyNumberFormat="1" applyFont="1" applyBorder="1" applyAlignment="1" applyProtection="1">
      <alignment vertical="center" shrinkToFit="1"/>
    </xf>
    <xf numFmtId="0" fontId="7" fillId="0" borderId="1" xfId="0" applyFont="1" applyBorder="1" applyAlignment="1" applyProtection="1">
      <alignment horizontal="center" vertical="center" shrinkToFit="1"/>
    </xf>
    <xf numFmtId="0" fontId="8" fillId="9" borderId="26" xfId="0" applyNumberFormat="1" applyFont="1" applyFill="1" applyBorder="1" applyAlignment="1" applyProtection="1">
      <alignment horizontal="center" vertical="center"/>
      <protection locked="0"/>
    </xf>
    <xf numFmtId="0" fontId="19" fillId="0" borderId="1" xfId="0" applyFont="1" applyBorder="1" applyAlignment="1" applyProtection="1">
      <alignment horizontal="left" vertical="center"/>
    </xf>
    <xf numFmtId="0" fontId="19" fillId="0" borderId="1" xfId="0" applyNumberFormat="1" applyFont="1" applyBorder="1" applyAlignment="1" applyProtection="1">
      <alignment horizontal="center" vertical="center"/>
    </xf>
    <xf numFmtId="0" fontId="19" fillId="0" borderId="1" xfId="0" applyFont="1" applyBorder="1" applyAlignment="1" applyProtection="1">
      <alignment horizontal="center" vertical="center"/>
    </xf>
    <xf numFmtId="14" fontId="19" fillId="0" borderId="1" xfId="0" applyNumberFormat="1" applyFont="1" applyBorder="1" applyAlignment="1" applyProtection="1">
      <alignment horizontal="left" vertical="center"/>
    </xf>
    <xf numFmtId="14" fontId="19" fillId="0" borderId="1" xfId="0" applyNumberFormat="1" applyFont="1" applyBorder="1" applyAlignment="1">
      <alignment horizontal="center" vertical="center"/>
    </xf>
    <xf numFmtId="0" fontId="19" fillId="0" borderId="1" xfId="0" applyFont="1" applyBorder="1" applyAlignment="1">
      <alignment horizontal="center" vertical="center"/>
    </xf>
    <xf numFmtId="0" fontId="19" fillId="0" borderId="1" xfId="0" applyFont="1" applyBorder="1" applyAlignment="1">
      <alignment horizontal="left" vertical="center"/>
    </xf>
    <xf numFmtId="14" fontId="19" fillId="0" borderId="1" xfId="0" applyNumberFormat="1" applyFont="1" applyBorder="1" applyAlignment="1">
      <alignment horizontal="left" vertical="center"/>
    </xf>
    <xf numFmtId="38" fontId="29" fillId="0" borderId="1" xfId="5" applyFont="1" applyBorder="1" applyAlignment="1" applyProtection="1">
      <alignment horizontal="center" vertical="center"/>
    </xf>
    <xf numFmtId="0" fontId="29" fillId="0" borderId="1" xfId="0" applyFont="1" applyBorder="1" applyAlignment="1" applyProtection="1">
      <alignment horizontal="center" vertical="center"/>
      <protection locked="0"/>
    </xf>
    <xf numFmtId="38" fontId="8" fillId="0" borderId="1" xfId="5" applyFont="1" applyBorder="1" applyAlignment="1" applyProtection="1">
      <alignment horizontal="center" vertical="center"/>
    </xf>
    <xf numFmtId="0" fontId="8" fillId="0" borderId="1" xfId="0" applyFont="1" applyBorder="1" applyProtection="1">
      <alignment vertical="center"/>
    </xf>
    <xf numFmtId="0" fontId="8" fillId="0" borderId="1" xfId="0" applyFont="1" applyBorder="1" applyAlignment="1" applyProtection="1">
      <alignment horizontal="left" vertical="center"/>
    </xf>
    <xf numFmtId="0" fontId="19" fillId="0" borderId="1" xfId="0" applyFont="1" applyBorder="1" applyProtection="1">
      <alignment vertical="center"/>
    </xf>
    <xf numFmtId="0" fontId="8" fillId="9" borderId="25" xfId="0" applyFont="1" applyFill="1" applyBorder="1" applyAlignment="1" applyProtection="1">
      <alignment horizontal="center" vertical="center"/>
      <protection locked="0"/>
    </xf>
    <xf numFmtId="0" fontId="8" fillId="9" borderId="26" xfId="0" applyFont="1" applyFill="1" applyBorder="1" applyAlignment="1" applyProtection="1">
      <alignment horizontal="center" vertical="center"/>
      <protection locked="0"/>
    </xf>
    <xf numFmtId="0" fontId="8" fillId="9" borderId="27" xfId="0" applyFont="1" applyFill="1" applyBorder="1" applyAlignment="1" applyProtection="1">
      <alignment horizontal="center" vertical="center"/>
      <protection locked="0"/>
    </xf>
    <xf numFmtId="0" fontId="8" fillId="9" borderId="1" xfId="0" applyFont="1" applyFill="1" applyBorder="1" applyAlignment="1" applyProtection="1">
      <alignment horizontal="center" vertical="center"/>
      <protection locked="0"/>
    </xf>
    <xf numFmtId="0" fontId="9" fillId="9" borderId="1" xfId="0" applyFont="1" applyFill="1" applyBorder="1" applyAlignment="1" applyProtection="1">
      <alignment vertical="center" shrinkToFit="1"/>
      <protection locked="0"/>
    </xf>
    <xf numFmtId="49" fontId="9" fillId="9" borderId="1" xfId="0" applyNumberFormat="1" applyFont="1" applyFill="1" applyBorder="1" applyAlignment="1" applyProtection="1">
      <alignment horizontal="left" vertical="center" shrinkToFit="1"/>
      <protection locked="0"/>
    </xf>
    <xf numFmtId="3" fontId="9" fillId="9" borderId="1" xfId="0" applyNumberFormat="1" applyFont="1" applyFill="1" applyBorder="1" applyAlignment="1" applyProtection="1">
      <alignment vertical="center" shrinkToFit="1"/>
      <protection locked="0"/>
    </xf>
    <xf numFmtId="179" fontId="9" fillId="9" borderId="1" xfId="0" applyNumberFormat="1" applyFont="1" applyFill="1" applyBorder="1" applyAlignment="1" applyProtection="1">
      <alignment vertical="center" shrinkToFit="1"/>
      <protection locked="0"/>
    </xf>
    <xf numFmtId="0" fontId="17" fillId="0" borderId="2" xfId="0" applyFont="1" applyBorder="1" applyAlignment="1" applyProtection="1">
      <alignment horizontal="center" vertical="center" wrapText="1"/>
    </xf>
    <xf numFmtId="0" fontId="17" fillId="0" borderId="3" xfId="0" applyFont="1" applyBorder="1" applyAlignment="1" applyProtection="1">
      <alignment horizontal="center" vertical="center" wrapText="1"/>
    </xf>
    <xf numFmtId="0" fontId="17" fillId="6" borderId="1" xfId="0" applyFont="1" applyFill="1" applyBorder="1" applyAlignment="1" applyProtection="1">
      <alignment horizontal="center" vertical="center"/>
    </xf>
    <xf numFmtId="0" fontId="17" fillId="6" borderId="1" xfId="0" applyFont="1" applyFill="1" applyBorder="1" applyAlignment="1" applyProtection="1">
      <alignment horizontal="center" vertical="center" wrapText="1"/>
    </xf>
    <xf numFmtId="179" fontId="17" fillId="0" borderId="14" xfId="0" applyNumberFormat="1" applyFont="1" applyFill="1" applyBorder="1" applyAlignment="1" applyProtection="1">
      <alignment vertical="center" shrinkToFit="1"/>
    </xf>
    <xf numFmtId="0" fontId="19" fillId="0" borderId="1" xfId="6" applyFont="1" applyBorder="1" applyAlignment="1">
      <alignment horizontal="center"/>
    </xf>
    <xf numFmtId="0" fontId="19" fillId="0" borderId="4" xfId="6" applyFont="1" applyBorder="1" applyAlignment="1">
      <alignment horizontal="center"/>
    </xf>
    <xf numFmtId="0" fontId="19" fillId="7" borderId="1" xfId="6" applyFont="1" applyFill="1" applyBorder="1" applyAlignment="1">
      <alignment shrinkToFit="1"/>
    </xf>
    <xf numFmtId="0" fontId="19" fillId="0" borderId="1" xfId="6" applyFont="1" applyFill="1" applyBorder="1" applyAlignment="1">
      <alignment shrinkToFit="1"/>
    </xf>
    <xf numFmtId="0" fontId="19" fillId="0" borderId="1" xfId="6" applyFont="1" applyFill="1" applyBorder="1"/>
    <xf numFmtId="179" fontId="19" fillId="10" borderId="1" xfId="7" applyNumberFormat="1" applyFont="1" applyFill="1" applyBorder="1" applyAlignment="1">
      <alignment vertical="center" wrapText="1"/>
    </xf>
    <xf numFmtId="179" fontId="19" fillId="7" borderId="1" xfId="7" applyNumberFormat="1" applyFont="1" applyFill="1" applyBorder="1" applyAlignment="1">
      <alignment vertical="center" wrapText="1"/>
    </xf>
    <xf numFmtId="179" fontId="19" fillId="7" borderId="0" xfId="6" applyNumberFormat="1" applyFont="1" applyFill="1" applyAlignment="1">
      <alignment horizontal="right" shrinkToFit="1"/>
    </xf>
    <xf numFmtId="0" fontId="7" fillId="0" borderId="0" xfId="0" applyFont="1" applyAlignment="1" applyProtection="1">
      <alignment horizontal="center" vertical="center"/>
    </xf>
    <xf numFmtId="179" fontId="19" fillId="0" borderId="1" xfId="6" applyNumberFormat="1" applyFont="1" applyFill="1" applyBorder="1" applyAlignment="1">
      <alignment horizontal="center"/>
    </xf>
    <xf numFmtId="0" fontId="19" fillId="0" borderId="1" xfId="6" applyFont="1" applyFill="1" applyBorder="1" applyAlignment="1">
      <alignment horizontal="center"/>
    </xf>
    <xf numFmtId="180" fontId="19" fillId="0" borderId="1" xfId="6" applyNumberFormat="1" applyFont="1" applyFill="1" applyBorder="1" applyAlignment="1">
      <alignment horizontal="center"/>
    </xf>
    <xf numFmtId="179" fontId="19" fillId="0" borderId="1" xfId="6" applyNumberFormat="1" applyFont="1" applyFill="1" applyBorder="1"/>
    <xf numFmtId="180" fontId="19" fillId="0" borderId="1" xfId="6" applyNumberFormat="1" applyFont="1" applyFill="1" applyBorder="1"/>
    <xf numFmtId="49" fontId="19" fillId="0" borderId="1" xfId="6" applyNumberFormat="1" applyFont="1" applyFill="1" applyBorder="1" applyAlignment="1">
      <alignment horizontal="center"/>
    </xf>
    <xf numFmtId="0" fontId="19" fillId="0" borderId="4" xfId="6" applyFont="1" applyFill="1" applyBorder="1"/>
    <xf numFmtId="179" fontId="19" fillId="0" borderId="4" xfId="6" applyNumberFormat="1" applyFont="1" applyFill="1" applyBorder="1"/>
    <xf numFmtId="180" fontId="19" fillId="0" borderId="4" xfId="6" applyNumberFormat="1" applyFont="1" applyFill="1" applyBorder="1"/>
    <xf numFmtId="0" fontId="19" fillId="0" borderId="4" xfId="6" applyFont="1" applyFill="1" applyBorder="1" applyAlignment="1">
      <alignment horizontal="center"/>
    </xf>
    <xf numFmtId="0" fontId="19" fillId="7" borderId="7" xfId="6" applyFont="1" applyFill="1" applyBorder="1" applyAlignment="1">
      <alignment horizontal="centerContinuous"/>
    </xf>
    <xf numFmtId="0" fontId="0" fillId="7" borderId="8" xfId="0" applyFill="1" applyBorder="1" applyAlignment="1">
      <alignment horizontal="centerContinuous"/>
    </xf>
    <xf numFmtId="0" fontId="19" fillId="0" borderId="7" xfId="6" applyFont="1" applyFill="1" applyBorder="1" applyAlignment="1">
      <alignment horizontal="centerContinuous"/>
    </xf>
    <xf numFmtId="0" fontId="0" fillId="0" borderId="8" xfId="0" applyFill="1" applyBorder="1" applyAlignment="1">
      <alignment horizontal="centerContinuous"/>
    </xf>
    <xf numFmtId="0" fontId="0" fillId="0" borderId="6" xfId="0" applyFill="1" applyBorder="1" applyAlignment="1">
      <alignment horizontal="centerContinuous"/>
    </xf>
    <xf numFmtId="0" fontId="0" fillId="7" borderId="6" xfId="0" applyFill="1" applyBorder="1" applyAlignment="1">
      <alignment horizontal="centerContinuous"/>
    </xf>
    <xf numFmtId="0" fontId="7" fillId="0" borderId="11" xfId="0" applyFont="1" applyBorder="1" applyAlignment="1" applyProtection="1">
      <alignment horizontal="center" vertical="center" wrapText="1"/>
    </xf>
    <xf numFmtId="0" fontId="19" fillId="0" borderId="0" xfId="6" applyFont="1" applyFill="1" applyAlignment="1">
      <alignment horizontal="center"/>
    </xf>
    <xf numFmtId="178" fontId="7" fillId="0" borderId="0" xfId="0" applyNumberFormat="1" applyFont="1" applyProtection="1">
      <alignment vertical="center"/>
    </xf>
    <xf numFmtId="179" fontId="54" fillId="0" borderId="0" xfId="0" applyNumberFormat="1" applyFont="1" applyBorder="1" applyAlignment="1" applyProtection="1">
      <alignment horizontal="center" vertical="center"/>
    </xf>
    <xf numFmtId="177" fontId="7" fillId="0" borderId="0" xfId="0" applyNumberFormat="1" applyFont="1" applyFill="1" applyBorder="1" applyAlignment="1" applyProtection="1">
      <alignment vertical="center"/>
    </xf>
    <xf numFmtId="0" fontId="7" fillId="0" borderId="11" xfId="0" applyFont="1" applyBorder="1" applyAlignment="1" applyProtection="1">
      <alignment horizontal="center" vertical="center"/>
    </xf>
    <xf numFmtId="0" fontId="0" fillId="0" borderId="11" xfId="0" applyBorder="1" applyAlignment="1">
      <alignment horizontal="center" vertical="center" wrapText="1"/>
    </xf>
    <xf numFmtId="0" fontId="54" fillId="0" borderId="20" xfId="0" applyFont="1" applyBorder="1" applyAlignment="1" applyProtection="1">
      <alignment horizontal="center" vertical="center" wrapText="1"/>
    </xf>
    <xf numFmtId="0" fontId="54" fillId="0" borderId="36" xfId="0" applyFont="1" applyBorder="1" applyProtection="1">
      <alignment vertical="center"/>
    </xf>
    <xf numFmtId="179" fontId="54" fillId="0" borderId="53" xfId="0" applyNumberFormat="1" applyFont="1" applyBorder="1" applyAlignment="1" applyProtection="1">
      <alignment horizontal="center" vertical="center"/>
    </xf>
    <xf numFmtId="201" fontId="54" fillId="0" borderId="54" xfId="0" applyNumberFormat="1" applyFont="1" applyBorder="1" applyAlignment="1" applyProtection="1">
      <alignment horizontal="center" vertical="center"/>
    </xf>
    <xf numFmtId="0" fontId="7" fillId="0" borderId="1" xfId="0" applyFont="1" applyBorder="1" applyAlignment="1" applyProtection="1">
      <alignment horizontal="center" vertical="center"/>
      <protection locked="0"/>
    </xf>
    <xf numFmtId="0" fontId="19" fillId="0" borderId="1" xfId="6" applyFont="1" applyFill="1" applyBorder="1" applyAlignment="1">
      <alignment horizontal="center"/>
    </xf>
    <xf numFmtId="0" fontId="19" fillId="0" borderId="1" xfId="6" applyFont="1" applyFill="1" applyBorder="1" applyAlignment="1">
      <alignment horizontal="center"/>
    </xf>
    <xf numFmtId="0" fontId="19" fillId="0" borderId="1" xfId="6" applyFont="1" applyBorder="1"/>
    <xf numFmtId="179" fontId="19" fillId="0" borderId="1" xfId="6" applyNumberFormat="1" applyFont="1" applyBorder="1"/>
    <xf numFmtId="180" fontId="19" fillId="0" borderId="1" xfId="6" applyNumberFormat="1" applyFont="1" applyBorder="1"/>
    <xf numFmtId="179" fontId="44" fillId="0" borderId="1" xfId="6" applyNumberFormat="1" applyFont="1" applyBorder="1" applyAlignment="1">
      <alignment shrinkToFit="1"/>
    </xf>
    <xf numFmtId="179" fontId="19" fillId="0" borderId="1" xfId="6" applyNumberFormat="1" applyFont="1" applyBorder="1" applyAlignment="1">
      <alignment shrinkToFit="1"/>
    </xf>
    <xf numFmtId="0" fontId="19" fillId="0" borderId="1" xfId="6" applyFont="1" applyFill="1" applyBorder="1" applyAlignment="1">
      <alignment horizontal="center"/>
    </xf>
    <xf numFmtId="0" fontId="44" fillId="0" borderId="1" xfId="6" applyFont="1" applyFill="1" applyBorder="1"/>
    <xf numFmtId="179" fontId="44" fillId="0" borderId="1" xfId="6" applyNumberFormat="1" applyFont="1" applyFill="1" applyBorder="1"/>
    <xf numFmtId="180" fontId="44" fillId="0" borderId="1" xfId="6" applyNumberFormat="1" applyFont="1" applyFill="1" applyBorder="1"/>
    <xf numFmtId="0" fontId="44" fillId="0" borderId="1" xfId="6" applyFont="1" applyFill="1" applyBorder="1" applyAlignment="1">
      <alignment horizontal="center"/>
    </xf>
    <xf numFmtId="0" fontId="44" fillId="0" borderId="1" xfId="6" applyFont="1" applyBorder="1" applyAlignment="1">
      <alignment horizontal="center"/>
    </xf>
    <xf numFmtId="179" fontId="44" fillId="7" borderId="1" xfId="6" applyNumberFormat="1" applyFont="1" applyFill="1" applyBorder="1" applyAlignment="1">
      <alignment shrinkToFit="1"/>
    </xf>
    <xf numFmtId="0" fontId="44" fillId="0" borderId="0" xfId="6" applyFont="1"/>
    <xf numFmtId="0" fontId="17" fillId="0" borderId="2" xfId="0" applyFont="1" applyBorder="1" applyAlignment="1" applyProtection="1">
      <alignment horizontal="center" vertical="center" wrapText="1"/>
    </xf>
    <xf numFmtId="0" fontId="8" fillId="2" borderId="1" xfId="0" applyFont="1" applyFill="1" applyBorder="1" applyAlignment="1" applyProtection="1">
      <alignment horizontal="center" vertical="center" shrinkToFit="1"/>
    </xf>
    <xf numFmtId="212" fontId="7" fillId="9" borderId="1" xfId="0" applyNumberFormat="1" applyFont="1" applyFill="1" applyBorder="1" applyAlignment="1" applyProtection="1">
      <alignment horizontal="right" vertical="center" shrinkToFit="1"/>
      <protection locked="0"/>
    </xf>
    <xf numFmtId="0" fontId="7" fillId="0" borderId="0" xfId="0" applyFont="1" applyAlignment="1" applyProtection="1">
      <alignment horizontal="center" vertical="center" shrinkToFit="1"/>
    </xf>
    <xf numFmtId="213" fontId="21" fillId="0" borderId="1" xfId="0" applyNumberFormat="1" applyFont="1" applyFill="1" applyBorder="1" applyAlignment="1" applyProtection="1">
      <alignment horizontal="right" vertical="center" shrinkToFit="1"/>
    </xf>
    <xf numFmtId="210" fontId="17" fillId="0" borderId="15" xfId="0" applyNumberFormat="1" applyFont="1" applyFill="1" applyBorder="1" applyAlignment="1" applyProtection="1">
      <alignment horizontal="right" vertical="center" shrinkToFit="1"/>
    </xf>
    <xf numFmtId="0" fontId="7" fillId="0" borderId="0" xfId="0" applyFont="1" applyBorder="1" applyAlignment="1" applyProtection="1">
      <alignment horizontal="left" vertical="center"/>
    </xf>
    <xf numFmtId="0" fontId="19" fillId="3" borderId="1" xfId="0" applyFont="1" applyFill="1" applyBorder="1" applyAlignment="1">
      <alignment horizontal="left" vertical="center"/>
    </xf>
    <xf numFmtId="0" fontId="20" fillId="0" borderId="0" xfId="0" applyFont="1" applyProtection="1">
      <alignment vertical="center"/>
    </xf>
    <xf numFmtId="183" fontId="17" fillId="0" borderId="15" xfId="0" applyNumberFormat="1" applyFont="1" applyFill="1" applyBorder="1" applyAlignment="1" applyProtection="1">
      <alignment horizontal="right" vertical="center" shrinkToFit="1"/>
    </xf>
    <xf numFmtId="178" fontId="7" fillId="9" borderId="2" xfId="0" applyNumberFormat="1" applyFont="1" applyFill="1" applyBorder="1" applyAlignment="1" applyProtection="1">
      <alignment vertical="center" shrinkToFit="1"/>
    </xf>
    <xf numFmtId="193" fontId="7" fillId="9" borderId="4" xfId="0" applyNumberFormat="1" applyFont="1" applyFill="1" applyBorder="1" applyAlignment="1" applyProtection="1">
      <alignment vertical="center" shrinkToFit="1"/>
    </xf>
    <xf numFmtId="0" fontId="7" fillId="0" borderId="0" xfId="0" applyFont="1" applyFill="1" applyProtection="1">
      <alignment vertical="center"/>
    </xf>
    <xf numFmtId="210" fontId="7" fillId="0" borderId="1" xfId="0" applyNumberFormat="1" applyFont="1" applyFill="1" applyBorder="1" applyAlignment="1" applyProtection="1">
      <alignment horizontal="right" vertical="center" shrinkToFit="1"/>
    </xf>
    <xf numFmtId="182" fontId="7" fillId="0" borderId="1" xfId="0" applyNumberFormat="1" applyFont="1" applyFill="1" applyBorder="1" applyAlignment="1" applyProtection="1">
      <alignment horizontal="right" vertical="center" shrinkToFit="1"/>
    </xf>
    <xf numFmtId="210" fontId="7" fillId="0" borderId="1" xfId="0" applyNumberFormat="1" applyFont="1" applyBorder="1" applyAlignment="1" applyProtection="1">
      <alignment horizontal="right" vertical="center" shrinkToFit="1"/>
    </xf>
    <xf numFmtId="0" fontId="58" fillId="0" borderId="0" xfId="0" applyFont="1" applyAlignment="1" applyProtection="1">
      <alignment horizontal="left" vertical="center" shrinkToFit="1"/>
    </xf>
    <xf numFmtId="179" fontId="7" fillId="0" borderId="1" xfId="0" applyNumberFormat="1" applyFont="1" applyBorder="1" applyAlignment="1" applyProtection="1">
      <alignment horizontal="right" vertical="center" shrinkToFit="1"/>
    </xf>
    <xf numFmtId="0" fontId="0" fillId="0" borderId="0" xfId="0" applyBorder="1" applyAlignment="1">
      <alignment vertical="center"/>
    </xf>
    <xf numFmtId="0" fontId="37" fillId="0" borderId="0" xfId="0" applyFont="1" applyBorder="1" applyAlignment="1">
      <alignment vertical="center"/>
    </xf>
    <xf numFmtId="0" fontId="18" fillId="0" borderId="0" xfId="0" applyFont="1" applyBorder="1" applyAlignment="1" applyProtection="1">
      <alignment vertical="center"/>
    </xf>
    <xf numFmtId="0" fontId="17" fillId="0" borderId="1" xfId="0" applyFont="1" applyFill="1" applyBorder="1" applyAlignment="1" applyProtection="1">
      <alignment horizontal="center" vertical="center" shrinkToFit="1"/>
    </xf>
    <xf numFmtId="0" fontId="17" fillId="0" borderId="2" xfId="0" applyFont="1" applyBorder="1" applyAlignment="1" applyProtection="1">
      <alignment horizontal="center" vertical="center" wrapText="1"/>
    </xf>
    <xf numFmtId="0" fontId="17" fillId="0" borderId="15" xfId="0" applyFont="1" applyFill="1" applyBorder="1" applyAlignment="1" applyProtection="1">
      <alignment horizontal="center" vertical="center" shrinkToFit="1"/>
    </xf>
    <xf numFmtId="179" fontId="17" fillId="0" borderId="19" xfId="0" applyNumberFormat="1" applyFont="1" applyBorder="1" applyAlignment="1" applyProtection="1">
      <alignment horizontal="center" vertical="center" shrinkToFit="1"/>
    </xf>
    <xf numFmtId="179" fontId="17" fillId="0" borderId="5" xfId="0" applyNumberFormat="1" applyFont="1" applyBorder="1" applyAlignment="1" applyProtection="1">
      <alignment horizontal="center" vertical="center" shrinkToFit="1"/>
    </xf>
    <xf numFmtId="179" fontId="17" fillId="0" borderId="10" xfId="0" applyNumberFormat="1" applyFont="1" applyBorder="1" applyAlignment="1" applyProtection="1">
      <alignment horizontal="center" vertical="center" shrinkToFit="1"/>
    </xf>
    <xf numFmtId="186" fontId="8" fillId="0" borderId="25" xfId="0" applyNumberFormat="1" applyFont="1" applyFill="1" applyBorder="1" applyAlignment="1" applyProtection="1">
      <alignment horizontal="center" vertical="center"/>
    </xf>
    <xf numFmtId="186" fontId="8" fillId="0" borderId="26" xfId="0" applyNumberFormat="1" applyFont="1" applyFill="1" applyBorder="1" applyAlignment="1" applyProtection="1">
      <alignment horizontal="center" vertical="center"/>
    </xf>
    <xf numFmtId="186" fontId="8" fillId="0" borderId="27" xfId="0" applyNumberFormat="1" applyFont="1" applyFill="1" applyBorder="1" applyAlignment="1" applyProtection="1">
      <alignment horizontal="center" vertical="center"/>
    </xf>
    <xf numFmtId="0" fontId="29" fillId="0" borderId="0" xfId="0" applyFont="1" applyBorder="1" applyAlignment="1" applyProtection="1">
      <alignment horizontal="center" vertical="center"/>
    </xf>
    <xf numFmtId="0" fontId="29" fillId="0" borderId="13" xfId="0" applyFont="1" applyBorder="1" applyAlignment="1" applyProtection="1">
      <alignment horizontal="center" vertical="center"/>
    </xf>
    <xf numFmtId="0" fontId="29" fillId="0" borderId="73" xfId="0" applyFont="1" applyBorder="1" applyAlignment="1" applyProtection="1">
      <alignment horizontal="center" vertical="center"/>
    </xf>
    <xf numFmtId="0" fontId="8" fillId="9" borderId="170" xfId="0" applyFont="1" applyFill="1" applyBorder="1" applyAlignment="1" applyProtection="1">
      <alignment horizontal="center" vertical="center"/>
      <protection locked="0"/>
    </xf>
    <xf numFmtId="0" fontId="8" fillId="9" borderId="171" xfId="0" applyFont="1" applyFill="1" applyBorder="1" applyAlignment="1" applyProtection="1">
      <alignment horizontal="center" vertical="center"/>
      <protection locked="0"/>
    </xf>
    <xf numFmtId="0" fontId="8" fillId="9" borderId="172" xfId="0" applyFont="1" applyFill="1" applyBorder="1" applyAlignment="1" applyProtection="1">
      <alignment horizontal="center" vertical="center"/>
      <protection locked="0"/>
    </xf>
    <xf numFmtId="0" fontId="8" fillId="0" borderId="2" xfId="0" applyFont="1" applyBorder="1" applyAlignment="1" applyProtection="1">
      <alignment horizontal="center" vertical="center" shrinkToFit="1"/>
    </xf>
    <xf numFmtId="186" fontId="8" fillId="0" borderId="170" xfId="0" applyNumberFormat="1" applyFont="1" applyFill="1" applyBorder="1" applyAlignment="1" applyProtection="1">
      <alignment horizontal="center" vertical="center"/>
    </xf>
    <xf numFmtId="186" fontId="8" fillId="0" borderId="171" xfId="0" applyNumberFormat="1" applyFont="1" applyFill="1" applyBorder="1" applyAlignment="1" applyProtection="1">
      <alignment horizontal="center" vertical="center"/>
    </xf>
    <xf numFmtId="186" fontId="8" fillId="0" borderId="172" xfId="0" applyNumberFormat="1" applyFont="1" applyFill="1" applyBorder="1" applyAlignment="1" applyProtection="1">
      <alignment horizontal="center" vertical="center"/>
    </xf>
    <xf numFmtId="186" fontId="8" fillId="0" borderId="174" xfId="0" applyNumberFormat="1" applyFont="1" applyFill="1" applyBorder="1" applyAlignment="1" applyProtection="1">
      <alignment horizontal="center" vertical="center"/>
    </xf>
    <xf numFmtId="186" fontId="8" fillId="0" borderId="175" xfId="0" applyNumberFormat="1" applyFont="1" applyFill="1" applyBorder="1" applyAlignment="1" applyProtection="1">
      <alignment horizontal="center" vertical="center"/>
    </xf>
    <xf numFmtId="186" fontId="8" fillId="0" borderId="176" xfId="0" applyNumberFormat="1" applyFont="1" applyFill="1" applyBorder="1" applyAlignment="1" applyProtection="1">
      <alignment horizontal="center" vertical="center"/>
    </xf>
    <xf numFmtId="0" fontId="29" fillId="0" borderId="178" xfId="0" applyFont="1" applyBorder="1" applyAlignment="1" applyProtection="1">
      <alignment horizontal="center" vertical="center"/>
    </xf>
    <xf numFmtId="0" fontId="8" fillId="8" borderId="177" xfId="0" applyFont="1" applyFill="1" applyBorder="1" applyAlignment="1" applyProtection="1">
      <alignment vertical="center" textRotation="255"/>
    </xf>
    <xf numFmtId="0" fontId="17" fillId="0" borderId="1" xfId="0" applyFont="1" applyBorder="1" applyAlignment="1" applyProtection="1">
      <alignment horizontal="center" vertical="center" wrapText="1"/>
    </xf>
    <xf numFmtId="181" fontId="17" fillId="0" borderId="15" xfId="0" applyNumberFormat="1" applyFont="1" applyFill="1" applyBorder="1" applyAlignment="1" applyProtection="1">
      <alignment vertical="center" wrapText="1"/>
    </xf>
    <xf numFmtId="0" fontId="29" fillId="0" borderId="73" xfId="0" applyFont="1" applyFill="1" applyBorder="1" applyAlignment="1" applyProtection="1">
      <alignment horizontal="center" vertical="center"/>
    </xf>
    <xf numFmtId="0" fontId="8" fillId="0" borderId="0" xfId="0" applyFont="1" applyAlignment="1" applyProtection="1">
      <alignment vertical="center"/>
    </xf>
    <xf numFmtId="236" fontId="8" fillId="0" borderId="1" xfId="0" applyNumberFormat="1" applyFont="1" applyBorder="1" applyAlignment="1" applyProtection="1">
      <alignment horizontal="left" vertical="center"/>
    </xf>
    <xf numFmtId="3" fontId="17" fillId="0" borderId="185" xfId="0" applyNumberFormat="1" applyFont="1" applyFill="1" applyBorder="1" applyAlignment="1" applyProtection="1">
      <alignment horizontal="center" vertical="center" shrinkToFit="1"/>
    </xf>
    <xf numFmtId="181" fontId="17" fillId="0" borderId="14" xfId="0" applyNumberFormat="1" applyFont="1" applyFill="1" applyBorder="1" applyAlignment="1" applyProtection="1">
      <alignment vertical="center" wrapText="1"/>
    </xf>
    <xf numFmtId="0" fontId="17" fillId="9" borderId="7" xfId="6" applyFont="1" applyFill="1" applyBorder="1" applyAlignment="1" applyProtection="1">
      <alignment horizontal="center" shrinkToFit="1"/>
      <protection locked="0"/>
    </xf>
    <xf numFmtId="0" fontId="7" fillId="0" borderId="1" xfId="0" applyFont="1" applyBorder="1" applyAlignment="1" applyProtection="1">
      <alignment horizontal="center" vertical="center"/>
    </xf>
    <xf numFmtId="0" fontId="7" fillId="0" borderId="0" xfId="0" applyFont="1" applyAlignment="1" applyProtection="1">
      <alignment horizontal="center" vertical="center"/>
    </xf>
    <xf numFmtId="0" fontId="7" fillId="0" borderId="1" xfId="0" applyFont="1" applyBorder="1" applyAlignment="1" applyProtection="1">
      <alignment horizontal="center" vertical="center" wrapText="1"/>
    </xf>
    <xf numFmtId="0" fontId="9" fillId="0" borderId="0" xfId="0" applyFont="1" applyBorder="1" applyAlignment="1" applyProtection="1">
      <alignment vertical="center" wrapText="1" shrinkToFit="1"/>
    </xf>
    <xf numFmtId="0" fontId="9" fillId="0" borderId="0" xfId="0" applyFont="1" applyBorder="1" applyAlignment="1" applyProtection="1">
      <alignment vertical="center"/>
    </xf>
    <xf numFmtId="0" fontId="9" fillId="0" borderId="1" xfId="0" applyFont="1" applyBorder="1" applyAlignment="1" applyProtection="1">
      <alignment horizontal="center" vertical="center"/>
    </xf>
    <xf numFmtId="0" fontId="9" fillId="0" borderId="0" xfId="0" applyFont="1" applyFill="1" applyBorder="1" applyAlignment="1" applyProtection="1">
      <alignment vertical="center"/>
    </xf>
    <xf numFmtId="0" fontId="7" fillId="0" borderId="1" xfId="0" applyFont="1" applyBorder="1" applyAlignment="1" applyProtection="1">
      <alignment vertical="center" shrinkToFit="1"/>
    </xf>
    <xf numFmtId="0" fontId="29" fillId="0" borderId="6" xfId="0" applyFont="1" applyFill="1" applyBorder="1" applyAlignment="1" applyProtection="1">
      <alignment horizontal="left" vertical="center" shrinkToFit="1"/>
    </xf>
    <xf numFmtId="190" fontId="8" fillId="0" borderId="44" xfId="0" applyNumberFormat="1" applyFont="1" applyBorder="1" applyAlignment="1" applyProtection="1">
      <alignment horizontal="center" vertical="center"/>
    </xf>
    <xf numFmtId="0" fontId="56" fillId="0" borderId="0" xfId="6" applyFont="1" applyAlignment="1" applyProtection="1">
      <alignment horizontal="center"/>
    </xf>
    <xf numFmtId="0" fontId="55" fillId="0" borderId="0" xfId="6" applyFont="1" applyProtection="1"/>
    <xf numFmtId="0" fontId="55" fillId="0" borderId="0" xfId="6" applyFont="1" applyAlignment="1" applyProtection="1">
      <alignment horizontal="center"/>
    </xf>
    <xf numFmtId="0" fontId="55" fillId="0" borderId="0" xfId="6" applyFont="1" applyBorder="1" applyAlignment="1" applyProtection="1">
      <alignment horizontal="center"/>
    </xf>
    <xf numFmtId="0" fontId="55" fillId="0" borderId="0" xfId="6" applyFont="1" applyAlignment="1" applyProtection="1">
      <alignment horizontal="center" wrapText="1"/>
    </xf>
    <xf numFmtId="0" fontId="55" fillId="0" borderId="0" xfId="6" applyFont="1" applyAlignment="1" applyProtection="1">
      <alignment wrapText="1"/>
    </xf>
    <xf numFmtId="207" fontId="55" fillId="0" borderId="0" xfId="6" applyNumberFormat="1" applyFont="1" applyProtection="1"/>
    <xf numFmtId="0" fontId="55" fillId="0" borderId="0" xfId="6" applyFont="1" applyAlignment="1" applyProtection="1">
      <alignment horizontal="center" vertical="center"/>
    </xf>
    <xf numFmtId="207" fontId="55" fillId="0" borderId="0" xfId="6" applyNumberFormat="1" applyFont="1" applyBorder="1" applyAlignment="1" applyProtection="1">
      <alignment horizontal="center"/>
    </xf>
    <xf numFmtId="0" fontId="17" fillId="0" borderId="0" xfId="6" applyFont="1" applyFill="1" applyAlignment="1" applyProtection="1">
      <alignment horizontal="left" vertical="center" wrapText="1"/>
    </xf>
    <xf numFmtId="0" fontId="17" fillId="0" borderId="156" xfId="6" applyFont="1" applyFill="1" applyBorder="1" applyAlignment="1" applyProtection="1">
      <alignment horizontal="center" vertical="center" wrapText="1"/>
    </xf>
    <xf numFmtId="0" fontId="17" fillId="0" borderId="1" xfId="6" applyFont="1" applyBorder="1" applyAlignment="1" applyProtection="1">
      <alignment horizontal="centerContinuous"/>
    </xf>
    <xf numFmtId="0" fontId="17" fillId="0" borderId="7" xfId="6" applyFont="1" applyBorder="1" applyAlignment="1" applyProtection="1">
      <alignment horizontal="centerContinuous"/>
    </xf>
    <xf numFmtId="0" fontId="17" fillId="0" borderId="104" xfId="6" applyFont="1" applyBorder="1" applyAlignment="1" applyProtection="1">
      <alignment horizontal="centerContinuous"/>
    </xf>
    <xf numFmtId="0" fontId="13" fillId="0" borderId="8" xfId="0" applyFont="1" applyBorder="1" applyAlignment="1" applyProtection="1">
      <alignment horizontal="centerContinuous"/>
    </xf>
    <xf numFmtId="0" fontId="14" fillId="0" borderId="0" xfId="6" applyFont="1" applyAlignment="1" applyProtection="1">
      <alignment horizontal="center"/>
    </xf>
    <xf numFmtId="0" fontId="48" fillId="0" borderId="0" xfId="0" applyFont="1" applyAlignment="1" applyProtection="1">
      <alignment horizontal="left" wrapText="1"/>
    </xf>
    <xf numFmtId="0" fontId="55" fillId="0" borderId="11" xfId="6" applyFont="1" applyBorder="1" applyProtection="1"/>
    <xf numFmtId="0" fontId="17" fillId="0" borderId="8" xfId="6" applyFont="1" applyBorder="1" applyAlignment="1" applyProtection="1">
      <alignment horizontal="centerContinuous"/>
    </xf>
    <xf numFmtId="0" fontId="17" fillId="0" borderId="57" xfId="6" applyFont="1" applyBorder="1" applyAlignment="1" applyProtection="1">
      <alignment horizontal="centerContinuous"/>
    </xf>
    <xf numFmtId="0" fontId="17" fillId="0" borderId="58" xfId="6" applyFont="1" applyBorder="1" applyAlignment="1" applyProtection="1">
      <alignment horizontal="centerContinuous"/>
    </xf>
    <xf numFmtId="0" fontId="17" fillId="0" borderId="0" xfId="6" applyFont="1" applyAlignment="1" applyProtection="1">
      <alignment horizontal="center"/>
    </xf>
    <xf numFmtId="0" fontId="57" fillId="0" borderId="0" xfId="6" applyFont="1" applyAlignment="1" applyProtection="1">
      <alignment horizontal="center"/>
    </xf>
    <xf numFmtId="0" fontId="17" fillId="0" borderId="56" xfId="6" applyFont="1" applyBorder="1" applyAlignment="1" applyProtection="1">
      <alignment horizontal="center" shrinkToFit="1"/>
    </xf>
    <xf numFmtId="0" fontId="17" fillId="0" borderId="142" xfId="6" applyFont="1" applyFill="1" applyBorder="1" applyAlignment="1" applyProtection="1">
      <alignment horizontal="center"/>
    </xf>
    <xf numFmtId="207" fontId="55" fillId="0" borderId="7" xfId="6" applyNumberFormat="1" applyFont="1" applyBorder="1" applyAlignment="1" applyProtection="1">
      <alignment horizontal="center"/>
    </xf>
    <xf numFmtId="207" fontId="55" fillId="0" borderId="27" xfId="6" applyNumberFormat="1" applyFont="1" applyBorder="1" applyAlignment="1" applyProtection="1">
      <alignment horizontal="center"/>
    </xf>
    <xf numFmtId="0" fontId="58" fillId="0" borderId="0" xfId="6" applyFont="1" applyAlignment="1" applyProtection="1">
      <alignment horizontal="center"/>
    </xf>
    <xf numFmtId="0" fontId="55" fillId="0" borderId="0" xfId="6" applyFont="1" applyFill="1" applyBorder="1" applyAlignment="1" applyProtection="1">
      <alignment horizontal="center"/>
    </xf>
    <xf numFmtId="0" fontId="0" fillId="0" borderId="0" xfId="0" applyAlignment="1" applyProtection="1">
      <alignment horizontal="center"/>
    </xf>
    <xf numFmtId="0" fontId="17" fillId="0" borderId="143" xfId="6" applyFont="1" applyFill="1" applyBorder="1" applyAlignment="1" applyProtection="1">
      <alignment horizontal="center"/>
    </xf>
    <xf numFmtId="207" fontId="55" fillId="0" borderId="0" xfId="6" applyNumberFormat="1" applyFont="1" applyAlignment="1" applyProtection="1">
      <alignment shrinkToFit="1"/>
    </xf>
    <xf numFmtId="0" fontId="55" fillId="0" borderId="0" xfId="6" applyFont="1" applyAlignment="1" applyProtection="1">
      <alignment horizontal="left"/>
    </xf>
    <xf numFmtId="179" fontId="55" fillId="0" borderId="0" xfId="6" applyNumberFormat="1" applyFont="1" applyProtection="1"/>
    <xf numFmtId="202" fontId="55" fillId="0" borderId="0" xfId="6" applyNumberFormat="1" applyFont="1" applyProtection="1"/>
    <xf numFmtId="20" fontId="55" fillId="0" borderId="0" xfId="6" applyNumberFormat="1" applyFont="1" applyProtection="1"/>
    <xf numFmtId="0" fontId="0" fillId="0" borderId="0" xfId="0" applyBorder="1" applyAlignment="1" applyProtection="1">
      <alignment horizontal="center"/>
    </xf>
    <xf numFmtId="0" fontId="0" fillId="0" borderId="0" xfId="0" applyBorder="1" applyAlignment="1" applyProtection="1">
      <alignment horizontal="center" vertical="center"/>
    </xf>
    <xf numFmtId="0" fontId="17" fillId="0" borderId="0" xfId="6" applyFont="1" applyAlignment="1" applyProtection="1">
      <alignment vertical="center"/>
    </xf>
    <xf numFmtId="0" fontId="17" fillId="0" borderId="0" xfId="6" applyFont="1" applyBorder="1" applyAlignment="1" applyProtection="1">
      <alignment horizontal="center" vertical="center"/>
    </xf>
    <xf numFmtId="0" fontId="17" fillId="0" borderId="0" xfId="6" applyFont="1" applyFill="1" applyBorder="1" applyAlignment="1" applyProtection="1">
      <alignment horizontal="center" vertical="center"/>
    </xf>
    <xf numFmtId="0" fontId="17" fillId="0" borderId="62" xfId="6" applyFont="1" applyBorder="1" applyAlignment="1" applyProtection="1">
      <alignment horizontal="center" vertical="center" shrinkToFit="1"/>
    </xf>
    <xf numFmtId="0" fontId="17" fillId="0" borderId="1" xfId="6" applyFont="1" applyBorder="1" applyAlignment="1" applyProtection="1">
      <alignment horizontal="center" vertical="center" shrinkToFit="1"/>
    </xf>
    <xf numFmtId="0" fontId="17" fillId="0" borderId="63" xfId="6" applyFont="1" applyBorder="1" applyAlignment="1" applyProtection="1">
      <alignment horizontal="center" vertical="center" shrinkToFit="1"/>
    </xf>
    <xf numFmtId="0" fontId="17" fillId="0" borderId="7" xfId="6" applyFont="1" applyBorder="1" applyAlignment="1" applyProtection="1">
      <alignment horizontal="center" vertical="center" shrinkToFit="1"/>
    </xf>
    <xf numFmtId="0" fontId="17" fillId="0" borderId="68" xfId="6" applyFont="1" applyBorder="1" applyAlignment="1" applyProtection="1">
      <alignment horizontal="center" vertical="center" shrinkToFit="1"/>
    </xf>
    <xf numFmtId="0" fontId="17" fillId="0" borderId="2" xfId="6" applyFont="1" applyBorder="1" applyAlignment="1" applyProtection="1">
      <alignment horizontal="center" vertical="center" shrinkToFit="1"/>
    </xf>
    <xf numFmtId="0" fontId="17" fillId="0" borderId="69" xfId="6" applyFont="1" applyBorder="1" applyAlignment="1" applyProtection="1">
      <alignment horizontal="center" vertical="center" shrinkToFit="1"/>
    </xf>
    <xf numFmtId="0" fontId="17" fillId="0" borderId="16" xfId="6" applyFont="1" applyBorder="1" applyAlignment="1" applyProtection="1">
      <alignment horizontal="center" vertical="center" shrinkToFit="1"/>
    </xf>
    <xf numFmtId="0" fontId="17" fillId="0" borderId="96" xfId="6" applyFont="1" applyBorder="1" applyAlignment="1" applyProtection="1">
      <alignment horizontal="center" vertical="center" shrinkToFit="1"/>
    </xf>
    <xf numFmtId="0" fontId="17" fillId="0" borderId="44" xfId="6" applyFont="1" applyBorder="1" applyAlignment="1" applyProtection="1">
      <alignment horizontal="center" vertical="center" shrinkToFit="1"/>
    </xf>
    <xf numFmtId="0" fontId="17" fillId="0" borderId="72" xfId="6" applyFont="1" applyBorder="1" applyAlignment="1" applyProtection="1">
      <alignment horizontal="center" vertical="center" shrinkToFit="1"/>
    </xf>
    <xf numFmtId="0" fontId="17" fillId="0" borderId="42" xfId="6" applyFont="1" applyBorder="1" applyAlignment="1" applyProtection="1">
      <alignment horizontal="center" vertical="center" shrinkToFit="1"/>
    </xf>
    <xf numFmtId="0" fontId="17" fillId="0" borderId="144" xfId="0" applyFont="1" applyBorder="1" applyAlignment="1" applyProtection="1">
      <alignment horizontal="center" vertical="center"/>
    </xf>
    <xf numFmtId="211" fontId="17" fillId="0" borderId="70" xfId="6" applyNumberFormat="1" applyFont="1" applyFill="1" applyBorder="1" applyAlignment="1" applyProtection="1">
      <alignment horizontal="center" vertical="center" shrinkToFit="1"/>
    </xf>
    <xf numFmtId="211" fontId="17" fillId="0" borderId="13" xfId="6" applyNumberFormat="1" applyFont="1" applyFill="1" applyBorder="1" applyAlignment="1" applyProtection="1">
      <alignment horizontal="center" vertical="center" shrinkToFit="1"/>
    </xf>
    <xf numFmtId="211" fontId="17" fillId="0" borderId="67" xfId="6" applyNumberFormat="1" applyFont="1" applyFill="1" applyBorder="1" applyAlignment="1" applyProtection="1">
      <alignment horizontal="center" vertical="center" shrinkToFit="1"/>
    </xf>
    <xf numFmtId="211" fontId="17" fillId="0" borderId="31" xfId="6" applyNumberFormat="1" applyFont="1" applyFill="1" applyBorder="1" applyAlignment="1" applyProtection="1">
      <alignment horizontal="center" vertical="center" shrinkToFit="1"/>
    </xf>
    <xf numFmtId="0" fontId="17" fillId="0" borderId="141" xfId="0" applyFont="1" applyBorder="1" applyAlignment="1" applyProtection="1">
      <alignment horizontal="center" vertical="center"/>
    </xf>
    <xf numFmtId="211" fontId="17" fillId="0" borderId="68" xfId="6" applyNumberFormat="1" applyFont="1" applyFill="1" applyBorder="1" applyAlignment="1" applyProtection="1">
      <alignment horizontal="center" vertical="center" shrinkToFit="1"/>
    </xf>
    <xf numFmtId="211" fontId="17" fillId="0" borderId="2" xfId="6" applyNumberFormat="1" applyFont="1" applyFill="1" applyBorder="1" applyAlignment="1" applyProtection="1">
      <alignment horizontal="center" vertical="center" shrinkToFit="1"/>
    </xf>
    <xf numFmtId="211" fontId="17" fillId="0" borderId="69" xfId="6" applyNumberFormat="1" applyFont="1" applyFill="1" applyBorder="1" applyAlignment="1" applyProtection="1">
      <alignment horizontal="center" vertical="center" shrinkToFit="1"/>
    </xf>
    <xf numFmtId="211" fontId="17" fillId="0" borderId="16" xfId="6" applyNumberFormat="1" applyFont="1" applyFill="1" applyBorder="1" applyAlignment="1" applyProtection="1">
      <alignment horizontal="center" vertical="center" shrinkToFit="1"/>
    </xf>
    <xf numFmtId="0" fontId="17" fillId="0" borderId="143" xfId="0" applyFont="1" applyBorder="1" applyAlignment="1" applyProtection="1">
      <alignment horizontal="center" vertical="center"/>
    </xf>
    <xf numFmtId="211" fontId="22" fillId="0" borderId="62" xfId="6" applyNumberFormat="1" applyFont="1" applyFill="1" applyBorder="1" applyAlignment="1" applyProtection="1">
      <alignment horizontal="center" vertical="center" shrinkToFit="1"/>
    </xf>
    <xf numFmtId="211" fontId="22" fillId="0" borderId="1" xfId="6" applyNumberFormat="1" applyFont="1" applyFill="1" applyBorder="1" applyAlignment="1" applyProtection="1">
      <alignment horizontal="center" vertical="center" shrinkToFit="1"/>
    </xf>
    <xf numFmtId="211" fontId="22" fillId="0" borderId="7" xfId="6" applyNumberFormat="1" applyFont="1" applyFill="1" applyBorder="1" applyAlignment="1" applyProtection="1">
      <alignment horizontal="center" vertical="center" shrinkToFit="1"/>
    </xf>
    <xf numFmtId="211" fontId="17" fillId="0" borderId="62" xfId="6" applyNumberFormat="1" applyFont="1" applyFill="1" applyBorder="1" applyAlignment="1" applyProtection="1">
      <alignment horizontal="center" vertical="center" shrinkToFit="1"/>
    </xf>
    <xf numFmtId="211" fontId="17" fillId="0" borderId="1" xfId="6" applyNumberFormat="1" applyFont="1" applyFill="1" applyBorder="1" applyAlignment="1" applyProtection="1">
      <alignment horizontal="center" vertical="center" shrinkToFit="1"/>
    </xf>
    <xf numFmtId="211" fontId="17" fillId="0" borderId="63" xfId="6" applyNumberFormat="1" applyFont="1" applyFill="1" applyBorder="1" applyAlignment="1" applyProtection="1">
      <alignment horizontal="center" vertical="center" shrinkToFit="1"/>
    </xf>
    <xf numFmtId="211" fontId="17" fillId="0" borderId="7" xfId="6" applyNumberFormat="1" applyFont="1" applyFill="1" applyBorder="1" applyAlignment="1" applyProtection="1">
      <alignment horizontal="center" vertical="center" shrinkToFit="1"/>
    </xf>
    <xf numFmtId="0" fontId="0" fillId="0" borderId="0" xfId="0" applyBorder="1" applyAlignment="1" applyProtection="1">
      <alignment horizontal="center" shrinkToFit="1"/>
    </xf>
    <xf numFmtId="0" fontId="55" fillId="0" borderId="0" xfId="6" applyFont="1" applyBorder="1" applyAlignment="1" applyProtection="1">
      <alignment horizontal="left"/>
    </xf>
    <xf numFmtId="14" fontId="55" fillId="0" borderId="0" xfId="6" applyNumberFormat="1" applyFont="1" applyBorder="1" applyAlignment="1" applyProtection="1">
      <alignment horizontal="justify"/>
    </xf>
    <xf numFmtId="179" fontId="55" fillId="0" borderId="0" xfId="6" applyNumberFormat="1" applyFont="1" applyBorder="1" applyProtection="1"/>
    <xf numFmtId="205" fontId="55" fillId="0" borderId="0" xfId="6" applyNumberFormat="1" applyFont="1" applyBorder="1" applyProtection="1"/>
    <xf numFmtId="204" fontId="55" fillId="0" borderId="0" xfId="6" applyNumberFormat="1" applyFont="1" applyBorder="1" applyProtection="1"/>
    <xf numFmtId="205" fontId="55" fillId="3" borderId="0" xfId="6" applyNumberFormat="1" applyFont="1" applyFill="1" applyBorder="1" applyProtection="1"/>
    <xf numFmtId="0" fontId="55" fillId="0" borderId="0" xfId="6" applyFont="1" applyBorder="1" applyProtection="1"/>
    <xf numFmtId="14" fontId="17" fillId="0" borderId="0" xfId="6" applyNumberFormat="1" applyFont="1" applyBorder="1" applyAlignment="1" applyProtection="1">
      <alignment horizontal="justify" vertical="center"/>
    </xf>
    <xf numFmtId="179" fontId="17" fillId="0" borderId="0" xfId="6" applyNumberFormat="1" applyFont="1" applyBorder="1" applyAlignment="1" applyProtection="1">
      <alignment vertical="center"/>
    </xf>
    <xf numFmtId="205" fontId="17" fillId="0" borderId="0" xfId="6" applyNumberFormat="1" applyFont="1" applyBorder="1" applyAlignment="1" applyProtection="1">
      <alignment vertical="center"/>
    </xf>
    <xf numFmtId="204" fontId="17" fillId="0" borderId="0" xfId="6" applyNumberFormat="1" applyFont="1" applyBorder="1" applyAlignment="1" applyProtection="1">
      <alignment vertical="center"/>
    </xf>
    <xf numFmtId="205" fontId="17" fillId="3" borderId="0" xfId="6" applyNumberFormat="1" applyFont="1" applyFill="1" applyBorder="1" applyAlignment="1" applyProtection="1">
      <alignment vertical="center"/>
    </xf>
    <xf numFmtId="0" fontId="17" fillId="0" borderId="0" xfId="6" applyFont="1" applyBorder="1" applyAlignment="1" applyProtection="1">
      <alignment vertical="center"/>
    </xf>
    <xf numFmtId="0" fontId="55" fillId="0" borderId="0" xfId="6" applyFont="1" applyBorder="1" applyAlignment="1" applyProtection="1"/>
    <xf numFmtId="0" fontId="55" fillId="0" borderId="0" xfId="6" applyFont="1" applyAlignment="1" applyProtection="1"/>
    <xf numFmtId="0" fontId="0" fillId="0" borderId="0" xfId="0" applyAlignment="1" applyProtection="1"/>
    <xf numFmtId="0" fontId="55" fillId="0" borderId="1" xfId="6" applyFont="1" applyBorder="1" applyProtection="1"/>
    <xf numFmtId="0" fontId="55" fillId="0" borderId="1" xfId="6" applyFont="1" applyBorder="1" applyAlignment="1" applyProtection="1">
      <alignment horizontal="center"/>
    </xf>
    <xf numFmtId="49" fontId="55" fillId="0" borderId="1" xfId="6" applyNumberFormat="1" applyFont="1" applyBorder="1" applyAlignment="1" applyProtection="1">
      <alignment horizontal="center"/>
    </xf>
    <xf numFmtId="14" fontId="55" fillId="0" borderId="1" xfId="6" applyNumberFormat="1" applyFont="1" applyBorder="1" applyAlignment="1" applyProtection="1">
      <alignment horizontal="left"/>
    </xf>
    <xf numFmtId="0" fontId="55" fillId="0" borderId="1" xfId="6" applyFont="1" applyBorder="1" applyAlignment="1" applyProtection="1">
      <alignment horizontal="left"/>
    </xf>
    <xf numFmtId="204" fontId="55" fillId="0" borderId="1" xfId="6" applyNumberFormat="1" applyFont="1" applyBorder="1" applyProtection="1"/>
    <xf numFmtId="20" fontId="55" fillId="0" borderId="1" xfId="6" applyNumberFormat="1" applyFont="1" applyBorder="1" applyProtection="1"/>
    <xf numFmtId="0" fontId="17" fillId="9" borderId="8" xfId="6" applyFont="1" applyFill="1" applyBorder="1" applyAlignment="1" applyProtection="1">
      <alignment horizontal="center" shrinkToFit="1"/>
      <protection locked="0"/>
    </xf>
    <xf numFmtId="0" fontId="17" fillId="9" borderId="55" xfId="6" applyFont="1" applyFill="1" applyBorder="1" applyAlignment="1" applyProtection="1">
      <alignment horizontal="center" shrinkToFit="1"/>
      <protection locked="0"/>
    </xf>
    <xf numFmtId="0" fontId="17" fillId="9" borderId="70" xfId="6" applyFont="1" applyFill="1" applyBorder="1" applyAlignment="1" applyProtection="1">
      <alignment horizontal="center" vertical="center" shrinkToFit="1"/>
      <protection locked="0"/>
    </xf>
    <xf numFmtId="0" fontId="17" fillId="9" borderId="13" xfId="6" applyFont="1" applyFill="1" applyBorder="1" applyAlignment="1" applyProtection="1">
      <alignment horizontal="center" vertical="center" shrinkToFit="1"/>
      <protection locked="0"/>
    </xf>
    <xf numFmtId="0" fontId="17" fillId="9" borderId="67" xfId="6" applyFont="1" applyFill="1" applyBorder="1" applyAlignment="1" applyProtection="1">
      <alignment horizontal="center" vertical="center" shrinkToFit="1"/>
      <protection locked="0"/>
    </xf>
    <xf numFmtId="0" fontId="17" fillId="9" borderId="31" xfId="6" applyFont="1" applyFill="1" applyBorder="1" applyAlignment="1" applyProtection="1">
      <alignment horizontal="center" vertical="center" shrinkToFit="1"/>
      <protection locked="0"/>
    </xf>
    <xf numFmtId="0" fontId="17" fillId="9" borderId="68" xfId="6" applyFont="1" applyFill="1" applyBorder="1" applyAlignment="1" applyProtection="1">
      <alignment horizontal="center" vertical="center" shrinkToFit="1"/>
      <protection locked="0"/>
    </xf>
    <xf numFmtId="0" fontId="17" fillId="9" borderId="2" xfId="6" applyFont="1" applyFill="1" applyBorder="1" applyAlignment="1" applyProtection="1">
      <alignment horizontal="center" vertical="center" shrinkToFit="1"/>
      <protection locked="0"/>
    </xf>
    <xf numFmtId="0" fontId="17" fillId="9" borderId="69" xfId="6" applyFont="1" applyFill="1" applyBorder="1" applyAlignment="1" applyProtection="1">
      <alignment horizontal="center" vertical="center" shrinkToFit="1"/>
      <protection locked="0"/>
    </xf>
    <xf numFmtId="0" fontId="17" fillId="9" borderId="16" xfId="6" applyFont="1" applyFill="1" applyBorder="1" applyAlignment="1" applyProtection="1">
      <alignment horizontal="center" vertical="center" shrinkToFit="1"/>
      <protection locked="0"/>
    </xf>
    <xf numFmtId="211" fontId="17" fillId="9" borderId="70" xfId="6" applyNumberFormat="1" applyFont="1" applyFill="1" applyBorder="1" applyAlignment="1" applyProtection="1">
      <alignment horizontal="center" vertical="center" shrinkToFit="1"/>
      <protection locked="0"/>
    </xf>
    <xf numFmtId="211" fontId="17" fillId="9" borderId="13" xfId="6" applyNumberFormat="1" applyFont="1" applyFill="1" applyBorder="1" applyAlignment="1" applyProtection="1">
      <alignment horizontal="center" vertical="center" shrinkToFit="1"/>
      <protection locked="0"/>
    </xf>
    <xf numFmtId="211" fontId="17" fillId="9" borderId="67" xfId="6" applyNumberFormat="1" applyFont="1" applyFill="1" applyBorder="1" applyAlignment="1" applyProtection="1">
      <alignment horizontal="center" vertical="center" shrinkToFit="1"/>
      <protection locked="0"/>
    </xf>
    <xf numFmtId="211" fontId="17" fillId="9" borderId="31" xfId="6" applyNumberFormat="1" applyFont="1" applyFill="1" applyBorder="1" applyAlignment="1" applyProtection="1">
      <alignment horizontal="center" vertical="center" shrinkToFit="1"/>
      <protection locked="0"/>
    </xf>
    <xf numFmtId="211" fontId="17" fillId="9" borderId="97" xfId="6" applyNumberFormat="1" applyFont="1" applyFill="1" applyBorder="1" applyAlignment="1" applyProtection="1">
      <alignment horizontal="center" vertical="center" shrinkToFit="1"/>
      <protection locked="0"/>
    </xf>
    <xf numFmtId="211" fontId="17" fillId="9" borderId="3" xfId="6" applyNumberFormat="1" applyFont="1" applyFill="1" applyBorder="1" applyAlignment="1" applyProtection="1">
      <alignment horizontal="center" vertical="center" shrinkToFit="1"/>
      <protection locked="0"/>
    </xf>
    <xf numFmtId="211" fontId="17" fillId="9" borderId="71" xfId="6" applyNumberFormat="1" applyFont="1" applyFill="1" applyBorder="1" applyAlignment="1" applyProtection="1">
      <alignment horizontal="center" vertical="center" shrinkToFit="1"/>
      <protection locked="0"/>
    </xf>
    <xf numFmtId="211" fontId="17" fillId="9" borderId="11" xfId="6" applyNumberFormat="1" applyFont="1" applyFill="1" applyBorder="1" applyAlignment="1" applyProtection="1">
      <alignment horizontal="center" vertical="center" shrinkToFit="1"/>
      <protection locked="0"/>
    </xf>
    <xf numFmtId="211" fontId="17" fillId="9" borderId="99" xfId="6" applyNumberFormat="1" applyFont="1" applyFill="1" applyBorder="1" applyAlignment="1" applyProtection="1">
      <alignment horizontal="center" vertical="center" shrinkToFit="1"/>
      <protection locked="0"/>
    </xf>
    <xf numFmtId="211" fontId="17" fillId="9" borderId="86" xfId="6" applyNumberFormat="1" applyFont="1" applyFill="1" applyBorder="1" applyAlignment="1" applyProtection="1">
      <alignment horizontal="center" vertical="center" shrinkToFit="1"/>
      <protection locked="0"/>
    </xf>
    <xf numFmtId="211" fontId="17" fillId="9" borderId="87" xfId="6" applyNumberFormat="1" applyFont="1" applyFill="1" applyBorder="1" applyAlignment="1" applyProtection="1">
      <alignment horizontal="center" vertical="center" shrinkToFit="1"/>
      <protection locked="0"/>
    </xf>
    <xf numFmtId="211" fontId="17" fillId="9" borderId="102" xfId="6" applyNumberFormat="1" applyFont="1" applyFill="1" applyBorder="1" applyAlignment="1" applyProtection="1">
      <alignment horizontal="center" vertical="center" shrinkToFit="1"/>
      <protection locked="0"/>
    </xf>
    <xf numFmtId="211" fontId="17" fillId="9" borderId="64" xfId="6" applyNumberFormat="1" applyFont="1" applyFill="1" applyBorder="1" applyAlignment="1" applyProtection="1">
      <alignment horizontal="center" vertical="center" shrinkToFit="1"/>
      <protection locked="0"/>
    </xf>
    <xf numFmtId="211" fontId="17" fillId="9" borderId="65" xfId="6" applyNumberFormat="1" applyFont="1" applyFill="1" applyBorder="1" applyAlignment="1" applyProtection="1">
      <alignment horizontal="center" vertical="center" shrinkToFit="1"/>
      <protection locked="0"/>
    </xf>
    <xf numFmtId="211" fontId="17" fillId="9" borderId="66" xfId="6" applyNumberFormat="1" applyFont="1" applyFill="1" applyBorder="1" applyAlignment="1" applyProtection="1">
      <alignment horizontal="center" vertical="center" shrinkToFit="1"/>
      <protection locked="0"/>
    </xf>
    <xf numFmtId="211" fontId="17" fillId="9" borderId="91" xfId="6" applyNumberFormat="1" applyFont="1" applyFill="1" applyBorder="1" applyAlignment="1" applyProtection="1">
      <alignment horizontal="center" vertical="center" shrinkToFit="1"/>
      <protection locked="0"/>
    </xf>
    <xf numFmtId="0" fontId="21" fillId="5" borderId="0" xfId="0" applyFont="1" applyFill="1" applyBorder="1" applyAlignment="1" applyProtection="1">
      <alignment vertical="center" shrinkToFit="1"/>
    </xf>
    <xf numFmtId="0" fontId="21" fillId="5" borderId="0" xfId="0" applyFont="1" applyFill="1" applyBorder="1" applyAlignment="1" applyProtection="1">
      <alignment horizontal="center" vertical="center" shrinkToFit="1"/>
    </xf>
    <xf numFmtId="0" fontId="21" fillId="5" borderId="0" xfId="0" applyFont="1" applyFill="1" applyBorder="1" applyAlignment="1" applyProtection="1">
      <alignment vertical="center" wrapText="1" shrinkToFit="1"/>
    </xf>
    <xf numFmtId="176" fontId="26" fillId="5" borderId="0" xfId="0" applyNumberFormat="1" applyFont="1" applyFill="1" applyBorder="1" applyAlignment="1" applyProtection="1">
      <alignment horizontal="center" vertical="center" wrapText="1"/>
    </xf>
    <xf numFmtId="0" fontId="21" fillId="5" borderId="0" xfId="0" applyFont="1" applyFill="1" applyBorder="1" applyAlignment="1" applyProtection="1">
      <alignment horizontal="center" vertical="center"/>
    </xf>
    <xf numFmtId="0" fontId="27" fillId="5" borderId="0" xfId="0" applyFont="1" applyFill="1" applyBorder="1" applyAlignment="1" applyProtection="1">
      <alignment horizontal="center" vertical="center" wrapText="1" shrinkToFit="1"/>
    </xf>
    <xf numFmtId="176" fontId="27" fillId="5" borderId="0" xfId="0" applyNumberFormat="1" applyFont="1" applyFill="1" applyBorder="1" applyAlignment="1" applyProtection="1">
      <alignment horizontal="center" vertical="center" wrapText="1"/>
    </xf>
    <xf numFmtId="38" fontId="7" fillId="0" borderId="0" xfId="0" applyNumberFormat="1" applyFont="1" applyBorder="1" applyAlignment="1" applyProtection="1">
      <alignment vertical="center"/>
    </xf>
    <xf numFmtId="38" fontId="7" fillId="0" borderId="0" xfId="5" applyFont="1" applyBorder="1" applyAlignment="1" applyProtection="1">
      <alignment vertical="center"/>
    </xf>
    <xf numFmtId="0" fontId="28" fillId="0" borderId="0" xfId="0" applyFont="1" applyBorder="1" applyAlignment="1" applyProtection="1">
      <alignment vertical="center"/>
    </xf>
    <xf numFmtId="187" fontId="0" fillId="0" borderId="0" xfId="0" applyNumberFormat="1" applyAlignment="1" applyProtection="1">
      <alignment horizontal="left" vertical="top" wrapText="1"/>
    </xf>
    <xf numFmtId="0" fontId="21" fillId="0" borderId="0" xfId="0" applyFont="1" applyAlignment="1" applyProtection="1">
      <alignment vertical="center"/>
    </xf>
    <xf numFmtId="0" fontId="21" fillId="0" borderId="0" xfId="0" applyFont="1" applyProtection="1">
      <alignment vertical="center"/>
    </xf>
    <xf numFmtId="0" fontId="10" fillId="0" borderId="0" xfId="0" applyFont="1" applyProtection="1">
      <alignment vertical="center"/>
    </xf>
    <xf numFmtId="0" fontId="7" fillId="0" borderId="0" xfId="0" applyFont="1" applyAlignment="1" applyProtection="1">
      <alignment vertical="center"/>
    </xf>
    <xf numFmtId="0" fontId="7" fillId="0" borderId="0" xfId="0" applyFont="1" applyAlignment="1" applyProtection="1">
      <alignment horizontal="left" vertical="distributed" wrapText="1"/>
    </xf>
    <xf numFmtId="0" fontId="7" fillId="0" borderId="0" xfId="0" applyFont="1" applyAlignment="1" applyProtection="1">
      <alignment vertical="distributed" wrapText="1"/>
    </xf>
    <xf numFmtId="0" fontId="0" fillId="0" borderId="0" xfId="0" applyAlignment="1" applyProtection="1">
      <alignment vertical="distributed" wrapText="1"/>
    </xf>
    <xf numFmtId="0" fontId="24" fillId="0" borderId="0" xfId="0" applyFont="1" applyAlignment="1" applyProtection="1">
      <alignment vertical="top" wrapText="1"/>
    </xf>
    <xf numFmtId="0" fontId="7" fillId="0" borderId="34" xfId="0" applyFont="1" applyBorder="1" applyProtection="1">
      <alignment vertical="center"/>
    </xf>
    <xf numFmtId="0" fontId="7" fillId="0" borderId="40" xfId="0" applyFont="1" applyBorder="1" applyProtection="1">
      <alignment vertical="center"/>
    </xf>
    <xf numFmtId="0" fontId="7" fillId="0" borderId="35" xfId="0" applyFont="1" applyBorder="1" applyProtection="1">
      <alignment vertical="center"/>
    </xf>
    <xf numFmtId="0" fontId="7" fillId="0" borderId="36" xfId="0" applyFont="1" applyBorder="1" applyProtection="1">
      <alignment vertical="center"/>
    </xf>
    <xf numFmtId="0" fontId="7" fillId="0" borderId="37" xfId="0" applyFont="1" applyBorder="1" applyProtection="1">
      <alignment vertical="center"/>
    </xf>
    <xf numFmtId="0" fontId="18" fillId="0" borderId="36" xfId="0" applyFont="1" applyBorder="1" applyAlignment="1" applyProtection="1">
      <alignment horizontal="center" vertical="center" shrinkToFit="1"/>
    </xf>
    <xf numFmtId="0" fontId="37" fillId="0" borderId="37" xfId="0" applyFont="1" applyBorder="1" applyAlignment="1" applyProtection="1">
      <alignment horizontal="center" vertical="center" shrinkToFit="1"/>
    </xf>
    <xf numFmtId="0" fontId="37" fillId="0" borderId="36" xfId="0" applyFont="1" applyBorder="1" applyAlignment="1" applyProtection="1">
      <alignment horizontal="center" vertical="center" shrinkToFit="1"/>
    </xf>
    <xf numFmtId="0" fontId="9" fillId="0" borderId="0" xfId="0" applyFont="1" applyAlignment="1" applyProtection="1">
      <alignment horizontal="center" vertical="center" shrinkToFit="1"/>
    </xf>
    <xf numFmtId="0" fontId="37" fillId="0" borderId="0" xfId="0" applyFont="1" applyAlignment="1" applyProtection="1">
      <alignment horizontal="center" vertical="center" shrinkToFit="1"/>
    </xf>
    <xf numFmtId="0" fontId="36" fillId="0" borderId="36" xfId="0" applyFont="1" applyBorder="1" applyAlignment="1" applyProtection="1">
      <alignment horizontal="center" vertical="center"/>
    </xf>
    <xf numFmtId="0" fontId="36" fillId="0" borderId="0" xfId="0" applyFont="1" applyAlignment="1" applyProtection="1">
      <alignment horizontal="center" vertical="center"/>
    </xf>
    <xf numFmtId="0" fontId="36" fillId="0" borderId="37" xfId="0" applyFont="1" applyBorder="1" applyAlignment="1" applyProtection="1">
      <alignment horizontal="center" vertical="center"/>
    </xf>
    <xf numFmtId="0" fontId="7" fillId="0" borderId="38" xfId="0" applyFont="1" applyBorder="1" applyProtection="1">
      <alignment vertical="center"/>
    </xf>
    <xf numFmtId="0" fontId="7" fillId="0" borderId="41" xfId="0" applyFont="1" applyBorder="1" applyProtection="1">
      <alignment vertical="center"/>
    </xf>
    <xf numFmtId="0" fontId="7" fillId="0" borderId="39" xfId="0" applyFont="1" applyBorder="1" applyProtection="1">
      <alignment vertical="center"/>
    </xf>
    <xf numFmtId="0" fontId="17" fillId="0" borderId="0" xfId="0" applyFont="1" applyAlignment="1" applyProtection="1">
      <alignment horizontal="right" vertical="center"/>
    </xf>
    <xf numFmtId="0" fontId="0" fillId="0" borderId="0" xfId="0" applyBorder="1" applyAlignment="1" applyProtection="1">
      <alignment horizontal="center" vertical="center" shrinkToFit="1"/>
    </xf>
    <xf numFmtId="0" fontId="7" fillId="0" borderId="0" xfId="0" applyFont="1" applyAlignment="1" applyProtection="1">
      <alignment horizontal="right" vertical="center"/>
    </xf>
    <xf numFmtId="179" fontId="7" fillId="0" borderId="0" xfId="0" applyNumberFormat="1" applyFont="1" applyBorder="1" applyAlignment="1" applyProtection="1">
      <alignment horizontal="center" vertical="center" shrinkToFit="1"/>
    </xf>
    <xf numFmtId="0" fontId="0" fillId="0" borderId="0" xfId="0" applyAlignment="1" applyProtection="1">
      <alignment vertical="center" wrapText="1"/>
    </xf>
    <xf numFmtId="0" fontId="0" fillId="0" borderId="0" xfId="0" applyAlignment="1" applyProtection="1">
      <alignment vertical="center"/>
    </xf>
    <xf numFmtId="0" fontId="6" fillId="0" borderId="0" xfId="0" applyFont="1" applyBorder="1" applyAlignment="1" applyProtection="1">
      <alignment horizontal="right" vertical="center"/>
    </xf>
    <xf numFmtId="0" fontId="6" fillId="0" borderId="0" xfId="0" applyFont="1" applyAlignment="1" applyProtection="1">
      <alignment horizontal="left" vertical="center" wrapText="1"/>
    </xf>
    <xf numFmtId="189" fontId="7" fillId="0" borderId="1" xfId="0" applyNumberFormat="1" applyFont="1" applyBorder="1" applyAlignment="1" applyProtection="1">
      <alignment horizontal="center" vertical="center"/>
    </xf>
    <xf numFmtId="0" fontId="7" fillId="0" borderId="1" xfId="0" applyFont="1" applyBorder="1" applyProtection="1">
      <alignment vertical="center"/>
    </xf>
    <xf numFmtId="0" fontId="7" fillId="0" borderId="7" xfId="0" applyFont="1" applyBorder="1" applyAlignment="1" applyProtection="1">
      <alignment horizontal="center" vertical="center"/>
    </xf>
    <xf numFmtId="0" fontId="7" fillId="0" borderId="0" xfId="0" applyFont="1" applyFill="1" applyBorder="1" applyProtection="1">
      <alignment vertical="center"/>
    </xf>
    <xf numFmtId="0" fontId="7" fillId="11" borderId="1" xfId="0" applyFont="1" applyFill="1" applyBorder="1" applyAlignment="1" applyProtection="1">
      <alignment horizontal="center" vertical="center" shrinkToFit="1"/>
    </xf>
    <xf numFmtId="179" fontId="7" fillId="11" borderId="1" xfId="0" applyNumberFormat="1" applyFont="1" applyFill="1" applyBorder="1" applyAlignment="1" applyProtection="1">
      <alignment vertical="center" shrinkToFit="1"/>
    </xf>
    <xf numFmtId="203" fontId="7" fillId="0" borderId="1" xfId="0" applyNumberFormat="1" applyFont="1" applyBorder="1" applyAlignment="1" applyProtection="1">
      <alignment vertical="center" shrinkToFit="1"/>
    </xf>
    <xf numFmtId="197" fontId="7" fillId="0" borderId="1" xfId="0" applyNumberFormat="1" applyFont="1" applyBorder="1" applyAlignment="1" applyProtection="1">
      <alignment vertical="center" shrinkToFit="1"/>
    </xf>
    <xf numFmtId="223" fontId="7" fillId="0" borderId="1" xfId="0" applyNumberFormat="1" applyFont="1" applyBorder="1" applyAlignment="1" applyProtection="1">
      <alignment vertical="center" shrinkToFit="1"/>
    </xf>
    <xf numFmtId="179" fontId="7" fillId="11" borderId="2" xfId="0" applyNumberFormat="1" applyFont="1" applyFill="1" applyBorder="1" applyAlignment="1" applyProtection="1">
      <alignment vertical="center" shrinkToFit="1"/>
    </xf>
    <xf numFmtId="204" fontId="7" fillId="0" borderId="1" xfId="0" applyNumberFormat="1" applyFont="1" applyBorder="1" applyAlignment="1" applyProtection="1">
      <alignment vertical="center" shrinkToFit="1"/>
    </xf>
    <xf numFmtId="198" fontId="7" fillId="0" borderId="1" xfId="0" applyNumberFormat="1" applyFont="1" applyBorder="1" applyAlignment="1" applyProtection="1">
      <alignment vertical="center" shrinkToFit="1"/>
    </xf>
    <xf numFmtId="224" fontId="7" fillId="0" borderId="1" xfId="0" applyNumberFormat="1" applyFont="1" applyBorder="1" applyAlignment="1" applyProtection="1">
      <alignment vertical="center" shrinkToFit="1"/>
    </xf>
    <xf numFmtId="0" fontId="17" fillId="0" borderId="0" xfId="0" applyFont="1" applyAlignment="1" applyProtection="1">
      <alignment vertical="center" shrinkToFit="1"/>
    </xf>
    <xf numFmtId="0" fontId="17" fillId="0" borderId="45" xfId="0" applyFont="1" applyBorder="1" applyProtection="1">
      <alignment vertical="center"/>
    </xf>
    <xf numFmtId="0" fontId="17" fillId="0" borderId="51" xfId="0" applyFont="1" applyBorder="1" applyProtection="1">
      <alignment vertical="center"/>
    </xf>
    <xf numFmtId="0" fontId="17" fillId="0" borderId="48" xfId="0" applyFont="1" applyBorder="1" applyProtection="1">
      <alignment vertical="center"/>
    </xf>
    <xf numFmtId="0" fontId="17" fillId="0" borderId="13" xfId="0" applyFont="1" applyBorder="1" applyAlignment="1" applyProtection="1">
      <alignment vertical="center" shrinkToFit="1"/>
    </xf>
    <xf numFmtId="0" fontId="17" fillId="0" borderId="49" xfId="0" applyFont="1" applyBorder="1" applyProtection="1">
      <alignment vertical="center"/>
    </xf>
    <xf numFmtId="0" fontId="17" fillId="0" borderId="50" xfId="0" applyFont="1" applyBorder="1" applyProtection="1">
      <alignment vertical="center"/>
    </xf>
    <xf numFmtId="0" fontId="17" fillId="0" borderId="0" xfId="0" applyFont="1" applyBorder="1" applyAlignment="1" applyProtection="1">
      <alignment horizontal="right" vertical="center"/>
    </xf>
    <xf numFmtId="0" fontId="0" fillId="0" borderId="0" xfId="0" applyBorder="1" applyAlignment="1" applyProtection="1">
      <alignment horizontal="right" vertical="center"/>
    </xf>
    <xf numFmtId="0" fontId="0" fillId="0" borderId="0" xfId="0" applyAlignment="1" applyProtection="1">
      <alignment vertical="center" wrapText="1" shrinkToFit="1"/>
    </xf>
    <xf numFmtId="0" fontId="21" fillId="0" borderId="0" xfId="2" applyFont="1" applyAlignment="1" applyProtection="1">
      <alignment vertical="center"/>
    </xf>
    <xf numFmtId="0" fontId="21" fillId="0" borderId="1" xfId="2" applyFont="1" applyBorder="1" applyAlignment="1" applyProtection="1">
      <alignment horizontal="center" vertical="center"/>
    </xf>
    <xf numFmtId="0" fontId="21" fillId="0" borderId="0" xfId="2" applyFont="1" applyAlignment="1" applyProtection="1">
      <alignment vertical="center" shrinkToFit="1"/>
    </xf>
    <xf numFmtId="3" fontId="23" fillId="0" borderId="0" xfId="2" applyNumberFormat="1" applyFont="1" applyAlignment="1" applyProtection="1">
      <alignment horizontal="right" vertical="center"/>
    </xf>
    <xf numFmtId="0" fontId="21" fillId="0" borderId="1" xfId="2" applyFont="1" applyBorder="1" applyAlignment="1" applyProtection="1">
      <alignment horizontal="center" vertical="center" shrinkToFit="1"/>
    </xf>
    <xf numFmtId="0" fontId="21" fillId="0" borderId="8" xfId="2" applyFont="1" applyBorder="1" applyAlignment="1" applyProtection="1">
      <alignment horizontal="center" vertical="center" shrinkToFit="1"/>
    </xf>
    <xf numFmtId="0" fontId="23" fillId="0" borderId="0" xfId="2" applyFont="1" applyAlignment="1" applyProtection="1">
      <alignment horizontal="right" vertical="center"/>
    </xf>
    <xf numFmtId="3" fontId="23" fillId="0" borderId="0" xfId="2" applyNumberFormat="1" applyFont="1" applyAlignment="1" applyProtection="1">
      <alignment vertical="center"/>
    </xf>
    <xf numFmtId="177" fontId="21" fillId="0" borderId="0" xfId="2" applyNumberFormat="1" applyFont="1" applyAlignment="1" applyProtection="1">
      <alignment horizontal="distributed" vertical="center"/>
    </xf>
    <xf numFmtId="0" fontId="21" fillId="0" borderId="0" xfId="2" applyFont="1" applyAlignment="1" applyProtection="1">
      <alignment horizontal="distributed" vertical="center"/>
    </xf>
    <xf numFmtId="3" fontId="21" fillId="0" borderId="0" xfId="2" applyNumberFormat="1" applyFont="1" applyAlignment="1" applyProtection="1">
      <alignment vertical="center"/>
    </xf>
    <xf numFmtId="211" fontId="17" fillId="0" borderId="96" xfId="6" applyNumberFormat="1" applyFont="1" applyFill="1" applyBorder="1" applyAlignment="1" applyProtection="1">
      <alignment horizontal="center" vertical="center" shrinkToFit="1"/>
    </xf>
    <xf numFmtId="211" fontId="17" fillId="0" borderId="73" xfId="6" applyNumberFormat="1" applyFont="1" applyFill="1" applyBorder="1" applyAlignment="1" applyProtection="1">
      <alignment horizontal="center" vertical="center" shrinkToFit="1"/>
    </xf>
    <xf numFmtId="211" fontId="17" fillId="0" borderId="72" xfId="6" applyNumberFormat="1" applyFont="1" applyFill="1" applyBorder="1" applyAlignment="1" applyProtection="1">
      <alignment horizontal="center" vertical="center" shrinkToFit="1"/>
    </xf>
    <xf numFmtId="211" fontId="17" fillId="0" borderId="42" xfId="6" applyNumberFormat="1" applyFont="1" applyFill="1" applyBorder="1" applyAlignment="1" applyProtection="1">
      <alignment horizontal="center" vertical="center" shrinkToFit="1"/>
    </xf>
    <xf numFmtId="211" fontId="17" fillId="0" borderId="44" xfId="6" applyNumberFormat="1" applyFont="1" applyFill="1" applyBorder="1" applyAlignment="1" applyProtection="1">
      <alignment horizontal="center" vertical="center" shrinkToFit="1"/>
    </xf>
    <xf numFmtId="211" fontId="17" fillId="0" borderId="146" xfId="6" applyNumberFormat="1" applyFont="1" applyFill="1" applyBorder="1" applyAlignment="1" applyProtection="1">
      <alignment horizontal="center" vertical="center" shrinkToFit="1"/>
    </xf>
    <xf numFmtId="0" fontId="17" fillId="0" borderId="96" xfId="6" applyFont="1" applyFill="1" applyBorder="1" applyAlignment="1" applyProtection="1">
      <alignment horizontal="center" vertical="center" shrinkToFit="1"/>
    </xf>
    <xf numFmtId="0" fontId="17" fillId="0" borderId="73" xfId="6" applyFont="1" applyFill="1" applyBorder="1" applyAlignment="1" applyProtection="1">
      <alignment horizontal="center" vertical="center" shrinkToFit="1"/>
    </xf>
    <xf numFmtId="0" fontId="17" fillId="0" borderId="72" xfId="6" applyFont="1" applyFill="1" applyBorder="1" applyAlignment="1" applyProtection="1">
      <alignment horizontal="center" vertical="center" shrinkToFit="1"/>
    </xf>
    <xf numFmtId="0" fontId="17" fillId="0" borderId="44" xfId="6" applyFont="1" applyFill="1" applyBorder="1" applyAlignment="1" applyProtection="1">
      <alignment horizontal="center" vertical="center" shrinkToFit="1"/>
    </xf>
    <xf numFmtId="0" fontId="17" fillId="0" borderId="146" xfId="6" applyFont="1" applyFill="1" applyBorder="1" applyAlignment="1" applyProtection="1">
      <alignment horizontal="center" vertical="center" shrinkToFit="1"/>
    </xf>
    <xf numFmtId="0" fontId="17" fillId="0" borderId="26" xfId="0" applyFont="1" applyFill="1" applyBorder="1" applyAlignment="1" applyProtection="1">
      <alignment horizontal="center" shrinkToFit="1"/>
    </xf>
    <xf numFmtId="0" fontId="55" fillId="0" borderId="0" xfId="6" applyFont="1" applyAlignment="1" applyProtection="1">
      <alignment vertical="center"/>
    </xf>
    <xf numFmtId="0" fontId="55" fillId="0" borderId="0" xfId="6" applyFont="1" applyAlignment="1" applyProtection="1">
      <alignment vertical="center" wrapText="1"/>
    </xf>
    <xf numFmtId="0" fontId="9" fillId="0" borderId="7" xfId="6" applyFont="1" applyBorder="1" applyAlignment="1" applyProtection="1">
      <alignment horizontal="centerContinuous"/>
    </xf>
    <xf numFmtId="0" fontId="9" fillId="0" borderId="8" xfId="6" applyFont="1" applyBorder="1" applyAlignment="1" applyProtection="1">
      <alignment horizontal="centerContinuous"/>
    </xf>
    <xf numFmtId="0" fontId="9" fillId="0" borderId="57" xfId="6" applyFont="1" applyBorder="1" applyAlignment="1" applyProtection="1">
      <alignment horizontal="centerContinuous"/>
    </xf>
    <xf numFmtId="0" fontId="9" fillId="0" borderId="58" xfId="6" applyFont="1" applyBorder="1" applyAlignment="1" applyProtection="1">
      <alignment horizontal="centerContinuous"/>
    </xf>
    <xf numFmtId="207" fontId="55" fillId="0" borderId="0" xfId="6" applyNumberFormat="1" applyFont="1" applyAlignment="1" applyProtection="1">
      <alignment horizontal="center"/>
    </xf>
    <xf numFmtId="207" fontId="55" fillId="0" borderId="1" xfId="6" applyNumberFormat="1" applyFont="1" applyBorder="1" applyAlignment="1" applyProtection="1">
      <alignment horizontal="center"/>
    </xf>
    <xf numFmtId="0" fontId="55" fillId="0" borderId="6" xfId="6" applyFont="1" applyFill="1" applyBorder="1" applyAlignment="1" applyProtection="1">
      <alignment horizontal="center" vertical="center"/>
    </xf>
    <xf numFmtId="0" fontId="55" fillId="0" borderId="1" xfId="6" applyFont="1" applyBorder="1" applyAlignment="1" applyProtection="1"/>
    <xf numFmtId="0" fontId="55" fillId="0" borderId="1" xfId="6" applyFont="1" applyFill="1" applyBorder="1" applyAlignment="1" applyProtection="1">
      <alignment horizontal="center"/>
    </xf>
    <xf numFmtId="0" fontId="14" fillId="0" borderId="0" xfId="6" applyFont="1" applyBorder="1" applyAlignment="1" applyProtection="1">
      <alignment horizontal="right"/>
    </xf>
    <xf numFmtId="14" fontId="55" fillId="0" borderId="1" xfId="6" applyNumberFormat="1" applyFont="1" applyBorder="1" applyAlignment="1" applyProtection="1">
      <alignment horizontal="left" vertical="center"/>
    </xf>
    <xf numFmtId="0" fontId="55" fillId="0" borderId="1" xfId="6" applyFont="1" applyBorder="1" applyAlignment="1" applyProtection="1">
      <alignment vertical="center"/>
    </xf>
    <xf numFmtId="0" fontId="17" fillId="0" borderId="0" xfId="6" applyFont="1" applyFill="1" applyBorder="1" applyAlignment="1" applyProtection="1">
      <alignment horizontal="center" vertical="center" shrinkToFit="1"/>
      <protection locked="0"/>
    </xf>
    <xf numFmtId="0" fontId="9" fillId="9" borderId="0" xfId="0" applyFont="1" applyFill="1" applyProtection="1">
      <alignment vertical="center"/>
      <protection locked="0"/>
    </xf>
    <xf numFmtId="0" fontId="7" fillId="0" borderId="113" xfId="0" applyFont="1" applyBorder="1" applyAlignment="1" applyProtection="1">
      <alignment horizontal="left" vertical="center" shrinkToFit="1"/>
    </xf>
    <xf numFmtId="0" fontId="7" fillId="0" borderId="0" xfId="0" applyFont="1" applyBorder="1" applyAlignment="1" applyProtection="1">
      <alignment horizontal="left" vertical="center" shrinkToFit="1"/>
    </xf>
    <xf numFmtId="0" fontId="17" fillId="0" borderId="6" xfId="0" applyFont="1" applyFill="1" applyBorder="1" applyAlignment="1" applyProtection="1">
      <alignment horizontal="left" vertical="center" shrinkToFit="1"/>
    </xf>
    <xf numFmtId="0" fontId="17" fillId="0" borderId="1" xfId="0" applyFont="1" applyFill="1" applyBorder="1" applyAlignment="1" applyProtection="1">
      <alignment horizontal="left" vertical="center" shrinkToFit="1"/>
    </xf>
    <xf numFmtId="0" fontId="17" fillId="0" borderId="1" xfId="6" applyFont="1" applyFill="1" applyBorder="1" applyAlignment="1" applyProtection="1">
      <alignment horizontal="left" vertical="center" shrinkToFit="1"/>
    </xf>
    <xf numFmtId="0" fontId="55" fillId="0" borderId="7" xfId="6" applyFont="1" applyBorder="1" applyAlignment="1" applyProtection="1">
      <alignment horizontal="center"/>
    </xf>
    <xf numFmtId="0" fontId="55" fillId="0" borderId="1" xfId="6" applyFont="1" applyBorder="1" applyAlignment="1" applyProtection="1">
      <alignment shrinkToFit="1"/>
    </xf>
    <xf numFmtId="0" fontId="55" fillId="0" borderId="1" xfId="6" applyFont="1" applyBorder="1" applyAlignment="1" applyProtection="1">
      <alignment horizontal="left" shrinkToFit="1"/>
    </xf>
    <xf numFmtId="241" fontId="55" fillId="0" borderId="1" xfId="6" applyNumberFormat="1" applyFont="1" applyBorder="1" applyProtection="1"/>
    <xf numFmtId="0" fontId="7" fillId="0" borderId="1" xfId="0" applyFont="1" applyBorder="1" applyAlignment="1" applyProtection="1">
      <alignment horizontal="center" vertical="center"/>
    </xf>
    <xf numFmtId="0" fontId="7" fillId="0" borderId="0" xfId="0" applyFont="1" applyAlignment="1" applyProtection="1">
      <alignment horizontal="center" vertical="center"/>
    </xf>
    <xf numFmtId="0" fontId="7" fillId="0" borderId="0" xfId="0" applyFont="1" applyAlignment="1" applyProtection="1">
      <alignment vertical="center"/>
    </xf>
    <xf numFmtId="203" fontId="7" fillId="0" borderId="2" xfId="0" applyNumberFormat="1" applyFont="1" applyBorder="1" applyAlignment="1" applyProtection="1">
      <alignment vertical="center" shrinkToFit="1"/>
    </xf>
    <xf numFmtId="219" fontId="17" fillId="0" borderId="8" xfId="6" applyNumberFormat="1" applyFont="1" applyFill="1" applyBorder="1" applyAlignment="1" applyProtection="1">
      <alignment horizontal="center" vertical="center" shrinkToFit="1"/>
    </xf>
    <xf numFmtId="219" fontId="13" fillId="0" borderId="8" xfId="0" applyNumberFormat="1" applyFont="1" applyFill="1" applyBorder="1" applyAlignment="1" applyProtection="1">
      <alignment horizontal="center" vertical="center" shrinkToFit="1"/>
    </xf>
    <xf numFmtId="0" fontId="13" fillId="0" borderId="8" xfId="0" applyFont="1" applyFill="1" applyBorder="1" applyAlignment="1" applyProtection="1">
      <alignment horizontal="center" vertical="center" shrinkToFit="1"/>
    </xf>
    <xf numFmtId="0" fontId="17" fillId="0" borderId="8" xfId="6" applyFont="1" applyFill="1" applyBorder="1" applyAlignment="1" applyProtection="1">
      <alignment horizontal="center" vertical="center" shrinkToFit="1"/>
    </xf>
    <xf numFmtId="0" fontId="55" fillId="0" borderId="8" xfId="6" applyFont="1" applyFill="1" applyBorder="1" applyProtection="1"/>
    <xf numFmtId="196" fontId="7" fillId="9" borderId="1" xfId="0" applyNumberFormat="1" applyFont="1" applyFill="1" applyBorder="1" applyAlignment="1" applyProtection="1">
      <alignment horizontal="right" vertical="center" shrinkToFit="1"/>
      <protection locked="0"/>
    </xf>
    <xf numFmtId="206" fontId="7" fillId="0" borderId="1" xfId="0" applyNumberFormat="1" applyFont="1" applyBorder="1" applyAlignment="1" applyProtection="1">
      <alignment vertical="center" shrinkToFit="1"/>
    </xf>
    <xf numFmtId="0" fontId="70" fillId="0" borderId="2" xfId="0" applyFont="1" applyBorder="1" applyAlignment="1">
      <alignment horizontal="center" vertical="center" shrinkToFit="1"/>
    </xf>
    <xf numFmtId="0" fontId="71" fillId="0" borderId="0" xfId="0" applyFont="1" applyAlignment="1">
      <alignment vertical="center" shrinkToFit="1"/>
    </xf>
    <xf numFmtId="0" fontId="71" fillId="0" borderId="0" xfId="0" applyFont="1" applyBorder="1" applyAlignment="1">
      <alignment vertical="center" shrinkToFit="1"/>
    </xf>
    <xf numFmtId="0" fontId="46" fillId="0" borderId="0" xfId="0" applyFont="1" applyAlignment="1">
      <alignment vertical="center" shrinkToFit="1"/>
    </xf>
    <xf numFmtId="0" fontId="71" fillId="0" borderId="4" xfId="0" applyFont="1" applyBorder="1" applyAlignment="1">
      <alignment vertical="center" shrinkToFit="1"/>
    </xf>
    <xf numFmtId="0" fontId="71" fillId="0" borderId="1" xfId="0" applyFont="1" applyBorder="1" applyAlignment="1">
      <alignment vertical="center" shrinkToFit="1"/>
    </xf>
    <xf numFmtId="0" fontId="71" fillId="0" borderId="0" xfId="0" applyFont="1" applyAlignment="1">
      <alignment horizontal="center" vertical="center" shrinkToFit="1"/>
    </xf>
    <xf numFmtId="242" fontId="71" fillId="0" borderId="1" xfId="0" applyNumberFormat="1" applyFont="1" applyBorder="1" applyAlignment="1">
      <alignment horizontal="center" vertical="center" shrinkToFit="1"/>
    </xf>
    <xf numFmtId="0" fontId="71" fillId="8" borderId="1" xfId="0" applyFont="1" applyFill="1" applyBorder="1" applyAlignment="1">
      <alignment vertical="center" shrinkToFit="1"/>
    </xf>
    <xf numFmtId="0" fontId="71" fillId="9" borderId="1" xfId="0" applyFont="1" applyFill="1" applyBorder="1" applyAlignment="1">
      <alignment vertical="center" shrinkToFit="1"/>
    </xf>
    <xf numFmtId="0" fontId="7" fillId="0" borderId="1" xfId="0" applyFont="1" applyBorder="1" applyAlignment="1" applyProtection="1">
      <alignment horizontal="center" vertical="center"/>
    </xf>
    <xf numFmtId="0" fontId="0" fillId="0" borderId="0" xfId="0" applyBorder="1" applyAlignment="1" applyProtection="1">
      <alignment vertical="center"/>
    </xf>
    <xf numFmtId="0" fontId="0" fillId="0" borderId="0" xfId="0" applyAlignment="1" applyProtection="1">
      <alignment vertical="center"/>
    </xf>
    <xf numFmtId="0" fontId="7" fillId="0" borderId="0" xfId="0" applyFont="1" applyAlignment="1" applyProtection="1">
      <alignment horizontal="center" vertical="center"/>
    </xf>
    <xf numFmtId="0" fontId="7" fillId="0" borderId="0" xfId="0" applyFont="1" applyAlignment="1" applyProtection="1">
      <alignment horizontal="left" vertical="center" shrinkToFit="1"/>
    </xf>
    <xf numFmtId="0" fontId="7" fillId="0" borderId="0" xfId="0" applyFont="1" applyAlignment="1" applyProtection="1">
      <alignment vertical="center"/>
    </xf>
    <xf numFmtId="0" fontId="7" fillId="0" borderId="0" xfId="0" applyFont="1" applyAlignment="1" applyProtection="1">
      <alignment vertical="center" wrapText="1"/>
    </xf>
    <xf numFmtId="0" fontId="0" fillId="0" borderId="0" xfId="0" applyAlignment="1" applyProtection="1">
      <alignment vertical="center" wrapText="1"/>
    </xf>
    <xf numFmtId="0" fontId="8" fillId="0" borderId="0" xfId="6" applyFont="1" applyAlignment="1">
      <alignment horizontal="center" vertical="center" shrinkToFit="1"/>
    </xf>
    <xf numFmtId="0" fontId="29" fillId="0" borderId="0" xfId="6" applyFont="1" applyAlignment="1">
      <alignment horizontal="center" vertical="center" shrinkToFit="1"/>
    </xf>
    <xf numFmtId="0" fontId="8" fillId="0" borderId="0" xfId="6" applyFont="1" applyAlignment="1">
      <alignment vertical="center" shrinkToFit="1"/>
    </xf>
    <xf numFmtId="0" fontId="29" fillId="0" borderId="0" xfId="6" applyFont="1" applyAlignment="1">
      <alignment vertical="center" shrinkToFit="1"/>
    </xf>
    <xf numFmtId="0" fontId="29" fillId="0" borderId="0" xfId="6" applyFont="1" applyAlignment="1">
      <alignment horizontal="right" vertical="center" shrinkToFit="1"/>
    </xf>
    <xf numFmtId="0" fontId="36" fillId="0" borderId="0" xfId="6" applyFont="1" applyAlignment="1">
      <alignment horizontal="center" vertical="center" shrinkToFit="1"/>
    </xf>
    <xf numFmtId="0" fontId="21" fillId="9" borderId="7" xfId="0" applyFont="1" applyFill="1" applyBorder="1" applyAlignment="1" applyProtection="1">
      <alignment horizontal="left" vertical="center" shrinkToFit="1"/>
      <protection locked="0"/>
    </xf>
    <xf numFmtId="0" fontId="29" fillId="0" borderId="0" xfId="0" applyFont="1" applyAlignment="1">
      <alignment vertical="center" shrinkToFit="1"/>
    </xf>
    <xf numFmtId="0" fontId="8" fillId="0" borderId="0" xfId="6" applyFont="1" applyAlignment="1">
      <alignment vertical="center"/>
    </xf>
    <xf numFmtId="0" fontId="0" fillId="0" borderId="0" xfId="0" applyBorder="1" applyAlignment="1" applyProtection="1">
      <alignment vertical="center" wrapText="1"/>
    </xf>
    <xf numFmtId="245" fontId="7" fillId="9" borderId="6" xfId="0" applyNumberFormat="1" applyFont="1" applyFill="1" applyBorder="1" applyAlignment="1" applyProtection="1">
      <alignment horizontal="right" vertical="center" shrinkToFit="1"/>
      <protection locked="0"/>
    </xf>
    <xf numFmtId="205" fontId="7" fillId="9" borderId="1" xfId="0" applyNumberFormat="1" applyFont="1" applyFill="1" applyBorder="1" applyAlignment="1" applyProtection="1">
      <alignment horizontal="right" vertical="center" shrinkToFit="1"/>
      <protection locked="0"/>
    </xf>
    <xf numFmtId="196" fontId="7" fillId="0" borderId="0" xfId="0" applyNumberFormat="1" applyFont="1" applyProtection="1">
      <alignment vertical="center"/>
    </xf>
    <xf numFmtId="196" fontId="7" fillId="0" borderId="0" xfId="0" applyNumberFormat="1" applyFont="1" applyBorder="1" applyAlignment="1" applyProtection="1">
      <alignment horizontal="center" vertical="center"/>
    </xf>
    <xf numFmtId="196" fontId="7" fillId="0" borderId="0" xfId="0" applyNumberFormat="1" applyFont="1" applyBorder="1" applyAlignment="1" applyProtection="1">
      <alignment horizontal="center" vertical="center" wrapText="1"/>
    </xf>
    <xf numFmtId="196" fontId="7" fillId="0" borderId="1" xfId="0" applyNumberFormat="1" applyFont="1" applyBorder="1" applyProtection="1">
      <alignment vertical="center"/>
    </xf>
    <xf numFmtId="3" fontId="7" fillId="9" borderId="6" xfId="0" applyNumberFormat="1" applyFont="1" applyFill="1" applyBorder="1" applyAlignment="1" applyProtection="1">
      <alignment horizontal="right" vertical="center" shrinkToFit="1"/>
      <protection locked="0"/>
    </xf>
    <xf numFmtId="0" fontId="21" fillId="9" borderId="1" xfId="0" applyFont="1" applyFill="1" applyBorder="1" applyAlignment="1" applyProtection="1">
      <alignment vertical="center" shrinkToFit="1"/>
      <protection locked="0"/>
    </xf>
    <xf numFmtId="0" fontId="71" fillId="13" borderId="1" xfId="0" applyFont="1" applyFill="1" applyBorder="1" applyAlignment="1">
      <alignment vertical="center" shrinkToFit="1"/>
    </xf>
    <xf numFmtId="244" fontId="7" fillId="0" borderId="1" xfId="0" applyNumberFormat="1" applyFont="1" applyBorder="1" applyProtection="1">
      <alignment vertical="center"/>
    </xf>
    <xf numFmtId="203" fontId="7" fillId="0" borderId="1" xfId="0" applyNumberFormat="1" applyFont="1" applyBorder="1" applyProtection="1">
      <alignment vertical="center"/>
    </xf>
    <xf numFmtId="0" fontId="71" fillId="0" borderId="0" xfId="0" applyFont="1" applyBorder="1" applyAlignment="1">
      <alignment vertical="center"/>
    </xf>
    <xf numFmtId="0" fontId="7" fillId="0" borderId="1" xfId="0" applyFont="1" applyBorder="1" applyAlignment="1" applyProtection="1">
      <alignment horizontal="center" vertical="center"/>
    </xf>
    <xf numFmtId="0" fontId="7" fillId="0" borderId="0" xfId="0" applyFont="1" applyAlignment="1" applyProtection="1">
      <alignment horizontal="center" vertical="center"/>
    </xf>
    <xf numFmtId="0" fontId="9" fillId="0" borderId="0" xfId="0" applyFont="1" applyFill="1" applyBorder="1" applyAlignment="1" applyProtection="1">
      <alignment vertical="center"/>
    </xf>
    <xf numFmtId="0" fontId="9" fillId="0" borderId="0" xfId="0" applyFont="1" applyAlignment="1" applyProtection="1">
      <alignment vertical="center"/>
    </xf>
    <xf numFmtId="0" fontId="9" fillId="0" borderId="1" xfId="0" applyFont="1" applyBorder="1" applyAlignment="1" applyProtection="1">
      <alignment horizontal="center" vertical="center"/>
    </xf>
    <xf numFmtId="0" fontId="0" fillId="0" borderId="0" xfId="0" applyAlignment="1" applyProtection="1">
      <alignment vertical="center" wrapText="1" shrinkToFit="1"/>
    </xf>
    <xf numFmtId="0" fontId="21" fillId="9" borderId="1" xfId="0" applyFont="1" applyFill="1" applyBorder="1" applyAlignment="1" applyProtection="1">
      <alignment horizontal="left" vertical="center" shrinkToFit="1"/>
      <protection locked="0"/>
    </xf>
    <xf numFmtId="0" fontId="17" fillId="0" borderId="26" xfId="0" applyFont="1" applyBorder="1" applyAlignment="1" applyProtection="1">
      <alignment horizontal="center" vertical="center" shrinkToFit="1"/>
    </xf>
    <xf numFmtId="0" fontId="17" fillId="0" borderId="27" xfId="0" applyFont="1" applyBorder="1" applyAlignment="1" applyProtection="1">
      <alignment horizontal="center" vertical="center" shrinkToFit="1"/>
    </xf>
    <xf numFmtId="248" fontId="7" fillId="0" borderId="0" xfId="0" applyNumberFormat="1" applyFont="1" applyAlignment="1" applyProtection="1">
      <alignment horizontal="left" vertical="center" shrinkToFit="1"/>
    </xf>
    <xf numFmtId="0" fontId="9" fillId="2" borderId="1" xfId="0" applyFont="1" applyFill="1" applyBorder="1" applyAlignment="1" applyProtection="1">
      <alignment horizontal="center" vertical="center"/>
    </xf>
    <xf numFmtId="196" fontId="7" fillId="9" borderId="1" xfId="0" applyNumberFormat="1" applyFont="1" applyFill="1" applyBorder="1" applyAlignment="1" applyProtection="1">
      <alignment horizontal="center" vertical="center" shrinkToFit="1"/>
      <protection locked="0"/>
    </xf>
    <xf numFmtId="248" fontId="9" fillId="0" borderId="0" xfId="0" applyNumberFormat="1" applyFont="1" applyAlignment="1" applyProtection="1">
      <alignment vertical="center" shrinkToFit="1"/>
    </xf>
    <xf numFmtId="0" fontId="9" fillId="0" borderId="4" xfId="0" applyFont="1" applyBorder="1" applyAlignment="1" applyProtection="1">
      <alignment horizontal="center" vertical="center" wrapText="1"/>
    </xf>
    <xf numFmtId="248" fontId="9" fillId="0" borderId="0" xfId="0" applyNumberFormat="1" applyFont="1" applyAlignment="1" applyProtection="1">
      <alignment horizontal="right" vertical="center" shrinkToFit="1"/>
    </xf>
    <xf numFmtId="0" fontId="17" fillId="0" borderId="1" xfId="0" applyFont="1" applyBorder="1" applyProtection="1">
      <alignment vertical="center"/>
    </xf>
    <xf numFmtId="179" fontId="19" fillId="0" borderId="0" xfId="6" applyNumberFormat="1" applyFont="1" applyFill="1" applyAlignment="1">
      <alignment horizontal="right" shrinkToFit="1"/>
    </xf>
    <xf numFmtId="179" fontId="19" fillId="0" borderId="1" xfId="7" applyNumberFormat="1" applyFont="1" applyFill="1" applyBorder="1" applyAlignment="1">
      <alignment vertical="center" wrapText="1"/>
    </xf>
    <xf numFmtId="179" fontId="19" fillId="0" borderId="7" xfId="6" applyNumberFormat="1" applyFont="1" applyFill="1" applyBorder="1" applyAlignment="1">
      <alignment shrinkToFit="1"/>
    </xf>
    <xf numFmtId="179" fontId="44" fillId="0" borderId="7" xfId="6" applyNumberFormat="1" applyFont="1" applyFill="1" applyBorder="1" applyAlignment="1">
      <alignment shrinkToFit="1"/>
    </xf>
    <xf numFmtId="179" fontId="19" fillId="0" borderId="16" xfId="6" applyNumberFormat="1" applyFont="1" applyFill="1" applyBorder="1" applyAlignment="1">
      <alignment shrinkToFit="1"/>
    </xf>
    <xf numFmtId="0" fontId="7" fillId="0" borderId="0" xfId="0" applyFont="1" applyAlignment="1" applyProtection="1">
      <alignment horizontal="left" vertical="center" shrinkToFit="1"/>
    </xf>
    <xf numFmtId="0" fontId="8" fillId="0" borderId="0" xfId="6" applyFont="1" applyAlignment="1">
      <alignment vertical="center" shrinkToFit="1"/>
    </xf>
    <xf numFmtId="0" fontId="0" fillId="0" borderId="0" xfId="0" applyAlignment="1">
      <alignment vertical="center" shrinkToFit="1"/>
    </xf>
    <xf numFmtId="0" fontId="8" fillId="0" borderId="1" xfId="6" applyFont="1" applyBorder="1" applyAlignment="1">
      <alignment horizontal="center" vertical="center" shrinkToFit="1"/>
    </xf>
    <xf numFmtId="0" fontId="29" fillId="0" borderId="1" xfId="6" applyFont="1" applyBorder="1" applyAlignment="1">
      <alignment horizontal="center" vertical="center" shrinkToFit="1"/>
    </xf>
    <xf numFmtId="241" fontId="55" fillId="0" borderId="1" xfId="6" applyNumberFormat="1" applyFont="1" applyBorder="1" applyAlignment="1" applyProtection="1">
      <alignment horizontal="center" vertical="center"/>
    </xf>
    <xf numFmtId="183" fontId="7" fillId="0" borderId="1" xfId="0" applyNumberFormat="1" applyFont="1" applyFill="1" applyBorder="1" applyAlignment="1" applyProtection="1">
      <alignment horizontal="right" vertical="center" wrapText="1" shrinkToFit="1"/>
    </xf>
    <xf numFmtId="0" fontId="72" fillId="0" borderId="0" xfId="6" applyFont="1" applyAlignment="1" applyProtection="1">
      <alignment horizontal="center"/>
    </xf>
    <xf numFmtId="0" fontId="62" fillId="0" borderId="0" xfId="6" applyFont="1" applyAlignment="1" applyProtection="1">
      <alignment horizontal="center"/>
    </xf>
    <xf numFmtId="0" fontId="8" fillId="0" borderId="1" xfId="0" applyFont="1" applyBorder="1" applyAlignment="1">
      <alignment horizontal="center" vertical="center" shrinkToFit="1"/>
    </xf>
    <xf numFmtId="0" fontId="8" fillId="8" borderId="1" xfId="6" applyFont="1" applyFill="1" applyBorder="1" applyAlignment="1">
      <alignment horizontal="center" vertical="center" shrinkToFit="1"/>
    </xf>
    <xf numFmtId="0" fontId="71" fillId="0" borderId="1" xfId="0" applyFont="1" applyBorder="1" applyAlignment="1">
      <alignment horizontal="center" vertical="center" shrinkToFit="1"/>
    </xf>
    <xf numFmtId="241" fontId="71" fillId="8" borderId="1" xfId="0" applyNumberFormat="1" applyFont="1" applyFill="1" applyBorder="1" applyAlignment="1">
      <alignment vertical="center" shrinkToFit="1"/>
    </xf>
    <xf numFmtId="241" fontId="71" fillId="9" borderId="1" xfId="0" applyNumberFormat="1" applyFont="1" applyFill="1" applyBorder="1" applyAlignment="1">
      <alignment vertical="center" shrinkToFit="1"/>
    </xf>
    <xf numFmtId="241" fontId="71" fillId="13" borderId="1" xfId="0" applyNumberFormat="1" applyFont="1" applyFill="1" applyBorder="1" applyAlignment="1">
      <alignment vertical="center" shrinkToFit="1"/>
    </xf>
    <xf numFmtId="0" fontId="71" fillId="0" borderId="9" xfId="0" applyFont="1" applyFill="1" applyBorder="1" applyAlignment="1">
      <alignment vertical="center" shrinkToFit="1"/>
    </xf>
    <xf numFmtId="0" fontId="8" fillId="0" borderId="0" xfId="6" applyFont="1" applyAlignment="1">
      <alignment vertical="center" shrinkToFit="1"/>
    </xf>
    <xf numFmtId="0" fontId="19" fillId="0" borderId="1" xfId="0" applyFont="1" applyBorder="1" applyAlignment="1" applyProtection="1">
      <alignment horizontal="center" vertical="center"/>
      <protection locked="0"/>
    </xf>
    <xf numFmtId="0" fontId="8" fillId="0" borderId="0" xfId="6" applyFont="1" applyAlignment="1">
      <alignment vertical="center" shrinkToFit="1"/>
    </xf>
    <xf numFmtId="0" fontId="0" fillId="0" borderId="0" xfId="0" applyAlignment="1">
      <alignment horizontal="left" vertical="center" shrinkToFit="1"/>
    </xf>
    <xf numFmtId="0" fontId="8" fillId="0" borderId="0" xfId="6" applyFont="1" applyAlignment="1">
      <alignment horizontal="center" vertical="center" shrinkToFit="1"/>
    </xf>
    <xf numFmtId="0" fontId="29" fillId="0" borderId="0" xfId="6" applyFont="1" applyAlignment="1">
      <alignment vertical="center" shrinkToFit="1"/>
    </xf>
    <xf numFmtId="0" fontId="8" fillId="0" borderId="1" xfId="6" applyFont="1" applyBorder="1" applyAlignment="1">
      <alignment horizontal="center" vertical="center" shrinkToFit="1"/>
    </xf>
    <xf numFmtId="0" fontId="29" fillId="0" borderId="0" xfId="6" applyFont="1" applyBorder="1" applyAlignment="1">
      <alignment horizontal="center" vertical="center" shrinkToFit="1"/>
    </xf>
    <xf numFmtId="248" fontId="29" fillId="0" borderId="1" xfId="0" applyNumberFormat="1" applyFont="1" applyBorder="1" applyAlignment="1" applyProtection="1">
      <alignment horizontal="center" vertical="center"/>
    </xf>
    <xf numFmtId="0" fontId="7" fillId="0" borderId="11" xfId="0" applyFont="1" applyBorder="1" applyAlignment="1" applyProtection="1">
      <alignment horizontal="left" vertical="center" wrapText="1"/>
    </xf>
    <xf numFmtId="0" fontId="0" fillId="0" borderId="11" xfId="0" applyBorder="1" applyAlignment="1">
      <alignment horizontal="left" vertical="center" wrapText="1"/>
    </xf>
    <xf numFmtId="0" fontId="29" fillId="0" borderId="1" xfId="0" applyFont="1" applyFill="1" applyBorder="1" applyAlignment="1" applyProtection="1">
      <alignment horizontal="center" vertical="center" wrapText="1"/>
    </xf>
    <xf numFmtId="0" fontId="8" fillId="0" borderId="0" xfId="6" applyFont="1" applyAlignment="1">
      <alignment vertical="center" shrinkToFit="1"/>
    </xf>
    <xf numFmtId="0" fontId="29" fillId="0" borderId="0" xfId="6" applyFont="1" applyAlignment="1">
      <alignment vertical="center" shrinkToFit="1"/>
    </xf>
    <xf numFmtId="0" fontId="8" fillId="0" borderId="0" xfId="6" applyFont="1" applyBorder="1" applyAlignment="1">
      <alignment vertical="center" wrapText="1" shrinkToFit="1"/>
    </xf>
    <xf numFmtId="0" fontId="0" fillId="0" borderId="0" xfId="0" applyBorder="1" applyAlignment="1">
      <alignment vertical="center" wrapText="1" shrinkToFit="1"/>
    </xf>
    <xf numFmtId="49" fontId="8" fillId="0" borderId="1" xfId="0" applyNumberFormat="1" applyFont="1" applyBorder="1" applyAlignment="1">
      <alignment horizontal="center" vertical="center" shrinkToFit="1"/>
    </xf>
    <xf numFmtId="0" fontId="50" fillId="0" borderId="0" xfId="0" applyFont="1" applyAlignment="1">
      <alignment horizontal="center" vertical="center" wrapText="1" shrinkToFit="1"/>
    </xf>
    <xf numFmtId="0" fontId="7" fillId="0" borderId="0" xfId="0" applyFont="1" applyAlignment="1" applyProtection="1">
      <alignment horizontal="left" vertical="center"/>
    </xf>
    <xf numFmtId="0" fontId="7" fillId="0" borderId="0" xfId="0" applyFont="1" applyAlignment="1" applyProtection="1">
      <alignment horizontal="left" vertical="center" shrinkToFit="1"/>
    </xf>
    <xf numFmtId="0" fontId="0" fillId="0" borderId="0" xfId="0" applyAlignment="1" applyProtection="1">
      <alignment vertical="center" wrapText="1"/>
    </xf>
    <xf numFmtId="191" fontId="44" fillId="0" borderId="1" xfId="0" applyNumberFormat="1" applyFont="1" applyBorder="1" applyAlignment="1">
      <alignment vertical="center" shrinkToFit="1"/>
    </xf>
    <xf numFmtId="0" fontId="44" fillId="0" borderId="9" xfId="0" applyFont="1" applyFill="1" applyBorder="1" applyAlignment="1">
      <alignment vertical="center" shrinkToFit="1"/>
    </xf>
    <xf numFmtId="0" fontId="48" fillId="12" borderId="4" xfId="0" applyFont="1" applyFill="1" applyBorder="1" applyAlignment="1">
      <alignment horizontal="center" vertical="center" shrinkToFit="1"/>
    </xf>
    <xf numFmtId="210" fontId="44" fillId="12" borderId="1" xfId="0" applyNumberFormat="1" applyFont="1" applyFill="1" applyBorder="1" applyAlignment="1">
      <alignment horizontal="center" vertical="center" shrinkToFit="1"/>
    </xf>
    <xf numFmtId="0" fontId="44" fillId="0" borderId="1" xfId="0" applyFont="1" applyBorder="1" applyAlignment="1">
      <alignment vertical="center" shrinkToFit="1"/>
    </xf>
    <xf numFmtId="176" fontId="44" fillId="0" borderId="9" xfId="0" applyNumberFormat="1" applyFont="1" applyFill="1" applyBorder="1" applyAlignment="1">
      <alignment vertical="center" shrinkToFit="1"/>
    </xf>
    <xf numFmtId="176" fontId="44" fillId="12" borderId="4" xfId="0" applyNumberFormat="1" applyFont="1" applyFill="1" applyBorder="1" applyAlignment="1">
      <alignment horizontal="left" vertical="center" shrinkToFit="1"/>
    </xf>
    <xf numFmtId="249" fontId="48" fillId="12" borderId="4" xfId="0" applyNumberFormat="1" applyFont="1" applyFill="1" applyBorder="1" applyAlignment="1">
      <alignment horizontal="center" vertical="center" shrinkToFit="1"/>
    </xf>
    <xf numFmtId="176" fontId="44" fillId="0" borderId="1" xfId="0" applyNumberFormat="1" applyFont="1" applyBorder="1" applyAlignment="1">
      <alignment vertical="center" shrinkToFit="1"/>
    </xf>
    <xf numFmtId="0" fontId="44" fillId="8" borderId="1" xfId="0" applyFont="1" applyFill="1" applyBorder="1" applyAlignment="1">
      <alignment vertical="center" shrinkToFit="1"/>
    </xf>
    <xf numFmtId="247" fontId="44" fillId="8" borderId="1" xfId="0" applyNumberFormat="1" applyFont="1" applyFill="1" applyBorder="1" applyAlignment="1">
      <alignment vertical="center" shrinkToFit="1"/>
    </xf>
    <xf numFmtId="0" fontId="44" fillId="9" borderId="1" xfId="0" applyFont="1" applyFill="1" applyBorder="1" applyAlignment="1">
      <alignment vertical="center" shrinkToFit="1"/>
    </xf>
    <xf numFmtId="247" fontId="44" fillId="9" borderId="1" xfId="0" applyNumberFormat="1" applyFont="1" applyFill="1" applyBorder="1" applyAlignment="1">
      <alignment vertical="center" shrinkToFit="1"/>
    </xf>
    <xf numFmtId="0" fontId="7" fillId="0" borderId="11" xfId="0" applyFont="1" applyBorder="1" applyAlignment="1" applyProtection="1">
      <alignment horizontal="left" vertical="center"/>
    </xf>
    <xf numFmtId="0" fontId="7" fillId="0" borderId="9" xfId="0" applyFont="1" applyBorder="1" applyAlignment="1" applyProtection="1">
      <alignment horizontal="left" vertical="center"/>
    </xf>
    <xf numFmtId="14" fontId="7" fillId="0" borderId="0" xfId="0" applyNumberFormat="1" applyFont="1" applyAlignment="1" applyProtection="1">
      <alignment horizontal="left" vertical="center" shrinkToFit="1"/>
    </xf>
    <xf numFmtId="0" fontId="8" fillId="0" borderId="0" xfId="6" applyFont="1" applyAlignment="1">
      <alignment vertical="center" shrinkToFit="1"/>
    </xf>
    <xf numFmtId="0" fontId="44" fillId="13" borderId="1" xfId="0" applyFont="1" applyFill="1" applyBorder="1" applyAlignment="1">
      <alignment vertical="center" shrinkToFit="1"/>
    </xf>
    <xf numFmtId="247" fontId="44" fillId="13" borderId="1" xfId="0" applyNumberFormat="1" applyFont="1" applyFill="1" applyBorder="1" applyAlignment="1">
      <alignment vertical="center" shrinkToFit="1"/>
    </xf>
    <xf numFmtId="0" fontId="44" fillId="12" borderId="1" xfId="0" applyFont="1" applyFill="1" applyBorder="1" applyAlignment="1">
      <alignment vertical="center" shrinkToFit="1"/>
    </xf>
    <xf numFmtId="247" fontId="44" fillId="12" borderId="1" xfId="0" applyNumberFormat="1" applyFont="1" applyFill="1" applyBorder="1" applyAlignment="1">
      <alignment vertical="center" shrinkToFit="1"/>
    </xf>
    <xf numFmtId="0" fontId="40" fillId="0" borderId="0" xfId="0" applyFont="1" applyAlignment="1">
      <alignment horizontal="distributed" vertical="center" wrapText="1"/>
    </xf>
    <xf numFmtId="0" fontId="41" fillId="0" borderId="0" xfId="0" applyFont="1" applyAlignment="1">
      <alignment horizontal="distributed" vertical="center" wrapText="1"/>
    </xf>
    <xf numFmtId="0" fontId="7" fillId="0" borderId="0" xfId="0" applyFont="1" applyAlignment="1" applyProtection="1">
      <alignment horizontal="center" vertical="center"/>
    </xf>
    <xf numFmtId="0" fontId="7" fillId="0" borderId="0" xfId="0" applyFont="1" applyAlignment="1" applyProtection="1">
      <alignment vertical="center"/>
    </xf>
    <xf numFmtId="0" fontId="7" fillId="0" borderId="0" xfId="0" applyFont="1" applyAlignment="1" applyProtection="1">
      <alignment horizontal="left" vertical="center"/>
    </xf>
    <xf numFmtId="0" fontId="21" fillId="9" borderId="1" xfId="0" applyFont="1" applyFill="1" applyBorder="1" applyAlignment="1" applyProtection="1">
      <alignment horizontal="left" vertical="center" shrinkToFit="1"/>
    </xf>
    <xf numFmtId="3" fontId="21" fillId="9" borderId="6" xfId="0" applyNumberFormat="1" applyFont="1" applyFill="1" applyBorder="1" applyAlignment="1" applyProtection="1">
      <alignment horizontal="right" vertical="center" shrinkToFit="1"/>
    </xf>
    <xf numFmtId="245" fontId="21" fillId="9" borderId="6" xfId="0" applyNumberFormat="1" applyFont="1" applyFill="1" applyBorder="1" applyAlignment="1" applyProtection="1">
      <alignment horizontal="right" vertical="center" shrinkToFit="1"/>
    </xf>
    <xf numFmtId="205" fontId="21" fillId="9" borderId="1" xfId="0" applyNumberFormat="1" applyFont="1" applyFill="1" applyBorder="1" applyAlignment="1" applyProtection="1">
      <alignment horizontal="right" vertical="center" shrinkToFit="1"/>
    </xf>
    <xf numFmtId="212" fontId="21" fillId="9" borderId="1" xfId="0" applyNumberFormat="1" applyFont="1" applyFill="1" applyBorder="1" applyAlignment="1" applyProtection="1">
      <alignment horizontal="right" vertical="center" shrinkToFit="1"/>
    </xf>
    <xf numFmtId="196" fontId="21" fillId="9" borderId="1" xfId="0" applyNumberFormat="1" applyFont="1" applyFill="1" applyBorder="1" applyAlignment="1" applyProtection="1">
      <alignment horizontal="right" vertical="center" shrinkToFit="1"/>
    </xf>
    <xf numFmtId="179" fontId="21" fillId="0" borderId="1" xfId="0" applyNumberFormat="1" applyFont="1" applyFill="1" applyBorder="1" applyAlignment="1" applyProtection="1">
      <alignment horizontal="right" vertical="center" shrinkToFit="1"/>
    </xf>
    <xf numFmtId="0" fontId="21" fillId="0" borderId="1" xfId="0" applyFont="1" applyBorder="1" applyAlignment="1" applyProtection="1">
      <alignment horizontal="center" vertical="center" shrinkToFit="1"/>
    </xf>
    <xf numFmtId="3" fontId="29" fillId="0" borderId="1" xfId="0" applyNumberFormat="1" applyFont="1" applyBorder="1" applyAlignment="1" applyProtection="1">
      <alignment horizontal="center" vertical="center"/>
    </xf>
    <xf numFmtId="14" fontId="19" fillId="0" borderId="0" xfId="0" applyNumberFormat="1" applyFont="1" applyAlignment="1">
      <alignment horizontal="center" vertical="center"/>
    </xf>
    <xf numFmtId="0" fontId="7" fillId="0" borderId="1" xfId="0" applyFont="1" applyBorder="1" applyAlignment="1">
      <alignment horizontal="center" vertical="center"/>
    </xf>
    <xf numFmtId="244" fontId="7" fillId="0" borderId="1" xfId="0" applyNumberFormat="1" applyFont="1" applyBorder="1" applyAlignment="1">
      <alignment vertical="center"/>
    </xf>
    <xf numFmtId="203" fontId="7" fillId="0" borderId="1" xfId="0" applyNumberFormat="1" applyFont="1" applyBorder="1" applyAlignment="1">
      <alignment vertical="center"/>
    </xf>
    <xf numFmtId="0" fontId="31" fillId="0" borderId="0" xfId="0" applyFont="1" applyAlignment="1">
      <alignment vertical="center" shrinkToFit="1"/>
    </xf>
    <xf numFmtId="49" fontId="19" fillId="0" borderId="6" xfId="0" applyNumberFormat="1" applyFont="1" applyBorder="1" applyAlignment="1">
      <alignment horizontal="left" vertical="center"/>
    </xf>
    <xf numFmtId="0" fontId="19" fillId="0" borderId="7" xfId="0" applyFont="1" applyBorder="1" applyAlignment="1">
      <alignment horizontal="left" vertical="center"/>
    </xf>
    <xf numFmtId="0" fontId="8" fillId="0" borderId="1" xfId="0" applyFont="1" applyBorder="1" applyAlignment="1" applyProtection="1">
      <alignment vertical="center" shrinkToFit="1"/>
    </xf>
    <xf numFmtId="0" fontId="29" fillId="0" borderId="0" xfId="0" applyFont="1" applyAlignment="1" applyProtection="1">
      <alignment vertical="center"/>
    </xf>
    <xf numFmtId="0" fontId="55" fillId="0" borderId="1" xfId="6" applyFont="1" applyBorder="1" applyAlignment="1" applyProtection="1">
      <alignment horizontal="center" vertical="center"/>
    </xf>
    <xf numFmtId="0" fontId="55" fillId="0" borderId="1" xfId="6" applyFont="1" applyBorder="1" applyAlignment="1" applyProtection="1">
      <alignment horizontal="center"/>
    </xf>
    <xf numFmtId="0" fontId="55" fillId="0" borderId="0" xfId="6" applyFont="1" applyBorder="1" applyAlignment="1" applyProtection="1"/>
    <xf numFmtId="0" fontId="17" fillId="0" borderId="0" xfId="6" applyFont="1" applyAlignment="1" applyProtection="1">
      <alignment horizontal="center"/>
    </xf>
    <xf numFmtId="0" fontId="0" fillId="0" borderId="0" xfId="0" applyAlignment="1" applyProtection="1">
      <alignment horizontal="center"/>
    </xf>
    <xf numFmtId="0" fontId="17" fillId="0" borderId="0" xfId="6" applyFont="1" applyFill="1" applyAlignment="1" applyProtection="1">
      <alignment horizontal="left" vertical="center" wrapText="1"/>
    </xf>
    <xf numFmtId="0" fontId="17" fillId="9" borderId="7" xfId="6" applyFont="1" applyFill="1" applyBorder="1" applyAlignment="1" applyProtection="1">
      <alignment horizontal="center" shrinkToFit="1"/>
      <protection locked="0"/>
    </xf>
    <xf numFmtId="0" fontId="17" fillId="0" borderId="1" xfId="0" applyFont="1" applyBorder="1" applyAlignment="1" applyProtection="1">
      <alignment horizontal="center" vertical="center" shrinkToFit="1"/>
    </xf>
    <xf numFmtId="0" fontId="0" fillId="0" borderId="0" xfId="0" applyBorder="1" applyAlignment="1" applyProtection="1">
      <alignment vertical="center"/>
    </xf>
    <xf numFmtId="0" fontId="17" fillId="0" borderId="0" xfId="6" applyFont="1" applyBorder="1" applyAlignment="1" applyProtection="1">
      <alignment vertical="center"/>
    </xf>
    <xf numFmtId="0" fontId="56" fillId="0" borderId="0" xfId="6" applyFont="1" applyAlignment="1" applyProtection="1">
      <alignment horizontal="center"/>
    </xf>
    <xf numFmtId="0" fontId="22" fillId="0" borderId="1" xfId="6" applyFont="1" applyFill="1" applyBorder="1" applyAlignment="1" applyProtection="1">
      <alignment horizontal="left" vertical="center"/>
    </xf>
    <xf numFmtId="0" fontId="65" fillId="0" borderId="0" xfId="0" applyFont="1" applyBorder="1" applyAlignment="1" applyProtection="1">
      <alignment horizontal="right"/>
    </xf>
    <xf numFmtId="0" fontId="17" fillId="0" borderId="1" xfId="6" applyFont="1" applyFill="1" applyBorder="1" applyAlignment="1" applyProtection="1">
      <alignment horizontal="center" vertical="center" wrapText="1"/>
    </xf>
    <xf numFmtId="0" fontId="17" fillId="0" borderId="13" xfId="0" applyFont="1" applyBorder="1" applyAlignment="1" applyProtection="1">
      <alignment horizontal="center" vertical="center"/>
    </xf>
    <xf numFmtId="0" fontId="17" fillId="0" borderId="1" xfId="0" applyFont="1" applyBorder="1" applyAlignment="1" applyProtection="1">
      <alignment horizontal="center" vertical="center"/>
    </xf>
    <xf numFmtId="0" fontId="17" fillId="0" borderId="1" xfId="0" applyFont="1" applyBorder="1" applyAlignment="1" applyProtection="1">
      <alignment vertical="center" shrinkToFit="1"/>
    </xf>
    <xf numFmtId="0" fontId="29" fillId="0" borderId="0" xfId="0" applyFont="1" applyAlignment="1" applyProtection="1">
      <alignment horizontal="left" vertical="center"/>
    </xf>
    <xf numFmtId="0" fontId="8" fillId="2" borderId="2" xfId="0" applyFont="1" applyFill="1" applyBorder="1" applyAlignment="1" applyProtection="1">
      <alignment horizontal="center" vertical="center" shrinkToFit="1"/>
    </xf>
    <xf numFmtId="0" fontId="21" fillId="9" borderId="7" xfId="0" applyFont="1" applyFill="1" applyBorder="1" applyAlignment="1" applyProtection="1">
      <alignment horizontal="left" vertical="center" shrinkToFit="1"/>
    </xf>
    <xf numFmtId="0" fontId="0" fillId="0" borderId="0" xfId="0" applyBorder="1" applyAlignment="1" applyProtection="1">
      <alignment vertical="center" shrinkToFit="1"/>
    </xf>
    <xf numFmtId="0" fontId="71" fillId="0" borderId="0" xfId="0" applyFont="1" applyAlignment="1">
      <alignment vertical="center" shrinkToFit="1"/>
    </xf>
    <xf numFmtId="0" fontId="17" fillId="0" borderId="0" xfId="0" applyFont="1" applyBorder="1" applyAlignment="1" applyProtection="1">
      <alignment vertical="center" shrinkToFit="1"/>
    </xf>
    <xf numFmtId="0" fontId="17" fillId="0" borderId="0" xfId="0" applyFont="1" applyBorder="1" applyAlignment="1" applyProtection="1">
      <alignment vertical="center"/>
    </xf>
    <xf numFmtId="0" fontId="0" fillId="0" borderId="52" xfId="0" applyBorder="1" applyAlignment="1" applyProtection="1">
      <alignment vertical="center"/>
    </xf>
    <xf numFmtId="0" fontId="9" fillId="0" borderId="1" xfId="0" applyFont="1" applyBorder="1" applyAlignment="1" applyProtection="1">
      <alignment horizontal="center" vertical="center"/>
    </xf>
    <xf numFmtId="0" fontId="8" fillId="0" borderId="2" xfId="0" applyFont="1" applyBorder="1" applyAlignment="1" applyProtection="1">
      <alignment vertical="center" shrinkToFit="1"/>
    </xf>
    <xf numFmtId="0" fontId="50" fillId="0" borderId="3" xfId="0" applyFont="1" applyBorder="1" applyAlignment="1" applyProtection="1">
      <alignment vertical="center" shrinkToFit="1"/>
    </xf>
    <xf numFmtId="0" fontId="50" fillId="0" borderId="4" xfId="0" applyFont="1" applyBorder="1" applyAlignment="1" applyProtection="1">
      <alignment vertical="center" shrinkToFit="1"/>
    </xf>
    <xf numFmtId="0" fontId="8" fillId="0" borderId="1" xfId="0" applyFont="1" applyFill="1" applyBorder="1" applyAlignment="1" applyProtection="1">
      <alignment vertical="center" wrapText="1" shrinkToFit="1"/>
    </xf>
    <xf numFmtId="0" fontId="29" fillId="0" borderId="1" xfId="0" applyFont="1" applyFill="1" applyBorder="1" applyAlignment="1" applyProtection="1">
      <alignment vertical="center"/>
    </xf>
    <xf numFmtId="0" fontId="8" fillId="0" borderId="7" xfId="0" applyFont="1" applyBorder="1" applyAlignment="1" applyProtection="1">
      <alignment horizontal="center" vertical="center" wrapText="1"/>
    </xf>
    <xf numFmtId="0" fontId="29" fillId="0" borderId="8" xfId="0" applyFont="1" applyBorder="1" applyAlignment="1" applyProtection="1">
      <alignment horizontal="center" vertical="center" wrapText="1"/>
    </xf>
    <xf numFmtId="0" fontId="29" fillId="0" borderId="6" xfId="0" applyFont="1" applyBorder="1" applyAlignment="1" applyProtection="1">
      <alignment horizontal="center" vertical="center" wrapText="1"/>
    </xf>
    <xf numFmtId="0" fontId="8" fillId="0" borderId="102" xfId="0" applyFont="1" applyBorder="1" applyAlignment="1" applyProtection="1">
      <alignment horizontal="center" vertical="center" wrapText="1" shrinkToFit="1"/>
    </xf>
    <xf numFmtId="0" fontId="0" fillId="0" borderId="103"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10" xfId="0" applyBorder="1" applyAlignment="1" applyProtection="1">
      <alignment horizontal="center" vertical="center" wrapText="1"/>
    </xf>
    <xf numFmtId="0" fontId="8" fillId="0" borderId="32" xfId="0" applyFont="1" applyBorder="1" applyAlignment="1" applyProtection="1">
      <alignment vertical="center" shrinkToFit="1"/>
    </xf>
    <xf numFmtId="0" fontId="7" fillId="0" borderId="32" xfId="0" applyFont="1" applyBorder="1" applyAlignment="1" applyProtection="1">
      <alignment vertical="center" shrinkToFit="1"/>
    </xf>
    <xf numFmtId="0" fontId="7" fillId="0" borderId="165" xfId="0" applyFont="1" applyBorder="1" applyAlignment="1" applyProtection="1">
      <alignment vertical="center" shrinkToFit="1"/>
    </xf>
    <xf numFmtId="0" fontId="8" fillId="0" borderId="8" xfId="0" applyFont="1" applyBorder="1" applyAlignment="1" applyProtection="1">
      <alignment vertical="center" shrinkToFit="1"/>
    </xf>
    <xf numFmtId="0" fontId="7" fillId="0" borderId="8" xfId="0" applyFont="1" applyBorder="1" applyAlignment="1" applyProtection="1">
      <alignment vertical="center" shrinkToFit="1"/>
    </xf>
    <xf numFmtId="0" fontId="7" fillId="0" borderId="58" xfId="0" applyFont="1" applyBorder="1" applyAlignment="1" applyProtection="1">
      <alignment vertical="center" shrinkToFit="1"/>
    </xf>
    <xf numFmtId="0" fontId="8" fillId="0" borderId="42" xfId="0" applyFont="1" applyBorder="1" applyAlignment="1" applyProtection="1">
      <alignment vertical="center" shrinkToFit="1"/>
    </xf>
    <xf numFmtId="0" fontId="0" fillId="0" borderId="43" xfId="0" applyBorder="1" applyAlignment="1" applyProtection="1">
      <alignment vertical="center"/>
    </xf>
    <xf numFmtId="0" fontId="0" fillId="0" borderId="168" xfId="0" applyBorder="1" applyAlignment="1" applyProtection="1">
      <alignment vertical="center"/>
    </xf>
    <xf numFmtId="0" fontId="8" fillId="8" borderId="164" xfId="0" applyFont="1" applyFill="1" applyBorder="1" applyAlignment="1" applyProtection="1">
      <alignment vertical="center" textRotation="255"/>
    </xf>
    <xf numFmtId="0" fontId="0" fillId="8" borderId="166" xfId="0" applyFill="1" applyBorder="1" applyAlignment="1" applyProtection="1">
      <alignment vertical="center" textRotation="255"/>
    </xf>
    <xf numFmtId="0" fontId="0" fillId="8" borderId="167" xfId="0" applyFill="1" applyBorder="1" applyAlignment="1" applyProtection="1">
      <alignment vertical="center" textRotation="255"/>
    </xf>
    <xf numFmtId="0" fontId="8" fillId="8" borderId="102" xfId="0" applyFont="1" applyFill="1" applyBorder="1" applyAlignment="1" applyProtection="1">
      <alignment horizontal="center" vertical="center" shrinkToFit="1"/>
    </xf>
    <xf numFmtId="0" fontId="0" fillId="8" borderId="103" xfId="0" applyFill="1" applyBorder="1" applyAlignment="1" applyProtection="1">
      <alignment horizontal="center" vertical="center" shrinkToFit="1"/>
    </xf>
    <xf numFmtId="0" fontId="0" fillId="8" borderId="11" xfId="0" applyFill="1" applyBorder="1" applyAlignment="1" applyProtection="1">
      <alignment horizontal="center" vertical="center" shrinkToFit="1"/>
    </xf>
    <xf numFmtId="0" fontId="0" fillId="8" borderId="9" xfId="0" applyFill="1" applyBorder="1" applyAlignment="1" applyProtection="1">
      <alignment horizontal="center" vertical="center" shrinkToFit="1"/>
    </xf>
    <xf numFmtId="0" fontId="0" fillId="8" borderId="19" xfId="0" applyFill="1" applyBorder="1" applyAlignment="1" applyProtection="1">
      <alignment horizontal="center" vertical="center" shrinkToFit="1"/>
    </xf>
    <xf numFmtId="0" fontId="0" fillId="8" borderId="10" xfId="0" applyFill="1" applyBorder="1" applyAlignment="1" applyProtection="1">
      <alignment horizontal="center" vertical="center" shrinkToFit="1"/>
    </xf>
    <xf numFmtId="0" fontId="8" fillId="8" borderId="42" xfId="0" applyFont="1" applyFill="1" applyBorder="1" applyAlignment="1" applyProtection="1">
      <alignment horizontal="center" vertical="center" shrinkToFit="1"/>
    </xf>
    <xf numFmtId="0" fontId="0" fillId="8" borderId="44" xfId="0" applyFill="1" applyBorder="1" applyAlignment="1" applyProtection="1">
      <alignment horizontal="center" vertical="center" shrinkToFit="1"/>
    </xf>
    <xf numFmtId="0" fontId="8" fillId="8" borderId="31" xfId="0" applyFont="1" applyFill="1" applyBorder="1" applyAlignment="1" applyProtection="1">
      <alignment horizontal="left" vertical="center"/>
    </xf>
    <xf numFmtId="0" fontId="7" fillId="8" borderId="32" xfId="0" applyFont="1" applyFill="1" applyBorder="1" applyAlignment="1" applyProtection="1">
      <alignment horizontal="left" vertical="center"/>
    </xf>
    <xf numFmtId="0" fontId="7" fillId="8" borderId="33" xfId="0" applyFont="1" applyFill="1" applyBorder="1" applyAlignment="1" applyProtection="1">
      <alignment horizontal="left" vertical="center"/>
    </xf>
    <xf numFmtId="0" fontId="8" fillId="8" borderId="7" xfId="0" applyFont="1" applyFill="1" applyBorder="1" applyAlignment="1" applyProtection="1">
      <alignment horizontal="left" vertical="center"/>
    </xf>
    <xf numFmtId="0" fontId="7" fillId="8" borderId="8" xfId="0" applyFont="1" applyFill="1" applyBorder="1" applyAlignment="1" applyProtection="1">
      <alignment horizontal="left" vertical="center"/>
    </xf>
    <xf numFmtId="0" fontId="7" fillId="8" borderId="6" xfId="0" applyFont="1" applyFill="1" applyBorder="1" applyAlignment="1" applyProtection="1">
      <alignment horizontal="left" vertical="center"/>
    </xf>
    <xf numFmtId="0" fontId="8" fillId="8" borderId="42" xfId="0" applyFont="1" applyFill="1" applyBorder="1" applyAlignment="1" applyProtection="1">
      <alignment horizontal="left" vertical="center"/>
    </xf>
    <xf numFmtId="0" fontId="7" fillId="8" borderId="43" xfId="0" applyFont="1" applyFill="1" applyBorder="1" applyAlignment="1" applyProtection="1">
      <alignment horizontal="left" vertical="center"/>
    </xf>
    <xf numFmtId="0" fontId="7" fillId="8" borderId="44" xfId="0" applyFont="1" applyFill="1" applyBorder="1" applyAlignment="1" applyProtection="1">
      <alignment horizontal="left" vertical="center"/>
    </xf>
    <xf numFmtId="186" fontId="8" fillId="0" borderId="42" xfId="0" applyNumberFormat="1" applyFont="1" applyFill="1" applyBorder="1" applyAlignment="1" applyProtection="1">
      <alignment horizontal="left" vertical="center"/>
    </xf>
    <xf numFmtId="0" fontId="0" fillId="0" borderId="43" xfId="0" applyFill="1" applyBorder="1" applyAlignment="1" applyProtection="1">
      <alignment horizontal="left" vertical="center"/>
    </xf>
    <xf numFmtId="0" fontId="0" fillId="0" borderId="44" xfId="0" applyFill="1" applyBorder="1" applyAlignment="1" applyProtection="1">
      <alignment horizontal="left" vertical="center"/>
    </xf>
    <xf numFmtId="186" fontId="8" fillId="0" borderId="102" xfId="0" applyNumberFormat="1" applyFont="1" applyFill="1" applyBorder="1" applyAlignment="1" applyProtection="1">
      <alignment horizontal="left" vertical="center" wrapText="1"/>
    </xf>
    <xf numFmtId="0" fontId="0" fillId="0" borderId="101" xfId="0" applyFill="1" applyBorder="1" applyAlignment="1" applyProtection="1">
      <alignment horizontal="left" vertical="center" wrapText="1"/>
    </xf>
    <xf numFmtId="0" fontId="0" fillId="0" borderId="103" xfId="0" applyFill="1" applyBorder="1" applyAlignment="1" applyProtection="1">
      <alignment horizontal="left" vertical="center" wrapText="1"/>
    </xf>
    <xf numFmtId="0" fontId="0" fillId="0" borderId="11" xfId="0" applyBorder="1" applyAlignment="1" applyProtection="1">
      <alignment horizontal="left" vertical="center" wrapText="1"/>
    </xf>
    <xf numFmtId="0" fontId="0" fillId="0" borderId="0" xfId="0" applyBorder="1" applyAlignment="1" applyProtection="1">
      <alignment horizontal="left" vertical="center" wrapText="1"/>
    </xf>
    <xf numFmtId="0" fontId="0" fillId="0" borderId="9" xfId="0" applyBorder="1" applyAlignment="1" applyProtection="1">
      <alignment horizontal="left" vertical="center" wrapText="1"/>
    </xf>
    <xf numFmtId="0" fontId="0" fillId="0" borderId="19" xfId="0" applyBorder="1" applyAlignment="1" applyProtection="1">
      <alignment horizontal="left" vertical="center" wrapText="1"/>
    </xf>
    <xf numFmtId="0" fontId="0" fillId="0" borderId="5" xfId="0" applyBorder="1" applyAlignment="1" applyProtection="1">
      <alignment horizontal="left" vertical="center" wrapText="1"/>
    </xf>
    <xf numFmtId="0" fontId="0" fillId="0" borderId="10" xfId="0" applyBorder="1" applyAlignment="1" applyProtection="1">
      <alignment horizontal="left" vertical="center" wrapText="1"/>
    </xf>
    <xf numFmtId="0" fontId="8" fillId="8" borderId="166" xfId="0" applyFont="1" applyFill="1" applyBorder="1" applyAlignment="1" applyProtection="1">
      <alignment vertical="center" textRotation="255"/>
    </xf>
    <xf numFmtId="0" fontId="8" fillId="8" borderId="167" xfId="0" applyFont="1" applyFill="1" applyBorder="1" applyAlignment="1" applyProtection="1">
      <alignment vertical="center" textRotation="255"/>
    </xf>
    <xf numFmtId="0" fontId="8" fillId="0" borderId="7" xfId="0" applyFont="1" applyBorder="1" applyAlignment="1" applyProtection="1">
      <alignment horizontal="left" vertical="center"/>
    </xf>
    <xf numFmtId="0" fontId="50" fillId="0" borderId="8" xfId="0" applyFont="1" applyBorder="1" applyAlignment="1" applyProtection="1">
      <alignment horizontal="left" vertical="center"/>
    </xf>
    <xf numFmtId="0" fontId="50" fillId="0" borderId="58" xfId="0" applyFont="1" applyBorder="1" applyAlignment="1" applyProtection="1">
      <alignment horizontal="left" vertical="center"/>
    </xf>
    <xf numFmtId="0" fontId="8" fillId="9" borderId="19" xfId="0" applyFont="1" applyFill="1" applyBorder="1" applyAlignment="1" applyProtection="1">
      <alignment horizontal="left" vertical="center"/>
    </xf>
    <xf numFmtId="0" fontId="29" fillId="9" borderId="5" xfId="0" applyFont="1" applyFill="1" applyBorder="1" applyAlignment="1" applyProtection="1">
      <alignment horizontal="left" vertical="center"/>
    </xf>
    <xf numFmtId="0" fontId="29" fillId="9" borderId="10" xfId="0" applyFont="1" applyFill="1" applyBorder="1" applyAlignment="1" applyProtection="1">
      <alignment horizontal="left" vertical="center"/>
    </xf>
    <xf numFmtId="0" fontId="8" fillId="9" borderId="7" xfId="0" applyFont="1" applyFill="1" applyBorder="1" applyAlignment="1" applyProtection="1">
      <alignment horizontal="left" vertical="center"/>
      <protection locked="0"/>
    </xf>
    <xf numFmtId="0" fontId="29" fillId="9" borderId="8" xfId="0" applyFont="1" applyFill="1" applyBorder="1" applyAlignment="1" applyProtection="1">
      <alignment horizontal="left" vertical="center"/>
      <protection locked="0"/>
    </xf>
    <xf numFmtId="0" fontId="29" fillId="9" borderId="6" xfId="0" applyFont="1" applyFill="1" applyBorder="1" applyAlignment="1" applyProtection="1">
      <alignment horizontal="left" vertical="center"/>
      <protection locked="0"/>
    </xf>
    <xf numFmtId="0" fontId="8" fillId="8" borderId="7" xfId="0" applyFont="1" applyFill="1" applyBorder="1" applyAlignment="1" applyProtection="1">
      <alignment horizontal="center" vertical="center"/>
    </xf>
    <xf numFmtId="0" fontId="29" fillId="8" borderId="8" xfId="0" applyFont="1" applyFill="1" applyBorder="1" applyAlignment="1" applyProtection="1">
      <alignment horizontal="center" vertical="center"/>
    </xf>
    <xf numFmtId="0" fontId="29" fillId="8" borderId="6" xfId="0" applyFont="1" applyFill="1" applyBorder="1" applyAlignment="1" applyProtection="1">
      <alignment horizontal="center" vertical="center"/>
    </xf>
    <xf numFmtId="0" fontId="8" fillId="0" borderId="16" xfId="0" applyFont="1" applyFill="1" applyBorder="1" applyAlignment="1" applyProtection="1">
      <alignment horizontal="center" vertical="center"/>
    </xf>
    <xf numFmtId="0" fontId="29" fillId="0" borderId="17" xfId="0" applyFont="1" applyBorder="1" applyAlignment="1" applyProtection="1">
      <alignment vertical="center"/>
    </xf>
    <xf numFmtId="0" fontId="29" fillId="0" borderId="18" xfId="0" applyFont="1" applyBorder="1" applyAlignment="1" applyProtection="1">
      <alignment vertical="center"/>
    </xf>
    <xf numFmtId="0" fontId="8" fillId="12" borderId="169" xfId="0" applyFont="1" applyFill="1" applyBorder="1" applyAlignment="1" applyProtection="1">
      <alignment vertical="center" textRotation="255"/>
    </xf>
    <xf numFmtId="0" fontId="8" fillId="12" borderId="104" xfId="0" applyFont="1" applyFill="1" applyBorder="1" applyAlignment="1" applyProtection="1">
      <alignment vertical="center" textRotation="255"/>
    </xf>
    <xf numFmtId="0" fontId="8" fillId="12" borderId="173" xfId="0" applyFont="1" applyFill="1" applyBorder="1" applyAlignment="1" applyProtection="1">
      <alignment vertical="center" textRotation="255"/>
    </xf>
    <xf numFmtId="0" fontId="8" fillId="9" borderId="102" xfId="0" applyFont="1" applyFill="1" applyBorder="1" applyAlignment="1" applyProtection="1">
      <alignment horizontal="left" vertical="center"/>
    </xf>
    <xf numFmtId="0" fontId="29" fillId="9" borderId="101" xfId="0" applyFont="1" applyFill="1" applyBorder="1" applyAlignment="1" applyProtection="1">
      <alignment horizontal="left" vertical="center"/>
    </xf>
    <xf numFmtId="0" fontId="29" fillId="9" borderId="103" xfId="0" applyFont="1" applyFill="1" applyBorder="1" applyAlignment="1" applyProtection="1">
      <alignment horizontal="left" vertical="center"/>
    </xf>
    <xf numFmtId="0" fontId="8" fillId="12" borderId="31" xfId="0" applyFont="1" applyFill="1" applyBorder="1" applyAlignment="1" applyProtection="1">
      <alignment horizontal="center" vertical="center"/>
    </xf>
    <xf numFmtId="0" fontId="8" fillId="12" borderId="32" xfId="0" applyFont="1" applyFill="1" applyBorder="1" applyAlignment="1" applyProtection="1">
      <alignment horizontal="center" vertical="center"/>
    </xf>
    <xf numFmtId="0" fontId="8" fillId="12" borderId="33" xfId="0" applyFont="1" applyFill="1" applyBorder="1" applyAlignment="1" applyProtection="1">
      <alignment horizontal="center" vertical="center"/>
    </xf>
    <xf numFmtId="0" fontId="8" fillId="0" borderId="1" xfId="0" applyFont="1" applyBorder="1" applyAlignment="1" applyProtection="1">
      <alignment vertical="center" shrinkToFit="1"/>
    </xf>
    <xf numFmtId="0" fontId="29" fillId="0" borderId="1" xfId="0" applyFont="1" applyBorder="1" applyAlignment="1" applyProtection="1">
      <alignment vertical="center" shrinkToFit="1"/>
    </xf>
    <xf numFmtId="0" fontId="8" fillId="0" borderId="7" xfId="0" applyFont="1" applyBorder="1" applyAlignment="1" applyProtection="1">
      <alignment horizontal="left" vertical="center" wrapText="1"/>
    </xf>
    <xf numFmtId="0" fontId="8" fillId="0" borderId="8" xfId="0" applyFont="1" applyBorder="1" applyAlignment="1" applyProtection="1">
      <alignment vertical="center" wrapText="1"/>
    </xf>
    <xf numFmtId="0" fontId="29" fillId="0" borderId="6" xfId="0" applyFont="1" applyBorder="1" applyAlignment="1" applyProtection="1">
      <alignment vertical="center" wrapText="1"/>
    </xf>
    <xf numFmtId="0" fontId="8" fillId="0" borderId="7" xfId="0" applyFont="1" applyBorder="1" applyAlignment="1" applyProtection="1">
      <alignment vertical="center" wrapText="1"/>
    </xf>
    <xf numFmtId="0" fontId="29" fillId="0" borderId="8" xfId="0" applyFont="1" applyBorder="1" applyAlignment="1" applyProtection="1">
      <alignment vertical="center" wrapText="1"/>
    </xf>
    <xf numFmtId="0" fontId="8" fillId="0" borderId="2" xfId="0" applyFont="1" applyBorder="1" applyAlignment="1" applyProtection="1">
      <alignment horizontal="center" vertical="center"/>
    </xf>
    <xf numFmtId="0" fontId="0" fillId="0" borderId="3" xfId="0" applyBorder="1" applyAlignment="1" applyProtection="1">
      <alignment horizontal="center" vertical="center"/>
    </xf>
    <xf numFmtId="0" fontId="0" fillId="0" borderId="4" xfId="0" applyBorder="1" applyAlignment="1" applyProtection="1">
      <alignment horizontal="center" vertical="center"/>
    </xf>
    <xf numFmtId="0" fontId="8" fillId="0" borderId="7" xfId="0" applyFont="1" applyBorder="1" applyAlignment="1" applyProtection="1">
      <alignment vertical="center" shrinkToFit="1"/>
    </xf>
    <xf numFmtId="0" fontId="0" fillId="0" borderId="8" xfId="0" applyBorder="1" applyAlignment="1" applyProtection="1">
      <alignment vertical="center" shrinkToFit="1"/>
    </xf>
    <xf numFmtId="0" fontId="0" fillId="0" borderId="6" xfId="0" applyBorder="1" applyAlignment="1" applyProtection="1">
      <alignment vertical="center" shrinkToFit="1"/>
    </xf>
    <xf numFmtId="0" fontId="32" fillId="0" borderId="7" xfId="0" applyFont="1" applyBorder="1" applyAlignment="1" applyProtection="1">
      <alignment horizontal="center" vertical="center"/>
    </xf>
    <xf numFmtId="0" fontId="32" fillId="0" borderId="8" xfId="0" applyFont="1" applyBorder="1" applyAlignment="1" applyProtection="1">
      <alignment horizontal="center" vertical="center"/>
    </xf>
    <xf numFmtId="0" fontId="33" fillId="0" borderId="6" xfId="0" applyFont="1" applyBorder="1" applyAlignment="1" applyProtection="1">
      <alignment horizontal="center" vertical="center"/>
    </xf>
    <xf numFmtId="0" fontId="0" fillId="0" borderId="8" xfId="0" applyBorder="1" applyAlignment="1" applyProtection="1">
      <alignment vertical="center"/>
    </xf>
    <xf numFmtId="0" fontId="0" fillId="0" borderId="6" xfId="0" applyBorder="1" applyAlignment="1" applyProtection="1">
      <alignment vertical="center"/>
    </xf>
    <xf numFmtId="0" fontId="8" fillId="8" borderId="178" xfId="0" applyFont="1" applyFill="1" applyBorder="1" applyAlignment="1" applyProtection="1">
      <alignment horizontal="center" vertical="center" wrapText="1"/>
    </xf>
    <xf numFmtId="0" fontId="29" fillId="8" borderId="178" xfId="0" applyFont="1" applyFill="1" applyBorder="1" applyAlignment="1" applyProtection="1">
      <alignment vertical="center"/>
    </xf>
    <xf numFmtId="0" fontId="8" fillId="9" borderId="179" xfId="0" applyFont="1" applyFill="1" applyBorder="1" applyAlignment="1" applyProtection="1">
      <alignment horizontal="center" vertical="center"/>
      <protection locked="0"/>
    </xf>
    <xf numFmtId="0" fontId="29" fillId="9" borderId="180" xfId="0" applyFont="1" applyFill="1" applyBorder="1" applyAlignment="1" applyProtection="1">
      <alignment horizontal="center" vertical="center"/>
      <protection locked="0"/>
    </xf>
    <xf numFmtId="0" fontId="29" fillId="9" borderId="181" xfId="0" applyFont="1" applyFill="1" applyBorder="1" applyAlignment="1" applyProtection="1">
      <alignment horizontal="center" vertical="center"/>
      <protection locked="0"/>
    </xf>
    <xf numFmtId="0" fontId="8" fillId="0" borderId="178" xfId="0" applyFont="1" applyBorder="1" applyAlignment="1" applyProtection="1">
      <alignment vertical="center" wrapText="1" shrinkToFit="1"/>
    </xf>
    <xf numFmtId="0" fontId="29" fillId="0" borderId="178" xfId="0" applyFont="1" applyBorder="1" applyAlignment="1" applyProtection="1">
      <alignment vertical="center"/>
    </xf>
    <xf numFmtId="0" fontId="29" fillId="0" borderId="182" xfId="0" applyFont="1" applyBorder="1" applyAlignment="1" applyProtection="1">
      <alignment vertical="center"/>
    </xf>
    <xf numFmtId="0" fontId="8" fillId="8" borderId="42" xfId="0" applyFont="1" applyFill="1" applyBorder="1" applyAlignment="1" applyProtection="1">
      <alignment horizontal="center" vertical="center"/>
    </xf>
    <xf numFmtId="0" fontId="29" fillId="8" borderId="43" xfId="0" applyFont="1" applyFill="1" applyBorder="1" applyAlignment="1" applyProtection="1">
      <alignment horizontal="center" vertical="center"/>
    </xf>
    <xf numFmtId="0" fontId="29" fillId="8" borderId="44" xfId="0" applyFont="1" applyFill="1" applyBorder="1" applyAlignment="1" applyProtection="1">
      <alignment horizontal="center" vertical="center"/>
    </xf>
    <xf numFmtId="0" fontId="8" fillId="12" borderId="42" xfId="0" applyFont="1" applyFill="1" applyBorder="1" applyAlignment="1" applyProtection="1">
      <alignment horizontal="center" vertical="center"/>
    </xf>
    <xf numFmtId="0" fontId="29" fillId="12" borderId="43" xfId="0" applyFont="1" applyFill="1" applyBorder="1" applyAlignment="1" applyProtection="1">
      <alignment horizontal="center" vertical="center"/>
    </xf>
    <xf numFmtId="0" fontId="29" fillId="12" borderId="44" xfId="0" applyFont="1" applyFill="1" applyBorder="1" applyAlignment="1" applyProtection="1">
      <alignment horizontal="center" vertical="center"/>
    </xf>
    <xf numFmtId="186" fontId="8" fillId="9" borderId="42" xfId="0" applyNumberFormat="1" applyFont="1" applyFill="1" applyBorder="1" applyAlignment="1" applyProtection="1">
      <alignment horizontal="left" vertical="center"/>
      <protection locked="0"/>
    </xf>
    <xf numFmtId="186" fontId="29" fillId="9" borderId="43" xfId="0" applyNumberFormat="1" applyFont="1" applyFill="1" applyBorder="1" applyAlignment="1" applyProtection="1">
      <alignment horizontal="left" vertical="center"/>
      <protection locked="0"/>
    </xf>
    <xf numFmtId="186" fontId="29" fillId="9" borderId="44" xfId="0" applyNumberFormat="1" applyFont="1" applyFill="1" applyBorder="1" applyAlignment="1" applyProtection="1">
      <alignment horizontal="left" vertical="center"/>
      <protection locked="0"/>
    </xf>
    <xf numFmtId="0" fontId="29" fillId="0" borderId="43" xfId="0" applyFont="1" applyBorder="1" applyAlignment="1" applyProtection="1">
      <alignment vertical="center"/>
    </xf>
    <xf numFmtId="0" fontId="29" fillId="0" borderId="168" xfId="0" applyFont="1" applyBorder="1" applyAlignment="1" applyProtection="1">
      <alignment vertical="center"/>
    </xf>
    <xf numFmtId="0" fontId="8" fillId="0" borderId="42" xfId="0" applyFont="1" applyBorder="1" applyAlignment="1" applyProtection="1">
      <alignment horizontal="left" vertical="center" shrinkToFit="1"/>
    </xf>
    <xf numFmtId="0" fontId="29" fillId="0" borderId="43" xfId="0" applyFont="1" applyBorder="1" applyAlignment="1" applyProtection="1">
      <alignment horizontal="left" vertical="center"/>
    </xf>
    <xf numFmtId="0" fontId="29" fillId="0" borderId="168" xfId="0" applyFont="1" applyBorder="1" applyAlignment="1" applyProtection="1">
      <alignment horizontal="left" vertical="center"/>
    </xf>
    <xf numFmtId="0" fontId="50" fillId="0" borderId="32" xfId="0" applyFont="1" applyBorder="1" applyAlignment="1" applyProtection="1">
      <alignment horizontal="center" vertical="center"/>
    </xf>
    <xf numFmtId="0" fontId="50" fillId="0" borderId="33" xfId="0" applyFont="1" applyBorder="1" applyAlignment="1" applyProtection="1">
      <alignment horizontal="center" vertical="center"/>
    </xf>
    <xf numFmtId="0" fontId="50" fillId="0" borderId="8" xfId="0" applyFont="1" applyBorder="1" applyAlignment="1" applyProtection="1">
      <alignment horizontal="center" vertical="center"/>
    </xf>
    <xf numFmtId="0" fontId="50" fillId="0" borderId="6" xfId="0" applyFont="1" applyBorder="1" applyAlignment="1" applyProtection="1">
      <alignment horizontal="center" vertical="center"/>
    </xf>
    <xf numFmtId="0" fontId="50" fillId="9" borderId="8" xfId="0" applyFont="1" applyFill="1" applyBorder="1" applyAlignment="1" applyProtection="1">
      <alignment horizontal="left" vertical="center"/>
      <protection locked="0"/>
    </xf>
    <xf numFmtId="0" fontId="50" fillId="9" borderId="6" xfId="0" applyFont="1" applyFill="1" applyBorder="1" applyAlignment="1" applyProtection="1">
      <alignment horizontal="left" vertical="center"/>
      <protection locked="0"/>
    </xf>
    <xf numFmtId="0" fontId="8" fillId="12" borderId="7" xfId="0" applyFont="1" applyFill="1" applyBorder="1" applyAlignment="1" applyProtection="1">
      <alignment horizontal="center" vertical="center"/>
    </xf>
    <xf numFmtId="0" fontId="50" fillId="12" borderId="8" xfId="0" applyFont="1" applyFill="1" applyBorder="1" applyAlignment="1" applyProtection="1">
      <alignment horizontal="center" vertical="center"/>
    </xf>
    <xf numFmtId="0" fontId="50" fillId="12" borderId="6" xfId="0" applyFont="1" applyFill="1" applyBorder="1" applyAlignment="1" applyProtection="1">
      <alignment horizontal="center" vertical="center"/>
    </xf>
    <xf numFmtId="0" fontId="8" fillId="0" borderId="0" xfId="0" applyFont="1" applyBorder="1" applyAlignment="1" applyProtection="1">
      <alignment vertical="center" wrapText="1"/>
    </xf>
    <xf numFmtId="0" fontId="8" fillId="0" borderId="0" xfId="0" applyFont="1" applyBorder="1" applyAlignment="1" applyProtection="1">
      <alignment vertical="center"/>
    </xf>
    <xf numFmtId="0" fontId="8" fillId="0" borderId="5" xfId="0" applyFont="1" applyBorder="1" applyAlignment="1" applyProtection="1">
      <alignment vertical="center"/>
    </xf>
    <xf numFmtId="0" fontId="8" fillId="0" borderId="0" xfId="0" applyFont="1" applyFill="1" applyBorder="1" applyAlignment="1" applyProtection="1">
      <alignment vertical="center" wrapText="1" shrinkToFit="1"/>
    </xf>
    <xf numFmtId="0" fontId="29" fillId="0" borderId="0" xfId="0" applyFont="1" applyAlignment="1" applyProtection="1">
      <alignment vertical="center"/>
    </xf>
    <xf numFmtId="0" fontId="8" fillId="0" borderId="31" xfId="0" applyFont="1" applyBorder="1" applyAlignment="1" applyProtection="1">
      <alignment horizontal="left" vertical="center" shrinkToFit="1"/>
    </xf>
    <xf numFmtId="0" fontId="29" fillId="0" borderId="32" xfId="0" applyFont="1" applyBorder="1" applyAlignment="1" applyProtection="1">
      <alignment horizontal="left" vertical="center" shrinkToFit="1"/>
    </xf>
    <xf numFmtId="0" fontId="29" fillId="0" borderId="32" xfId="0" applyFont="1" applyBorder="1" applyAlignment="1" applyProtection="1">
      <alignment vertical="center"/>
    </xf>
    <xf numFmtId="0" fontId="29" fillId="0" borderId="165" xfId="0" applyFont="1" applyBorder="1" applyAlignment="1" applyProtection="1">
      <alignment vertical="center"/>
    </xf>
    <xf numFmtId="0" fontId="8" fillId="0" borderId="7" xfId="0" applyFont="1" applyBorder="1" applyAlignment="1" applyProtection="1">
      <alignment horizontal="left" vertical="center" shrinkToFit="1"/>
    </xf>
    <xf numFmtId="0" fontId="29" fillId="0" borderId="8" xfId="0" applyFont="1" applyBorder="1" applyAlignment="1" applyProtection="1">
      <alignment horizontal="left" vertical="center" shrinkToFit="1"/>
    </xf>
    <xf numFmtId="0" fontId="29" fillId="0" borderId="8" xfId="0" applyFont="1" applyBorder="1" applyAlignment="1" applyProtection="1">
      <alignment vertical="center"/>
    </xf>
    <xf numFmtId="0" fontId="29" fillId="0" borderId="58" xfId="0" applyFont="1" applyBorder="1" applyAlignment="1" applyProtection="1">
      <alignment vertical="center"/>
    </xf>
    <xf numFmtId="0" fontId="29" fillId="0" borderId="7" xfId="0" applyFont="1" applyBorder="1" applyAlignment="1" applyProtection="1">
      <alignment horizontal="left" vertical="center" shrinkToFit="1"/>
    </xf>
    <xf numFmtId="0" fontId="29" fillId="0" borderId="8" xfId="0" applyFont="1" applyBorder="1" applyAlignment="1" applyProtection="1">
      <alignment vertical="center" shrinkToFit="1"/>
    </xf>
    <xf numFmtId="0" fontId="2" fillId="9" borderId="7" xfId="1" applyNumberFormat="1" applyFill="1" applyBorder="1" applyAlignment="1" applyProtection="1">
      <alignment horizontal="left" vertical="center"/>
      <protection locked="0"/>
    </xf>
    <xf numFmtId="0" fontId="8" fillId="9" borderId="8" xfId="0" applyFont="1" applyFill="1" applyBorder="1" applyAlignment="1" applyProtection="1">
      <alignment horizontal="left" vertical="center"/>
      <protection locked="0"/>
    </xf>
    <xf numFmtId="0" fontId="8" fillId="9" borderId="6" xfId="0" applyFont="1" applyFill="1" applyBorder="1" applyAlignment="1" applyProtection="1">
      <alignment horizontal="left" vertical="center"/>
      <protection locked="0"/>
    </xf>
    <xf numFmtId="0" fontId="8" fillId="0" borderId="16" xfId="0" applyFont="1" applyBorder="1" applyAlignment="1" applyProtection="1">
      <alignment horizontal="center" vertical="center"/>
    </xf>
    <xf numFmtId="0" fontId="29" fillId="0" borderId="17" xfId="0" applyFont="1" applyBorder="1" applyAlignment="1" applyProtection="1">
      <alignment horizontal="center" vertical="center"/>
    </xf>
    <xf numFmtId="0" fontId="29" fillId="0" borderId="18" xfId="0" applyFont="1" applyBorder="1" applyAlignment="1" applyProtection="1">
      <alignment horizontal="center" vertical="center"/>
    </xf>
    <xf numFmtId="0" fontId="8" fillId="8" borderId="102" xfId="0" applyFont="1" applyFill="1" applyBorder="1" applyAlignment="1" applyProtection="1">
      <alignment horizontal="center" vertical="center"/>
    </xf>
    <xf numFmtId="0" fontId="29" fillId="8" borderId="101" xfId="0" applyFont="1" applyFill="1" applyBorder="1" applyAlignment="1" applyProtection="1">
      <alignment horizontal="center" vertical="center"/>
    </xf>
    <xf numFmtId="0" fontId="29" fillId="8" borderId="103" xfId="0" applyFont="1" applyFill="1" applyBorder="1" applyAlignment="1" applyProtection="1">
      <alignment horizontal="center" vertical="center"/>
    </xf>
    <xf numFmtId="0" fontId="8" fillId="8" borderId="11"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9" fillId="8" borderId="9" xfId="0" applyFont="1" applyFill="1" applyBorder="1" applyAlignment="1" applyProtection="1">
      <alignment horizontal="center" vertical="center"/>
    </xf>
    <xf numFmtId="0" fontId="8" fillId="8" borderId="19" xfId="0" applyFont="1" applyFill="1" applyBorder="1" applyAlignment="1" applyProtection="1">
      <alignment horizontal="center" vertical="center"/>
    </xf>
    <xf numFmtId="0" fontId="29" fillId="8" borderId="5" xfId="0" applyFont="1" applyFill="1" applyBorder="1" applyAlignment="1" applyProtection="1">
      <alignment horizontal="center" vertical="center"/>
    </xf>
    <xf numFmtId="0" fontId="29" fillId="8" borderId="10" xfId="0" applyFont="1" applyFill="1" applyBorder="1" applyAlignment="1" applyProtection="1">
      <alignment horizontal="center" vertical="center"/>
    </xf>
    <xf numFmtId="0" fontId="8" fillId="0" borderId="17" xfId="0" applyFont="1" applyBorder="1" applyAlignment="1" applyProtection="1">
      <alignment horizontal="center" vertical="center"/>
    </xf>
    <xf numFmtId="0" fontId="8" fillId="0" borderId="18" xfId="0" applyFont="1" applyBorder="1" applyAlignment="1" applyProtection="1">
      <alignment horizontal="center" vertical="center"/>
    </xf>
    <xf numFmtId="0" fontId="8" fillId="9" borderId="11" xfId="0" applyFont="1" applyFill="1" applyBorder="1" applyAlignment="1" applyProtection="1">
      <alignment horizontal="left" vertical="center"/>
    </xf>
    <xf numFmtId="0" fontId="29" fillId="9" borderId="0" xfId="0" applyFont="1" applyFill="1" applyBorder="1" applyAlignment="1" applyProtection="1">
      <alignment horizontal="left" vertical="center"/>
    </xf>
    <xf numFmtId="0" fontId="29" fillId="9" borderId="9" xfId="0" applyFont="1" applyFill="1" applyBorder="1" applyAlignment="1" applyProtection="1">
      <alignment horizontal="left" vertical="center"/>
    </xf>
    <xf numFmtId="0" fontId="8" fillId="0" borderId="13" xfId="0" applyFont="1" applyBorder="1" applyAlignment="1" applyProtection="1">
      <alignment horizontal="center" vertical="center" wrapText="1"/>
    </xf>
    <xf numFmtId="0" fontId="8" fillId="0" borderId="1" xfId="0" applyFont="1" applyBorder="1" applyAlignment="1" applyProtection="1">
      <alignment horizontal="center" vertical="center" wrapText="1"/>
    </xf>
    <xf numFmtId="0" fontId="29" fillId="0" borderId="58" xfId="0" applyFont="1" applyBorder="1" applyAlignment="1" applyProtection="1">
      <alignment horizontal="left" vertical="center" shrinkToFit="1"/>
    </xf>
    <xf numFmtId="0" fontId="31" fillId="0" borderId="7" xfId="0" applyFont="1" applyBorder="1" applyAlignment="1" applyProtection="1">
      <alignment horizontal="left" vertical="center" wrapText="1" shrinkToFit="1"/>
    </xf>
    <xf numFmtId="0" fontId="29" fillId="0" borderId="8" xfId="0" applyFont="1" applyBorder="1" applyAlignment="1" applyProtection="1">
      <alignment horizontal="left" vertical="center" wrapText="1" shrinkToFit="1"/>
    </xf>
    <xf numFmtId="0" fontId="29" fillId="0" borderId="58" xfId="0" applyFont="1" applyBorder="1" applyAlignment="1" applyProtection="1">
      <alignment horizontal="left" vertical="center" wrapText="1" shrinkToFit="1"/>
    </xf>
    <xf numFmtId="49" fontId="8" fillId="9" borderId="25" xfId="0" applyNumberFormat="1" applyFont="1" applyFill="1" applyBorder="1" applyAlignment="1" applyProtection="1">
      <alignment horizontal="center" vertical="center" shrinkToFit="1"/>
      <protection locked="0"/>
    </xf>
    <xf numFmtId="0" fontId="29" fillId="9" borderId="26" xfId="0" applyFont="1" applyFill="1" applyBorder="1" applyAlignment="1" applyProtection="1">
      <alignment vertical="center" shrinkToFit="1"/>
      <protection locked="0"/>
    </xf>
    <xf numFmtId="49" fontId="8" fillId="9" borderId="26" xfId="0" applyNumberFormat="1" applyFont="1" applyFill="1" applyBorder="1" applyAlignment="1" applyProtection="1">
      <alignment horizontal="center" vertical="center" shrinkToFit="1"/>
      <protection locked="0"/>
    </xf>
    <xf numFmtId="0" fontId="29" fillId="9" borderId="27" xfId="0" applyFont="1" applyFill="1" applyBorder="1" applyAlignment="1" applyProtection="1">
      <alignment vertical="center" shrinkToFit="1"/>
      <protection locked="0"/>
    </xf>
    <xf numFmtId="0" fontId="8" fillId="0" borderId="31" xfId="0" applyFont="1" applyBorder="1" applyAlignment="1" applyProtection="1">
      <alignment horizontal="left" vertical="center"/>
    </xf>
    <xf numFmtId="0" fontId="50" fillId="0" borderId="32" xfId="0" applyFont="1" applyBorder="1" applyAlignment="1" applyProtection="1">
      <alignment horizontal="left" vertical="center"/>
    </xf>
    <xf numFmtId="0" fontId="50" fillId="0" borderId="165" xfId="0" applyFont="1" applyBorder="1" applyAlignment="1" applyProtection="1">
      <alignment horizontal="left" vertical="center"/>
    </xf>
    <xf numFmtId="0" fontId="8" fillId="0" borderId="7" xfId="0" applyFont="1" applyFill="1" applyBorder="1" applyAlignment="1" applyProtection="1">
      <alignment vertical="center" wrapText="1"/>
    </xf>
    <xf numFmtId="0" fontId="29" fillId="0" borderId="8" xfId="0" applyFont="1" applyFill="1" applyBorder="1" applyAlignment="1" applyProtection="1">
      <alignment vertical="center" wrapText="1"/>
    </xf>
    <xf numFmtId="0" fontId="29" fillId="0" borderId="6" xfId="0" applyFont="1" applyFill="1" applyBorder="1" applyAlignment="1" applyProtection="1">
      <alignment vertical="center" wrapText="1"/>
    </xf>
    <xf numFmtId="0" fontId="8" fillId="0" borderId="7" xfId="0" applyFont="1" applyBorder="1" applyAlignment="1" applyProtection="1">
      <alignment horizontal="center" vertical="center"/>
    </xf>
    <xf numFmtId="0" fontId="29" fillId="0" borderId="8" xfId="0" applyFont="1" applyBorder="1" applyAlignment="1" applyProtection="1">
      <alignment horizontal="center" vertical="center"/>
    </xf>
    <xf numFmtId="0" fontId="29" fillId="0" borderId="6" xfId="0" applyFont="1" applyBorder="1" applyAlignment="1" applyProtection="1">
      <alignment vertical="center"/>
    </xf>
    <xf numFmtId="0" fontId="8" fillId="0" borderId="1" xfId="0" applyFont="1" applyBorder="1" applyAlignment="1" applyProtection="1">
      <alignment horizontal="center" vertical="center" shrinkToFit="1"/>
    </xf>
    <xf numFmtId="0" fontId="29" fillId="0" borderId="1" xfId="0" applyFont="1" applyBorder="1" applyAlignment="1" applyProtection="1">
      <alignment horizontal="center" vertical="center" shrinkToFit="1"/>
    </xf>
    <xf numFmtId="0" fontId="8" fillId="0" borderId="8" xfId="0" applyFont="1" applyBorder="1" applyAlignment="1" applyProtection="1">
      <alignment horizontal="center" vertical="center"/>
    </xf>
    <xf numFmtId="0" fontId="8" fillId="0" borderId="6" xfId="0" applyFont="1" applyBorder="1" applyAlignment="1" applyProtection="1">
      <alignment vertical="center" wrapText="1"/>
    </xf>
    <xf numFmtId="191" fontId="8" fillId="9" borderId="43" xfId="0" applyNumberFormat="1" applyFont="1" applyFill="1" applyBorder="1" applyAlignment="1" applyProtection="1">
      <alignment horizontal="center" vertical="center" shrinkToFit="1"/>
    </xf>
    <xf numFmtId="0" fontId="30" fillId="0" borderId="42" xfId="0" applyFont="1" applyBorder="1" applyAlignment="1" applyProtection="1">
      <alignment horizontal="center" vertical="center" wrapText="1"/>
    </xf>
    <xf numFmtId="0" fontId="30" fillId="0" borderId="43" xfId="0" applyFont="1" applyBorder="1" applyAlignment="1" applyProtection="1">
      <alignment horizontal="center" vertical="center"/>
    </xf>
    <xf numFmtId="0" fontId="50" fillId="12" borderId="32" xfId="0" applyFont="1" applyFill="1" applyBorder="1" applyAlignment="1" applyProtection="1">
      <alignment horizontal="center" vertical="center"/>
    </xf>
    <xf numFmtId="0" fontId="50" fillId="12" borderId="33" xfId="0" applyFont="1" applyFill="1" applyBorder="1" applyAlignment="1" applyProtection="1">
      <alignment horizontal="center" vertical="center"/>
    </xf>
    <xf numFmtId="0" fontId="8" fillId="0" borderId="6" xfId="0" applyFont="1" applyBorder="1" applyAlignment="1" applyProtection="1">
      <alignment horizontal="center" vertical="center"/>
    </xf>
    <xf numFmtId="0" fontId="8" fillId="0" borderId="8" xfId="0" applyFont="1" applyBorder="1" applyAlignment="1" applyProtection="1">
      <alignment horizontal="left" vertical="center"/>
    </xf>
    <xf numFmtId="0" fontId="8" fillId="0" borderId="58" xfId="0" applyFont="1" applyBorder="1" applyAlignment="1" applyProtection="1">
      <alignment horizontal="left" vertical="center"/>
    </xf>
    <xf numFmtId="0" fontId="8" fillId="0" borderId="8" xfId="0" applyFont="1" applyBorder="1" applyAlignment="1" applyProtection="1">
      <alignment vertical="center"/>
    </xf>
    <xf numFmtId="0" fontId="8" fillId="0" borderId="1" xfId="0" applyFont="1" applyBorder="1" applyAlignment="1" applyProtection="1">
      <alignment vertical="center" wrapText="1" shrinkToFit="1"/>
    </xf>
    <xf numFmtId="0" fontId="8" fillId="0" borderId="25" xfId="0" applyFont="1" applyBorder="1" applyAlignment="1" applyProtection="1">
      <alignment horizontal="center" vertical="center"/>
    </xf>
    <xf numFmtId="0" fontId="8" fillId="0" borderId="26" xfId="0" applyFont="1" applyBorder="1" applyAlignment="1" applyProtection="1">
      <alignment horizontal="center" vertical="center"/>
    </xf>
    <xf numFmtId="0" fontId="29" fillId="0" borderId="1" xfId="0" applyFont="1" applyBorder="1" applyAlignment="1" applyProtection="1">
      <alignment vertical="center" wrapText="1" shrinkToFit="1"/>
    </xf>
    <xf numFmtId="0" fontId="8" fillId="12" borderId="8" xfId="0" applyFont="1" applyFill="1" applyBorder="1" applyAlignment="1" applyProtection="1">
      <alignment horizontal="center" vertical="center"/>
    </xf>
    <xf numFmtId="0" fontId="8" fillId="12" borderId="6" xfId="0" applyFont="1" applyFill="1" applyBorder="1" applyAlignment="1" applyProtection="1">
      <alignment horizontal="center" vertical="center"/>
    </xf>
    <xf numFmtId="0" fontId="8" fillId="12" borderId="43" xfId="0" applyFont="1" applyFill="1" applyBorder="1" applyAlignment="1" applyProtection="1">
      <alignment horizontal="center" vertical="center"/>
    </xf>
    <xf numFmtId="0" fontId="8" fillId="12" borderId="44" xfId="0" applyFont="1" applyFill="1" applyBorder="1" applyAlignment="1" applyProtection="1">
      <alignment horizontal="center" vertical="center"/>
    </xf>
    <xf numFmtId="200" fontId="8" fillId="12" borderId="164" xfId="0" applyNumberFormat="1" applyFont="1" applyFill="1" applyBorder="1" applyAlignment="1" applyProtection="1">
      <alignment vertical="center" textRotation="255"/>
    </xf>
    <xf numFmtId="200" fontId="8" fillId="12" borderId="166" xfId="0" applyNumberFormat="1" applyFont="1" applyFill="1" applyBorder="1" applyAlignment="1" applyProtection="1">
      <alignment vertical="center" textRotation="255"/>
    </xf>
    <xf numFmtId="200" fontId="8" fillId="12" borderId="167" xfId="0" applyNumberFormat="1" applyFont="1" applyFill="1" applyBorder="1" applyAlignment="1" applyProtection="1">
      <alignment vertical="center" textRotation="255"/>
    </xf>
    <xf numFmtId="0" fontId="8" fillId="0" borderId="31" xfId="0" applyFont="1" applyBorder="1" applyAlignment="1" applyProtection="1">
      <alignment vertical="center" shrinkToFit="1"/>
    </xf>
    <xf numFmtId="0" fontId="8" fillId="0" borderId="165" xfId="0" applyFont="1" applyBorder="1" applyAlignment="1" applyProtection="1">
      <alignment vertical="center" shrinkToFit="1"/>
    </xf>
    <xf numFmtId="0" fontId="8" fillId="0" borderId="58" xfId="0" applyFont="1" applyBorder="1" applyAlignment="1" applyProtection="1">
      <alignment vertical="center" shrinkToFit="1"/>
    </xf>
    <xf numFmtId="0" fontId="8" fillId="0" borderId="42" xfId="0" applyFont="1" applyFill="1" applyBorder="1" applyAlignment="1" applyProtection="1">
      <alignment vertical="center" shrinkToFit="1"/>
    </xf>
    <xf numFmtId="0" fontId="8" fillId="0" borderId="43" xfId="0" applyFont="1" applyFill="1" applyBorder="1" applyAlignment="1" applyProtection="1">
      <alignment vertical="center" shrinkToFit="1"/>
    </xf>
    <xf numFmtId="0" fontId="8" fillId="0" borderId="168" xfId="0" applyFont="1" applyFill="1" applyBorder="1" applyAlignment="1" applyProtection="1">
      <alignment vertical="center" shrinkToFit="1"/>
    </xf>
    <xf numFmtId="0" fontId="17" fillId="0" borderId="1" xfId="6" applyFont="1" applyBorder="1" applyAlignment="1" applyProtection="1">
      <alignment horizontal="center" vertical="center" shrinkToFit="1"/>
    </xf>
    <xf numFmtId="0" fontId="13" fillId="0" borderId="1" xfId="0" applyFont="1" applyBorder="1" applyAlignment="1" applyProtection="1">
      <alignment horizontal="center" vertical="center" shrinkToFit="1"/>
    </xf>
    <xf numFmtId="235" fontId="64" fillId="0" borderId="1" xfId="6" applyNumberFormat="1" applyFont="1" applyBorder="1" applyAlignment="1" applyProtection="1">
      <alignment horizontal="center" vertical="center"/>
    </xf>
    <xf numFmtId="235" fontId="66" fillId="0" borderId="1" xfId="0" applyNumberFormat="1" applyFont="1" applyBorder="1" applyAlignment="1" applyProtection="1">
      <alignment horizontal="center" vertical="center"/>
    </xf>
    <xf numFmtId="0" fontId="17" fillId="0" borderId="1" xfId="6" applyFont="1" applyBorder="1" applyAlignment="1" applyProtection="1">
      <alignment horizontal="center" vertical="center"/>
    </xf>
    <xf numFmtId="0" fontId="13" fillId="0" borderId="1" xfId="0" applyFont="1" applyBorder="1" applyAlignment="1" applyProtection="1">
      <alignment horizontal="center" vertical="center"/>
    </xf>
    <xf numFmtId="0" fontId="17" fillId="0" borderId="1" xfId="6" applyFont="1" applyBorder="1" applyAlignment="1" applyProtection="1">
      <alignment horizontal="center" wrapText="1"/>
    </xf>
    <xf numFmtId="0" fontId="0" fillId="0" borderId="1" xfId="0" applyBorder="1" applyAlignment="1" applyProtection="1">
      <alignment horizontal="center"/>
    </xf>
    <xf numFmtId="231" fontId="64" fillId="9" borderId="16" xfId="6" applyNumberFormat="1" applyFont="1" applyFill="1" applyBorder="1" applyAlignment="1" applyProtection="1">
      <alignment horizontal="right" vertical="center"/>
      <protection locked="0"/>
    </xf>
    <xf numFmtId="231" fontId="66" fillId="9" borderId="17" xfId="0" applyNumberFormat="1" applyFont="1" applyFill="1" applyBorder="1" applyAlignment="1" applyProtection="1">
      <alignment horizontal="right" vertical="center"/>
      <protection locked="0"/>
    </xf>
    <xf numFmtId="231" fontId="66" fillId="9" borderId="18" xfId="0" applyNumberFormat="1" applyFont="1" applyFill="1" applyBorder="1" applyAlignment="1" applyProtection="1">
      <alignment horizontal="right" vertical="center"/>
      <protection locked="0"/>
    </xf>
    <xf numFmtId="231" fontId="66" fillId="9" borderId="19" xfId="0" applyNumberFormat="1" applyFont="1" applyFill="1" applyBorder="1" applyAlignment="1" applyProtection="1">
      <alignment horizontal="right" vertical="center"/>
      <protection locked="0"/>
    </xf>
    <xf numFmtId="231" fontId="66" fillId="9" borderId="5" xfId="0" applyNumberFormat="1" applyFont="1" applyFill="1" applyBorder="1" applyAlignment="1" applyProtection="1">
      <alignment horizontal="right" vertical="center"/>
      <protection locked="0"/>
    </xf>
    <xf numFmtId="231" fontId="66" fillId="9" borderId="10" xfId="0" applyNumberFormat="1" applyFont="1" applyFill="1" applyBorder="1" applyAlignment="1" applyProtection="1">
      <alignment horizontal="right" vertical="center"/>
      <protection locked="0"/>
    </xf>
    <xf numFmtId="0" fontId="13" fillId="0" borderId="7" xfId="0" applyFont="1" applyBorder="1" applyAlignment="1" applyProtection="1">
      <alignment horizontal="center" vertical="center"/>
    </xf>
    <xf numFmtId="231" fontId="64" fillId="0" borderId="16" xfId="6" applyNumberFormat="1" applyFont="1" applyBorder="1" applyAlignment="1" applyProtection="1">
      <alignment horizontal="right" vertical="center"/>
    </xf>
    <xf numFmtId="231" fontId="66" fillId="0" borderId="17" xfId="0" applyNumberFormat="1" applyFont="1" applyBorder="1" applyAlignment="1" applyProtection="1">
      <alignment horizontal="right" vertical="center"/>
    </xf>
    <xf numFmtId="231" fontId="66" fillId="0" borderId="19" xfId="0" applyNumberFormat="1" applyFont="1" applyBorder="1" applyAlignment="1" applyProtection="1">
      <alignment horizontal="right" vertical="center"/>
    </xf>
    <xf numFmtId="231" fontId="66" fillId="0" borderId="5" xfId="0" applyNumberFormat="1" applyFont="1" applyBorder="1" applyAlignment="1" applyProtection="1">
      <alignment horizontal="right" vertical="center"/>
    </xf>
    <xf numFmtId="0" fontId="17" fillId="0" borderId="135" xfId="6" applyFont="1" applyBorder="1" applyAlignment="1" applyProtection="1">
      <alignment horizontal="center"/>
    </xf>
    <xf numFmtId="0" fontId="13" fillId="0" borderId="136" xfId="0" applyFont="1" applyBorder="1" applyAlignment="1" applyProtection="1">
      <alignment horizontal="center"/>
    </xf>
    <xf numFmtId="0" fontId="64" fillId="0" borderId="137" xfId="6" applyFont="1" applyBorder="1" applyAlignment="1" applyProtection="1">
      <alignment horizontal="center" vertical="center"/>
    </xf>
    <xf numFmtId="0" fontId="66" fillId="0" borderId="138" xfId="0" applyFont="1" applyBorder="1" applyAlignment="1" applyProtection="1">
      <alignment horizontal="center" vertical="center"/>
    </xf>
    <xf numFmtId="0" fontId="66" fillId="0" borderId="139" xfId="0" applyFont="1" applyBorder="1" applyAlignment="1" applyProtection="1">
      <alignment horizontal="center" vertical="center"/>
    </xf>
    <xf numFmtId="0" fontId="66" fillId="0" borderId="140" xfId="0" applyFont="1" applyBorder="1" applyAlignment="1" applyProtection="1">
      <alignment horizontal="center" vertical="center"/>
    </xf>
    <xf numFmtId="0" fontId="17" fillId="0" borderId="0" xfId="6" applyFont="1" applyAlignment="1" applyProtection="1">
      <alignment horizontal="left" wrapText="1"/>
    </xf>
    <xf numFmtId="0" fontId="13" fillId="0" borderId="0" xfId="0" applyFont="1" applyAlignment="1" applyProtection="1">
      <alignment wrapText="1"/>
    </xf>
    <xf numFmtId="0" fontId="56" fillId="0" borderId="0" xfId="6" applyFont="1" applyAlignment="1" applyProtection="1">
      <alignment horizontal="center"/>
    </xf>
    <xf numFmtId="0" fontId="0" fillId="0" borderId="0" xfId="0" applyAlignment="1" applyProtection="1">
      <alignment horizontal="center"/>
    </xf>
    <xf numFmtId="0" fontId="13" fillId="0" borderId="0" xfId="0" applyFont="1" applyAlignment="1" applyProtection="1"/>
    <xf numFmtId="0" fontId="17" fillId="0" borderId="0" xfId="6" applyFont="1" applyAlignment="1" applyProtection="1">
      <alignment horizontal="left"/>
    </xf>
    <xf numFmtId="0" fontId="17" fillId="8" borderId="0" xfId="6" applyFont="1" applyFill="1" applyAlignment="1" applyProtection="1">
      <alignment horizontal="left" vertical="center" wrapText="1"/>
    </xf>
    <xf numFmtId="0" fontId="64" fillId="8" borderId="0" xfId="6" applyFont="1" applyFill="1" applyAlignment="1" applyProtection="1">
      <alignment horizontal="left" vertical="center"/>
    </xf>
    <xf numFmtId="0" fontId="0" fillId="0" borderId="0" xfId="0" applyAlignment="1" applyProtection="1">
      <alignment vertical="center"/>
    </xf>
    <xf numFmtId="0" fontId="17" fillId="8" borderId="0" xfId="6" applyFont="1" applyFill="1" applyAlignment="1" applyProtection="1">
      <alignment horizontal="left" vertical="center"/>
    </xf>
    <xf numFmtId="0" fontId="17" fillId="0" borderId="81" xfId="6" applyFont="1" applyBorder="1" applyAlignment="1" applyProtection="1">
      <alignment horizontal="left" wrapText="1"/>
    </xf>
    <xf numFmtId="0" fontId="13" fillId="0" borderId="82" xfId="0" applyFont="1" applyBorder="1" applyAlignment="1" applyProtection="1">
      <alignment wrapText="1"/>
    </xf>
    <xf numFmtId="0" fontId="13" fillId="0" borderId="83" xfId="0" applyFont="1" applyBorder="1" applyAlignment="1" applyProtection="1">
      <alignment wrapText="1"/>
    </xf>
    <xf numFmtId="0" fontId="17" fillId="0" borderId="76" xfId="6" applyFont="1" applyBorder="1" applyAlignment="1" applyProtection="1">
      <alignment horizontal="left"/>
    </xf>
    <xf numFmtId="0" fontId="13" fillId="0" borderId="77" xfId="0" applyFont="1" applyBorder="1" applyAlignment="1" applyProtection="1"/>
    <xf numFmtId="0" fontId="13" fillId="0" borderId="78" xfId="0" applyFont="1" applyBorder="1" applyAlignment="1" applyProtection="1"/>
    <xf numFmtId="0" fontId="17" fillId="0" borderId="16" xfId="6" applyFont="1" applyBorder="1" applyAlignment="1" applyProtection="1">
      <alignment horizontal="center"/>
    </xf>
    <xf numFmtId="0" fontId="17" fillId="0" borderId="17" xfId="0" applyFont="1" applyBorder="1" applyAlignment="1" applyProtection="1"/>
    <xf numFmtId="0" fontId="17" fillId="0" borderId="18" xfId="0" applyFont="1" applyBorder="1" applyAlignment="1" applyProtection="1"/>
    <xf numFmtId="0" fontId="13" fillId="0" borderId="19" xfId="0" applyFont="1" applyBorder="1" applyAlignment="1" applyProtection="1"/>
    <xf numFmtId="0" fontId="13" fillId="0" borderId="5" xfId="0" applyFont="1" applyBorder="1" applyAlignment="1" applyProtection="1"/>
    <xf numFmtId="0" fontId="13" fillId="0" borderId="10" xfId="0" applyFont="1" applyBorder="1" applyAlignment="1" applyProtection="1"/>
    <xf numFmtId="0" fontId="17" fillId="0" borderId="141" xfId="6" applyFont="1" applyBorder="1" applyAlignment="1" applyProtection="1">
      <alignment horizontal="center" vertical="center" textRotation="255"/>
    </xf>
    <xf numFmtId="0" fontId="13" fillId="0" borderId="142" xfId="0" applyFont="1" applyBorder="1" applyAlignment="1" applyProtection="1">
      <alignment horizontal="center" vertical="center" textRotation="255"/>
    </xf>
    <xf numFmtId="0" fontId="17" fillId="8" borderId="7" xfId="6" applyFont="1" applyFill="1" applyBorder="1" applyAlignment="1" applyProtection="1">
      <alignment horizontal="center"/>
    </xf>
    <xf numFmtId="0" fontId="13" fillId="8" borderId="8" xfId="0" applyFont="1" applyFill="1" applyBorder="1" applyAlignment="1" applyProtection="1">
      <alignment horizontal="center"/>
    </xf>
    <xf numFmtId="0" fontId="17" fillId="0" borderId="0" xfId="6" applyFont="1" applyAlignment="1" applyProtection="1">
      <alignment horizontal="left" vertical="center" wrapText="1"/>
    </xf>
    <xf numFmtId="0" fontId="13" fillId="0" borderId="0" xfId="0" applyFont="1" applyAlignment="1" applyProtection="1">
      <alignment vertical="center"/>
    </xf>
    <xf numFmtId="208" fontId="17" fillId="0" borderId="0" xfId="6" applyNumberFormat="1" applyFont="1" applyAlignment="1" applyProtection="1">
      <alignment horizontal="center"/>
    </xf>
    <xf numFmtId="208" fontId="13" fillId="0" borderId="0" xfId="0" applyNumberFormat="1" applyFont="1" applyAlignment="1" applyProtection="1">
      <alignment horizontal="center"/>
    </xf>
    <xf numFmtId="0" fontId="13" fillId="0" borderId="0" xfId="0" applyFont="1" applyAlignment="1" applyProtection="1">
      <alignment horizontal="center"/>
    </xf>
    <xf numFmtId="207" fontId="9" fillId="8" borderId="7" xfId="6" applyNumberFormat="1" applyFont="1" applyFill="1" applyBorder="1" applyAlignment="1" applyProtection="1">
      <alignment horizontal="center" vertical="center" shrinkToFit="1"/>
    </xf>
    <xf numFmtId="207" fontId="36" fillId="8" borderId="8" xfId="0" applyNumberFormat="1" applyFont="1" applyFill="1" applyBorder="1" applyAlignment="1" applyProtection="1">
      <alignment horizontal="center" vertical="center" shrinkToFit="1"/>
    </xf>
    <xf numFmtId="0" fontId="17" fillId="0" borderId="1" xfId="6" applyFont="1" applyBorder="1" applyAlignment="1" applyProtection="1">
      <alignment horizontal="center"/>
    </xf>
    <xf numFmtId="0" fontId="17" fillId="0" borderId="1" xfId="0" applyFont="1" applyBorder="1" applyAlignment="1" applyProtection="1"/>
    <xf numFmtId="0" fontId="17" fillId="9" borderId="1" xfId="6" applyFont="1" applyFill="1" applyBorder="1" applyAlignment="1" applyProtection="1">
      <alignment horizontal="center"/>
      <protection locked="0"/>
    </xf>
    <xf numFmtId="0" fontId="17" fillId="9" borderId="1" xfId="0" applyFont="1" applyFill="1" applyBorder="1" applyAlignment="1" applyProtection="1">
      <protection locked="0"/>
    </xf>
    <xf numFmtId="0" fontId="17" fillId="9" borderId="7" xfId="0" applyFont="1" applyFill="1" applyBorder="1" applyAlignment="1" applyProtection="1">
      <protection locked="0"/>
    </xf>
    <xf numFmtId="207" fontId="9" fillId="0" borderId="7" xfId="6" applyNumberFormat="1" applyFont="1" applyBorder="1" applyAlignment="1" applyProtection="1">
      <alignment horizontal="center" shrinkToFit="1"/>
    </xf>
    <xf numFmtId="207" fontId="36" fillId="0" borderId="6" xfId="0" applyNumberFormat="1" applyFont="1" applyBorder="1" applyAlignment="1" applyProtection="1">
      <alignment horizontal="center" shrinkToFit="1"/>
    </xf>
    <xf numFmtId="0" fontId="14" fillId="0" borderId="0" xfId="6" applyFont="1" applyAlignment="1" applyProtection="1">
      <alignment horizontal="left" wrapText="1"/>
    </xf>
    <xf numFmtId="0" fontId="65" fillId="0" borderId="0" xfId="0" applyFont="1" applyAlignment="1" applyProtection="1">
      <alignment horizontal="left" wrapText="1"/>
    </xf>
    <xf numFmtId="0" fontId="0" fillId="0" borderId="0" xfId="0" applyAlignment="1" applyProtection="1">
      <alignment horizontal="left" wrapText="1"/>
    </xf>
    <xf numFmtId="0" fontId="17" fillId="9" borderId="7" xfId="6" applyFont="1" applyFill="1" applyBorder="1" applyAlignment="1" applyProtection="1">
      <alignment horizontal="center" shrinkToFit="1"/>
      <protection locked="0"/>
    </xf>
    <xf numFmtId="0" fontId="13" fillId="9" borderId="8" xfId="0" applyFont="1" applyFill="1" applyBorder="1" applyAlignment="1" applyProtection="1">
      <alignment horizontal="center" shrinkToFit="1"/>
      <protection locked="0"/>
    </xf>
    <xf numFmtId="0" fontId="13" fillId="9" borderId="6" xfId="0" applyFont="1" applyFill="1" applyBorder="1" applyAlignment="1" applyProtection="1">
      <alignment horizontal="center" shrinkToFit="1"/>
      <protection locked="0"/>
    </xf>
    <xf numFmtId="0" fontId="17" fillId="9" borderId="91" xfId="6" applyFont="1" applyFill="1" applyBorder="1" applyAlignment="1" applyProtection="1">
      <alignment horizontal="center" shrinkToFit="1"/>
      <protection locked="0"/>
    </xf>
    <xf numFmtId="0" fontId="13" fillId="9" borderId="75" xfId="0" applyFont="1" applyFill="1" applyBorder="1" applyAlignment="1" applyProtection="1">
      <alignment horizontal="center" shrinkToFit="1"/>
      <protection locked="0"/>
    </xf>
    <xf numFmtId="0" fontId="13" fillId="9" borderId="92" xfId="0" applyFont="1" applyFill="1" applyBorder="1" applyAlignment="1" applyProtection="1">
      <alignment horizontal="center" shrinkToFit="1"/>
      <protection locked="0"/>
    </xf>
    <xf numFmtId="0" fontId="17" fillId="9" borderId="88" xfId="6" applyFont="1" applyFill="1" applyBorder="1" applyAlignment="1" applyProtection="1">
      <alignment horizontal="center" shrinkToFit="1"/>
      <protection locked="0"/>
    </xf>
    <xf numFmtId="0" fontId="13" fillId="9" borderId="89" xfId="0" applyFont="1" applyFill="1" applyBorder="1" applyAlignment="1" applyProtection="1">
      <alignment horizontal="center" shrinkToFit="1"/>
      <protection locked="0"/>
    </xf>
    <xf numFmtId="0" fontId="13" fillId="9" borderId="90" xfId="0" applyFont="1" applyFill="1" applyBorder="1" applyAlignment="1" applyProtection="1">
      <alignment horizontal="center" shrinkToFit="1"/>
      <protection locked="0"/>
    </xf>
    <xf numFmtId="0" fontId="13" fillId="0" borderId="8" xfId="0" applyFont="1" applyBorder="1" applyAlignment="1" applyProtection="1">
      <alignment horizontal="center" shrinkToFit="1"/>
      <protection locked="0"/>
    </xf>
    <xf numFmtId="0" fontId="13" fillId="0" borderId="6" xfId="0" applyFont="1" applyBorder="1" applyAlignment="1" applyProtection="1">
      <alignment horizontal="center" shrinkToFit="1"/>
      <protection locked="0"/>
    </xf>
    <xf numFmtId="0" fontId="17" fillId="9" borderId="88" xfId="6" applyFont="1" applyFill="1" applyBorder="1" applyAlignment="1" applyProtection="1">
      <alignment horizontal="center" shrinkToFit="1"/>
    </xf>
    <xf numFmtId="0" fontId="13" fillId="9" borderId="89" xfId="0" applyFont="1" applyFill="1" applyBorder="1" applyAlignment="1" applyProtection="1">
      <alignment horizontal="center" shrinkToFit="1"/>
    </xf>
    <xf numFmtId="0" fontId="13" fillId="9" borderId="90" xfId="0" applyFont="1" applyFill="1" applyBorder="1" applyAlignment="1" applyProtection="1">
      <alignment horizontal="center" shrinkToFit="1"/>
    </xf>
    <xf numFmtId="0" fontId="13" fillId="0" borderId="17" xfId="0" applyFont="1" applyBorder="1" applyAlignment="1" applyProtection="1">
      <alignment horizontal="center"/>
    </xf>
    <xf numFmtId="0" fontId="55" fillId="0" borderId="0" xfId="6" applyFont="1" applyBorder="1" applyAlignment="1" applyProtection="1"/>
    <xf numFmtId="0" fontId="17" fillId="0" borderId="0" xfId="6" applyFont="1" applyBorder="1" applyAlignment="1" applyProtection="1">
      <alignment vertical="center"/>
    </xf>
    <xf numFmtId="0" fontId="17" fillId="0" borderId="59" xfId="6" applyFont="1" applyBorder="1" applyAlignment="1" applyProtection="1">
      <alignment horizontal="center" vertical="center"/>
    </xf>
    <xf numFmtId="0" fontId="13" fillId="0" borderId="60" xfId="0" applyFont="1" applyBorder="1" applyAlignment="1" applyProtection="1">
      <alignment horizontal="center" vertical="center"/>
    </xf>
    <xf numFmtId="0" fontId="13" fillId="0" borderId="61" xfId="0" applyFont="1" applyBorder="1" applyAlignment="1" applyProtection="1">
      <alignment horizontal="center" vertical="center"/>
    </xf>
    <xf numFmtId="0" fontId="13" fillId="0" borderId="88" xfId="0" applyFont="1" applyBorder="1" applyAlignment="1" applyProtection="1">
      <alignment horizontal="center" vertical="center"/>
    </xf>
    <xf numFmtId="0" fontId="17" fillId="0" borderId="16" xfId="0" applyFont="1" applyBorder="1" applyAlignment="1" applyProtection="1">
      <alignment horizontal="center" vertical="center" shrinkToFit="1"/>
    </xf>
    <xf numFmtId="0" fontId="17" fillId="0" borderId="17" xfId="0" applyFont="1" applyBorder="1" applyAlignment="1" applyProtection="1">
      <alignment horizontal="center" vertical="center" shrinkToFit="1"/>
    </xf>
    <xf numFmtId="0" fontId="17" fillId="0" borderId="31" xfId="0" applyFont="1" applyBorder="1" applyAlignment="1" applyProtection="1">
      <alignment horizontal="center" vertical="center" shrinkToFit="1"/>
    </xf>
    <xf numFmtId="0" fontId="13" fillId="0" borderId="32" xfId="0" applyFont="1" applyBorder="1" applyAlignment="1" applyProtection="1">
      <alignment horizontal="center" vertical="center" shrinkToFit="1"/>
    </xf>
    <xf numFmtId="0" fontId="13" fillId="0" borderId="17" xfId="0" applyFont="1" applyBorder="1" applyAlignment="1" applyProtection="1">
      <alignment horizontal="center" vertical="center" shrinkToFit="1"/>
    </xf>
    <xf numFmtId="0" fontId="17" fillId="0" borderId="2" xfId="6" applyFont="1" applyBorder="1" applyAlignment="1" applyProtection="1">
      <alignment horizontal="center" vertical="center"/>
    </xf>
    <xf numFmtId="0" fontId="13" fillId="0" borderId="2" xfId="0" applyFont="1" applyBorder="1" applyAlignment="1" applyProtection="1">
      <alignment horizontal="center" vertical="center"/>
    </xf>
    <xf numFmtId="0" fontId="17" fillId="0" borderId="177" xfId="6" applyFont="1" applyBorder="1" applyAlignment="1" applyProtection="1">
      <alignment horizontal="left" vertical="center" shrinkToFit="1"/>
    </xf>
    <xf numFmtId="0" fontId="13" fillId="0" borderId="178" xfId="0" applyFont="1" applyBorder="1" applyAlignment="1" applyProtection="1">
      <alignment vertical="center" shrinkToFit="1"/>
    </xf>
    <xf numFmtId="0" fontId="13" fillId="0" borderId="182" xfId="0" applyFont="1" applyBorder="1" applyAlignment="1" applyProtection="1">
      <alignment vertical="center" shrinkToFit="1"/>
    </xf>
    <xf numFmtId="0" fontId="17" fillId="0" borderId="62" xfId="6" applyFont="1" applyBorder="1" applyAlignment="1" applyProtection="1">
      <alignment horizontal="center" vertical="center"/>
    </xf>
    <xf numFmtId="0" fontId="13" fillId="0" borderId="64" xfId="0" applyFont="1" applyBorder="1" applyAlignment="1" applyProtection="1">
      <alignment horizontal="center" vertical="center"/>
    </xf>
    <xf numFmtId="0" fontId="13" fillId="0" borderId="65" xfId="0" applyFont="1" applyBorder="1" applyAlignment="1" applyProtection="1">
      <alignment horizontal="center" vertical="center"/>
    </xf>
    <xf numFmtId="0" fontId="13" fillId="0" borderId="62" xfId="0" applyFont="1" applyBorder="1" applyAlignment="1" applyProtection="1">
      <alignment horizontal="center" vertical="center"/>
    </xf>
    <xf numFmtId="0" fontId="17" fillId="0" borderId="16" xfId="6" applyFont="1" applyBorder="1" applyAlignment="1" applyProtection="1">
      <alignment horizontal="center" vertical="center"/>
    </xf>
    <xf numFmtId="0" fontId="13" fillId="0" borderId="17" xfId="0" applyFont="1" applyBorder="1" applyAlignment="1" applyProtection="1">
      <alignment horizontal="center" vertical="center"/>
    </xf>
    <xf numFmtId="0" fontId="13" fillId="0" borderId="74" xfId="0" applyFont="1" applyBorder="1" applyAlignment="1" applyProtection="1">
      <alignment horizontal="center" vertical="center"/>
    </xf>
    <xf numFmtId="0" fontId="13" fillId="0" borderId="11" xfId="0" applyFont="1" applyBorder="1" applyAlignment="1" applyProtection="1">
      <alignment horizontal="center" vertical="center"/>
    </xf>
    <xf numFmtId="0" fontId="13" fillId="0" borderId="0" xfId="0" applyFont="1" applyAlignment="1" applyProtection="1">
      <alignment horizontal="center" vertical="center"/>
    </xf>
    <xf numFmtId="0" fontId="13" fillId="0" borderId="24" xfId="0" applyFont="1" applyBorder="1" applyAlignment="1" applyProtection="1">
      <alignment horizontal="center" vertical="center"/>
    </xf>
    <xf numFmtId="0" fontId="13" fillId="0" borderId="84" xfId="0" applyFont="1" applyBorder="1" applyAlignment="1" applyProtection="1">
      <alignment horizontal="center" vertical="center"/>
    </xf>
    <xf numFmtId="0" fontId="13" fillId="0" borderId="85" xfId="0" applyFont="1" applyBorder="1" applyAlignment="1" applyProtection="1">
      <alignment horizontal="center" vertical="center"/>
    </xf>
    <xf numFmtId="0" fontId="13" fillId="0" borderId="100" xfId="0" applyFont="1" applyBorder="1" applyAlignment="1" applyProtection="1">
      <alignment horizontal="center" vertical="center"/>
    </xf>
    <xf numFmtId="0" fontId="17" fillId="0" borderId="1" xfId="0" applyFont="1" applyBorder="1" applyAlignment="1" applyProtection="1">
      <alignment horizontal="center" vertical="center" shrinkToFit="1"/>
    </xf>
    <xf numFmtId="0" fontId="17" fillId="0" borderId="63" xfId="0" applyFont="1" applyBorder="1" applyAlignment="1" applyProtection="1">
      <alignment horizontal="center" vertical="center" shrinkToFit="1"/>
    </xf>
    <xf numFmtId="0" fontId="13" fillId="0" borderId="7" xfId="0" applyFont="1" applyBorder="1" applyAlignment="1" applyProtection="1">
      <alignment horizontal="center" vertical="center" shrinkToFit="1"/>
    </xf>
    <xf numFmtId="0" fontId="59" fillId="0" borderId="76" xfId="6" applyFont="1" applyBorder="1" applyAlignment="1" applyProtection="1">
      <alignment vertical="center" wrapText="1"/>
    </xf>
    <xf numFmtId="0" fontId="60" fillId="0" borderId="77" xfId="0" applyFont="1" applyBorder="1" applyAlignment="1" applyProtection="1">
      <alignment vertical="center"/>
    </xf>
    <xf numFmtId="0" fontId="0" fillId="0" borderId="77" xfId="0" applyBorder="1" applyAlignment="1" applyProtection="1">
      <alignment vertical="center"/>
    </xf>
    <xf numFmtId="0" fontId="0" fillId="0" borderId="78" xfId="0" applyBorder="1" applyAlignment="1" applyProtection="1">
      <alignment vertical="center"/>
    </xf>
    <xf numFmtId="0" fontId="60" fillId="0" borderId="79" xfId="0" applyFont="1" applyBorder="1" applyAlignment="1" applyProtection="1">
      <alignment vertical="center"/>
    </xf>
    <xf numFmtId="0" fontId="60" fillId="0" borderId="0" xfId="0" applyFont="1" applyBorder="1" applyAlignment="1" applyProtection="1">
      <alignment vertical="center"/>
    </xf>
    <xf numFmtId="0" fontId="0" fillId="0" borderId="0" xfId="0" applyBorder="1" applyAlignment="1" applyProtection="1">
      <alignment vertical="center"/>
    </xf>
    <xf numFmtId="0" fontId="0" fillId="0" borderId="80" xfId="0" applyBorder="1" applyAlignment="1" applyProtection="1">
      <alignment vertical="center"/>
    </xf>
    <xf numFmtId="0" fontId="60" fillId="0" borderId="81" xfId="0" applyFont="1" applyBorder="1" applyAlignment="1" applyProtection="1">
      <alignment vertical="center"/>
    </xf>
    <xf numFmtId="0" fontId="60" fillId="0" borderId="82" xfId="0" applyFont="1" applyBorder="1" applyAlignment="1" applyProtection="1">
      <alignment vertical="center"/>
    </xf>
    <xf numFmtId="0" fontId="0" fillId="0" borderId="82" xfId="0" applyBorder="1" applyAlignment="1" applyProtection="1">
      <alignment vertical="center"/>
    </xf>
    <xf numFmtId="0" fontId="0" fillId="0" borderId="83" xfId="0" applyBorder="1" applyAlignment="1" applyProtection="1">
      <alignment vertical="center"/>
    </xf>
    <xf numFmtId="0" fontId="55" fillId="0" borderId="7" xfId="6" applyFont="1" applyBorder="1" applyAlignment="1" applyProtection="1"/>
    <xf numFmtId="0" fontId="0" fillId="0" borderId="8" xfId="0" applyBorder="1" applyAlignment="1" applyProtection="1"/>
    <xf numFmtId="0" fontId="0" fillId="0" borderId="6" xfId="0" applyBorder="1" applyAlignment="1" applyProtection="1"/>
    <xf numFmtId="0" fontId="17" fillId="0" borderId="155" xfId="6" applyFont="1" applyFill="1" applyBorder="1" applyAlignment="1" applyProtection="1">
      <alignment horizontal="center" vertical="center" wrapText="1"/>
    </xf>
    <xf numFmtId="0" fontId="0" fillId="0" borderId="156" xfId="0" applyBorder="1" applyAlignment="1" applyProtection="1">
      <alignment horizontal="center" vertical="center" wrapText="1"/>
    </xf>
    <xf numFmtId="0" fontId="17" fillId="0" borderId="156" xfId="6" applyFont="1" applyFill="1" applyBorder="1" applyAlignment="1" applyProtection="1">
      <alignment horizontal="left" vertical="center" wrapText="1"/>
    </xf>
    <xf numFmtId="0" fontId="0" fillId="0" borderId="156" xfId="0" applyBorder="1" applyAlignment="1" applyProtection="1">
      <alignment horizontal="left" vertical="center" wrapText="1"/>
    </xf>
    <xf numFmtId="0" fontId="0" fillId="0" borderId="157" xfId="0" applyBorder="1" applyAlignment="1" applyProtection="1">
      <alignment horizontal="left" vertical="center" wrapText="1"/>
    </xf>
    <xf numFmtId="0" fontId="17" fillId="0" borderId="0" xfId="6" applyFont="1" applyFill="1" applyAlignment="1" applyProtection="1">
      <alignment horizontal="left" vertical="center" wrapText="1"/>
    </xf>
    <xf numFmtId="0" fontId="0" fillId="0" borderId="0" xfId="0" applyAlignment="1" applyProtection="1">
      <alignment horizontal="left" vertical="center" wrapText="1"/>
    </xf>
    <xf numFmtId="0" fontId="17" fillId="9" borderId="7" xfId="6" applyFont="1" applyFill="1" applyBorder="1" applyAlignment="1" applyProtection="1">
      <alignment horizontal="left" vertical="center" wrapText="1"/>
      <protection locked="0"/>
    </xf>
    <xf numFmtId="0" fontId="0" fillId="9" borderId="8" xfId="0" applyFill="1"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17" fillId="0" borderId="0" xfId="6" applyFont="1" applyAlignment="1" applyProtection="1">
      <alignment horizontal="center"/>
    </xf>
    <xf numFmtId="0" fontId="17" fillId="0" borderId="2" xfId="0" applyFont="1" applyBorder="1" applyAlignment="1" applyProtection="1">
      <alignment horizontal="center" vertical="center" shrinkToFit="1"/>
    </xf>
    <xf numFmtId="0" fontId="17" fillId="0" borderId="69" xfId="0" applyFont="1" applyBorder="1" applyAlignment="1" applyProtection="1">
      <alignment horizontal="center" vertical="center" shrinkToFit="1"/>
    </xf>
    <xf numFmtId="0" fontId="22" fillId="0" borderId="1" xfId="0" applyFont="1" applyBorder="1" applyAlignment="1" applyProtection="1">
      <alignment horizontal="center" vertical="center" shrinkToFit="1"/>
    </xf>
    <xf numFmtId="0" fontId="22" fillId="0" borderId="63" xfId="0" applyFont="1" applyBorder="1" applyAlignment="1" applyProtection="1">
      <alignment horizontal="center" vertical="center" shrinkToFit="1"/>
    </xf>
    <xf numFmtId="232" fontId="9" fillId="9" borderId="1" xfId="6" applyNumberFormat="1" applyFont="1" applyFill="1" applyBorder="1" applyAlignment="1" applyProtection="1">
      <alignment horizontal="right" vertical="center" shrinkToFit="1"/>
      <protection locked="0"/>
    </xf>
    <xf numFmtId="0" fontId="36" fillId="0" borderId="1" xfId="0" applyFont="1" applyBorder="1" applyAlignment="1" applyProtection="1">
      <alignment horizontal="right" vertical="center" shrinkToFit="1"/>
      <protection locked="0"/>
    </xf>
    <xf numFmtId="234" fontId="9" fillId="9" borderId="1" xfId="6" applyNumberFormat="1" applyFont="1" applyFill="1" applyBorder="1" applyAlignment="1" applyProtection="1">
      <alignment horizontal="right" vertical="center" shrinkToFit="1"/>
      <protection locked="0"/>
    </xf>
    <xf numFmtId="0" fontId="36" fillId="0" borderId="1" xfId="0" applyFont="1" applyBorder="1" applyAlignment="1" applyProtection="1">
      <alignment vertical="center" shrinkToFit="1"/>
      <protection locked="0"/>
    </xf>
    <xf numFmtId="0" fontId="9" fillId="0" borderId="135" xfId="6" applyFont="1" applyBorder="1" applyAlignment="1" applyProtection="1">
      <alignment horizontal="center" vertical="center"/>
    </xf>
    <xf numFmtId="0" fontId="9" fillId="0" borderId="136" xfId="0" applyFont="1" applyBorder="1" applyAlignment="1" applyProtection="1">
      <alignment horizontal="center" vertical="center"/>
    </xf>
    <xf numFmtId="0" fontId="9" fillId="0" borderId="137" xfId="6" applyFont="1" applyBorder="1" applyAlignment="1" applyProtection="1">
      <alignment horizontal="center" vertical="center"/>
    </xf>
    <xf numFmtId="0" fontId="9" fillId="0" borderId="138" xfId="0" applyFont="1" applyBorder="1" applyAlignment="1" applyProtection="1">
      <alignment horizontal="center" vertical="center"/>
    </xf>
    <xf numFmtId="0" fontId="9" fillId="0" borderId="137" xfId="0" applyFont="1" applyBorder="1" applyAlignment="1" applyProtection="1">
      <alignment horizontal="center" vertical="center"/>
    </xf>
    <xf numFmtId="0" fontId="36" fillId="0" borderId="138" xfId="0" applyFont="1" applyBorder="1" applyAlignment="1" applyProtection="1">
      <alignment horizontal="center" vertical="center"/>
    </xf>
    <xf numFmtId="0" fontId="36" fillId="0" borderId="137" xfId="0" applyFont="1" applyBorder="1" applyAlignment="1" applyProtection="1">
      <alignment horizontal="center" vertical="center"/>
    </xf>
    <xf numFmtId="0" fontId="9" fillId="0" borderId="4" xfId="6" applyFont="1" applyBorder="1" applyAlignment="1" applyProtection="1">
      <alignment horizontal="center" vertical="center"/>
    </xf>
    <xf numFmtId="0" fontId="36" fillId="0" borderId="4" xfId="0" applyFont="1" applyBorder="1" applyAlignment="1" applyProtection="1">
      <alignment horizontal="center" vertical="center"/>
    </xf>
    <xf numFmtId="0" fontId="36" fillId="0" borderId="1" xfId="0" applyFont="1" applyBorder="1" applyAlignment="1" applyProtection="1">
      <alignment horizontal="center" vertical="center"/>
    </xf>
    <xf numFmtId="0" fontId="11" fillId="0" borderId="129" xfId="6" applyFont="1" applyBorder="1" applyAlignment="1" applyProtection="1">
      <alignment horizontal="center" vertical="center"/>
    </xf>
    <xf numFmtId="0" fontId="36" fillId="0" borderId="130" xfId="0" applyFont="1" applyBorder="1" applyAlignment="1" applyProtection="1">
      <alignment horizontal="center" vertical="center"/>
    </xf>
    <xf numFmtId="0" fontId="36" fillId="0" borderId="131" xfId="0" applyFont="1" applyBorder="1" applyAlignment="1" applyProtection="1">
      <alignment horizontal="center" vertical="center"/>
    </xf>
    <xf numFmtId="0" fontId="36" fillId="0" borderId="132" xfId="0" applyFont="1" applyBorder="1" applyAlignment="1" applyProtection="1">
      <alignment horizontal="center" vertical="center"/>
    </xf>
    <xf numFmtId="0" fontId="36" fillId="0" borderId="133" xfId="0" applyFont="1" applyBorder="1" applyAlignment="1" applyProtection="1">
      <alignment horizontal="center" vertical="center"/>
    </xf>
    <xf numFmtId="0" fontId="36" fillId="0" borderId="134" xfId="0" applyFont="1" applyBorder="1" applyAlignment="1" applyProtection="1">
      <alignment horizontal="center" vertical="center"/>
    </xf>
    <xf numFmtId="0" fontId="9" fillId="0" borderId="6" xfId="6" applyFont="1" applyBorder="1" applyAlignment="1" applyProtection="1">
      <alignment horizontal="center" vertical="center" wrapText="1"/>
    </xf>
    <xf numFmtId="0" fontId="36" fillId="0" borderId="7" xfId="0" applyFont="1" applyBorder="1" applyAlignment="1" applyProtection="1">
      <alignment horizontal="center" vertical="center"/>
    </xf>
    <xf numFmtId="0" fontId="36" fillId="0" borderId="6" xfId="0" applyFont="1" applyBorder="1" applyAlignment="1" applyProtection="1">
      <alignment horizontal="center" vertical="center"/>
    </xf>
    <xf numFmtId="214" fontId="9" fillId="0" borderId="1" xfId="6" applyNumberFormat="1" applyFont="1" applyFill="1" applyBorder="1" applyAlignment="1" applyProtection="1">
      <alignment vertical="center" shrinkToFit="1"/>
    </xf>
    <xf numFmtId="0" fontId="36" fillId="0" borderId="1" xfId="0" applyFont="1" applyFill="1" applyBorder="1" applyAlignment="1" applyProtection="1">
      <alignment vertical="center" shrinkToFit="1"/>
    </xf>
    <xf numFmtId="0" fontId="36" fillId="0" borderId="7" xfId="0" applyFont="1" applyFill="1" applyBorder="1" applyAlignment="1" applyProtection="1">
      <alignment vertical="center" shrinkToFit="1"/>
    </xf>
    <xf numFmtId="215" fontId="9" fillId="0" borderId="1" xfId="6" applyNumberFormat="1" applyFont="1" applyFill="1" applyBorder="1" applyAlignment="1" applyProtection="1">
      <alignment vertical="center" shrinkToFit="1"/>
    </xf>
    <xf numFmtId="233" fontId="9" fillId="9" borderId="1" xfId="6" applyNumberFormat="1" applyFont="1" applyFill="1" applyBorder="1" applyAlignment="1" applyProtection="1">
      <alignment horizontal="right" vertical="center" shrinkToFit="1"/>
      <protection locked="0"/>
    </xf>
    <xf numFmtId="0" fontId="9" fillId="0" borderId="16" xfId="6" applyFont="1" applyBorder="1" applyAlignment="1" applyProtection="1">
      <alignment horizontal="center" vertical="center"/>
    </xf>
    <xf numFmtId="0" fontId="36" fillId="0" borderId="17" xfId="0" applyFont="1" applyBorder="1" applyAlignment="1" applyProtection="1">
      <alignment vertical="center"/>
    </xf>
    <xf numFmtId="0" fontId="9" fillId="0" borderId="11" xfId="6" applyFont="1" applyBorder="1" applyAlignment="1" applyProtection="1">
      <alignment horizontal="center" vertical="center"/>
    </xf>
    <xf numFmtId="0" fontId="36" fillId="0" borderId="0" xfId="0" applyFont="1" applyBorder="1" applyAlignment="1" applyProtection="1">
      <alignment vertical="center"/>
    </xf>
    <xf numFmtId="0" fontId="36" fillId="0" borderId="11" xfId="0" applyFont="1" applyBorder="1" applyAlignment="1" applyProtection="1">
      <alignment vertical="center"/>
    </xf>
    <xf numFmtId="0" fontId="36" fillId="0" borderId="0" xfId="0" applyFont="1" applyAlignment="1" applyProtection="1">
      <alignment vertical="center"/>
    </xf>
    <xf numFmtId="0" fontId="36" fillId="0" borderId="19" xfId="0" applyFont="1" applyBorder="1" applyAlignment="1" applyProtection="1">
      <alignment vertical="center"/>
    </xf>
    <xf numFmtId="0" fontId="36" fillId="0" borderId="5" xfId="0" applyFont="1" applyBorder="1" applyAlignment="1" applyProtection="1">
      <alignment vertical="center"/>
    </xf>
    <xf numFmtId="234" fontId="9" fillId="0" borderId="1" xfId="6" applyNumberFormat="1" applyFont="1" applyFill="1" applyBorder="1" applyAlignment="1" applyProtection="1">
      <alignment horizontal="right" vertical="center" shrinkToFit="1"/>
    </xf>
    <xf numFmtId="232" fontId="9" fillId="0" borderId="1" xfId="6" applyNumberFormat="1" applyFont="1" applyFill="1" applyBorder="1" applyAlignment="1" applyProtection="1">
      <alignment horizontal="right" vertical="center" shrinkToFit="1"/>
    </xf>
    <xf numFmtId="0" fontId="9" fillId="0" borderId="17" xfId="0" applyFont="1" applyBorder="1" applyAlignment="1" applyProtection="1">
      <alignment horizontal="center" vertical="center"/>
    </xf>
    <xf numFmtId="0" fontId="9" fillId="0" borderId="18" xfId="0" applyFont="1" applyBorder="1" applyAlignment="1" applyProtection="1">
      <alignment horizontal="center" vertical="center"/>
    </xf>
    <xf numFmtId="0" fontId="9" fillId="0" borderId="11" xfId="0" applyFont="1" applyBorder="1" applyAlignment="1" applyProtection="1">
      <alignment horizontal="center" vertical="center"/>
    </xf>
    <xf numFmtId="0" fontId="9" fillId="0" borderId="0" xfId="0" applyFont="1" applyAlignment="1" applyProtection="1">
      <alignment horizontal="center" vertical="center"/>
    </xf>
    <xf numFmtId="0" fontId="9" fillId="0" borderId="9" xfId="0" applyFont="1" applyBorder="1" applyAlignment="1" applyProtection="1">
      <alignment horizontal="center" vertical="center"/>
    </xf>
    <xf numFmtId="0" fontId="9" fillId="0" borderId="19" xfId="0" applyFont="1" applyBorder="1" applyAlignment="1" applyProtection="1">
      <alignment horizontal="center" vertical="center"/>
    </xf>
    <xf numFmtId="0" fontId="9" fillId="0" borderId="5" xfId="0" applyFont="1" applyBorder="1" applyAlignment="1" applyProtection="1">
      <alignment horizontal="center" vertical="center"/>
    </xf>
    <xf numFmtId="0" fontId="9" fillId="0" borderId="10" xfId="0" applyFont="1" applyBorder="1" applyAlignment="1" applyProtection="1">
      <alignment horizontal="center" vertical="center"/>
    </xf>
    <xf numFmtId="0" fontId="9" fillId="0" borderId="16" xfId="0" applyFont="1" applyBorder="1" applyAlignment="1" applyProtection="1">
      <alignment horizontal="center" vertical="center"/>
    </xf>
    <xf numFmtId="0" fontId="9" fillId="0" borderId="16" xfId="0" applyFont="1" applyBorder="1" applyAlignment="1" applyProtection="1">
      <alignment horizontal="center" vertical="center" wrapText="1"/>
    </xf>
    <xf numFmtId="0" fontId="9" fillId="0" borderId="16" xfId="6" applyFont="1" applyBorder="1" applyAlignment="1" applyProtection="1">
      <alignment horizontal="center" vertical="center" wrapText="1"/>
    </xf>
    <xf numFmtId="0" fontId="9" fillId="0" borderId="0" xfId="0" applyFont="1" applyBorder="1" applyAlignment="1" applyProtection="1">
      <alignment horizontal="center" vertical="center"/>
    </xf>
    <xf numFmtId="0" fontId="9" fillId="0" borderId="8" xfId="6" applyFont="1" applyBorder="1" applyAlignment="1" applyProtection="1">
      <alignment horizontal="left" vertical="center" wrapText="1"/>
    </xf>
    <xf numFmtId="0" fontId="36" fillId="0" borderId="8" xfId="0" applyFont="1" applyBorder="1" applyAlignment="1" applyProtection="1">
      <alignment horizontal="left" vertical="center" wrapText="1"/>
    </xf>
    <xf numFmtId="0" fontId="36" fillId="0" borderId="8" xfId="0" applyFont="1" applyBorder="1" applyAlignment="1" applyProtection="1">
      <alignment horizontal="left" vertical="center"/>
    </xf>
    <xf numFmtId="0" fontId="36" fillId="0" borderId="8" xfId="0" applyFont="1" applyBorder="1" applyAlignment="1" applyProtection="1">
      <alignment vertical="center"/>
    </xf>
    <xf numFmtId="0" fontId="36" fillId="0" borderId="6" xfId="0" applyFont="1" applyBorder="1" applyAlignment="1" applyProtection="1">
      <alignment vertical="center"/>
    </xf>
    <xf numFmtId="0" fontId="36" fillId="0" borderId="139" xfId="0" applyFont="1" applyBorder="1" applyAlignment="1" applyProtection="1">
      <alignment horizontal="center" vertical="center"/>
    </xf>
    <xf numFmtId="0" fontId="36" fillId="0" borderId="140" xfId="0" applyFont="1" applyBorder="1" applyAlignment="1" applyProtection="1">
      <alignment horizontal="center" vertical="center"/>
    </xf>
    <xf numFmtId="217" fontId="9" fillId="0" borderId="1" xfId="6" applyNumberFormat="1" applyFont="1" applyFill="1" applyBorder="1" applyAlignment="1" applyProtection="1">
      <alignment vertical="center" shrinkToFit="1"/>
    </xf>
    <xf numFmtId="0" fontId="14" fillId="0" borderId="16" xfId="0" applyFont="1" applyBorder="1" applyAlignment="1" applyProtection="1">
      <alignment horizontal="center" vertical="center" shrinkToFit="1"/>
    </xf>
    <xf numFmtId="0" fontId="14" fillId="0" borderId="17" xfId="0" applyFont="1" applyBorder="1" applyAlignment="1" applyProtection="1">
      <alignment horizontal="center" vertical="center" shrinkToFit="1"/>
    </xf>
    <xf numFmtId="219" fontId="7" fillId="0" borderId="111" xfId="6" applyNumberFormat="1" applyFont="1" applyFill="1" applyBorder="1" applyAlignment="1" applyProtection="1">
      <alignment horizontal="center" vertical="center" shrinkToFit="1"/>
    </xf>
    <xf numFmtId="0" fontId="0" fillId="0" borderId="43" xfId="0" applyBorder="1" applyAlignment="1" applyProtection="1">
      <alignment horizontal="center" vertical="center" shrinkToFit="1"/>
    </xf>
    <xf numFmtId="0" fontId="0" fillId="0" borderId="147" xfId="0" applyBorder="1" applyAlignment="1" applyProtection="1">
      <alignment horizontal="center" vertical="center" shrinkToFit="1"/>
    </xf>
    <xf numFmtId="221" fontId="7" fillId="0" borderId="111" xfId="6" applyNumberFormat="1" applyFont="1" applyBorder="1" applyAlignment="1" applyProtection="1">
      <alignment horizontal="center" vertical="center" shrinkToFit="1"/>
    </xf>
    <xf numFmtId="0" fontId="14" fillId="0" borderId="42" xfId="0" applyFont="1" applyBorder="1" applyAlignment="1" applyProtection="1">
      <alignment horizontal="center" vertical="center" shrinkToFit="1"/>
    </xf>
    <xf numFmtId="0" fontId="10" fillId="0" borderId="43" xfId="0" applyFont="1" applyBorder="1" applyAlignment="1" applyProtection="1">
      <alignment horizontal="center" vertical="center" shrinkToFit="1"/>
    </xf>
    <xf numFmtId="0" fontId="10" fillId="0" borderId="118" xfId="0" applyFont="1" applyBorder="1" applyAlignment="1" applyProtection="1">
      <alignment horizontal="center" vertical="center" shrinkToFit="1"/>
    </xf>
    <xf numFmtId="0" fontId="17" fillId="0" borderId="86" xfId="0" applyFont="1" applyBorder="1" applyAlignment="1" applyProtection="1">
      <alignment horizontal="center" vertical="center" shrinkToFit="1"/>
    </xf>
    <xf numFmtId="0" fontId="17" fillId="0" borderId="87" xfId="0" applyFont="1" applyBorder="1" applyAlignment="1" applyProtection="1">
      <alignment horizontal="center" vertical="center" shrinkToFit="1"/>
    </xf>
    <xf numFmtId="0" fontId="17" fillId="0" borderId="13" xfId="6" applyFont="1" applyBorder="1" applyAlignment="1" applyProtection="1">
      <alignment horizontal="center" vertical="center" shrinkToFit="1"/>
    </xf>
    <xf numFmtId="0" fontId="13" fillId="0" borderId="13" xfId="0" applyFont="1" applyBorder="1" applyAlignment="1" applyProtection="1">
      <alignment horizontal="center" vertical="center" shrinkToFit="1"/>
    </xf>
    <xf numFmtId="0" fontId="17" fillId="0" borderId="3" xfId="6" applyFont="1" applyBorder="1" applyAlignment="1" applyProtection="1">
      <alignment horizontal="center" vertical="center" shrinkToFit="1"/>
    </xf>
    <xf numFmtId="0" fontId="13" fillId="0" borderId="3" xfId="0" applyFont="1" applyBorder="1" applyAlignment="1" applyProtection="1">
      <alignment horizontal="center" vertical="center" shrinkToFit="1"/>
    </xf>
    <xf numFmtId="0" fontId="13" fillId="0" borderId="2" xfId="0" applyFont="1" applyBorder="1" applyAlignment="1" applyProtection="1">
      <alignment horizontal="center" vertical="center" shrinkToFit="1"/>
    </xf>
    <xf numFmtId="0" fontId="17" fillId="0" borderId="4" xfId="6" applyFont="1" applyBorder="1" applyAlignment="1" applyProtection="1">
      <alignment horizontal="center" vertical="center" shrinkToFit="1"/>
    </xf>
    <xf numFmtId="0" fontId="13" fillId="0" borderId="4" xfId="0" applyFont="1" applyBorder="1" applyAlignment="1" applyProtection="1">
      <alignment horizontal="center" vertical="center" shrinkToFit="1"/>
    </xf>
    <xf numFmtId="221" fontId="7" fillId="0" borderId="115" xfId="6" applyNumberFormat="1" applyFont="1" applyBorder="1" applyAlignment="1" applyProtection="1">
      <alignment horizontal="center" vertical="center" shrinkToFit="1"/>
    </xf>
    <xf numFmtId="0" fontId="6" fillId="0" borderId="17" xfId="0" applyFont="1" applyBorder="1" applyAlignment="1" applyProtection="1">
      <alignment horizontal="center" vertical="center" shrinkToFit="1"/>
    </xf>
    <xf numFmtId="209" fontId="7" fillId="0" borderId="110" xfId="6" applyNumberFormat="1" applyFont="1" applyBorder="1" applyAlignment="1" applyProtection="1">
      <alignment horizontal="center" vertical="center" shrinkToFit="1"/>
    </xf>
    <xf numFmtId="0" fontId="6" fillId="0" borderId="32" xfId="0" applyFont="1" applyBorder="1" applyAlignment="1" applyProtection="1">
      <alignment horizontal="center" vertical="center" shrinkToFit="1"/>
    </xf>
    <xf numFmtId="209" fontId="7" fillId="0" borderId="57" xfId="6" applyNumberFormat="1" applyFont="1" applyBorder="1" applyAlignment="1" applyProtection="1">
      <alignment horizontal="center" vertical="center" shrinkToFit="1"/>
    </xf>
    <xf numFmtId="0" fontId="6" fillId="0" borderId="8" xfId="0" applyFont="1" applyBorder="1" applyAlignment="1" applyProtection="1">
      <alignment horizontal="center" vertical="center" shrinkToFit="1"/>
    </xf>
    <xf numFmtId="221" fontId="7" fillId="0" borderId="105" xfId="6" applyNumberFormat="1" applyFont="1" applyBorder="1" applyAlignment="1" applyProtection="1">
      <alignment horizontal="center" vertical="center" shrinkToFit="1"/>
    </xf>
    <xf numFmtId="0" fontId="6" fillId="0" borderId="75" xfId="0" applyFont="1" applyBorder="1" applyAlignment="1" applyProtection="1">
      <alignment horizontal="center" vertical="center" shrinkToFit="1"/>
    </xf>
    <xf numFmtId="233" fontId="9" fillId="0" borderId="1" xfId="6" applyNumberFormat="1" applyFont="1" applyFill="1" applyBorder="1" applyAlignment="1" applyProtection="1">
      <alignment horizontal="right" vertical="center" shrinkToFit="1"/>
    </xf>
    <xf numFmtId="0" fontId="17" fillId="0" borderId="1" xfId="6" applyFont="1" applyBorder="1" applyAlignment="1" applyProtection="1">
      <alignment horizontal="left" vertical="center" shrinkToFit="1"/>
    </xf>
    <xf numFmtId="0" fontId="13" fillId="0" borderId="1" xfId="0" applyFont="1" applyBorder="1" applyAlignment="1" applyProtection="1">
      <alignment vertical="center" shrinkToFit="1"/>
    </xf>
    <xf numFmtId="0" fontId="17" fillId="0" borderId="141" xfId="0" applyFont="1" applyBorder="1" applyAlignment="1" applyProtection="1">
      <alignment horizontal="center" vertical="center" textRotation="255"/>
    </xf>
    <xf numFmtId="0" fontId="7" fillId="0" borderId="142" xfId="0" applyFont="1" applyBorder="1" applyAlignment="1" applyProtection="1">
      <alignment horizontal="center" vertical="center" textRotation="255"/>
    </xf>
    <xf numFmtId="0" fontId="7" fillId="0" borderId="93" xfId="6" applyFont="1" applyBorder="1" applyAlignment="1" applyProtection="1">
      <alignment horizontal="center" vertical="center" shrinkToFit="1"/>
    </xf>
    <xf numFmtId="0" fontId="6" fillId="0" borderId="21" xfId="0" applyFont="1" applyBorder="1" applyAlignment="1" applyProtection="1">
      <alignment horizontal="center" vertical="center" shrinkToFit="1"/>
    </xf>
    <xf numFmtId="0" fontId="6" fillId="0" borderId="94" xfId="0" applyFont="1" applyBorder="1" applyAlignment="1" applyProtection="1">
      <alignment horizontal="center" vertical="center" shrinkToFit="1"/>
    </xf>
    <xf numFmtId="0" fontId="6" fillId="0" borderId="0" xfId="0" applyFont="1" applyBorder="1" applyAlignment="1" applyProtection="1">
      <alignment horizontal="center" vertical="center" shrinkToFit="1"/>
    </xf>
    <xf numFmtId="0" fontId="6" fillId="0" borderId="117" xfId="0" applyFont="1" applyBorder="1" applyAlignment="1" applyProtection="1">
      <alignment horizontal="center" vertical="center" shrinkToFit="1"/>
    </xf>
    <xf numFmtId="0" fontId="6" fillId="0" borderId="5" xfId="0" applyFont="1" applyBorder="1" applyAlignment="1" applyProtection="1">
      <alignment horizontal="center" vertical="center" shrinkToFit="1"/>
    </xf>
    <xf numFmtId="218" fontId="7" fillId="11" borderId="111" xfId="0" applyNumberFormat="1" applyFont="1" applyFill="1" applyBorder="1" applyAlignment="1" applyProtection="1">
      <alignment horizontal="center" vertical="center" shrinkToFit="1"/>
    </xf>
    <xf numFmtId="0" fontId="6" fillId="0" borderId="43" xfId="0" applyFont="1" applyBorder="1" applyAlignment="1" applyProtection="1">
      <alignment horizontal="center" vertical="center" shrinkToFit="1"/>
    </xf>
    <xf numFmtId="0" fontId="17" fillId="0" borderId="148" xfId="0" applyFont="1" applyFill="1" applyBorder="1" applyAlignment="1" applyProtection="1">
      <alignment horizontal="center" vertical="center"/>
    </xf>
    <xf numFmtId="0" fontId="0" fillId="0" borderId="145" xfId="0" applyBorder="1" applyAlignment="1" applyProtection="1">
      <alignment horizontal="center" vertical="center"/>
    </xf>
    <xf numFmtId="0" fontId="0" fillId="0" borderId="149" xfId="0" applyBorder="1" applyAlignment="1" applyProtection="1">
      <alignment horizontal="center" vertical="center"/>
    </xf>
    <xf numFmtId="0" fontId="68" fillId="0" borderId="114" xfId="6" applyFont="1" applyBorder="1" applyAlignment="1" applyProtection="1">
      <alignment vertical="center" wrapText="1"/>
    </xf>
    <xf numFmtId="0" fontId="62" fillId="0" borderId="101" xfId="0" applyFont="1" applyBorder="1" applyAlignment="1" applyProtection="1">
      <alignment vertical="center" wrapText="1"/>
    </xf>
    <xf numFmtId="0" fontId="62" fillId="0" borderId="123" xfId="0" applyFont="1" applyBorder="1" applyAlignment="1" applyProtection="1">
      <alignment vertical="center" wrapText="1"/>
    </xf>
    <xf numFmtId="0" fontId="62" fillId="0" borderId="94" xfId="0" applyFont="1" applyBorder="1" applyAlignment="1" applyProtection="1">
      <alignment vertical="center" wrapText="1"/>
    </xf>
    <xf numFmtId="0" fontId="62" fillId="0" borderId="0" xfId="0" applyFont="1" applyBorder="1" applyAlignment="1" applyProtection="1">
      <alignment vertical="center" wrapText="1"/>
    </xf>
    <xf numFmtId="0" fontId="62" fillId="0" borderId="124" xfId="0" applyFont="1" applyBorder="1" applyAlignment="1" applyProtection="1">
      <alignment vertical="center" wrapText="1"/>
    </xf>
    <xf numFmtId="0" fontId="62" fillId="0" borderId="109" xfId="0" applyFont="1" applyBorder="1" applyAlignment="1" applyProtection="1">
      <alignment vertical="center" wrapText="1"/>
    </xf>
    <xf numFmtId="0" fontId="62" fillId="0" borderId="85" xfId="0" applyFont="1" applyBorder="1" applyAlignment="1" applyProtection="1">
      <alignment vertical="center" wrapText="1"/>
    </xf>
    <xf numFmtId="0" fontId="62" fillId="0" borderId="125" xfId="0" applyFont="1" applyBorder="1" applyAlignment="1" applyProtection="1">
      <alignment vertical="center" wrapText="1"/>
    </xf>
    <xf numFmtId="0" fontId="7" fillId="0" borderId="158" xfId="0" applyFont="1" applyBorder="1" applyAlignment="1" applyProtection="1">
      <alignment horizontal="center"/>
    </xf>
    <xf numFmtId="0" fontId="7" fillId="0" borderId="159" xfId="0" applyFont="1" applyBorder="1" applyAlignment="1" applyProtection="1">
      <alignment horizontal="center"/>
    </xf>
    <xf numFmtId="0" fontId="64" fillId="0" borderId="7" xfId="6" applyFont="1" applyBorder="1" applyAlignment="1" applyProtection="1">
      <alignment horizontal="center"/>
    </xf>
    <xf numFmtId="0" fontId="13" fillId="0" borderId="8" xfId="0" applyFont="1" applyBorder="1" applyAlignment="1" applyProtection="1"/>
    <xf numFmtId="0" fontId="13" fillId="0" borderId="6" xfId="0" applyFont="1" applyBorder="1" applyAlignment="1" applyProtection="1"/>
    <xf numFmtId="0" fontId="64" fillId="0" borderId="7" xfId="6" applyFont="1" applyBorder="1" applyAlignment="1" applyProtection="1">
      <alignment horizontal="center" vertical="center" wrapText="1"/>
    </xf>
    <xf numFmtId="0" fontId="13" fillId="0" borderId="8" xfId="0" applyFont="1" applyBorder="1" applyAlignment="1" applyProtection="1">
      <alignment vertical="center"/>
    </xf>
    <xf numFmtId="0" fontId="13" fillId="0" borderId="6" xfId="0" applyFont="1" applyBorder="1" applyAlignment="1" applyProtection="1">
      <alignment vertical="center"/>
    </xf>
    <xf numFmtId="0" fontId="13" fillId="0" borderId="7" xfId="0" applyFont="1" applyBorder="1" applyAlignment="1" applyProtection="1">
      <alignment vertical="center"/>
    </xf>
    <xf numFmtId="235" fontId="7" fillId="11" borderId="110" xfId="6" applyNumberFormat="1" applyFont="1" applyFill="1" applyBorder="1" applyAlignment="1" applyProtection="1">
      <alignment horizontal="center" vertical="center" shrinkToFit="1"/>
    </xf>
    <xf numFmtId="235" fontId="6" fillId="0" borderId="32" xfId="0" applyNumberFormat="1" applyFont="1" applyBorder="1" applyAlignment="1" applyProtection="1">
      <alignment horizontal="center" vertical="center" shrinkToFit="1"/>
    </xf>
    <xf numFmtId="235" fontId="7" fillId="11" borderId="115" xfId="6" applyNumberFormat="1" applyFont="1" applyFill="1" applyBorder="1" applyAlignment="1" applyProtection="1">
      <alignment horizontal="center" vertical="center" shrinkToFit="1"/>
    </xf>
    <xf numFmtId="235" fontId="6" fillId="0" borderId="17" xfId="0" applyNumberFormat="1" applyFont="1" applyBorder="1" applyAlignment="1" applyProtection="1">
      <alignment horizontal="center" vertical="center" shrinkToFit="1"/>
    </xf>
    <xf numFmtId="220" fontId="7" fillId="0" borderId="110" xfId="6" applyNumberFormat="1" applyFont="1" applyBorder="1" applyAlignment="1" applyProtection="1">
      <alignment horizontal="center" vertical="center" shrinkToFit="1"/>
    </xf>
    <xf numFmtId="237" fontId="7" fillId="11" borderId="111" xfId="6" applyNumberFormat="1" applyFont="1" applyFill="1" applyBorder="1" applyAlignment="1" applyProtection="1">
      <alignment horizontal="center" vertical="center" shrinkToFit="1"/>
    </xf>
    <xf numFmtId="237" fontId="6" fillId="0" borderId="43" xfId="0" applyNumberFormat="1" applyFont="1" applyBorder="1" applyAlignment="1" applyProtection="1">
      <alignment horizontal="center" vertical="center" shrinkToFit="1"/>
    </xf>
    <xf numFmtId="0" fontId="17" fillId="0" borderId="150" xfId="6" applyFont="1" applyBorder="1" applyAlignment="1" applyProtection="1">
      <alignment horizontal="center"/>
    </xf>
    <xf numFmtId="0" fontId="0" fillId="0" borderId="121" xfId="0" applyBorder="1" applyAlignment="1" applyProtection="1">
      <alignment horizontal="center"/>
    </xf>
    <xf numFmtId="183" fontId="61" fillId="0" borderId="93" xfId="6" applyNumberFormat="1" applyFont="1" applyBorder="1" applyAlignment="1" applyProtection="1">
      <alignment horizontal="center" vertical="center"/>
    </xf>
    <xf numFmtId="0" fontId="0" fillId="0" borderId="21" xfId="0" applyBorder="1" applyAlignment="1" applyProtection="1">
      <alignment horizontal="center" vertical="center"/>
    </xf>
    <xf numFmtId="0" fontId="0" fillId="0" borderId="94" xfId="0" applyBorder="1" applyAlignment="1" applyProtection="1">
      <alignment horizontal="center" vertical="center"/>
    </xf>
    <xf numFmtId="0" fontId="0" fillId="0" borderId="0" xfId="0" applyAlignment="1" applyProtection="1">
      <alignment horizontal="center" vertical="center"/>
    </xf>
    <xf numFmtId="0" fontId="0" fillId="0" borderId="95" xfId="0" applyBorder="1" applyAlignment="1" applyProtection="1">
      <alignment horizontal="center" vertical="center"/>
    </xf>
    <xf numFmtId="0" fontId="0" fillId="0" borderId="29" xfId="0" applyBorder="1" applyAlignment="1" applyProtection="1">
      <alignment horizontal="center" vertical="center"/>
    </xf>
    <xf numFmtId="0" fontId="17" fillId="0" borderId="135" xfId="0" applyFont="1" applyBorder="1" applyAlignment="1" applyProtection="1">
      <alignment horizontal="center"/>
    </xf>
    <xf numFmtId="0" fontId="7" fillId="0" borderId="136" xfId="0" applyFont="1" applyBorder="1" applyAlignment="1" applyProtection="1">
      <alignment horizontal="center"/>
    </xf>
    <xf numFmtId="183" fontId="18" fillId="0" borderId="151" xfId="0" applyNumberFormat="1" applyFont="1" applyBorder="1" applyAlignment="1" applyProtection="1">
      <alignment horizontal="center" vertical="center"/>
    </xf>
    <xf numFmtId="0" fontId="7" fillId="0" borderId="152" xfId="0" applyFont="1" applyBorder="1" applyAlignment="1" applyProtection="1">
      <alignment horizontal="center" vertical="center"/>
    </xf>
    <xf numFmtId="0" fontId="7" fillId="0" borderId="79" xfId="0" applyFont="1" applyBorder="1" applyAlignment="1" applyProtection="1">
      <alignment horizontal="center" vertical="center"/>
    </xf>
    <xf numFmtId="0" fontId="7" fillId="0" borderId="80" xfId="0" applyFont="1" applyBorder="1" applyAlignment="1" applyProtection="1">
      <alignment horizontal="center" vertical="center"/>
    </xf>
    <xf numFmtId="183" fontId="18" fillId="0" borderId="153" xfId="0" applyNumberFormat="1" applyFont="1" applyBorder="1" applyAlignment="1" applyProtection="1">
      <alignment horizontal="center" vertical="center"/>
    </xf>
    <xf numFmtId="0" fontId="7" fillId="0" borderId="154" xfId="0" applyFont="1" applyBorder="1" applyAlignment="1" applyProtection="1">
      <alignment horizontal="center" vertical="center"/>
    </xf>
    <xf numFmtId="0" fontId="7" fillId="0" borderId="81" xfId="0" applyFont="1" applyBorder="1" applyAlignment="1" applyProtection="1">
      <alignment horizontal="center" vertical="center"/>
    </xf>
    <xf numFmtId="0" fontId="7" fillId="0" borderId="83" xfId="0" applyFont="1" applyBorder="1" applyAlignment="1" applyProtection="1">
      <alignment horizontal="center" vertical="center"/>
    </xf>
    <xf numFmtId="0" fontId="13" fillId="0" borderId="1" xfId="0" applyFont="1" applyBorder="1" applyAlignment="1" applyProtection="1">
      <alignment vertical="center"/>
    </xf>
    <xf numFmtId="0" fontId="22" fillId="0" borderId="148" xfId="0" applyFont="1" applyFill="1" applyBorder="1" applyAlignment="1" applyProtection="1">
      <alignment horizontal="center" vertical="center"/>
    </xf>
    <xf numFmtId="0" fontId="46" fillId="0" borderId="145" xfId="0" applyFont="1" applyBorder="1" applyAlignment="1" applyProtection="1">
      <alignment horizontal="center" vertical="center"/>
    </xf>
    <xf numFmtId="0" fontId="46" fillId="0" borderId="149" xfId="0" applyFont="1" applyBorder="1" applyAlignment="1" applyProtection="1">
      <alignment horizontal="center" vertical="center"/>
    </xf>
    <xf numFmtId="0" fontId="9" fillId="0" borderId="8" xfId="0" applyFont="1" applyBorder="1" applyAlignment="1" applyProtection="1">
      <alignment horizontal="center" vertical="center"/>
    </xf>
    <xf numFmtId="0" fontId="36" fillId="0" borderId="8" xfId="0" applyFont="1" applyBorder="1" applyAlignment="1" applyProtection="1">
      <alignment horizontal="center" vertical="center"/>
    </xf>
    <xf numFmtId="0" fontId="17" fillId="0" borderId="32" xfId="0" applyFont="1" applyBorder="1" applyAlignment="1" applyProtection="1">
      <alignment horizontal="center" vertical="center" shrinkToFit="1"/>
    </xf>
    <xf numFmtId="0" fontId="17" fillId="0" borderId="2" xfId="6" applyFont="1" applyBorder="1" applyAlignment="1" applyProtection="1">
      <alignment horizontal="left" vertical="center" shrinkToFit="1"/>
    </xf>
    <xf numFmtId="0" fontId="13" fillId="0" borderId="2" xfId="0" applyFont="1" applyBorder="1" applyAlignment="1" applyProtection="1">
      <alignment vertical="center" shrinkToFit="1"/>
    </xf>
    <xf numFmtId="0" fontId="17" fillId="0" borderId="4" xfId="6" applyFont="1" applyBorder="1" applyAlignment="1" applyProtection="1">
      <alignment horizontal="left" vertical="center" shrinkToFit="1"/>
    </xf>
    <xf numFmtId="0" fontId="13" fillId="0" borderId="4" xfId="0" applyFont="1" applyBorder="1" applyAlignment="1" applyProtection="1">
      <alignment vertical="center" shrinkToFit="1"/>
    </xf>
    <xf numFmtId="0" fontId="17" fillId="0" borderId="2" xfId="6" applyFont="1" applyBorder="1" applyAlignment="1" applyProtection="1">
      <alignment horizontal="center" vertical="center" shrinkToFit="1"/>
    </xf>
    <xf numFmtId="0" fontId="17" fillId="0" borderId="73" xfId="6" applyFont="1" applyBorder="1" applyAlignment="1" applyProtection="1">
      <alignment horizontal="left" vertical="center" shrinkToFit="1"/>
    </xf>
    <xf numFmtId="0" fontId="13" fillId="0" borderId="73" xfId="0" applyFont="1" applyBorder="1" applyAlignment="1" applyProtection="1">
      <alignment vertical="center" shrinkToFit="1"/>
    </xf>
    <xf numFmtId="0" fontId="7" fillId="0" borderId="16" xfId="6" applyFont="1" applyBorder="1" applyAlignment="1" applyProtection="1">
      <alignment horizontal="center" vertical="center" wrapText="1"/>
    </xf>
    <xf numFmtId="0" fontId="7" fillId="0" borderId="17"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10" xfId="0" applyFont="1" applyBorder="1" applyAlignment="1" applyProtection="1">
      <alignment horizontal="center" vertical="center"/>
    </xf>
    <xf numFmtId="214" fontId="55" fillId="0" borderId="16" xfId="6" applyNumberFormat="1" applyFont="1" applyBorder="1" applyAlignment="1" applyProtection="1">
      <alignment horizontal="right" vertical="center"/>
    </xf>
    <xf numFmtId="214" fontId="0" fillId="0" borderId="17" xfId="0" applyNumberFormat="1" applyBorder="1" applyAlignment="1" applyProtection="1">
      <alignment horizontal="right" vertical="center"/>
    </xf>
    <xf numFmtId="214" fontId="0" fillId="0" borderId="18" xfId="0" applyNumberFormat="1" applyBorder="1" applyAlignment="1" applyProtection="1">
      <alignment horizontal="right" vertical="center"/>
    </xf>
    <xf numFmtId="214" fontId="0" fillId="0" borderId="19" xfId="0" applyNumberFormat="1" applyBorder="1" applyAlignment="1" applyProtection="1">
      <alignment horizontal="right" vertical="center"/>
    </xf>
    <xf numFmtId="214" fontId="0" fillId="0" borderId="5" xfId="0" applyNumberFormat="1" applyBorder="1" applyAlignment="1" applyProtection="1">
      <alignment horizontal="right" vertical="center"/>
    </xf>
    <xf numFmtId="214" fontId="0" fillId="0" borderId="10" xfId="0" applyNumberFormat="1" applyBorder="1" applyAlignment="1" applyProtection="1">
      <alignment horizontal="right" vertical="center"/>
    </xf>
    <xf numFmtId="0" fontId="55" fillId="9" borderId="1" xfId="6" applyFont="1" applyFill="1" applyBorder="1" applyAlignment="1" applyProtection="1">
      <alignment horizontal="left" vertical="center" wrapText="1"/>
      <protection locked="0"/>
    </xf>
    <xf numFmtId="0" fontId="0" fillId="9" borderId="1" xfId="0" applyFill="1" applyBorder="1" applyAlignment="1" applyProtection="1">
      <alignment horizontal="left" vertical="center" wrapText="1"/>
      <protection locked="0"/>
    </xf>
    <xf numFmtId="0" fontId="0" fillId="9" borderId="7" xfId="0" applyFill="1" applyBorder="1" applyAlignment="1" applyProtection="1">
      <alignment horizontal="left" vertical="center" wrapText="1"/>
      <protection locked="0"/>
    </xf>
    <xf numFmtId="0" fontId="7" fillId="0" borderId="160" xfId="0" applyFont="1" applyBorder="1" applyAlignment="1" applyProtection="1">
      <alignment horizontal="distributed" vertical="center" wrapText="1" shrinkToFit="1"/>
    </xf>
    <xf numFmtId="0" fontId="7" fillId="0" borderId="161" xfId="0" applyFont="1" applyBorder="1" applyAlignment="1" applyProtection="1">
      <alignment horizontal="distributed" vertical="center" wrapText="1" shrinkToFit="1"/>
    </xf>
    <xf numFmtId="214" fontId="55" fillId="0" borderId="17" xfId="6" applyNumberFormat="1" applyFont="1" applyBorder="1" applyAlignment="1" applyProtection="1">
      <alignment horizontal="right" vertical="center"/>
    </xf>
    <xf numFmtId="0" fontId="64" fillId="0" borderId="5" xfId="6" applyFont="1" applyBorder="1" applyAlignment="1" applyProtection="1">
      <alignment horizontal="left"/>
    </xf>
    <xf numFmtId="0" fontId="0" fillId="0" borderId="5" xfId="0" applyBorder="1" applyAlignment="1" applyProtection="1"/>
    <xf numFmtId="0" fontId="55" fillId="0" borderId="1" xfId="6" applyFont="1" applyBorder="1" applyAlignment="1" applyProtection="1">
      <alignment horizontal="center" vertical="center"/>
    </xf>
    <xf numFmtId="0" fontId="0" fillId="0" borderId="1" xfId="0" applyBorder="1" applyAlignment="1" applyProtection="1">
      <alignment horizontal="center" vertical="center"/>
    </xf>
    <xf numFmtId="0" fontId="55" fillId="0" borderId="1" xfId="6" applyFont="1" applyBorder="1" applyAlignment="1" applyProtection="1">
      <alignment horizontal="center"/>
    </xf>
    <xf numFmtId="0" fontId="0" fillId="0" borderId="2" xfId="0" applyBorder="1" applyAlignment="1" applyProtection="1">
      <alignment horizontal="center"/>
    </xf>
    <xf numFmtId="0" fontId="7" fillId="0" borderId="1" xfId="6" applyFont="1" applyBorder="1" applyAlignment="1" applyProtection="1">
      <alignment horizontal="center" vertical="center"/>
    </xf>
    <xf numFmtId="0" fontId="7" fillId="0" borderId="1" xfId="0" applyFont="1" applyBorder="1" applyAlignment="1" applyProtection="1">
      <alignment horizontal="center" vertical="center"/>
    </xf>
    <xf numFmtId="0" fontId="7" fillId="0" borderId="7" xfId="0" applyFont="1" applyBorder="1" applyAlignment="1" applyProtection="1">
      <alignment horizontal="center" vertical="center"/>
    </xf>
    <xf numFmtId="0" fontId="55" fillId="0" borderId="6" xfId="6" applyFont="1" applyBorder="1" applyAlignment="1" applyProtection="1">
      <alignment horizontal="center"/>
    </xf>
    <xf numFmtId="0" fontId="7" fillId="0" borderId="16" xfId="0" applyFont="1" applyBorder="1" applyAlignment="1" applyProtection="1">
      <alignment horizontal="center" vertical="center" wrapText="1"/>
    </xf>
    <xf numFmtId="0" fontId="7" fillId="0" borderId="16" xfId="6" applyFont="1" applyBorder="1" applyAlignment="1" applyProtection="1">
      <alignment horizontal="center" vertical="center"/>
    </xf>
    <xf numFmtId="216" fontId="55" fillId="0" borderId="16" xfId="6" applyNumberFormat="1" applyFont="1" applyBorder="1" applyAlignment="1" applyProtection="1">
      <alignment horizontal="right" vertical="center"/>
    </xf>
    <xf numFmtId="216" fontId="0" fillId="0" borderId="17" xfId="0" applyNumberFormat="1" applyBorder="1" applyAlignment="1" applyProtection="1">
      <alignment horizontal="right" vertical="center"/>
    </xf>
    <xf numFmtId="216" fontId="0" fillId="0" borderId="18" xfId="0" applyNumberFormat="1" applyBorder="1" applyAlignment="1" applyProtection="1">
      <alignment horizontal="right" vertical="center"/>
    </xf>
    <xf numFmtId="216" fontId="0" fillId="0" borderId="19" xfId="0" applyNumberFormat="1" applyBorder="1" applyAlignment="1" applyProtection="1">
      <alignment horizontal="right" vertical="center"/>
    </xf>
    <xf numFmtId="216" fontId="0" fillId="0" borderId="5" xfId="0" applyNumberFormat="1" applyBorder="1" applyAlignment="1" applyProtection="1">
      <alignment horizontal="right" vertical="center"/>
    </xf>
    <xf numFmtId="216" fontId="0" fillId="0" borderId="10" xfId="0" applyNumberFormat="1" applyBorder="1" applyAlignment="1" applyProtection="1">
      <alignment horizontal="right" vertical="center"/>
    </xf>
    <xf numFmtId="216" fontId="55" fillId="0" borderId="17" xfId="6" applyNumberFormat="1" applyFont="1" applyBorder="1" applyAlignment="1" applyProtection="1">
      <alignment horizontal="right" vertical="center"/>
    </xf>
    <xf numFmtId="0" fontId="7" fillId="0" borderId="16" xfId="0" applyFont="1" applyBorder="1" applyAlignment="1" applyProtection="1">
      <alignment horizontal="center" vertical="center"/>
    </xf>
    <xf numFmtId="217" fontId="55" fillId="0" borderId="16" xfId="6" applyNumberFormat="1" applyFont="1" applyBorder="1" applyAlignment="1" applyProtection="1">
      <alignment horizontal="right" vertical="center"/>
    </xf>
    <xf numFmtId="217" fontId="0" fillId="0" borderId="17" xfId="0" applyNumberFormat="1" applyBorder="1" applyAlignment="1" applyProtection="1">
      <alignment horizontal="right" vertical="center"/>
    </xf>
    <xf numFmtId="217" fontId="0" fillId="0" borderId="18" xfId="0" applyNumberFormat="1" applyBorder="1" applyAlignment="1" applyProtection="1">
      <alignment horizontal="right" vertical="center"/>
    </xf>
    <xf numFmtId="217" fontId="0" fillId="0" borderId="19" xfId="0" applyNumberFormat="1" applyBorder="1" applyAlignment="1" applyProtection="1">
      <alignment horizontal="right" vertical="center"/>
    </xf>
    <xf numFmtId="217" fontId="0" fillId="0" borderId="5" xfId="0" applyNumberFormat="1" applyBorder="1" applyAlignment="1" applyProtection="1">
      <alignment horizontal="right" vertical="center"/>
    </xf>
    <xf numFmtId="217" fontId="0" fillId="0" borderId="10" xfId="0" applyNumberFormat="1" applyBorder="1" applyAlignment="1" applyProtection="1">
      <alignment horizontal="right" vertical="center"/>
    </xf>
    <xf numFmtId="217" fontId="55" fillId="0" borderId="17" xfId="6" applyNumberFormat="1" applyFont="1" applyBorder="1" applyAlignment="1" applyProtection="1">
      <alignment horizontal="right" vertical="center"/>
    </xf>
    <xf numFmtId="0" fontId="55" fillId="0" borderId="8" xfId="6" applyFont="1" applyBorder="1" applyAlignment="1" applyProtection="1">
      <alignment horizontal="center"/>
    </xf>
    <xf numFmtId="0" fontId="0" fillId="0" borderId="8" xfId="0" applyBorder="1" applyAlignment="1" applyProtection="1">
      <alignment horizontal="center"/>
    </xf>
    <xf numFmtId="0" fontId="0" fillId="0" borderId="5" xfId="0" applyBorder="1" applyAlignment="1" applyProtection="1">
      <alignment horizontal="center"/>
    </xf>
    <xf numFmtId="0" fontId="7" fillId="0" borderId="162" xfId="0" applyFont="1" applyBorder="1" applyAlignment="1" applyProtection="1">
      <alignment horizontal="distributed" vertical="center" wrapText="1" shrinkToFit="1"/>
    </xf>
    <xf numFmtId="0" fontId="7" fillId="0" borderId="163" xfId="0" applyFont="1" applyBorder="1" applyAlignment="1" applyProtection="1">
      <alignment horizontal="distributed" vertical="center" wrapText="1" shrinkToFit="1"/>
    </xf>
    <xf numFmtId="0" fontId="9" fillId="0" borderId="16" xfId="6" applyFont="1" applyBorder="1" applyAlignment="1" applyProtection="1">
      <alignment horizontal="center"/>
    </xf>
    <xf numFmtId="0" fontId="9" fillId="0" borderId="17" xfId="0" applyFont="1" applyBorder="1" applyAlignment="1" applyProtection="1"/>
    <xf numFmtId="0" fontId="9" fillId="0" borderId="18" xfId="0" applyFont="1" applyBorder="1" applyAlignment="1" applyProtection="1"/>
    <xf numFmtId="0" fontId="36" fillId="0" borderId="19" xfId="0" applyFont="1" applyBorder="1" applyAlignment="1" applyProtection="1"/>
    <xf numFmtId="0" fontId="36" fillId="0" borderId="5" xfId="0" applyFont="1" applyBorder="1" applyAlignment="1" applyProtection="1"/>
    <xf numFmtId="0" fontId="36" fillId="0" borderId="10" xfId="0" applyFont="1" applyBorder="1" applyAlignment="1" applyProtection="1"/>
    <xf numFmtId="0" fontId="17" fillId="0" borderId="183" xfId="6" applyFont="1" applyBorder="1" applyAlignment="1" applyProtection="1">
      <alignment horizontal="center" vertical="center" textRotation="255"/>
    </xf>
    <xf numFmtId="0" fontId="13" fillId="0" borderId="184" xfId="0" applyFont="1" applyBorder="1" applyAlignment="1" applyProtection="1">
      <alignment horizontal="center" vertical="center" textRotation="255"/>
    </xf>
    <xf numFmtId="0" fontId="9" fillId="0" borderId="7" xfId="6" applyFont="1" applyBorder="1" applyAlignment="1" applyProtection="1">
      <alignment horizontal="center"/>
    </xf>
    <xf numFmtId="0" fontId="0" fillId="0" borderId="58" xfId="0" applyBorder="1" applyAlignment="1" applyProtection="1">
      <alignment horizontal="center"/>
    </xf>
    <xf numFmtId="0" fontId="9" fillId="0" borderId="1" xfId="6" applyFont="1" applyBorder="1" applyAlignment="1" applyProtection="1">
      <alignment horizontal="center"/>
    </xf>
    <xf numFmtId="0" fontId="9" fillId="0" borderId="1" xfId="0" applyFont="1" applyBorder="1" applyAlignment="1" applyProtection="1"/>
    <xf numFmtId="0" fontId="9" fillId="9" borderId="1" xfId="6" applyFont="1" applyFill="1" applyBorder="1" applyAlignment="1" applyProtection="1">
      <alignment horizontal="center"/>
      <protection locked="0"/>
    </xf>
    <xf numFmtId="0" fontId="9" fillId="9" borderId="1" xfId="0" applyFont="1" applyFill="1" applyBorder="1" applyAlignment="1" applyProtection="1">
      <protection locked="0"/>
    </xf>
    <xf numFmtId="0" fontId="9" fillId="9" borderId="7" xfId="0" applyFont="1" applyFill="1" applyBorder="1" applyAlignment="1" applyProtection="1">
      <protection locked="0"/>
    </xf>
    <xf numFmtId="0" fontId="17" fillId="0" borderId="108" xfId="6" applyFont="1" applyBorder="1" applyAlignment="1" applyProtection="1">
      <alignment horizontal="center" vertical="center"/>
    </xf>
    <xf numFmtId="0" fontId="13" fillId="0" borderId="119" xfId="0" applyFont="1" applyBorder="1" applyAlignment="1" applyProtection="1">
      <alignment horizontal="center" vertical="center"/>
    </xf>
    <xf numFmtId="0" fontId="17" fillId="0" borderId="120" xfId="6" applyFont="1" applyBorder="1" applyAlignment="1" applyProtection="1">
      <alignment horizontal="center"/>
    </xf>
    <xf numFmtId="0" fontId="13" fillId="0" borderId="121" xfId="0" applyFont="1" applyBorder="1" applyAlignment="1" applyProtection="1">
      <alignment horizontal="center"/>
    </xf>
    <xf numFmtId="0" fontId="13" fillId="0" borderId="122" xfId="0" applyFont="1" applyBorder="1" applyAlignment="1" applyProtection="1">
      <alignment horizontal="center"/>
    </xf>
    <xf numFmtId="0" fontId="17" fillId="0" borderId="93" xfId="6" applyFont="1" applyBorder="1" applyAlignment="1" applyProtection="1">
      <alignment horizontal="center"/>
    </xf>
    <xf numFmtId="0" fontId="13" fillId="0" borderId="21" xfId="0" applyFont="1" applyBorder="1" applyAlignment="1" applyProtection="1">
      <alignment horizontal="center"/>
    </xf>
    <xf numFmtId="0" fontId="13" fillId="0" borderId="22" xfId="0" applyFont="1" applyBorder="1" applyAlignment="1" applyProtection="1">
      <alignment horizontal="center"/>
    </xf>
    <xf numFmtId="0" fontId="17" fillId="0" borderId="7" xfId="6" applyFont="1" applyBorder="1" applyAlignment="1" applyProtection="1">
      <alignment horizontal="left" vertical="center" wrapText="1"/>
    </xf>
    <xf numFmtId="0" fontId="13" fillId="0" borderId="8" xfId="0" applyFont="1" applyBorder="1" applyAlignment="1" applyProtection="1">
      <alignment horizontal="left" vertical="center" wrapText="1"/>
    </xf>
    <xf numFmtId="0" fontId="13" fillId="0" borderId="6" xfId="0" applyFont="1" applyBorder="1" applyAlignment="1" applyProtection="1">
      <alignment horizontal="left" vertical="center" wrapText="1"/>
    </xf>
    <xf numFmtId="0" fontId="13" fillId="0" borderId="7" xfId="0" applyFont="1" applyBorder="1" applyAlignment="1" applyProtection="1">
      <alignment horizontal="left" vertical="center" wrapText="1"/>
    </xf>
    <xf numFmtId="0" fontId="13" fillId="0" borderId="8" xfId="0" applyFont="1" applyBorder="1" applyAlignment="1" applyProtection="1">
      <alignment horizontal="center" vertical="center"/>
    </xf>
    <xf numFmtId="0" fontId="13" fillId="0" borderId="6" xfId="0" applyFont="1" applyBorder="1" applyAlignment="1" applyProtection="1">
      <alignment horizontal="center" vertical="center"/>
    </xf>
    <xf numFmtId="0" fontId="17" fillId="0" borderId="70" xfId="6" applyFont="1" applyBorder="1" applyAlignment="1" applyProtection="1">
      <alignment horizontal="center" vertical="center" shrinkToFit="1"/>
    </xf>
    <xf numFmtId="0" fontId="0" fillId="0" borderId="13" xfId="0" applyBorder="1" applyAlignment="1" applyProtection="1">
      <alignment horizontal="center" vertical="center" shrinkToFit="1"/>
    </xf>
    <xf numFmtId="0" fontId="0" fillId="0" borderId="62" xfId="0" applyBorder="1" applyAlignment="1" applyProtection="1">
      <alignment horizontal="center" vertical="center" shrinkToFit="1"/>
    </xf>
    <xf numFmtId="0" fontId="0" fillId="0" borderId="1" xfId="0" applyBorder="1" applyAlignment="1" applyProtection="1">
      <alignment horizontal="center" vertical="center" shrinkToFit="1"/>
    </xf>
    <xf numFmtId="0" fontId="0" fillId="0" borderId="96" xfId="0" applyBorder="1" applyAlignment="1" applyProtection="1">
      <alignment horizontal="center" vertical="center" shrinkToFit="1"/>
    </xf>
    <xf numFmtId="0" fontId="0" fillId="0" borderId="73" xfId="0" applyBorder="1" applyAlignment="1" applyProtection="1">
      <alignment horizontal="center" vertical="center" shrinkToFit="1"/>
    </xf>
    <xf numFmtId="0" fontId="17" fillId="0" borderId="116" xfId="6" applyFont="1" applyBorder="1" applyAlignment="1" applyProtection="1">
      <alignment horizontal="center" vertical="center" shrinkToFit="1"/>
    </xf>
    <xf numFmtId="0" fontId="0" fillId="0" borderId="4" xfId="0" applyBorder="1" applyAlignment="1" applyProtection="1">
      <alignment horizontal="center" vertical="center" shrinkToFit="1"/>
    </xf>
    <xf numFmtId="0" fontId="0" fillId="0" borderId="64" xfId="0" applyBorder="1" applyAlignment="1" applyProtection="1">
      <alignment horizontal="center" vertical="center" shrinkToFit="1"/>
    </xf>
    <xf numFmtId="0" fontId="0" fillId="0" borderId="65" xfId="0" applyBorder="1" applyAlignment="1" applyProtection="1">
      <alignment horizontal="center" vertical="center" shrinkToFit="1"/>
    </xf>
    <xf numFmtId="183" fontId="17" fillId="9" borderId="102" xfId="6" applyNumberFormat="1" applyFont="1" applyFill="1" applyBorder="1" applyAlignment="1" applyProtection="1">
      <alignment horizontal="center" vertical="center" shrinkToFit="1"/>
      <protection locked="0"/>
    </xf>
    <xf numFmtId="183" fontId="0" fillId="0" borderId="101" xfId="0" applyNumberFormat="1" applyBorder="1" applyAlignment="1" applyProtection="1">
      <alignment horizontal="center" vertical="center" shrinkToFit="1"/>
      <protection locked="0"/>
    </xf>
    <xf numFmtId="183" fontId="0" fillId="0" borderId="103" xfId="0" applyNumberFormat="1" applyBorder="1" applyAlignment="1" applyProtection="1">
      <alignment horizontal="center" vertical="center" shrinkToFit="1"/>
      <protection locked="0"/>
    </xf>
    <xf numFmtId="0" fontId="0" fillId="0" borderId="60" xfId="0" applyBorder="1" applyAlignment="1" applyProtection="1">
      <alignment horizontal="center" vertical="center"/>
    </xf>
    <xf numFmtId="0" fontId="0" fillId="0" borderId="68" xfId="0" applyBorder="1" applyAlignment="1" applyProtection="1">
      <alignment horizontal="center" vertical="center"/>
    </xf>
    <xf numFmtId="0" fontId="0" fillId="0" borderId="2" xfId="0" applyBorder="1" applyAlignment="1" applyProtection="1">
      <alignment horizontal="center" vertical="center"/>
    </xf>
    <xf numFmtId="230" fontId="17" fillId="9" borderId="42" xfId="6" applyNumberFormat="1" applyFont="1" applyFill="1" applyBorder="1" applyAlignment="1" applyProtection="1">
      <alignment horizontal="center" vertical="center" shrinkToFit="1"/>
      <protection locked="0"/>
    </xf>
    <xf numFmtId="230" fontId="0" fillId="0" borderId="43" xfId="0" applyNumberFormat="1" applyBorder="1" applyAlignment="1" applyProtection="1">
      <alignment horizontal="center" vertical="center" shrinkToFit="1"/>
      <protection locked="0"/>
    </xf>
    <xf numFmtId="230" fontId="0" fillId="0" borderId="44" xfId="0" applyNumberFormat="1" applyBorder="1" applyAlignment="1" applyProtection="1">
      <alignment horizontal="center" vertical="center" shrinkToFit="1"/>
      <protection locked="0"/>
    </xf>
    <xf numFmtId="222" fontId="17" fillId="9" borderId="19" xfId="6" applyNumberFormat="1" applyFont="1" applyFill="1" applyBorder="1" applyAlignment="1" applyProtection="1">
      <alignment horizontal="center" vertical="center" shrinkToFit="1"/>
      <protection locked="0"/>
    </xf>
    <xf numFmtId="222" fontId="0" fillId="0" borderId="5" xfId="0" applyNumberFormat="1" applyBorder="1" applyAlignment="1" applyProtection="1">
      <alignment horizontal="center" vertical="center" shrinkToFit="1"/>
      <protection locked="0"/>
    </xf>
    <xf numFmtId="222" fontId="0" fillId="0" borderId="10" xfId="0" applyNumberFormat="1" applyBorder="1" applyAlignment="1" applyProtection="1">
      <alignment horizontal="center" vertical="center" shrinkToFit="1"/>
      <protection locked="0"/>
    </xf>
    <xf numFmtId="230" fontId="17" fillId="0" borderId="7" xfId="6" applyNumberFormat="1" applyFont="1" applyFill="1" applyBorder="1" applyAlignment="1" applyProtection="1">
      <alignment horizontal="center" vertical="center" shrinkToFit="1"/>
    </xf>
    <xf numFmtId="230" fontId="0" fillId="0" borderId="8" xfId="0" applyNumberFormat="1" applyFill="1" applyBorder="1" applyAlignment="1" applyProtection="1">
      <alignment horizontal="center" vertical="center" shrinkToFit="1"/>
    </xf>
    <xf numFmtId="230" fontId="0" fillId="0" borderId="6" xfId="0" applyNumberFormat="1" applyFill="1" applyBorder="1" applyAlignment="1" applyProtection="1">
      <alignment horizontal="center" vertical="center" shrinkToFit="1"/>
    </xf>
    <xf numFmtId="0" fontId="17" fillId="0" borderId="60" xfId="0" applyFont="1" applyBorder="1" applyAlignment="1" applyProtection="1">
      <alignment horizontal="center" vertical="center"/>
    </xf>
    <xf numFmtId="0" fontId="7" fillId="0" borderId="60" xfId="0" applyFont="1" applyBorder="1" applyAlignment="1" applyProtection="1">
      <alignment horizontal="center" vertical="center"/>
    </xf>
    <xf numFmtId="0" fontId="17" fillId="0" borderId="2" xfId="0" applyFont="1" applyBorder="1" applyAlignment="1" applyProtection="1">
      <alignment horizontal="center" vertical="center"/>
    </xf>
    <xf numFmtId="0" fontId="7" fillId="0" borderId="2" xfId="0" applyFont="1" applyBorder="1" applyAlignment="1" applyProtection="1">
      <alignment horizontal="center" vertical="center"/>
    </xf>
    <xf numFmtId="0" fontId="17" fillId="0" borderId="70" xfId="0" applyFont="1" applyBorder="1" applyAlignment="1" applyProtection="1">
      <alignment horizontal="center" vertical="center"/>
    </xf>
    <xf numFmtId="0" fontId="17" fillId="0" borderId="13" xfId="0" applyFont="1" applyBorder="1" applyAlignment="1" applyProtection="1">
      <alignment horizontal="center" vertical="center"/>
    </xf>
    <xf numFmtId="0" fontId="0" fillId="0" borderId="13" xfId="0" applyBorder="1" applyAlignment="1" applyProtection="1">
      <alignment horizontal="center" vertical="center"/>
    </xf>
    <xf numFmtId="0" fontId="17" fillId="0" borderId="96" xfId="0" applyFont="1" applyBorder="1" applyAlignment="1" applyProtection="1">
      <alignment horizontal="center" vertical="center"/>
    </xf>
    <xf numFmtId="0" fontId="17" fillId="0" borderId="73" xfId="0" applyFont="1" applyBorder="1" applyAlignment="1" applyProtection="1">
      <alignment horizontal="center" vertical="center"/>
    </xf>
    <xf numFmtId="0" fontId="0" fillId="0" borderId="73" xfId="0" applyBorder="1" applyAlignment="1" applyProtection="1">
      <alignment horizontal="center" vertical="center"/>
    </xf>
    <xf numFmtId="0" fontId="14" fillId="0" borderId="116" xfId="0" applyFont="1" applyBorder="1" applyAlignment="1" applyProtection="1">
      <alignment horizontal="center" vertical="center"/>
    </xf>
    <xf numFmtId="0" fontId="13" fillId="0" borderId="4" xfId="0" applyFont="1" applyBorder="1" applyAlignment="1" applyProtection="1">
      <alignment horizontal="center" vertical="center"/>
    </xf>
    <xf numFmtId="0" fontId="17" fillId="0" borderId="68" xfId="0" applyFont="1" applyBorder="1" applyAlignment="1" applyProtection="1">
      <alignment horizontal="center" vertical="center"/>
    </xf>
    <xf numFmtId="0" fontId="17" fillId="0" borderId="1" xfId="0" applyFont="1" applyBorder="1" applyAlignment="1" applyProtection="1">
      <alignment horizontal="center" vertical="center"/>
    </xf>
    <xf numFmtId="0" fontId="0" fillId="0" borderId="1" xfId="0" applyBorder="1" applyAlignment="1">
      <alignment horizontal="center" vertical="center"/>
    </xf>
    <xf numFmtId="0" fontId="17" fillId="0" borderId="4" xfId="0" applyFont="1" applyBorder="1" applyAlignment="1" applyProtection="1">
      <alignment horizontal="center" vertical="center"/>
    </xf>
    <xf numFmtId="241" fontId="17" fillId="0" borderId="106" xfId="0" applyNumberFormat="1" applyFont="1" applyBorder="1" applyAlignment="1" applyProtection="1">
      <alignment horizontal="center" vertical="center"/>
    </xf>
    <xf numFmtId="241" fontId="0" fillId="0" borderId="21" xfId="0" applyNumberFormat="1" applyBorder="1" applyAlignment="1" applyProtection="1">
      <alignment horizontal="center" vertical="center"/>
    </xf>
    <xf numFmtId="241" fontId="0" fillId="0" borderId="107" xfId="0" applyNumberFormat="1" applyBorder="1" applyAlignment="1" applyProtection="1">
      <alignment horizontal="center" vertical="center"/>
    </xf>
    <xf numFmtId="182" fontId="17" fillId="0" borderId="16" xfId="6" applyNumberFormat="1" applyFont="1" applyBorder="1" applyAlignment="1" applyProtection="1">
      <alignment horizontal="center" vertical="center"/>
    </xf>
    <xf numFmtId="0" fontId="0" fillId="0" borderId="17" xfId="0" applyBorder="1" applyAlignment="1" applyProtection="1">
      <alignment horizontal="center" vertical="center"/>
    </xf>
    <xf numFmtId="230" fontId="22" fillId="0" borderId="7" xfId="6" applyNumberFormat="1" applyFont="1" applyFill="1" applyBorder="1" applyAlignment="1" applyProtection="1">
      <alignment horizontal="center" vertical="center" shrinkToFit="1"/>
    </xf>
    <xf numFmtId="230" fontId="0" fillId="0" borderId="8" xfId="0" applyNumberFormat="1" applyBorder="1" applyAlignment="1" applyProtection="1">
      <alignment horizontal="center" vertical="center" shrinkToFit="1"/>
    </xf>
    <xf numFmtId="230" fontId="0" fillId="0" borderId="6" xfId="0" applyNumberFormat="1" applyBorder="1" applyAlignment="1" applyProtection="1">
      <alignment horizontal="center" vertical="center" shrinkToFit="1"/>
    </xf>
    <xf numFmtId="183" fontId="17" fillId="9" borderId="16" xfId="6" applyNumberFormat="1" applyFont="1" applyFill="1" applyBorder="1" applyAlignment="1" applyProtection="1">
      <alignment horizontal="center" vertical="center" shrinkToFit="1"/>
      <protection locked="0"/>
    </xf>
    <xf numFmtId="183" fontId="0" fillId="0" borderId="17" xfId="0" applyNumberFormat="1" applyBorder="1" applyAlignment="1" applyProtection="1">
      <alignment horizontal="center" vertical="center" shrinkToFit="1"/>
      <protection locked="0"/>
    </xf>
    <xf numFmtId="183" fontId="0" fillId="0" borderId="18" xfId="0" applyNumberFormat="1" applyBorder="1" applyAlignment="1" applyProtection="1">
      <alignment horizontal="center" vertical="center" shrinkToFit="1"/>
      <protection locked="0"/>
    </xf>
    <xf numFmtId="226" fontId="17" fillId="0" borderId="31" xfId="6" applyNumberFormat="1" applyFont="1" applyFill="1" applyBorder="1" applyAlignment="1" applyProtection="1">
      <alignment horizontal="center" vertical="center" shrinkToFit="1"/>
    </xf>
    <xf numFmtId="226" fontId="0" fillId="0" borderId="32" xfId="0" applyNumberFormat="1" applyBorder="1" applyAlignment="1" applyProtection="1">
      <alignment horizontal="center" vertical="center" shrinkToFit="1"/>
    </xf>
    <xf numFmtId="226" fontId="0" fillId="0" borderId="33" xfId="0" applyNumberFormat="1" applyBorder="1" applyAlignment="1" applyProtection="1">
      <alignment horizontal="center" vertical="center" shrinkToFit="1"/>
    </xf>
    <xf numFmtId="210" fontId="17" fillId="0" borderId="42" xfId="6" applyNumberFormat="1" applyFont="1" applyFill="1" applyBorder="1" applyAlignment="1" applyProtection="1">
      <alignment horizontal="center" vertical="center" shrinkToFit="1"/>
    </xf>
    <xf numFmtId="210" fontId="0" fillId="0" borderId="43" xfId="0" applyNumberFormat="1" applyBorder="1" applyAlignment="1" applyProtection="1">
      <alignment horizontal="center" vertical="center" shrinkToFit="1"/>
    </xf>
    <xf numFmtId="210" fontId="0" fillId="0" borderId="44" xfId="0" applyNumberFormat="1" applyBorder="1" applyAlignment="1" applyProtection="1">
      <alignment horizontal="center" vertical="center" shrinkToFit="1"/>
    </xf>
    <xf numFmtId="222" fontId="17" fillId="9" borderId="31" xfId="6" applyNumberFormat="1" applyFont="1" applyFill="1" applyBorder="1" applyAlignment="1" applyProtection="1">
      <alignment horizontal="center" vertical="center" shrinkToFit="1"/>
      <protection locked="0"/>
    </xf>
    <xf numFmtId="222" fontId="0" fillId="0" borderId="32" xfId="0" applyNumberFormat="1" applyBorder="1" applyAlignment="1" applyProtection="1">
      <alignment horizontal="center" vertical="center" shrinkToFit="1"/>
      <protection locked="0"/>
    </xf>
    <xf numFmtId="222" fontId="0" fillId="0" borderId="33" xfId="0" applyNumberFormat="1" applyBorder="1" applyAlignment="1" applyProtection="1">
      <alignment horizontal="center" vertical="center" shrinkToFit="1"/>
      <protection locked="0"/>
    </xf>
    <xf numFmtId="241" fontId="17" fillId="0" borderId="106" xfId="0" applyNumberFormat="1" applyFont="1" applyBorder="1" applyAlignment="1" applyProtection="1">
      <alignment horizontal="center" vertical="center" shrinkToFit="1"/>
    </xf>
    <xf numFmtId="241" fontId="0" fillId="0" borderId="21" xfId="0" applyNumberFormat="1" applyBorder="1" applyAlignment="1" applyProtection="1">
      <alignment horizontal="center" vertical="center" shrinkToFit="1"/>
    </xf>
    <xf numFmtId="241" fontId="0" fillId="0" borderId="107" xfId="0" applyNumberFormat="1" applyBorder="1" applyAlignment="1" applyProtection="1">
      <alignment horizontal="center" vertical="center" shrinkToFit="1"/>
    </xf>
    <xf numFmtId="229" fontId="17" fillId="9" borderId="91" xfId="6" applyNumberFormat="1" applyFont="1" applyFill="1" applyBorder="1" applyAlignment="1" applyProtection="1">
      <alignment horizontal="center" vertical="center" shrinkToFit="1"/>
      <protection locked="0"/>
    </xf>
    <xf numFmtId="229" fontId="0" fillId="0" borderId="75" xfId="0" applyNumberFormat="1" applyBorder="1" applyAlignment="1" applyProtection="1">
      <alignment horizontal="center" vertical="center" shrinkToFit="1"/>
      <protection locked="0"/>
    </xf>
    <xf numFmtId="229" fontId="0" fillId="0" borderId="92" xfId="0" applyNumberFormat="1" applyBorder="1" applyAlignment="1" applyProtection="1">
      <alignment horizontal="center" vertical="center" shrinkToFit="1"/>
      <protection locked="0"/>
    </xf>
    <xf numFmtId="237" fontId="17" fillId="0" borderId="110" xfId="6" applyNumberFormat="1" applyFont="1" applyBorder="1" applyAlignment="1" applyProtection="1">
      <alignment horizontal="center" vertical="center"/>
    </xf>
    <xf numFmtId="237" fontId="17" fillId="0" borderId="32" xfId="6" applyNumberFormat="1" applyFont="1" applyBorder="1" applyAlignment="1" applyProtection="1">
      <alignment horizontal="center" vertical="center"/>
    </xf>
    <xf numFmtId="237" fontId="13" fillId="0" borderId="32" xfId="0" applyNumberFormat="1" applyFont="1" applyBorder="1" applyAlignment="1" applyProtection="1">
      <alignment horizontal="center" vertical="center"/>
    </xf>
    <xf numFmtId="237" fontId="0" fillId="0" borderId="32" xfId="0" applyNumberFormat="1" applyBorder="1" applyAlignment="1" applyProtection="1">
      <alignment horizontal="center" vertical="center"/>
    </xf>
    <xf numFmtId="209" fontId="17" fillId="0" borderId="57" xfId="6" applyNumberFormat="1" applyFont="1" applyBorder="1" applyAlignment="1" applyProtection="1">
      <alignment horizontal="center" vertical="center"/>
    </xf>
    <xf numFmtId="209" fontId="17" fillId="0" borderId="8" xfId="6" applyNumberFormat="1" applyFont="1" applyBorder="1" applyAlignment="1" applyProtection="1">
      <alignment horizontal="center" vertical="center"/>
    </xf>
    <xf numFmtId="0" fontId="0" fillId="0" borderId="8" xfId="0" applyBorder="1" applyAlignment="1" applyProtection="1">
      <alignment horizontal="center" vertical="center"/>
    </xf>
    <xf numFmtId="221" fontId="17" fillId="0" borderId="111" xfId="6" applyNumberFormat="1" applyFont="1" applyFill="1" applyBorder="1" applyAlignment="1" applyProtection="1">
      <alignment horizontal="center" vertical="center"/>
    </xf>
    <xf numFmtId="221" fontId="13" fillId="0" borderId="43" xfId="0" applyNumberFormat="1" applyFont="1" applyFill="1" applyBorder="1" applyAlignment="1" applyProtection="1">
      <alignment horizontal="center" vertical="center"/>
    </xf>
    <xf numFmtId="0" fontId="13" fillId="0" borderId="43" xfId="0" applyFont="1" applyFill="1" applyBorder="1" applyAlignment="1" applyProtection="1">
      <alignment horizontal="center" vertical="center"/>
    </xf>
    <xf numFmtId="0" fontId="0" fillId="0" borderId="43" xfId="0" applyFill="1" applyBorder="1" applyAlignment="1" applyProtection="1">
      <alignment horizontal="center" vertical="center"/>
    </xf>
    <xf numFmtId="0" fontId="17" fillId="0" borderId="1" xfId="6" applyFont="1" applyFill="1" applyBorder="1" applyAlignment="1" applyProtection="1">
      <alignment horizontal="center" vertical="center" wrapText="1"/>
    </xf>
    <xf numFmtId="0" fontId="0" fillId="0" borderId="1" xfId="0" applyBorder="1" applyAlignment="1" applyProtection="1">
      <alignment horizontal="center" vertical="center" wrapText="1"/>
    </xf>
    <xf numFmtId="0" fontId="17" fillId="0" borderId="1" xfId="6" applyFont="1" applyFill="1" applyBorder="1" applyAlignment="1" applyProtection="1">
      <alignment horizontal="left" vertical="center" wrapText="1"/>
    </xf>
    <xf numFmtId="0" fontId="0" fillId="0" borderId="1" xfId="0" applyBorder="1" applyAlignment="1" applyProtection="1">
      <alignment horizontal="left" vertical="center" wrapText="1"/>
    </xf>
    <xf numFmtId="0" fontId="55" fillId="0" borderId="114" xfId="6" applyFont="1" applyBorder="1" applyAlignment="1" applyProtection="1">
      <alignment vertical="center" wrapText="1"/>
    </xf>
    <xf numFmtId="0" fontId="39" fillId="0" borderId="101" xfId="0" applyFont="1" applyBorder="1" applyAlignment="1" applyProtection="1">
      <alignment vertical="center" wrapText="1"/>
    </xf>
    <xf numFmtId="0" fontId="39" fillId="0" borderId="123" xfId="0" applyFont="1" applyBorder="1" applyAlignment="1" applyProtection="1">
      <alignment vertical="center" wrapText="1"/>
    </xf>
    <xf numFmtId="0" fontId="39" fillId="0" borderId="94" xfId="0" applyFont="1" applyBorder="1" applyAlignment="1" applyProtection="1">
      <alignment vertical="center" wrapText="1"/>
    </xf>
    <xf numFmtId="0" fontId="39" fillId="0" borderId="0" xfId="0" applyFont="1" applyBorder="1" applyAlignment="1" applyProtection="1">
      <alignment vertical="center" wrapText="1"/>
    </xf>
    <xf numFmtId="0" fontId="39" fillId="0" borderId="124" xfId="0" applyFont="1" applyBorder="1" applyAlignment="1" applyProtection="1">
      <alignment vertical="center" wrapText="1"/>
    </xf>
    <xf numFmtId="0" fontId="39" fillId="0" borderId="109" xfId="0" applyFont="1" applyBorder="1" applyAlignment="1" applyProtection="1">
      <alignment vertical="center" wrapText="1"/>
    </xf>
    <xf numFmtId="0" fontId="39" fillId="0" borderId="85" xfId="0" applyFont="1" applyBorder="1" applyAlignment="1" applyProtection="1">
      <alignment vertical="center" wrapText="1"/>
    </xf>
    <xf numFmtId="0" fontId="39" fillId="0" borderId="125" xfId="0" applyFont="1" applyBorder="1" applyAlignment="1" applyProtection="1">
      <alignment vertical="center" wrapText="1"/>
    </xf>
    <xf numFmtId="235" fontId="64" fillId="0" borderId="1" xfId="6" applyNumberFormat="1" applyFont="1" applyBorder="1" applyAlignment="1" applyProtection="1">
      <alignment horizontal="center" vertical="center" shrinkToFit="1"/>
    </xf>
    <xf numFmtId="235" fontId="66" fillId="0" borderId="1" xfId="0" applyNumberFormat="1" applyFont="1" applyBorder="1" applyAlignment="1" applyProtection="1">
      <alignment horizontal="center" vertical="center" shrinkToFit="1"/>
    </xf>
    <xf numFmtId="0" fontId="0" fillId="0" borderId="17" xfId="0" applyBorder="1" applyAlignment="1" applyProtection="1">
      <alignment vertical="center"/>
    </xf>
    <xf numFmtId="0" fontId="17" fillId="0" borderId="11" xfId="6" applyFont="1" applyBorder="1" applyAlignment="1" applyProtection="1">
      <alignment horizontal="center" vertical="center"/>
    </xf>
    <xf numFmtId="0" fontId="0" fillId="0" borderId="11" xfId="0" applyBorder="1" applyAlignment="1" applyProtection="1">
      <alignment vertical="center"/>
    </xf>
    <xf numFmtId="0" fontId="0" fillId="0" borderId="19" xfId="0" applyBorder="1" applyAlignment="1" applyProtection="1">
      <alignment vertical="center"/>
    </xf>
    <xf numFmtId="0" fontId="0" fillId="0" borderId="5" xfId="0" applyBorder="1" applyAlignment="1" applyProtection="1">
      <alignment vertical="center"/>
    </xf>
    <xf numFmtId="0" fontId="14" fillId="0" borderId="129" xfId="6" applyFont="1" applyBorder="1" applyAlignment="1" applyProtection="1">
      <alignment horizontal="center" vertical="center"/>
    </xf>
    <xf numFmtId="0" fontId="0" fillId="0" borderId="130" xfId="0" applyBorder="1" applyAlignment="1" applyProtection="1">
      <alignment horizontal="center" vertical="center"/>
    </xf>
    <xf numFmtId="0" fontId="0" fillId="0" borderId="131" xfId="0" applyBorder="1" applyAlignment="1" applyProtection="1">
      <alignment horizontal="center" vertical="center"/>
    </xf>
    <xf numFmtId="0" fontId="0" fillId="0" borderId="132" xfId="0" applyBorder="1" applyAlignment="1" applyProtection="1">
      <alignment horizontal="center" vertical="center"/>
    </xf>
    <xf numFmtId="0" fontId="0" fillId="0" borderId="133" xfId="0" applyBorder="1" applyAlignment="1" applyProtection="1">
      <alignment horizontal="center" vertical="center"/>
    </xf>
    <xf numFmtId="0" fontId="0" fillId="0" borderId="134" xfId="0" applyBorder="1" applyAlignment="1" applyProtection="1">
      <alignment horizontal="center" vertical="center"/>
    </xf>
    <xf numFmtId="0" fontId="17" fillId="0" borderId="135" xfId="6" applyFont="1" applyBorder="1" applyAlignment="1" applyProtection="1">
      <alignment horizontal="center" vertical="center"/>
    </xf>
    <xf numFmtId="0" fontId="17" fillId="0" borderId="136" xfId="0" applyFont="1" applyBorder="1" applyAlignment="1" applyProtection="1">
      <alignment horizontal="center" vertical="center"/>
    </xf>
    <xf numFmtId="0" fontId="17" fillId="0" borderId="137" xfId="6"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37" xfId="0" applyFont="1" applyBorder="1" applyAlignment="1" applyProtection="1">
      <alignment horizontal="center" vertical="center"/>
    </xf>
    <xf numFmtId="0" fontId="17" fillId="0" borderId="8" xfId="0" applyFont="1" applyBorder="1" applyAlignment="1" applyProtection="1">
      <alignment horizontal="center" vertical="center"/>
    </xf>
    <xf numFmtId="0" fontId="0" fillId="0" borderId="6" xfId="0" applyBorder="1" applyAlignment="1" applyProtection="1">
      <alignment horizontal="center" vertical="center"/>
    </xf>
    <xf numFmtId="0" fontId="17" fillId="0" borderId="4" xfId="6" applyFont="1" applyBorder="1" applyAlignment="1" applyProtection="1">
      <alignment horizontal="center" vertical="center"/>
    </xf>
    <xf numFmtId="183" fontId="18" fillId="0" borderId="76" xfId="0" applyNumberFormat="1" applyFont="1" applyBorder="1" applyAlignment="1" applyProtection="1">
      <alignment horizontal="center" vertical="center"/>
    </xf>
    <xf numFmtId="0" fontId="7" fillId="0" borderId="78" xfId="0" applyFont="1" applyBorder="1" applyAlignment="1" applyProtection="1">
      <alignment horizontal="center" vertical="center"/>
    </xf>
    <xf numFmtId="0" fontId="22" fillId="0" borderId="1" xfId="6" applyFont="1" applyFill="1" applyBorder="1" applyAlignment="1" applyProtection="1">
      <alignment horizontal="left" vertical="center"/>
    </xf>
    <xf numFmtId="0" fontId="0" fillId="0" borderId="1" xfId="0" applyBorder="1" applyAlignment="1" applyProtection="1">
      <alignment vertical="center"/>
    </xf>
    <xf numFmtId="0" fontId="22" fillId="0" borderId="7" xfId="6" applyFont="1" applyFill="1" applyBorder="1" applyAlignment="1" applyProtection="1">
      <alignment horizontal="left" vertical="center"/>
    </xf>
    <xf numFmtId="0" fontId="14" fillId="0" borderId="21" xfId="6" applyFont="1" applyBorder="1" applyAlignment="1" applyProtection="1">
      <alignment horizontal="right"/>
    </xf>
    <xf numFmtId="0" fontId="65" fillId="0" borderId="21" xfId="0" applyFont="1" applyBorder="1" applyAlignment="1" applyProtection="1">
      <alignment horizontal="right"/>
    </xf>
    <xf numFmtId="0" fontId="65" fillId="0" borderId="0" xfId="0" applyFont="1" applyBorder="1" applyAlignment="1" applyProtection="1">
      <alignment horizontal="right"/>
    </xf>
    <xf numFmtId="0" fontId="0" fillId="0" borderId="18" xfId="0" applyBorder="1" applyAlignment="1" applyProtection="1">
      <alignment vertical="center"/>
    </xf>
    <xf numFmtId="0" fontId="17" fillId="0" borderId="65" xfId="0" applyFont="1" applyBorder="1" applyAlignment="1" applyProtection="1">
      <alignment horizontal="center" vertical="center"/>
    </xf>
    <xf numFmtId="0" fontId="0" fillId="0" borderId="65" xfId="0" applyBorder="1" applyAlignment="1" applyProtection="1">
      <alignment horizontal="center" vertical="center"/>
    </xf>
    <xf numFmtId="0" fontId="17" fillId="0" borderId="89" xfId="6" applyFont="1" applyBorder="1" applyAlignment="1" applyProtection="1">
      <alignment horizontal="center" vertical="center"/>
    </xf>
    <xf numFmtId="0" fontId="6" fillId="0" borderId="8" xfId="0" applyFont="1" applyBorder="1" applyAlignment="1" applyProtection="1">
      <alignment horizontal="center" vertical="center"/>
    </xf>
    <xf numFmtId="0" fontId="55" fillId="0" borderId="8" xfId="6" applyFont="1" applyBorder="1" applyAlignment="1" applyProtection="1">
      <alignment horizontal="center" vertical="center"/>
    </xf>
    <xf numFmtId="0" fontId="39" fillId="0" borderId="8" xfId="0" applyFont="1" applyBorder="1" applyAlignment="1" applyProtection="1">
      <alignment horizontal="center" vertical="center"/>
    </xf>
    <xf numFmtId="0" fontId="39" fillId="0" borderId="8" xfId="0" applyFont="1" applyFill="1" applyBorder="1" applyAlignment="1" applyProtection="1">
      <alignment horizontal="center" vertical="center"/>
    </xf>
    <xf numFmtId="0" fontId="55" fillId="0" borderId="8" xfId="6" applyFont="1" applyFill="1" applyBorder="1" applyAlignment="1" applyProtection="1">
      <alignment horizontal="center" vertical="center"/>
    </xf>
    <xf numFmtId="0" fontId="55" fillId="0" borderId="75" xfId="6" applyFont="1" applyBorder="1" applyAlignment="1" applyProtection="1">
      <alignment horizontal="center" vertical="center"/>
    </xf>
    <xf numFmtId="0" fontId="17" fillId="0" borderId="188" xfId="6" applyFont="1" applyBorder="1" applyAlignment="1" applyProtection="1">
      <alignment horizontal="center" vertical="center" wrapText="1"/>
    </xf>
    <xf numFmtId="0" fontId="0" fillId="0" borderId="189" xfId="0" applyBorder="1" applyAlignment="1" applyProtection="1">
      <alignment horizontal="center" vertical="center"/>
    </xf>
    <xf numFmtId="182" fontId="17" fillId="0" borderId="186" xfId="0" applyNumberFormat="1" applyFont="1" applyFill="1" applyBorder="1" applyAlignment="1" applyProtection="1">
      <alignment horizontal="center" vertical="center"/>
    </xf>
    <xf numFmtId="0" fontId="7" fillId="0" borderId="180" xfId="0" applyFont="1" applyFill="1" applyBorder="1" applyAlignment="1" applyProtection="1">
      <alignment horizontal="center" vertical="center"/>
    </xf>
    <xf numFmtId="219" fontId="17" fillId="0" borderId="110" xfId="6" applyNumberFormat="1" applyFont="1" applyFill="1" applyBorder="1" applyAlignment="1" applyProtection="1">
      <alignment horizontal="center" vertical="center"/>
    </xf>
    <xf numFmtId="219" fontId="17" fillId="0" borderId="32" xfId="6" applyNumberFormat="1" applyFont="1" applyFill="1" applyBorder="1" applyAlignment="1" applyProtection="1">
      <alignment horizontal="center" vertical="center"/>
    </xf>
    <xf numFmtId="219" fontId="13" fillId="0" borderId="32" xfId="0" applyNumberFormat="1" applyFont="1" applyFill="1" applyBorder="1" applyAlignment="1" applyProtection="1">
      <alignment horizontal="center" vertical="center"/>
    </xf>
    <xf numFmtId="0" fontId="13" fillId="0" borderId="32" xfId="0" applyFont="1" applyFill="1" applyBorder="1" applyAlignment="1" applyProtection="1">
      <alignment horizontal="center" vertical="center"/>
    </xf>
    <xf numFmtId="0" fontId="0" fillId="0" borderId="32" xfId="0" applyFill="1" applyBorder="1" applyAlignment="1" applyProtection="1">
      <alignment horizontal="center" vertical="center"/>
    </xf>
    <xf numFmtId="219" fontId="17" fillId="0" borderId="111" xfId="6" applyNumberFormat="1" applyFont="1" applyFill="1" applyBorder="1" applyAlignment="1" applyProtection="1">
      <alignment horizontal="center" vertical="center"/>
    </xf>
    <xf numFmtId="219" fontId="17" fillId="0" borderId="43" xfId="6" applyNumberFormat="1" applyFont="1" applyFill="1" applyBorder="1" applyAlignment="1" applyProtection="1">
      <alignment horizontal="center" vertical="center"/>
    </xf>
    <xf numFmtId="219" fontId="13" fillId="0" borderId="43" xfId="0" applyNumberFormat="1" applyFont="1" applyFill="1" applyBorder="1" applyAlignment="1" applyProtection="1">
      <alignment horizontal="center" vertical="center"/>
    </xf>
    <xf numFmtId="227" fontId="17" fillId="0" borderId="110" xfId="6" applyNumberFormat="1" applyFont="1" applyFill="1" applyBorder="1" applyAlignment="1" applyProtection="1">
      <alignment horizontal="center" vertical="center"/>
    </xf>
    <xf numFmtId="227" fontId="17" fillId="0" borderId="32" xfId="6" applyNumberFormat="1" applyFont="1" applyFill="1" applyBorder="1" applyAlignment="1" applyProtection="1">
      <alignment horizontal="center" vertical="center"/>
    </xf>
    <xf numFmtId="227" fontId="13" fillId="0" borderId="32" xfId="0" applyNumberFormat="1" applyFont="1" applyFill="1" applyBorder="1" applyAlignment="1" applyProtection="1">
      <alignment horizontal="center" vertical="center"/>
    </xf>
    <xf numFmtId="227" fontId="0" fillId="0" borderId="32" xfId="0" applyNumberFormat="1" applyFill="1" applyBorder="1" applyAlignment="1" applyProtection="1">
      <alignment horizontal="center" vertical="center"/>
    </xf>
    <xf numFmtId="237" fontId="17" fillId="0" borderId="111" xfId="6" applyNumberFormat="1" applyFont="1" applyFill="1" applyBorder="1" applyAlignment="1" applyProtection="1">
      <alignment horizontal="center" vertical="center"/>
    </xf>
    <xf numFmtId="237" fontId="17" fillId="0" borderId="43" xfId="6" applyNumberFormat="1" applyFont="1" applyFill="1" applyBorder="1" applyAlignment="1" applyProtection="1">
      <alignment horizontal="center" vertical="center"/>
    </xf>
    <xf numFmtId="237" fontId="13" fillId="0" borderId="43" xfId="0" applyNumberFormat="1" applyFont="1" applyFill="1" applyBorder="1" applyAlignment="1" applyProtection="1">
      <alignment horizontal="center" vertical="center"/>
    </xf>
    <xf numFmtId="237" fontId="0" fillId="0" borderId="43" xfId="0" applyNumberFormat="1" applyFill="1" applyBorder="1" applyAlignment="1" applyProtection="1">
      <alignment horizontal="center" vertical="center"/>
    </xf>
    <xf numFmtId="228" fontId="17" fillId="0" borderId="111" xfId="6" applyNumberFormat="1" applyFont="1" applyFill="1" applyBorder="1" applyAlignment="1" applyProtection="1">
      <alignment horizontal="center" vertical="center"/>
    </xf>
    <xf numFmtId="228" fontId="13" fillId="0" borderId="43" xfId="0" applyNumberFormat="1" applyFont="1" applyFill="1" applyBorder="1" applyAlignment="1" applyProtection="1">
      <alignment horizontal="center" vertical="center"/>
    </xf>
    <xf numFmtId="228" fontId="0" fillId="0" borderId="43" xfId="0" applyNumberFormat="1" applyFill="1" applyBorder="1" applyAlignment="1" applyProtection="1">
      <alignment horizontal="center" vertical="center"/>
    </xf>
    <xf numFmtId="0" fontId="7" fillId="0" borderId="0" xfId="0" applyFont="1" applyBorder="1" applyAlignment="1" applyProtection="1">
      <alignment horizontal="right" vertical="center" shrinkToFit="1"/>
    </xf>
    <xf numFmtId="0" fontId="0" fillId="0" borderId="0" xfId="0" applyAlignment="1">
      <alignment horizontal="right" vertical="center" shrinkToFit="1"/>
    </xf>
    <xf numFmtId="0" fontId="22" fillId="0" borderId="6" xfId="0" applyFont="1" applyBorder="1" applyAlignment="1" applyProtection="1">
      <alignment horizontal="center" vertical="center" shrinkToFit="1"/>
    </xf>
    <xf numFmtId="0" fontId="17" fillId="0" borderId="1" xfId="0" applyFont="1" applyBorder="1" applyAlignment="1" applyProtection="1">
      <alignment vertical="center" shrinkToFit="1"/>
    </xf>
    <xf numFmtId="0" fontId="22" fillId="0" borderId="8" xfId="0" applyFont="1" applyBorder="1" applyAlignment="1" applyProtection="1">
      <alignment horizontal="center" vertical="center"/>
    </xf>
    <xf numFmtId="0" fontId="17" fillId="0" borderId="6" xfId="0" applyFont="1" applyBorder="1" applyAlignment="1" applyProtection="1">
      <alignment horizontal="center" vertical="center"/>
    </xf>
    <xf numFmtId="0" fontId="17" fillId="0" borderId="1" xfId="0" applyFont="1" applyFill="1" applyBorder="1" applyAlignment="1" applyProtection="1">
      <alignment horizontal="center" vertical="center" shrinkToFit="1"/>
    </xf>
    <xf numFmtId="0" fontId="17" fillId="0" borderId="1" xfId="0" applyFont="1" applyFill="1" applyBorder="1" applyAlignment="1" applyProtection="1">
      <alignment vertical="center" shrinkToFit="1"/>
    </xf>
    <xf numFmtId="0" fontId="18" fillId="0" borderId="0" xfId="0" applyFont="1" applyAlignment="1" applyProtection="1">
      <alignment horizontal="center" vertical="center" wrapText="1"/>
    </xf>
    <xf numFmtId="0" fontId="18" fillId="0" borderId="0" xfId="0" applyFont="1" applyAlignment="1" applyProtection="1">
      <alignment horizontal="center" vertical="center"/>
    </xf>
    <xf numFmtId="0" fontId="17" fillId="0" borderId="1" xfId="0" applyFont="1" applyFill="1" applyBorder="1" applyAlignment="1" applyProtection="1">
      <alignment horizontal="left" vertical="center" wrapText="1" shrinkToFit="1"/>
    </xf>
    <xf numFmtId="0" fontId="17" fillId="0" borderId="7" xfId="0" applyFont="1" applyBorder="1" applyAlignment="1" applyProtection="1">
      <alignment vertical="center" shrinkToFit="1"/>
    </xf>
    <xf numFmtId="0" fontId="7" fillId="0" borderId="8" xfId="0" applyFont="1" applyBorder="1" applyAlignment="1" applyProtection="1">
      <alignment vertical="center"/>
    </xf>
    <xf numFmtId="0" fontId="17" fillId="0" borderId="16" xfId="0" applyFont="1" applyFill="1" applyBorder="1" applyAlignment="1" applyProtection="1">
      <alignment horizontal="left" vertical="center" shrinkToFit="1"/>
    </xf>
    <xf numFmtId="0" fontId="17" fillId="0" borderId="17" xfId="0" applyFont="1" applyFill="1" applyBorder="1" applyAlignment="1" applyProtection="1">
      <alignment horizontal="left" vertical="center" shrinkToFit="1"/>
    </xf>
    <xf numFmtId="0" fontId="7" fillId="0" borderId="17" xfId="0" applyFont="1" applyBorder="1" applyAlignment="1" applyProtection="1">
      <alignment horizontal="left" vertical="center" shrinkToFit="1"/>
    </xf>
    <xf numFmtId="0" fontId="7" fillId="0" borderId="18" xfId="0" applyFont="1" applyBorder="1" applyAlignment="1" applyProtection="1">
      <alignment horizontal="left" vertical="center" shrinkToFit="1"/>
    </xf>
    <xf numFmtId="0" fontId="17" fillId="0" borderId="19" xfId="0" applyFont="1" applyFill="1" applyBorder="1" applyAlignment="1" applyProtection="1">
      <alignment horizontal="left" vertical="center" shrinkToFit="1"/>
    </xf>
    <xf numFmtId="0" fontId="17" fillId="0" borderId="5" xfId="0" applyFont="1" applyFill="1" applyBorder="1" applyAlignment="1" applyProtection="1">
      <alignment horizontal="left" vertical="center" shrinkToFit="1"/>
    </xf>
    <xf numFmtId="0" fontId="7" fillId="0" borderId="5" xfId="0" applyFont="1" applyBorder="1" applyAlignment="1" applyProtection="1">
      <alignment horizontal="left" vertical="center" shrinkToFit="1"/>
    </xf>
    <xf numFmtId="0" fontId="7" fillId="0" borderId="10" xfId="0" applyFont="1" applyBorder="1" applyAlignment="1" applyProtection="1">
      <alignment horizontal="left" vertical="center" shrinkToFit="1"/>
    </xf>
    <xf numFmtId="0" fontId="25" fillId="0" borderId="1" xfId="1" applyFont="1" applyFill="1" applyBorder="1" applyAlignment="1" applyProtection="1">
      <alignment vertical="center" shrinkToFit="1"/>
    </xf>
    <xf numFmtId="0" fontId="17" fillId="0" borderId="0" xfId="0" applyFont="1" applyAlignment="1" applyProtection="1">
      <alignment shrinkToFit="1"/>
    </xf>
    <xf numFmtId="0" fontId="7" fillId="0" borderId="0" xfId="0" applyFont="1" applyAlignment="1" applyProtection="1">
      <alignment shrinkToFit="1"/>
    </xf>
    <xf numFmtId="0" fontId="7" fillId="0" borderId="0" xfId="0" applyFont="1" applyAlignment="1" applyProtection="1"/>
    <xf numFmtId="0" fontId="17" fillId="0" borderId="1" xfId="0" applyFont="1" applyBorder="1" applyAlignment="1" applyProtection="1">
      <alignment horizontal="center" vertical="center" textRotation="255" shrinkToFit="1"/>
    </xf>
    <xf numFmtId="0" fontId="17" fillId="0" borderId="1" xfId="0" applyFont="1" applyBorder="1" applyAlignment="1" applyProtection="1">
      <alignment vertical="center"/>
    </xf>
    <xf numFmtId="0" fontId="22" fillId="0" borderId="7" xfId="0" applyFont="1" applyFill="1" applyBorder="1" applyAlignment="1" applyProtection="1">
      <alignment horizontal="left" vertical="center" shrinkToFit="1"/>
    </xf>
    <xf numFmtId="0" fontId="7" fillId="0" borderId="8" xfId="0" applyFont="1" applyFill="1" applyBorder="1" applyAlignment="1" applyProtection="1">
      <alignment horizontal="left" vertical="center" shrinkToFit="1"/>
    </xf>
    <xf numFmtId="0" fontId="7" fillId="0" borderId="6" xfId="0" applyFont="1" applyFill="1" applyBorder="1" applyAlignment="1" applyProtection="1">
      <alignment horizontal="left" vertical="center" shrinkToFit="1"/>
    </xf>
    <xf numFmtId="0" fontId="17" fillId="0" borderId="8" xfId="0" applyFont="1" applyBorder="1" applyAlignment="1" applyProtection="1">
      <alignment vertical="center"/>
    </xf>
    <xf numFmtId="0" fontId="22" fillId="0" borderId="8" xfId="0" applyFont="1" applyBorder="1" applyAlignment="1" applyProtection="1">
      <alignment horizontal="center" vertical="center" shrinkToFit="1"/>
    </xf>
    <xf numFmtId="0" fontId="17" fillId="0" borderId="8" xfId="0" applyFont="1" applyBorder="1" applyAlignment="1" applyProtection="1">
      <alignment horizontal="center" vertical="center" shrinkToFit="1"/>
    </xf>
    <xf numFmtId="0" fontId="17" fillId="0" borderId="6" xfId="0" applyFont="1" applyBorder="1" applyAlignment="1" applyProtection="1">
      <alignment horizontal="center" vertical="center" shrinkToFit="1"/>
    </xf>
    <xf numFmtId="0" fontId="17" fillId="0" borderId="8" xfId="0" applyFont="1" applyBorder="1" applyAlignment="1" applyProtection="1">
      <alignment vertical="center" shrinkToFit="1"/>
    </xf>
    <xf numFmtId="0" fontId="18" fillId="0" borderId="0" xfId="0" applyFont="1" applyAlignment="1" applyProtection="1">
      <alignment vertical="center"/>
    </xf>
    <xf numFmtId="0" fontId="37" fillId="0" borderId="0" xfId="0" applyFont="1" applyAlignment="1">
      <alignment vertical="center"/>
    </xf>
    <xf numFmtId="0" fontId="20" fillId="0" borderId="12" xfId="0" applyFont="1" applyBorder="1" applyAlignment="1" applyProtection="1">
      <alignment horizontal="center" vertical="center" wrapText="1"/>
    </xf>
    <xf numFmtId="0" fontId="20" fillId="0" borderId="21" xfId="0" applyFont="1" applyBorder="1" applyAlignment="1" applyProtection="1">
      <alignment horizontal="center" vertical="center"/>
    </xf>
    <xf numFmtId="0" fontId="20" fillId="0" borderId="22" xfId="0" applyFont="1" applyBorder="1" applyAlignment="1" applyProtection="1">
      <alignment horizontal="center" vertical="center"/>
    </xf>
    <xf numFmtId="0" fontId="20" fillId="0" borderId="23" xfId="0" applyFont="1" applyBorder="1" applyAlignment="1" applyProtection="1">
      <alignment horizontal="center" vertical="center"/>
    </xf>
    <xf numFmtId="0" fontId="20" fillId="0" borderId="0" xfId="0" applyFont="1" applyBorder="1" applyAlignment="1" applyProtection="1">
      <alignment horizontal="center" vertical="center"/>
    </xf>
    <xf numFmtId="0" fontId="20" fillId="0" borderId="24" xfId="0" applyFont="1" applyBorder="1" applyAlignment="1" applyProtection="1">
      <alignment horizontal="center" vertical="center"/>
    </xf>
    <xf numFmtId="0" fontId="20" fillId="0" borderId="28" xfId="0" applyFont="1" applyBorder="1" applyAlignment="1" applyProtection="1">
      <alignment horizontal="center" vertical="center"/>
    </xf>
    <xf numFmtId="0" fontId="20" fillId="0" borderId="29" xfId="0" applyFont="1" applyBorder="1" applyAlignment="1" applyProtection="1">
      <alignment horizontal="center" vertical="center"/>
    </xf>
    <xf numFmtId="0" fontId="20" fillId="0" borderId="30" xfId="0" applyFont="1" applyBorder="1" applyAlignment="1" applyProtection="1">
      <alignment horizontal="center" vertical="center"/>
    </xf>
    <xf numFmtId="0" fontId="14" fillId="0" borderId="17" xfId="0" applyFont="1" applyBorder="1" applyAlignment="1" applyProtection="1">
      <alignment horizontal="left" vertical="center"/>
    </xf>
    <xf numFmtId="0" fontId="10" fillId="0" borderId="0" xfId="0" applyFont="1" applyBorder="1" applyAlignment="1" applyProtection="1">
      <alignment horizontal="left" vertical="center"/>
    </xf>
    <xf numFmtId="0" fontId="17" fillId="0" borderId="7" xfId="0" applyFont="1" applyFill="1" applyBorder="1" applyAlignment="1" applyProtection="1">
      <alignment vertical="center" shrinkToFit="1"/>
    </xf>
    <xf numFmtId="0" fontId="17" fillId="0" borderId="8" xfId="0" applyFont="1" applyFill="1" applyBorder="1" applyAlignment="1" applyProtection="1">
      <alignment vertical="center" shrinkToFit="1"/>
    </xf>
    <xf numFmtId="0" fontId="17" fillId="0" borderId="6" xfId="0" applyFont="1" applyFill="1" applyBorder="1" applyAlignment="1" applyProtection="1">
      <alignment vertical="center" shrinkToFit="1"/>
    </xf>
    <xf numFmtId="0" fontId="22" fillId="0" borderId="8" xfId="0" applyFont="1" applyBorder="1" applyAlignment="1" applyProtection="1">
      <alignment vertical="center" shrinkToFit="1"/>
    </xf>
    <xf numFmtId="0" fontId="17" fillId="0" borderId="7" xfId="0" applyFont="1" applyFill="1" applyBorder="1" applyAlignment="1" applyProtection="1">
      <alignment horizontal="center" vertical="center"/>
    </xf>
    <xf numFmtId="0" fontId="17" fillId="0" borderId="6" xfId="0" applyFont="1" applyFill="1" applyBorder="1" applyAlignment="1" applyProtection="1">
      <alignment horizontal="center" vertical="center"/>
    </xf>
    <xf numFmtId="0" fontId="22" fillId="0" borderId="7"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16" xfId="0" applyFont="1" applyFill="1" applyBorder="1" applyAlignment="1" applyProtection="1">
      <alignment vertical="center" shrinkToFit="1"/>
    </xf>
    <xf numFmtId="0" fontId="17" fillId="0" borderId="17" xfId="0" applyFont="1" applyFill="1" applyBorder="1" applyAlignment="1" applyProtection="1">
      <alignment vertical="center"/>
    </xf>
    <xf numFmtId="0" fontId="17" fillId="0" borderId="7" xfId="0" applyFont="1" applyFill="1" applyBorder="1" applyAlignment="1" applyProtection="1">
      <alignment horizontal="left" vertical="center" shrinkToFit="1"/>
    </xf>
    <xf numFmtId="0" fontId="17" fillId="0" borderId="8" xfId="0" applyFont="1" applyFill="1" applyBorder="1" applyAlignment="1" applyProtection="1">
      <alignment horizontal="left" vertical="center" shrinkToFit="1"/>
    </xf>
    <xf numFmtId="192" fontId="40" fillId="0" borderId="0" xfId="0" applyNumberFormat="1" applyFont="1" applyBorder="1" applyAlignment="1">
      <alignment horizontal="right" vertical="center" shrinkToFit="1"/>
    </xf>
    <xf numFmtId="0" fontId="41" fillId="0" borderId="0" xfId="0" applyFont="1" applyAlignment="1">
      <alignment vertical="center" shrinkToFit="1"/>
    </xf>
    <xf numFmtId="0" fontId="40" fillId="0" borderId="0" xfId="0" applyFont="1" applyAlignment="1">
      <alignment vertical="center" wrapText="1" shrinkToFit="1"/>
    </xf>
    <xf numFmtId="0" fontId="41" fillId="0" borderId="0" xfId="0" applyFont="1" applyAlignment="1">
      <alignment vertical="center" wrapText="1" shrinkToFit="1"/>
    </xf>
    <xf numFmtId="0" fontId="42" fillId="0" borderId="0" xfId="0" applyFont="1" applyAlignment="1">
      <alignment horizontal="center" vertical="center"/>
    </xf>
    <xf numFmtId="0" fontId="43" fillId="0" borderId="0" xfId="0" applyFont="1" applyAlignment="1">
      <alignment horizontal="center" vertical="center"/>
    </xf>
    <xf numFmtId="0" fontId="40" fillId="0" borderId="0" xfId="0" applyFont="1" applyAlignment="1">
      <alignment vertical="center"/>
    </xf>
    <xf numFmtId="0" fontId="0" fillId="0" borderId="0" xfId="0" applyAlignment="1">
      <alignment vertical="center"/>
    </xf>
    <xf numFmtId="0" fontId="20" fillId="0" borderId="2" xfId="0" applyFont="1" applyBorder="1" applyAlignment="1">
      <alignment horizontal="center" vertical="center"/>
    </xf>
    <xf numFmtId="0" fontId="0" fillId="0" borderId="4" xfId="0" applyBorder="1" applyAlignment="1">
      <alignment horizontal="center" vertical="center"/>
    </xf>
    <xf numFmtId="0" fontId="20" fillId="0" borderId="2" xfId="0" applyFont="1" applyBorder="1" applyAlignment="1">
      <alignment horizontal="left" vertical="center" wrapText="1"/>
    </xf>
    <xf numFmtId="0" fontId="0" fillId="0" borderId="4" xfId="0" applyBorder="1" applyAlignment="1">
      <alignment vertical="center" wrapText="1"/>
    </xf>
    <xf numFmtId="0" fontId="40" fillId="0" borderId="1" xfId="0" applyFont="1" applyBorder="1" applyAlignment="1">
      <alignment horizontal="distributed" vertical="center"/>
    </xf>
    <xf numFmtId="0" fontId="0" fillId="0" borderId="1" xfId="0" applyBorder="1" applyAlignment="1">
      <alignment horizontal="distributed" vertical="center"/>
    </xf>
    <xf numFmtId="0" fontId="40" fillId="0" borderId="1" xfId="0" applyFont="1" applyBorder="1" applyAlignment="1">
      <alignment horizontal="center" vertical="center"/>
    </xf>
    <xf numFmtId="0" fontId="40" fillId="0" borderId="1" xfId="0" applyNumberFormat="1" applyFont="1" applyFill="1" applyBorder="1" applyAlignment="1" applyProtection="1">
      <alignment horizontal="center" vertical="center"/>
    </xf>
    <xf numFmtId="0" fontId="0" fillId="0" borderId="1" xfId="0" applyNumberFormat="1" applyFill="1" applyBorder="1" applyAlignment="1" applyProtection="1">
      <alignment horizontal="center" vertical="center"/>
    </xf>
    <xf numFmtId="0" fontId="40" fillId="0" borderId="0" xfId="0" applyFont="1" applyAlignment="1">
      <alignment vertical="center" wrapText="1"/>
    </xf>
    <xf numFmtId="0" fontId="0" fillId="0" borderId="0" xfId="0" applyAlignment="1">
      <alignment vertical="center" wrapText="1"/>
    </xf>
    <xf numFmtId="0" fontId="40" fillId="0" borderId="0" xfId="0" applyFont="1" applyAlignment="1">
      <alignment horizontal="center" vertical="center"/>
    </xf>
    <xf numFmtId="0" fontId="0" fillId="0" borderId="0" xfId="0" applyAlignment="1">
      <alignment horizontal="center" vertical="center"/>
    </xf>
    <xf numFmtId="0" fontId="40" fillId="0" borderId="0" xfId="0" applyFont="1" applyAlignment="1">
      <alignment horizontal="distributed" vertical="center" wrapText="1"/>
    </xf>
    <xf numFmtId="0" fontId="41" fillId="0" borderId="0" xfId="0" applyFont="1" applyAlignment="1">
      <alignment horizontal="distributed" vertical="center" wrapText="1"/>
    </xf>
    <xf numFmtId="0" fontId="18" fillId="0" borderId="94" xfId="0" applyFont="1" applyBorder="1" applyAlignment="1" applyProtection="1">
      <alignment vertical="center"/>
    </xf>
    <xf numFmtId="0" fontId="0" fillId="0" borderId="0" xfId="0" applyBorder="1" applyAlignment="1">
      <alignment vertical="center"/>
    </xf>
    <xf numFmtId="0" fontId="0" fillId="0" borderId="124" xfId="0" applyBorder="1" applyAlignment="1">
      <alignment vertical="center"/>
    </xf>
    <xf numFmtId="0" fontId="18" fillId="0" borderId="109" xfId="0" applyFont="1" applyBorder="1" applyAlignment="1" applyProtection="1">
      <alignment vertical="center"/>
    </xf>
    <xf numFmtId="0" fontId="0" fillId="0" borderId="85" xfId="0" applyBorder="1" applyAlignment="1">
      <alignment vertical="center"/>
    </xf>
    <xf numFmtId="0" fontId="0" fillId="0" borderId="125" xfId="0" applyBorder="1" applyAlignment="1">
      <alignment vertical="center"/>
    </xf>
    <xf numFmtId="0" fontId="18" fillId="0" borderId="126" xfId="0" applyFont="1" applyBorder="1" applyAlignment="1" applyProtection="1">
      <alignment vertical="center"/>
    </xf>
    <xf numFmtId="0" fontId="0" fillId="0" borderId="127" xfId="0" applyBorder="1" applyAlignment="1">
      <alignment vertical="center"/>
    </xf>
    <xf numFmtId="0" fontId="0" fillId="0" borderId="128" xfId="0" applyBorder="1" applyAlignment="1">
      <alignment vertical="center"/>
    </xf>
    <xf numFmtId="192" fontId="7" fillId="0" borderId="0" xfId="0" applyNumberFormat="1" applyFont="1" applyBorder="1" applyAlignment="1" applyProtection="1">
      <alignment horizontal="center" vertical="center" shrinkToFit="1"/>
    </xf>
    <xf numFmtId="0" fontId="0" fillId="0" borderId="0" xfId="0" applyAlignment="1" applyProtection="1">
      <alignment horizontal="center" vertical="center" shrinkToFit="1"/>
    </xf>
    <xf numFmtId="0" fontId="7" fillId="0" borderId="0" xfId="0" applyFont="1" applyAlignment="1" applyProtection="1">
      <alignment vertical="center" shrinkToFit="1"/>
    </xf>
    <xf numFmtId="0" fontId="0" fillId="0" borderId="0" xfId="0" applyAlignment="1" applyProtection="1">
      <alignment vertical="center" shrinkToFit="1"/>
    </xf>
    <xf numFmtId="185" fontId="7" fillId="0" borderId="0" xfId="0" applyNumberFormat="1" applyFont="1" applyAlignment="1" applyProtection="1">
      <alignment horizontal="distributed" vertical="top" shrinkToFit="1"/>
    </xf>
    <xf numFmtId="0" fontId="0" fillId="0" borderId="0" xfId="0" applyAlignment="1" applyProtection="1">
      <alignment horizontal="distributed" vertical="top" shrinkToFit="1"/>
    </xf>
    <xf numFmtId="0" fontId="0" fillId="0" borderId="0" xfId="0" applyAlignment="1" applyProtection="1">
      <alignment vertical="top" shrinkToFit="1"/>
    </xf>
    <xf numFmtId="187" fontId="7" fillId="0" borderId="0" xfId="0" applyNumberFormat="1" applyFont="1" applyAlignment="1" applyProtection="1">
      <alignment horizontal="distributed" vertical="top" shrinkToFit="1"/>
    </xf>
    <xf numFmtId="184" fontId="7" fillId="0" borderId="0" xfId="0" applyNumberFormat="1" applyFont="1" applyAlignment="1" applyProtection="1">
      <alignment horizontal="distributed" vertical="top" shrinkToFit="1"/>
    </xf>
    <xf numFmtId="0" fontId="7" fillId="0" borderId="0" xfId="0" applyFont="1" applyAlignment="1" applyProtection="1">
      <alignment horizontal="center" vertical="center"/>
    </xf>
    <xf numFmtId="0" fontId="7" fillId="0" borderId="0" xfId="0" applyFont="1" applyAlignment="1" applyProtection="1">
      <alignment vertical="center"/>
    </xf>
    <xf numFmtId="0" fontId="7" fillId="0" borderId="0" xfId="0" applyFont="1" applyAlignment="1" applyProtection="1">
      <alignment horizontal="left" vertical="center" wrapText="1"/>
    </xf>
    <xf numFmtId="0" fontId="7" fillId="0" borderId="0" xfId="0" applyFont="1" applyAlignment="1" applyProtection="1">
      <alignment vertical="center" wrapText="1"/>
    </xf>
    <xf numFmtId="0" fontId="7" fillId="0" borderId="0" xfId="0" applyFont="1" applyAlignment="1" applyProtection="1">
      <alignment horizontal="distributed" vertical="center" shrinkToFit="1"/>
    </xf>
    <xf numFmtId="185" fontId="8" fillId="0" borderId="0" xfId="0" applyNumberFormat="1" applyFont="1" applyAlignment="1" applyProtection="1">
      <alignment horizontal="left" vertical="top" wrapText="1"/>
    </xf>
    <xf numFmtId="0" fontId="29" fillId="0" borderId="0" xfId="0" applyFont="1" applyAlignment="1" applyProtection="1">
      <alignment horizontal="left" vertical="center"/>
    </xf>
    <xf numFmtId="0" fontId="0" fillId="0" borderId="0" xfId="0" applyAlignment="1" applyProtection="1">
      <alignment vertical="center" wrapText="1"/>
    </xf>
    <xf numFmtId="177" fontId="7" fillId="0" borderId="0" xfId="0" applyNumberFormat="1" applyFont="1" applyAlignment="1" applyProtection="1">
      <alignment horizontal="distributed" vertical="center"/>
    </xf>
    <xf numFmtId="0" fontId="7" fillId="0" borderId="0" xfId="0" applyFont="1" applyAlignment="1" applyProtection="1">
      <alignment horizontal="distributed" vertical="center"/>
    </xf>
    <xf numFmtId="0" fontId="0" fillId="0" borderId="0" xfId="0" applyAlignment="1" applyProtection="1">
      <alignment horizontal="distributed" vertical="center"/>
    </xf>
    <xf numFmtId="0" fontId="7" fillId="0" borderId="0" xfId="0" applyFont="1" applyAlignment="1" applyProtection="1">
      <alignment horizontal="left" vertical="distributed" wrapText="1"/>
    </xf>
    <xf numFmtId="0" fontId="8" fillId="0" borderId="0" xfId="0" applyFont="1" applyAlignment="1" applyProtection="1">
      <alignment horizontal="left" vertical="center" wrapText="1"/>
    </xf>
    <xf numFmtId="0" fontId="7" fillId="0" borderId="0" xfId="0" applyFont="1" applyAlignment="1" applyProtection="1">
      <alignment horizontal="left" vertical="top" wrapText="1"/>
    </xf>
    <xf numFmtId="0" fontId="7" fillId="0" borderId="0" xfId="0" applyFont="1" applyAlignment="1" applyProtection="1">
      <alignment vertical="top" wrapText="1"/>
    </xf>
    <xf numFmtId="0" fontId="7" fillId="0" borderId="0" xfId="0" applyFont="1" applyAlignment="1" applyProtection="1">
      <alignment horizontal="left" vertical="center"/>
    </xf>
    <xf numFmtId="0" fontId="7" fillId="0" borderId="0" xfId="0" applyFont="1" applyFill="1" applyAlignment="1" applyProtection="1">
      <alignment horizontal="left" vertical="center" shrinkToFit="1"/>
    </xf>
    <xf numFmtId="0" fontId="7" fillId="0" borderId="0" xfId="0" applyFont="1" applyAlignment="1" applyProtection="1">
      <alignment horizontal="left" vertical="center" shrinkToFit="1"/>
    </xf>
    <xf numFmtId="0" fontId="9" fillId="0" borderId="0" xfId="0" applyFont="1" applyAlignment="1" applyProtection="1">
      <alignment horizontal="distributed" shrinkToFit="1"/>
    </xf>
    <xf numFmtId="0" fontId="45" fillId="0" borderId="0" xfId="0" applyFont="1" applyAlignment="1" applyProtection="1">
      <alignment vertical="top" wrapText="1"/>
    </xf>
    <xf numFmtId="0" fontId="46" fillId="0" borderId="0" xfId="0" applyFont="1" applyAlignment="1" applyProtection="1">
      <alignment vertical="top" wrapText="1"/>
    </xf>
    <xf numFmtId="0" fontId="7" fillId="0" borderId="0" xfId="0" applyFont="1" applyAlignment="1" applyProtection="1">
      <alignment vertical="distributed" wrapText="1"/>
    </xf>
    <xf numFmtId="0" fontId="0" fillId="0" borderId="0" xfId="0" applyAlignment="1" applyProtection="1">
      <alignment vertical="distributed" wrapText="1"/>
    </xf>
    <xf numFmtId="0" fontId="0" fillId="0" borderId="0" xfId="0" applyBorder="1" applyAlignment="1" applyProtection="1">
      <alignment vertical="distributed" wrapText="1"/>
    </xf>
    <xf numFmtId="0" fontId="30" fillId="0" borderId="0" xfId="0" applyFont="1" applyBorder="1" applyAlignment="1" applyProtection="1">
      <alignment vertical="center" wrapText="1"/>
    </xf>
    <xf numFmtId="0" fontId="7" fillId="0" borderId="0" xfId="0" applyFont="1" applyAlignment="1" applyProtection="1">
      <alignment horizontal="left" vertical="center" indent="1"/>
    </xf>
    <xf numFmtId="0" fontId="7" fillId="0" borderId="0" xfId="0" applyFont="1" applyFill="1" applyAlignment="1" applyProtection="1">
      <alignment horizontal="left" vertical="center" indent="1" shrinkToFit="1"/>
    </xf>
    <xf numFmtId="194" fontId="17" fillId="0" borderId="0" xfId="0" applyNumberFormat="1" applyFont="1" applyBorder="1" applyAlignment="1" applyProtection="1">
      <alignment horizontal="right" vertical="center" shrinkToFit="1"/>
    </xf>
    <xf numFmtId="0" fontId="13" fillId="0" borderId="0" xfId="0" applyFont="1" applyAlignment="1">
      <alignment horizontal="right" vertical="center" shrinkToFit="1"/>
    </xf>
    <xf numFmtId="0" fontId="7" fillId="0" borderId="0" xfId="0" applyFont="1" applyBorder="1" applyAlignment="1" applyProtection="1">
      <alignment horizontal="center" vertical="center" shrinkToFit="1"/>
    </xf>
    <xf numFmtId="177" fontId="7" fillId="0" borderId="5" xfId="0" applyNumberFormat="1" applyFont="1" applyFill="1" applyBorder="1" applyAlignment="1" applyProtection="1">
      <alignment horizontal="center" vertical="center"/>
    </xf>
    <xf numFmtId="0" fontId="7" fillId="0" borderId="2" xfId="0" applyFont="1" applyBorder="1" applyAlignment="1" applyProtection="1">
      <alignment horizontal="left" vertical="center" wrapText="1"/>
    </xf>
    <xf numFmtId="0" fontId="7" fillId="0" borderId="4" xfId="0" applyFont="1" applyBorder="1" applyAlignment="1" applyProtection="1">
      <alignment horizontal="left" vertical="center" wrapText="1"/>
    </xf>
    <xf numFmtId="0" fontId="17" fillId="0" borderId="0" xfId="0" applyFont="1" applyAlignment="1" applyProtection="1">
      <alignment horizontal="right" vertical="center"/>
    </xf>
    <xf numFmtId="0" fontId="0" fillId="0" borderId="0" xfId="0" applyAlignment="1">
      <alignment horizontal="right" vertical="center"/>
    </xf>
    <xf numFmtId="0" fontId="17" fillId="6" borderId="7" xfId="0" applyFont="1" applyFill="1" applyBorder="1" applyAlignment="1" applyProtection="1">
      <alignment horizontal="center" vertical="center" wrapText="1"/>
    </xf>
    <xf numFmtId="0" fontId="17" fillId="6" borderId="8" xfId="0" applyFont="1" applyFill="1" applyBorder="1" applyAlignment="1" applyProtection="1">
      <alignment horizontal="center" vertical="center" wrapText="1"/>
    </xf>
    <xf numFmtId="0" fontId="17" fillId="6" borderId="8" xfId="0" applyFont="1" applyFill="1" applyBorder="1" applyAlignment="1" applyProtection="1">
      <alignment horizontal="center" vertical="center"/>
    </xf>
    <xf numFmtId="0" fontId="17" fillId="6" borderId="6" xfId="0" applyFont="1" applyFill="1" applyBorder="1" applyAlignment="1" applyProtection="1">
      <alignment horizontal="center" vertical="center"/>
    </xf>
    <xf numFmtId="0" fontId="17" fillId="6" borderId="7" xfId="0" applyFont="1" applyFill="1" applyBorder="1" applyAlignment="1" applyProtection="1">
      <alignment horizontal="center" vertical="center"/>
    </xf>
    <xf numFmtId="0" fontId="0" fillId="0" borderId="8" xfId="0" applyBorder="1" applyAlignment="1">
      <alignment horizontal="center" vertical="center"/>
    </xf>
    <xf numFmtId="0" fontId="0" fillId="0" borderId="6" xfId="0" applyBorder="1" applyAlignment="1">
      <alignment horizontal="center" vertical="center"/>
    </xf>
    <xf numFmtId="179" fontId="17" fillId="0" borderId="31" xfId="0" applyNumberFormat="1" applyFont="1" applyBorder="1" applyAlignment="1" applyProtection="1">
      <alignment vertical="center" shrinkToFit="1"/>
    </xf>
    <xf numFmtId="0" fontId="13" fillId="0" borderId="32" xfId="0" applyFont="1" applyBorder="1" applyAlignment="1" applyProtection="1">
      <alignment vertical="center" shrinkToFit="1"/>
    </xf>
    <xf numFmtId="0" fontId="13" fillId="0" borderId="33" xfId="0" applyFont="1" applyBorder="1" applyAlignment="1" applyProtection="1">
      <alignment vertical="center" shrinkToFit="1"/>
    </xf>
    <xf numFmtId="0" fontId="20" fillId="0" borderId="0" xfId="0" applyFont="1" applyAlignment="1" applyProtection="1">
      <alignment horizontal="center" vertical="center" wrapText="1"/>
    </xf>
    <xf numFmtId="0" fontId="20" fillId="0" borderId="0" xfId="0" applyFont="1" applyAlignment="1" applyProtection="1">
      <alignment horizontal="center" vertical="center"/>
    </xf>
    <xf numFmtId="0" fontId="17" fillId="6" borderId="1" xfId="0" applyFont="1" applyFill="1" applyBorder="1" applyAlignment="1" applyProtection="1">
      <alignment horizontal="center" vertical="center"/>
    </xf>
    <xf numFmtId="0" fontId="17" fillId="6" borderId="1" xfId="0" applyFont="1" applyFill="1" applyBorder="1" applyAlignment="1" applyProtection="1">
      <alignment horizontal="center" vertical="center" wrapText="1"/>
    </xf>
    <xf numFmtId="0" fontId="17" fillId="0" borderId="31" xfId="0" applyFont="1" applyFill="1" applyBorder="1" applyAlignment="1" applyProtection="1">
      <alignment horizontal="right" vertical="center"/>
    </xf>
    <xf numFmtId="0" fontId="0" fillId="0" borderId="32" xfId="0" applyBorder="1" applyAlignment="1">
      <alignment horizontal="right" vertical="center"/>
    </xf>
    <xf numFmtId="0" fontId="0" fillId="0" borderId="33" xfId="0" applyBorder="1" applyAlignment="1">
      <alignment horizontal="right" vertical="center"/>
    </xf>
    <xf numFmtId="203" fontId="7" fillId="0" borderId="2" xfId="0" applyNumberFormat="1" applyFont="1" applyBorder="1" applyAlignment="1" applyProtection="1">
      <alignment vertical="center" shrinkToFit="1"/>
    </xf>
    <xf numFmtId="203" fontId="0" fillId="0" borderId="4" xfId="0" applyNumberFormat="1" applyBorder="1" applyAlignment="1">
      <alignment vertical="center" shrinkToFit="1"/>
    </xf>
    <xf numFmtId="206" fontId="7" fillId="0" borderId="2" xfId="0" applyNumberFormat="1" applyFont="1" applyBorder="1" applyAlignment="1" applyProtection="1">
      <alignment vertical="center" shrinkToFit="1"/>
    </xf>
    <xf numFmtId="206" fontId="0" fillId="0" borderId="3" xfId="0" applyNumberFormat="1" applyBorder="1" applyAlignment="1">
      <alignment vertical="center" shrinkToFit="1"/>
    </xf>
    <xf numFmtId="206" fontId="0" fillId="0" borderId="4" xfId="0" applyNumberFormat="1" applyBorder="1" applyAlignment="1">
      <alignment vertical="center" shrinkToFit="1"/>
    </xf>
    <xf numFmtId="0" fontId="7" fillId="0" borderId="11" xfId="0" applyFont="1" applyBorder="1" applyAlignment="1" applyProtection="1">
      <alignment wrapText="1"/>
    </xf>
    <xf numFmtId="0" fontId="0" fillId="0" borderId="0" xfId="0" applyAlignment="1">
      <alignment wrapText="1"/>
    </xf>
    <xf numFmtId="0" fontId="0" fillId="0" borderId="0" xfId="0" applyAlignment="1"/>
    <xf numFmtId="0" fontId="0" fillId="0" borderId="11" xfId="0" applyBorder="1" applyAlignment="1">
      <alignment wrapText="1"/>
    </xf>
    <xf numFmtId="0" fontId="7" fillId="0" borderId="2" xfId="0" applyFont="1" applyBorder="1" applyAlignment="1" applyProtection="1">
      <alignment vertical="center" wrapText="1" shrinkToFit="1"/>
    </xf>
    <xf numFmtId="0" fontId="7" fillId="0" borderId="3" xfId="0" applyFont="1" applyBorder="1" applyAlignment="1" applyProtection="1">
      <alignment vertical="center" wrapText="1" shrinkToFit="1"/>
    </xf>
    <xf numFmtId="0" fontId="7" fillId="0" borderId="4" xfId="0" applyFont="1" applyBorder="1" applyAlignment="1" applyProtection="1">
      <alignment vertical="center" wrapText="1" shrinkToFit="1"/>
    </xf>
    <xf numFmtId="179" fontId="7" fillId="0" borderId="7" xfId="0" applyNumberFormat="1" applyFont="1" applyBorder="1" applyAlignment="1" applyProtection="1">
      <alignment horizontal="right" vertical="center" shrinkToFit="1"/>
    </xf>
    <xf numFmtId="0" fontId="0" fillId="0" borderId="6" xfId="0" applyBorder="1" applyAlignment="1" applyProtection="1">
      <alignment horizontal="right" vertical="center" shrinkToFit="1"/>
    </xf>
    <xf numFmtId="0" fontId="21" fillId="0" borderId="0" xfId="0" applyFont="1" applyAlignment="1" applyProtection="1">
      <alignment horizontal="left" vertical="center" wrapText="1"/>
    </xf>
    <xf numFmtId="0" fontId="6" fillId="0" borderId="0" xfId="0" applyFont="1" applyAlignment="1" applyProtection="1">
      <alignment horizontal="left" vertical="center" wrapText="1"/>
    </xf>
    <xf numFmtId="0" fontId="21" fillId="9" borderId="7" xfId="0" applyFont="1" applyFill="1" applyBorder="1" applyAlignment="1" applyProtection="1">
      <alignment horizontal="left" vertical="center" shrinkToFit="1"/>
      <protection locked="0"/>
    </xf>
    <xf numFmtId="0" fontId="6" fillId="9" borderId="8" xfId="0" applyFont="1" applyFill="1" applyBorder="1" applyAlignment="1" applyProtection="1">
      <alignment horizontal="left" vertical="center" shrinkToFit="1"/>
      <protection locked="0"/>
    </xf>
    <xf numFmtId="0" fontId="6" fillId="9" borderId="6" xfId="0" applyFont="1" applyFill="1" applyBorder="1" applyAlignment="1" applyProtection="1">
      <alignment horizontal="left" vertical="center" shrinkToFit="1"/>
      <protection locked="0"/>
    </xf>
    <xf numFmtId="0" fontId="7" fillId="0" borderId="1" xfId="0" applyFont="1" applyBorder="1" applyAlignment="1" applyProtection="1">
      <alignment horizontal="center" vertical="center" wrapText="1"/>
    </xf>
    <xf numFmtId="0" fontId="6" fillId="0" borderId="1" xfId="0" applyFont="1" applyBorder="1" applyAlignment="1" applyProtection="1">
      <alignment horizontal="center" vertical="center"/>
    </xf>
    <xf numFmtId="179" fontId="7" fillId="9" borderId="1" xfId="0" applyNumberFormat="1" applyFont="1" applyFill="1" applyBorder="1" applyAlignment="1" applyProtection="1">
      <alignment horizontal="right" vertical="center" wrapText="1"/>
      <protection locked="0"/>
    </xf>
    <xf numFmtId="179" fontId="6" fillId="9" borderId="1" xfId="0" applyNumberFormat="1" applyFont="1" applyFill="1" applyBorder="1" applyAlignment="1" applyProtection="1">
      <alignment horizontal="right" vertical="center"/>
      <protection locked="0"/>
    </xf>
    <xf numFmtId="195" fontId="7" fillId="0" borderId="1" xfId="0" applyNumberFormat="1" applyFont="1" applyBorder="1" applyAlignment="1" applyProtection="1">
      <alignment horizontal="right" vertical="center" wrapText="1"/>
    </xf>
    <xf numFmtId="195" fontId="6" fillId="0" borderId="1" xfId="0" applyNumberFormat="1" applyFont="1" applyBorder="1" applyAlignment="1" applyProtection="1">
      <alignment horizontal="right" vertical="center"/>
    </xf>
    <xf numFmtId="0" fontId="7" fillId="0" borderId="4" xfId="0" applyFont="1" applyBorder="1" applyAlignment="1" applyProtection="1">
      <alignment horizontal="center" vertical="center"/>
    </xf>
    <xf numFmtId="0" fontId="7" fillId="0" borderId="2" xfId="0" applyFont="1" applyBorder="1" applyAlignment="1" applyProtection="1">
      <alignment vertical="center" wrapText="1"/>
    </xf>
    <xf numFmtId="0" fontId="7" fillId="0" borderId="4" xfId="0" applyFont="1" applyBorder="1" applyAlignment="1" applyProtection="1">
      <alignment vertical="center" wrapText="1"/>
    </xf>
    <xf numFmtId="223" fontId="7" fillId="0" borderId="2" xfId="0" applyNumberFormat="1" applyFont="1" applyBorder="1" applyAlignment="1" applyProtection="1">
      <alignment vertical="center" shrinkToFit="1"/>
    </xf>
    <xf numFmtId="223" fontId="0" fillId="0" borderId="4" xfId="0" applyNumberFormat="1" applyBorder="1" applyAlignment="1" applyProtection="1">
      <alignment vertical="center" shrinkToFit="1"/>
    </xf>
    <xf numFmtId="225" fontId="7" fillId="0" borderId="2" xfId="0" applyNumberFormat="1" applyFont="1" applyBorder="1" applyAlignment="1" applyProtection="1">
      <alignment vertical="center" shrinkToFit="1"/>
    </xf>
    <xf numFmtId="225" fontId="0" fillId="0" borderId="3" xfId="0" applyNumberFormat="1" applyBorder="1" applyAlignment="1" applyProtection="1">
      <alignment vertical="center" shrinkToFit="1"/>
    </xf>
    <xf numFmtId="225" fontId="0" fillId="0" borderId="4" xfId="0" applyNumberFormat="1" applyBorder="1" applyAlignment="1" applyProtection="1">
      <alignment vertical="center" shrinkToFit="1"/>
    </xf>
    <xf numFmtId="0" fontId="7" fillId="0" borderId="2" xfId="0" applyFont="1" applyBorder="1" applyAlignment="1" applyProtection="1">
      <alignment vertical="center" shrinkToFit="1"/>
    </xf>
    <xf numFmtId="0" fontId="7" fillId="0" borderId="3" xfId="0" applyFont="1" applyBorder="1" applyAlignment="1" applyProtection="1">
      <alignment vertical="center" shrinkToFit="1"/>
    </xf>
    <xf numFmtId="0" fontId="7" fillId="0" borderId="4" xfId="0" applyFont="1" applyBorder="1" applyAlignment="1" applyProtection="1">
      <alignment vertical="center" shrinkToFit="1"/>
    </xf>
    <xf numFmtId="0" fontId="9" fillId="8" borderId="0" xfId="0" applyFont="1" applyFill="1" applyAlignment="1" applyProtection="1">
      <alignment horizontal="left" vertical="center"/>
    </xf>
    <xf numFmtId="0" fontId="9" fillId="8" borderId="0" xfId="0" applyFont="1" applyFill="1" applyBorder="1" applyAlignment="1" applyProtection="1">
      <alignment horizontal="left" vertical="center"/>
    </xf>
    <xf numFmtId="0" fontId="36" fillId="8" borderId="0" xfId="0" applyFont="1" applyFill="1" applyBorder="1" applyAlignment="1" applyProtection="1">
      <alignment horizontal="left" vertical="center"/>
    </xf>
    <xf numFmtId="0" fontId="7" fillId="0" borderId="11" xfId="0" applyFont="1" applyBorder="1" applyAlignment="1" applyProtection="1">
      <alignment vertical="center" wrapText="1"/>
    </xf>
    <xf numFmtId="0" fontId="7" fillId="0" borderId="0" xfId="0" applyFont="1" applyBorder="1" applyAlignment="1" applyProtection="1">
      <alignment vertical="center" wrapText="1"/>
    </xf>
    <xf numFmtId="203" fontId="0" fillId="0" borderId="4" xfId="0" applyNumberFormat="1" applyBorder="1" applyAlignment="1" applyProtection="1">
      <alignment vertical="center" shrinkToFit="1"/>
    </xf>
    <xf numFmtId="206" fontId="0" fillId="0" borderId="3" xfId="0" applyNumberFormat="1" applyBorder="1" applyAlignment="1" applyProtection="1">
      <alignment vertical="center" shrinkToFit="1"/>
    </xf>
    <xf numFmtId="206" fontId="0" fillId="0" borderId="4" xfId="0" applyNumberFormat="1" applyBorder="1" applyAlignment="1" applyProtection="1">
      <alignment vertical="center" shrinkToFit="1"/>
    </xf>
    <xf numFmtId="197" fontId="7" fillId="0" borderId="2" xfId="0" applyNumberFormat="1" applyFont="1" applyBorder="1" applyAlignment="1" applyProtection="1">
      <alignment vertical="center" shrinkToFit="1"/>
    </xf>
    <xf numFmtId="0" fontId="0" fillId="0" borderId="4" xfId="0" applyBorder="1" applyAlignment="1" applyProtection="1">
      <alignment vertical="center" shrinkToFit="1"/>
    </xf>
    <xf numFmtId="199" fontId="7" fillId="0" borderId="2" xfId="0" applyNumberFormat="1" applyFont="1" applyBorder="1" applyAlignment="1" applyProtection="1">
      <alignment vertical="center" shrinkToFit="1"/>
    </xf>
    <xf numFmtId="199" fontId="0" fillId="0" borderId="3" xfId="0" applyNumberFormat="1" applyBorder="1" applyAlignment="1" applyProtection="1">
      <alignment vertical="center" shrinkToFit="1"/>
    </xf>
    <xf numFmtId="199" fontId="0" fillId="0" borderId="4" xfId="0" applyNumberFormat="1" applyBorder="1" applyAlignment="1" applyProtection="1">
      <alignment vertical="center" shrinkToFit="1"/>
    </xf>
    <xf numFmtId="197" fontId="0" fillId="0" borderId="4" xfId="0" applyNumberFormat="1" applyBorder="1" applyAlignment="1" applyProtection="1">
      <alignment vertical="center" shrinkToFit="1"/>
    </xf>
    <xf numFmtId="0" fontId="8" fillId="2" borderId="2" xfId="0" applyFont="1" applyFill="1" applyBorder="1" applyAlignment="1" applyProtection="1">
      <alignment horizontal="center" vertical="center" shrinkToFit="1"/>
    </xf>
    <xf numFmtId="0" fontId="0" fillId="0" borderId="4" xfId="0" applyBorder="1" applyAlignment="1">
      <alignment horizontal="center" vertical="center" shrinkToFit="1"/>
    </xf>
    <xf numFmtId="0" fontId="8" fillId="2" borderId="16" xfId="0" applyFont="1" applyFill="1" applyBorder="1" applyAlignment="1" applyProtection="1">
      <alignment horizontal="center" vertical="center" shrinkToFit="1"/>
    </xf>
    <xf numFmtId="0" fontId="29" fillId="0" borderId="17" xfId="0" applyFont="1" applyBorder="1" applyAlignment="1" applyProtection="1">
      <alignment horizontal="center" vertical="center" shrinkToFit="1"/>
    </xf>
    <xf numFmtId="0" fontId="29" fillId="0" borderId="18" xfId="0" applyFont="1" applyBorder="1" applyAlignment="1" applyProtection="1">
      <alignment horizontal="center" vertical="center" shrinkToFit="1"/>
    </xf>
    <xf numFmtId="0" fontId="0" fillId="0" borderId="19" xfId="0" applyBorder="1" applyAlignment="1">
      <alignment horizontal="center" vertical="center" shrinkToFit="1"/>
    </xf>
    <xf numFmtId="0" fontId="0" fillId="0" borderId="5" xfId="0" applyBorder="1" applyAlignment="1">
      <alignment horizontal="center" vertical="center" shrinkToFit="1"/>
    </xf>
    <xf numFmtId="0" fontId="0" fillId="0" borderId="10" xfId="0" applyBorder="1" applyAlignment="1">
      <alignment horizontal="center" vertical="center" shrinkToFit="1"/>
    </xf>
    <xf numFmtId="0" fontId="8" fillId="2" borderId="7" xfId="0" applyFont="1" applyFill="1" applyBorder="1" applyAlignment="1" applyProtection="1">
      <alignment horizontal="center" vertical="center" shrinkToFit="1"/>
    </xf>
    <xf numFmtId="0" fontId="0" fillId="0" borderId="8" xfId="0" applyBorder="1" applyAlignment="1">
      <alignment horizontal="center" vertical="center" shrinkToFit="1"/>
    </xf>
    <xf numFmtId="0" fontId="0" fillId="0" borderId="6" xfId="0" applyBorder="1" applyAlignment="1">
      <alignment horizontal="center" vertical="center" shrinkToFit="1"/>
    </xf>
    <xf numFmtId="0" fontId="7" fillId="2" borderId="2" xfId="0" applyFont="1" applyFill="1" applyBorder="1" applyAlignment="1" applyProtection="1">
      <alignment horizontal="center" vertical="center"/>
    </xf>
    <xf numFmtId="0" fontId="7" fillId="0" borderId="0" xfId="0" applyFont="1" applyAlignment="1" applyProtection="1">
      <alignment horizontal="right" vertical="center" shrinkToFit="1"/>
    </xf>
    <xf numFmtId="0" fontId="7" fillId="0" borderId="3" xfId="0" applyFont="1" applyBorder="1" applyAlignment="1" applyProtection="1">
      <alignment horizontal="center" vertical="center"/>
    </xf>
    <xf numFmtId="0" fontId="0" fillId="0" borderId="3" xfId="0" applyBorder="1" applyAlignment="1">
      <alignment horizontal="center" vertical="center"/>
    </xf>
    <xf numFmtId="0" fontId="0" fillId="0" borderId="4" xfId="0" applyBorder="1" applyAlignment="1">
      <alignment vertical="center"/>
    </xf>
    <xf numFmtId="196" fontId="7" fillId="0" borderId="2" xfId="0" applyNumberFormat="1" applyFont="1" applyBorder="1" applyAlignment="1" applyProtection="1">
      <alignment horizontal="center" vertical="center"/>
    </xf>
    <xf numFmtId="196" fontId="0" fillId="0" borderId="4" xfId="0" applyNumberFormat="1" applyBorder="1" applyAlignment="1">
      <alignment horizontal="center" vertical="center"/>
    </xf>
    <xf numFmtId="0" fontId="7" fillId="0" borderId="7" xfId="0" applyFont="1" applyBorder="1" applyAlignment="1" applyProtection="1">
      <alignment horizontal="center" vertical="center" wrapText="1"/>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0" fillId="0" borderId="11" xfId="0" applyBorder="1" applyAlignment="1">
      <alignment vertical="center"/>
    </xf>
    <xf numFmtId="0" fontId="21" fillId="9" borderId="7" xfId="0" applyFont="1" applyFill="1" applyBorder="1" applyAlignment="1" applyProtection="1">
      <alignment horizontal="left" vertical="center" shrinkToFit="1"/>
    </xf>
    <xf numFmtId="0" fontId="46" fillId="9" borderId="8" xfId="0" applyFont="1" applyFill="1" applyBorder="1" applyAlignment="1" applyProtection="1">
      <alignment horizontal="left" vertical="center" shrinkToFit="1"/>
    </xf>
    <xf numFmtId="0" fontId="46" fillId="9" borderId="6" xfId="0" applyFont="1" applyFill="1" applyBorder="1" applyAlignment="1" applyProtection="1">
      <alignment horizontal="left" vertical="center" shrinkToFit="1"/>
    </xf>
    <xf numFmtId="179" fontId="7" fillId="9" borderId="7" xfId="0" applyNumberFormat="1" applyFont="1" applyFill="1" applyBorder="1" applyAlignment="1" applyProtection="1">
      <alignment horizontal="right" vertical="center" wrapText="1"/>
      <protection locked="0"/>
    </xf>
    <xf numFmtId="0" fontId="0" fillId="0" borderId="6" xfId="0" applyBorder="1" applyAlignment="1" applyProtection="1">
      <alignment vertical="center"/>
      <protection locked="0"/>
    </xf>
    <xf numFmtId="195" fontId="7" fillId="0" borderId="7" xfId="0" applyNumberFormat="1" applyFont="1" applyBorder="1" applyAlignment="1" applyProtection="1">
      <alignment horizontal="right" vertical="center" wrapText="1"/>
    </xf>
    <xf numFmtId="0" fontId="0" fillId="0" borderId="6" xfId="0" applyBorder="1" applyAlignment="1" applyProtection="1">
      <alignment vertical="center" wrapText="1"/>
    </xf>
    <xf numFmtId="0" fontId="7" fillId="0" borderId="0" xfId="0" applyFont="1" applyBorder="1" applyAlignment="1" applyProtection="1">
      <alignment vertical="center" shrinkToFit="1"/>
    </xf>
    <xf numFmtId="0" fontId="0" fillId="0" borderId="0" xfId="0" applyBorder="1" applyAlignment="1" applyProtection="1">
      <alignment vertical="center" shrinkToFit="1"/>
    </xf>
    <xf numFmtId="0" fontId="10" fillId="0" borderId="0" xfId="0" applyFont="1" applyBorder="1" applyAlignment="1" applyProtection="1">
      <alignment horizontal="left" vertical="center" shrinkToFit="1"/>
    </xf>
    <xf numFmtId="0" fontId="48" fillId="0" borderId="0" xfId="0" applyFont="1" applyAlignment="1" applyProtection="1">
      <alignment vertical="center" shrinkToFit="1"/>
    </xf>
    <xf numFmtId="0" fontId="0" fillId="0" borderId="0" xfId="0" applyAlignment="1">
      <alignment horizontal="left" vertical="center" wrapText="1"/>
    </xf>
    <xf numFmtId="0" fontId="0" fillId="0" borderId="1" xfId="0" applyBorder="1" applyAlignment="1">
      <alignment vertical="center"/>
    </xf>
    <xf numFmtId="0" fontId="7" fillId="0" borderId="1" xfId="0" applyFont="1" applyBorder="1" applyAlignment="1" applyProtection="1">
      <alignment vertical="center"/>
    </xf>
    <xf numFmtId="210" fontId="73" fillId="12" borderId="7" xfId="0" applyNumberFormat="1" applyFont="1" applyFill="1" applyBorder="1" applyAlignment="1">
      <alignment horizontal="center" vertical="center" shrinkToFit="1"/>
    </xf>
    <xf numFmtId="0" fontId="73" fillId="0" borderId="6" xfId="0" applyFont="1" applyBorder="1" applyAlignment="1">
      <alignment horizontal="center" vertical="center" shrinkToFit="1"/>
    </xf>
    <xf numFmtId="249" fontId="44" fillId="12" borderId="7" xfId="0" applyNumberFormat="1" applyFont="1" applyFill="1" applyBorder="1" applyAlignment="1">
      <alignment horizontal="right" vertical="center" shrinkToFit="1"/>
    </xf>
    <xf numFmtId="249" fontId="44" fillId="0" borderId="6" xfId="0" applyNumberFormat="1" applyFont="1" applyBorder="1" applyAlignment="1">
      <alignment horizontal="right" vertical="center" shrinkToFit="1"/>
    </xf>
    <xf numFmtId="204" fontId="71" fillId="0" borderId="4" xfId="0" applyNumberFormat="1" applyFont="1" applyBorder="1" applyAlignment="1">
      <alignment vertical="center" shrinkToFit="1"/>
    </xf>
    <xf numFmtId="204" fontId="46" fillId="0" borderId="4" xfId="0" applyNumberFormat="1" applyFont="1" applyBorder="1" applyAlignment="1">
      <alignment vertical="center" shrinkToFit="1"/>
    </xf>
    <xf numFmtId="198" fontId="71" fillId="0" borderId="4" xfId="0" applyNumberFormat="1" applyFont="1" applyBorder="1" applyAlignment="1">
      <alignment vertical="center" shrinkToFit="1"/>
    </xf>
    <xf numFmtId="198" fontId="46" fillId="0" borderId="4" xfId="0" applyNumberFormat="1" applyFont="1" applyBorder="1" applyAlignment="1">
      <alignment vertical="center" shrinkToFit="1"/>
    </xf>
    <xf numFmtId="241" fontId="71" fillId="0" borderId="2" xfId="0" applyNumberFormat="1" applyFont="1" applyBorder="1" applyAlignment="1">
      <alignment horizontal="center" vertical="center" shrinkToFit="1"/>
    </xf>
    <xf numFmtId="241" fontId="46" fillId="0" borderId="2" xfId="0" applyNumberFormat="1" applyFont="1" applyBorder="1" applyAlignment="1">
      <alignment horizontal="center" vertical="center" shrinkToFit="1"/>
    </xf>
    <xf numFmtId="246" fontId="71" fillId="0" borderId="1" xfId="0" applyNumberFormat="1" applyFont="1" applyBorder="1" applyAlignment="1">
      <alignment horizontal="right" vertical="center" shrinkToFit="1"/>
    </xf>
    <xf numFmtId="246" fontId="46" fillId="0" borderId="1" xfId="0" applyNumberFormat="1" applyFont="1" applyBorder="1" applyAlignment="1">
      <alignment horizontal="right" vertical="center" shrinkToFit="1"/>
    </xf>
    <xf numFmtId="14" fontId="71" fillId="0" borderId="2" xfId="0" applyNumberFormat="1" applyFont="1" applyBorder="1" applyAlignment="1">
      <alignment horizontal="center" vertical="center" shrinkToFit="1"/>
    </xf>
    <xf numFmtId="0" fontId="46" fillId="0" borderId="3" xfId="0" applyFont="1" applyBorder="1" applyAlignment="1">
      <alignment horizontal="center" vertical="center" shrinkToFit="1"/>
    </xf>
    <xf numFmtId="14" fontId="71" fillId="0" borderId="16" xfId="0" applyNumberFormat="1" applyFont="1" applyBorder="1" applyAlignment="1">
      <alignment horizontal="center" vertical="center" shrinkToFit="1"/>
    </xf>
    <xf numFmtId="0" fontId="46" fillId="0" borderId="18" xfId="0" applyFont="1" applyBorder="1" applyAlignment="1">
      <alignment horizontal="center" vertical="center" shrinkToFit="1"/>
    </xf>
    <xf numFmtId="0" fontId="46" fillId="0" borderId="11" xfId="0" applyFont="1" applyBorder="1" applyAlignment="1">
      <alignment horizontal="center" vertical="center" shrinkToFit="1"/>
    </xf>
    <xf numFmtId="0" fontId="46" fillId="0" borderId="9" xfId="0" applyFont="1" applyBorder="1" applyAlignment="1">
      <alignment horizontal="center" vertical="center" shrinkToFit="1"/>
    </xf>
    <xf numFmtId="197" fontId="71" fillId="0" borderId="1" xfId="0" applyNumberFormat="1" applyFont="1" applyBorder="1" applyAlignment="1">
      <alignment horizontal="right" vertical="center" shrinkToFit="1"/>
    </xf>
    <xf numFmtId="197" fontId="46" fillId="0" borderId="1" xfId="0" applyNumberFormat="1" applyFont="1" applyBorder="1" applyAlignment="1">
      <alignment horizontal="right" vertical="center" shrinkToFit="1"/>
    </xf>
    <xf numFmtId="211" fontId="71" fillId="8" borderId="1" xfId="0" applyNumberFormat="1" applyFont="1" applyFill="1" applyBorder="1" applyAlignment="1">
      <alignment vertical="center" shrinkToFit="1"/>
    </xf>
    <xf numFmtId="0" fontId="0" fillId="0" borderId="1" xfId="0" applyBorder="1" applyAlignment="1">
      <alignment vertical="center" shrinkToFit="1"/>
    </xf>
    <xf numFmtId="247" fontId="44" fillId="13" borderId="7" xfId="0" applyNumberFormat="1" applyFont="1" applyFill="1" applyBorder="1" applyAlignment="1">
      <alignment vertical="center" shrinkToFit="1"/>
    </xf>
    <xf numFmtId="247" fontId="48" fillId="13" borderId="6" xfId="0" applyNumberFormat="1" applyFont="1" applyFill="1" applyBorder="1" applyAlignment="1">
      <alignment vertical="center" shrinkToFit="1"/>
    </xf>
    <xf numFmtId="247" fontId="44" fillId="12" borderId="7" xfId="0" applyNumberFormat="1" applyFont="1" applyFill="1" applyBorder="1" applyAlignment="1">
      <alignment vertical="center" shrinkToFit="1"/>
    </xf>
    <xf numFmtId="247" fontId="48" fillId="12" borderId="6" xfId="0" applyNumberFormat="1" applyFont="1" applyFill="1" applyBorder="1" applyAlignment="1">
      <alignment vertical="center" shrinkToFit="1"/>
    </xf>
    <xf numFmtId="0" fontId="71" fillId="0" borderId="1" xfId="0" applyFont="1" applyBorder="1" applyAlignment="1">
      <alignment vertical="center" shrinkToFit="1"/>
    </xf>
    <xf numFmtId="0" fontId="71" fillId="0" borderId="7" xfId="0" applyFont="1" applyBorder="1" applyAlignment="1">
      <alignment horizontal="center" vertical="center" shrinkToFit="1"/>
    </xf>
    <xf numFmtId="0" fontId="71" fillId="0" borderId="6" xfId="0" applyFont="1" applyBorder="1" applyAlignment="1">
      <alignment horizontal="center" vertical="center" shrinkToFit="1"/>
    </xf>
    <xf numFmtId="210" fontId="71" fillId="0" borderId="7" xfId="0" applyNumberFormat="1" applyFont="1" applyBorder="1" applyAlignment="1">
      <alignment vertical="center" shrinkToFit="1"/>
    </xf>
    <xf numFmtId="210" fontId="71" fillId="0" borderId="6" xfId="0" applyNumberFormat="1" applyFont="1" applyBorder="1" applyAlignment="1">
      <alignment vertical="center" shrinkToFit="1"/>
    </xf>
    <xf numFmtId="0" fontId="71" fillId="0" borderId="0" xfId="0" applyFont="1" applyAlignment="1">
      <alignment vertical="center" shrinkToFit="1"/>
    </xf>
    <xf numFmtId="0" fontId="0" fillId="0" borderId="0" xfId="0" applyAlignment="1">
      <alignment vertical="center" shrinkToFit="1"/>
    </xf>
    <xf numFmtId="211" fontId="71" fillId="9" borderId="1" xfId="0" applyNumberFormat="1" applyFont="1" applyFill="1" applyBorder="1" applyAlignment="1">
      <alignment vertical="center" shrinkToFit="1"/>
    </xf>
    <xf numFmtId="247" fontId="71" fillId="13" borderId="1" xfId="0" applyNumberFormat="1" applyFont="1" applyFill="1" applyBorder="1" applyAlignment="1">
      <alignment vertical="center" shrinkToFit="1"/>
    </xf>
    <xf numFmtId="241" fontId="71" fillId="0" borderId="7" xfId="0" applyNumberFormat="1" applyFont="1" applyBorder="1" applyAlignment="1">
      <alignment horizontal="center" vertical="center" shrinkToFit="1"/>
    </xf>
    <xf numFmtId="241" fontId="71" fillId="0" borderId="6" xfId="0" applyNumberFormat="1" applyFont="1" applyBorder="1" applyAlignment="1">
      <alignment horizontal="center" vertical="center" shrinkToFit="1"/>
    </xf>
    <xf numFmtId="0" fontId="8" fillId="0" borderId="1" xfId="6" applyFont="1" applyBorder="1" applyAlignment="1">
      <alignment horizontal="distributed" vertical="center" shrinkToFit="1"/>
    </xf>
    <xf numFmtId="0" fontId="29" fillId="0" borderId="1" xfId="6" applyFont="1" applyBorder="1" applyAlignment="1">
      <alignment horizontal="distributed" vertical="center" shrinkToFit="1"/>
    </xf>
    <xf numFmtId="0" fontId="8" fillId="9" borderId="1" xfId="6" applyFont="1" applyFill="1" applyBorder="1" applyAlignment="1" applyProtection="1">
      <alignment horizontal="distributed" vertical="center" shrinkToFit="1"/>
      <protection locked="0"/>
    </xf>
    <xf numFmtId="0" fontId="29" fillId="9" borderId="1" xfId="6" applyFont="1" applyFill="1" applyBorder="1" applyAlignment="1" applyProtection="1">
      <alignment horizontal="distributed" vertical="center" shrinkToFit="1"/>
      <protection locked="0"/>
    </xf>
    <xf numFmtId="179" fontId="8" fillId="9" borderId="1" xfId="6" applyNumberFormat="1" applyFont="1" applyFill="1" applyBorder="1" applyAlignment="1" applyProtection="1">
      <alignment horizontal="right" vertical="center" shrinkToFit="1"/>
      <protection locked="0"/>
    </xf>
    <xf numFmtId="179" fontId="29" fillId="9" borderId="1" xfId="6" applyNumberFormat="1" applyFont="1" applyFill="1" applyBorder="1" applyAlignment="1" applyProtection="1">
      <alignment horizontal="right" vertical="center" shrinkToFit="1"/>
      <protection locked="0"/>
    </xf>
    <xf numFmtId="238" fontId="8" fillId="9" borderId="1" xfId="6" applyNumberFormat="1" applyFont="1" applyFill="1" applyBorder="1" applyAlignment="1" applyProtection="1">
      <alignment horizontal="right" vertical="center" shrinkToFit="1"/>
      <protection locked="0"/>
    </xf>
    <xf numFmtId="238" fontId="29" fillId="9" borderId="1" xfId="6" applyNumberFormat="1" applyFont="1" applyFill="1" applyBorder="1" applyAlignment="1" applyProtection="1">
      <alignment horizontal="right" vertical="center" shrinkToFit="1"/>
      <protection locked="0"/>
    </xf>
    <xf numFmtId="0" fontId="7" fillId="0" borderId="0" xfId="6" applyFont="1" applyAlignment="1">
      <alignment horizontal="right" vertical="center" shrinkToFit="1"/>
    </xf>
    <xf numFmtId="0" fontId="7" fillId="0" borderId="0" xfId="0" applyFont="1" applyAlignment="1">
      <alignment horizontal="right" vertical="center" shrinkToFit="1"/>
    </xf>
    <xf numFmtId="0" fontId="8" fillId="0" borderId="0" xfId="0" applyFont="1" applyAlignment="1">
      <alignment horizontal="left" vertical="center" wrapText="1" shrinkToFit="1"/>
    </xf>
    <xf numFmtId="0" fontId="8" fillId="0" borderId="0" xfId="0" applyFont="1" applyAlignment="1">
      <alignment horizontal="left" vertical="center" shrinkToFit="1"/>
    </xf>
    <xf numFmtId="0" fontId="8" fillId="0" borderId="5" xfId="0" applyFont="1" applyBorder="1" applyAlignment="1">
      <alignment horizontal="left" vertical="center" shrinkToFit="1"/>
    </xf>
    <xf numFmtId="0" fontId="8" fillId="0" borderId="11" xfId="6" applyFont="1" applyBorder="1" applyAlignment="1">
      <alignment vertical="center" shrinkToFit="1"/>
    </xf>
    <xf numFmtId="244" fontId="8" fillId="0" borderId="7" xfId="6" applyNumberFormat="1" applyFont="1" applyBorder="1" applyAlignment="1">
      <alignment vertical="center" shrinkToFit="1"/>
    </xf>
    <xf numFmtId="244" fontId="0" fillId="0" borderId="8" xfId="0" applyNumberFormat="1" applyBorder="1" applyAlignment="1">
      <alignment vertical="center" shrinkToFit="1"/>
    </xf>
    <xf numFmtId="244" fontId="0" fillId="0" borderId="6" xfId="0" applyNumberFormat="1" applyBorder="1" applyAlignment="1">
      <alignment vertical="center" shrinkToFit="1"/>
    </xf>
    <xf numFmtId="0" fontId="8" fillId="0" borderId="0" xfId="6" applyFont="1" applyAlignment="1">
      <alignment horizontal="center" vertical="center" shrinkToFit="1"/>
    </xf>
    <xf numFmtId="0" fontId="29" fillId="0" borderId="0" xfId="6" applyFont="1" applyAlignment="1">
      <alignment horizontal="center" vertical="center" shrinkToFit="1"/>
    </xf>
    <xf numFmtId="179" fontId="8" fillId="0" borderId="16" xfId="6" applyNumberFormat="1" applyFont="1" applyBorder="1" applyAlignment="1">
      <alignment horizontal="center" vertical="center" shrinkToFit="1"/>
    </xf>
    <xf numFmtId="0" fontId="29" fillId="0" borderId="17" xfId="6" applyFont="1" applyBorder="1" applyAlignment="1">
      <alignment horizontal="center" vertical="center" shrinkToFit="1"/>
    </xf>
    <xf numFmtId="0" fontId="29" fillId="0" borderId="18" xfId="6" applyFont="1" applyBorder="1" applyAlignment="1">
      <alignment horizontal="center" vertical="center" shrinkToFit="1"/>
    </xf>
    <xf numFmtId="0" fontId="29" fillId="0" borderId="19" xfId="6" applyFont="1" applyBorder="1" applyAlignment="1">
      <alignment horizontal="center" vertical="center" shrinkToFit="1"/>
    </xf>
    <xf numFmtId="0" fontId="29" fillId="0" borderId="5" xfId="6" applyFont="1" applyBorder="1" applyAlignment="1">
      <alignment horizontal="center" vertical="center" shrinkToFit="1"/>
    </xf>
    <xf numFmtId="0" fontId="29" fillId="0" borderId="10" xfId="6" applyFont="1" applyBorder="1" applyAlignment="1">
      <alignment horizontal="center" vertical="center" shrinkToFit="1"/>
    </xf>
    <xf numFmtId="239" fontId="8" fillId="0" borderId="16" xfId="6" applyNumberFormat="1" applyFont="1" applyBorder="1" applyAlignment="1">
      <alignment horizontal="center" vertical="center" shrinkToFit="1"/>
    </xf>
    <xf numFmtId="239" fontId="29" fillId="0" borderId="17" xfId="6" applyNumberFormat="1" applyFont="1" applyBorder="1" applyAlignment="1">
      <alignment horizontal="center" vertical="center" shrinkToFit="1"/>
    </xf>
    <xf numFmtId="239" fontId="29" fillId="0" borderId="18" xfId="6" applyNumberFormat="1" applyFont="1" applyBorder="1" applyAlignment="1">
      <alignment horizontal="center" vertical="center" shrinkToFit="1"/>
    </xf>
    <xf numFmtId="239" fontId="29" fillId="0" borderId="19" xfId="6" applyNumberFormat="1" applyFont="1" applyBorder="1" applyAlignment="1">
      <alignment horizontal="center" vertical="center" shrinkToFit="1"/>
    </xf>
    <xf numFmtId="239" fontId="29" fillId="0" borderId="5" xfId="6" applyNumberFormat="1" applyFont="1" applyBorder="1" applyAlignment="1">
      <alignment horizontal="center" vertical="center" shrinkToFit="1"/>
    </xf>
    <xf numFmtId="239" fontId="29" fillId="0" borderId="10" xfId="6" applyNumberFormat="1" applyFont="1" applyBorder="1" applyAlignment="1">
      <alignment horizontal="center" vertical="center" shrinkToFit="1"/>
    </xf>
    <xf numFmtId="240" fontId="8" fillId="9" borderId="16" xfId="6" applyNumberFormat="1" applyFont="1" applyFill="1" applyBorder="1" applyAlignment="1" applyProtection="1">
      <alignment horizontal="center" vertical="center" shrinkToFit="1"/>
      <protection locked="0"/>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8" fillId="0" borderId="0" xfId="6" applyFont="1" applyAlignment="1">
      <alignment vertical="center" shrinkToFit="1"/>
    </xf>
    <xf numFmtId="0" fontId="8" fillId="0" borderId="5" xfId="6" applyFont="1" applyBorder="1" applyAlignment="1">
      <alignment horizontal="center" vertical="center" shrinkToFit="1"/>
    </xf>
    <xf numFmtId="195" fontId="8" fillId="0" borderId="16" xfId="6" applyNumberFormat="1" applyFont="1" applyBorder="1" applyAlignment="1">
      <alignment horizontal="center" vertical="center" shrinkToFit="1"/>
    </xf>
    <xf numFmtId="195" fontId="0" fillId="0" borderId="17" xfId="0" applyNumberFormat="1" applyBorder="1" applyAlignment="1">
      <alignment horizontal="center" vertical="center" shrinkToFit="1"/>
    </xf>
    <xf numFmtId="195" fontId="0" fillId="0" borderId="18" xfId="0" applyNumberFormat="1" applyBorder="1" applyAlignment="1">
      <alignment horizontal="center" vertical="center" shrinkToFit="1"/>
    </xf>
    <xf numFmtId="195" fontId="0" fillId="0" borderId="19" xfId="0" applyNumberFormat="1" applyBorder="1" applyAlignment="1">
      <alignment horizontal="center" vertical="center" shrinkToFit="1"/>
    </xf>
    <xf numFmtId="195" fontId="0" fillId="0" borderId="5" xfId="0" applyNumberFormat="1" applyBorder="1" applyAlignment="1">
      <alignment horizontal="center" vertical="center" shrinkToFit="1"/>
    </xf>
    <xf numFmtId="195" fontId="0" fillId="0" borderId="10" xfId="0" applyNumberFormat="1" applyBorder="1" applyAlignment="1">
      <alignment horizontal="center" vertical="center" shrinkToFit="1"/>
    </xf>
    <xf numFmtId="203" fontId="8" fillId="9" borderId="1" xfId="6" applyNumberFormat="1" applyFont="1" applyFill="1" applyBorder="1" applyAlignment="1">
      <alignment vertical="center" shrinkToFit="1"/>
    </xf>
    <xf numFmtId="203" fontId="0" fillId="9" borderId="1" xfId="0" applyNumberFormat="1" applyFill="1" applyBorder="1" applyAlignment="1">
      <alignment vertical="center" shrinkToFit="1"/>
    </xf>
    <xf numFmtId="243" fontId="8" fillId="9" borderId="1" xfId="6" applyNumberFormat="1" applyFont="1" applyFill="1" applyBorder="1" applyAlignment="1">
      <alignment vertical="center" shrinkToFit="1"/>
    </xf>
    <xf numFmtId="243" fontId="0" fillId="9" borderId="1" xfId="0" applyNumberFormat="1" applyFill="1" applyBorder="1" applyAlignment="1">
      <alignment vertical="center" shrinkToFit="1"/>
    </xf>
    <xf numFmtId="0" fontId="8" fillId="0" borderId="1" xfId="6" applyFont="1" applyBorder="1" applyAlignment="1">
      <alignment horizontal="center" vertical="center" shrinkToFit="1"/>
    </xf>
    <xf numFmtId="0" fontId="29" fillId="0" borderId="1" xfId="6" applyFont="1" applyBorder="1" applyAlignment="1">
      <alignment horizontal="center" vertical="center" shrinkToFit="1"/>
    </xf>
    <xf numFmtId="0" fontId="8" fillId="0" borderId="1" xfId="6" applyFont="1" applyBorder="1" applyAlignment="1">
      <alignment vertical="center" shrinkToFit="1"/>
    </xf>
    <xf numFmtId="0" fontId="29" fillId="0" borderId="1" xfId="6" applyFont="1" applyBorder="1" applyAlignment="1">
      <alignment vertical="center" shrinkToFit="1"/>
    </xf>
    <xf numFmtId="0" fontId="9" fillId="0" borderId="0" xfId="6" applyFont="1" applyAlignment="1">
      <alignment horizontal="center" vertical="center" shrinkToFit="1"/>
    </xf>
    <xf numFmtId="0" fontId="36" fillId="0" borderId="0" xfId="6" applyFont="1" applyAlignment="1">
      <alignment horizontal="center" vertical="center" shrinkToFit="1"/>
    </xf>
    <xf numFmtId="0" fontId="8" fillId="0" borderId="0" xfId="6" applyFont="1" applyAlignment="1">
      <alignment vertical="center" wrapText="1" shrinkToFit="1"/>
    </xf>
    <xf numFmtId="0" fontId="29" fillId="0" borderId="0" xfId="6" applyFont="1" applyAlignment="1">
      <alignment vertical="center" shrinkToFit="1"/>
    </xf>
    <xf numFmtId="0" fontId="8" fillId="8" borderId="0" xfId="6" applyFont="1" applyFill="1" applyAlignment="1">
      <alignment vertical="center" shrinkToFit="1"/>
    </xf>
    <xf numFmtId="0" fontId="29" fillId="8" borderId="0" xfId="6" applyFont="1" applyFill="1" applyAlignment="1">
      <alignment vertical="center" shrinkToFit="1"/>
    </xf>
    <xf numFmtId="0" fontId="8" fillId="0" borderId="16" xfId="6" applyFont="1" applyBorder="1" applyAlignment="1">
      <alignment horizontal="center" vertical="center" shrinkToFit="1"/>
    </xf>
    <xf numFmtId="0" fontId="29" fillId="0" borderId="11" xfId="6" applyFont="1" applyBorder="1" applyAlignment="1">
      <alignment vertical="center" shrinkToFit="1"/>
    </xf>
    <xf numFmtId="0" fontId="29" fillId="0" borderId="9" xfId="6" applyFont="1" applyBorder="1" applyAlignment="1">
      <alignment vertical="center" shrinkToFit="1"/>
    </xf>
    <xf numFmtId="0" fontId="29" fillId="0" borderId="19" xfId="6" applyFont="1" applyBorder="1" applyAlignment="1">
      <alignment vertical="center" shrinkToFit="1"/>
    </xf>
    <xf numFmtId="0" fontId="29" fillId="0" borderId="5" xfId="6" applyFont="1" applyBorder="1" applyAlignment="1">
      <alignment vertical="center" shrinkToFit="1"/>
    </xf>
    <xf numFmtId="0" fontId="29" fillId="0" borderId="10" xfId="6" applyFont="1" applyBorder="1" applyAlignment="1">
      <alignment vertical="center" shrinkToFit="1"/>
    </xf>
    <xf numFmtId="0" fontId="8" fillId="0" borderId="0" xfId="6" applyFont="1" applyBorder="1" applyAlignment="1">
      <alignment vertical="center" shrinkToFit="1"/>
    </xf>
    <xf numFmtId="0" fontId="0" fillId="0" borderId="0" xfId="0" applyBorder="1" applyAlignment="1">
      <alignment vertical="center" shrinkToFit="1"/>
    </xf>
    <xf numFmtId="179" fontId="8" fillId="0" borderId="1" xfId="6" applyNumberFormat="1" applyFont="1" applyBorder="1" applyAlignment="1">
      <alignment horizontal="right" vertical="center" shrinkToFit="1"/>
    </xf>
    <xf numFmtId="179" fontId="29" fillId="0" borderId="1" xfId="6" applyNumberFormat="1" applyFont="1" applyBorder="1" applyAlignment="1">
      <alignment horizontal="right" vertical="center" shrinkToFit="1"/>
    </xf>
    <xf numFmtId="0" fontId="6" fillId="0" borderId="0" xfId="0" applyFont="1" applyAlignment="1">
      <alignment horizontal="right" vertical="center" shrinkToFit="1"/>
    </xf>
    <xf numFmtId="0" fontId="8" fillId="0" borderId="0" xfId="6" applyFont="1" applyAlignment="1">
      <alignment horizontal="left" vertical="center" wrapText="1" shrinkToFit="1"/>
    </xf>
    <xf numFmtId="0" fontId="0" fillId="0" borderId="0" xfId="0" applyAlignment="1">
      <alignment horizontal="left" vertical="center" shrinkToFit="1"/>
    </xf>
    <xf numFmtId="0" fontId="29" fillId="8" borderId="0" xfId="0" applyFont="1" applyFill="1" applyAlignment="1">
      <alignment vertical="center" shrinkToFit="1"/>
    </xf>
    <xf numFmtId="0" fontId="8" fillId="9" borderId="16" xfId="6" applyFont="1" applyFill="1" applyBorder="1" applyAlignment="1">
      <alignment horizontal="left" vertical="top" wrapText="1" shrinkToFit="1"/>
    </xf>
    <xf numFmtId="0" fontId="29" fillId="9" borderId="17" xfId="0" applyFont="1" applyFill="1" applyBorder="1" applyAlignment="1">
      <alignment horizontal="left" vertical="top" wrapText="1" shrinkToFit="1"/>
    </xf>
    <xf numFmtId="0" fontId="29" fillId="9" borderId="18" xfId="0" applyFont="1" applyFill="1" applyBorder="1" applyAlignment="1">
      <alignment horizontal="left" vertical="top" wrapText="1" shrinkToFit="1"/>
    </xf>
    <xf numFmtId="0" fontId="29" fillId="9" borderId="11" xfId="0" applyFont="1" applyFill="1" applyBorder="1" applyAlignment="1">
      <alignment horizontal="left" vertical="top" wrapText="1" shrinkToFit="1"/>
    </xf>
    <xf numFmtId="0" fontId="29" fillId="9" borderId="0" xfId="0" applyFont="1" applyFill="1" applyBorder="1" applyAlignment="1">
      <alignment horizontal="left" vertical="top" wrapText="1" shrinkToFit="1"/>
    </xf>
    <xf numFmtId="0" fontId="29" fillId="9" borderId="9" xfId="0" applyFont="1" applyFill="1" applyBorder="1" applyAlignment="1">
      <alignment horizontal="left" vertical="top" wrapText="1" shrinkToFit="1"/>
    </xf>
    <xf numFmtId="0" fontId="29" fillId="9" borderId="19" xfId="0" applyFont="1" applyFill="1" applyBorder="1" applyAlignment="1">
      <alignment horizontal="left" vertical="top" wrapText="1" shrinkToFit="1"/>
    </xf>
    <xf numFmtId="0" fontId="29" fillId="9" borderId="5" xfId="0" applyFont="1" applyFill="1" applyBorder="1" applyAlignment="1">
      <alignment horizontal="left" vertical="top" wrapText="1" shrinkToFit="1"/>
    </xf>
    <xf numFmtId="0" fontId="29" fillId="9" borderId="10" xfId="0" applyFont="1" applyFill="1" applyBorder="1" applyAlignment="1">
      <alignment horizontal="left" vertical="top" wrapText="1" shrinkToFit="1"/>
    </xf>
    <xf numFmtId="0" fontId="8" fillId="0" borderId="5" xfId="6" applyFont="1" applyBorder="1" applyAlignment="1">
      <alignment vertical="center" wrapText="1" shrinkToFit="1"/>
    </xf>
    <xf numFmtId="0" fontId="0" fillId="0" borderId="5" xfId="0" applyBorder="1" applyAlignment="1">
      <alignment vertical="center" shrinkToFit="1"/>
    </xf>
    <xf numFmtId="179" fontId="8" fillId="0" borderId="16" xfId="6" applyNumberFormat="1" applyFont="1" applyBorder="1" applyAlignment="1">
      <alignment horizontal="right" vertical="center" shrinkToFit="1"/>
    </xf>
    <xf numFmtId="179" fontId="29" fillId="0" borderId="17" xfId="6" applyNumberFormat="1" applyFont="1" applyBorder="1" applyAlignment="1">
      <alignment horizontal="right" vertical="center" shrinkToFit="1"/>
    </xf>
    <xf numFmtId="179" fontId="29" fillId="0" borderId="18" xfId="6" applyNumberFormat="1" applyFont="1" applyBorder="1" applyAlignment="1">
      <alignment horizontal="right" vertical="center" shrinkToFit="1"/>
    </xf>
    <xf numFmtId="179" fontId="29" fillId="0" borderId="11" xfId="6" applyNumberFormat="1" applyFont="1" applyBorder="1" applyAlignment="1">
      <alignment horizontal="right" vertical="center" shrinkToFit="1"/>
    </xf>
    <xf numFmtId="179" fontId="29" fillId="0" borderId="0" xfId="6" applyNumberFormat="1" applyFont="1" applyBorder="1" applyAlignment="1">
      <alignment horizontal="right" vertical="center" shrinkToFit="1"/>
    </xf>
    <xf numFmtId="179" fontId="29" fillId="0" borderId="9" xfId="6" applyNumberFormat="1" applyFont="1" applyBorder="1" applyAlignment="1">
      <alignment horizontal="right" vertical="center" shrinkToFit="1"/>
    </xf>
    <xf numFmtId="179" fontId="29" fillId="0" borderId="19" xfId="6" applyNumberFormat="1" applyFont="1" applyBorder="1" applyAlignment="1">
      <alignment horizontal="right" vertical="center" shrinkToFit="1"/>
    </xf>
    <xf numFmtId="179" fontId="29" fillId="0" borderId="5" xfId="6" applyNumberFormat="1" applyFont="1" applyBorder="1" applyAlignment="1">
      <alignment horizontal="right" vertical="center" shrinkToFit="1"/>
    </xf>
    <xf numFmtId="179" fontId="29" fillId="0" borderId="10" xfId="6" applyNumberFormat="1" applyFont="1" applyBorder="1" applyAlignment="1">
      <alignment horizontal="right" vertical="center" shrinkToFit="1"/>
    </xf>
    <xf numFmtId="0" fontId="0" fillId="0" borderId="11" xfId="0" applyBorder="1" applyAlignment="1">
      <alignment vertical="center" shrinkToFit="1"/>
    </xf>
    <xf numFmtId="0" fontId="29" fillId="0" borderId="0" xfId="0" applyFont="1" applyAlignment="1">
      <alignment vertical="center" shrinkToFit="1"/>
    </xf>
    <xf numFmtId="0" fontId="8" fillId="0" borderId="0" xfId="0" applyFont="1" applyAlignment="1">
      <alignment vertical="center" shrinkToFit="1"/>
    </xf>
    <xf numFmtId="239" fontId="8" fillId="9" borderId="1" xfId="6" applyNumberFormat="1" applyFont="1" applyFill="1" applyBorder="1" applyAlignment="1" applyProtection="1">
      <alignment horizontal="center" vertical="center" shrinkToFit="1"/>
      <protection locked="0"/>
    </xf>
    <xf numFmtId="239" fontId="29" fillId="9" borderId="1" xfId="6" applyNumberFormat="1" applyFont="1" applyFill="1" applyBorder="1" applyAlignment="1" applyProtection="1">
      <alignment horizontal="center" vertical="center" shrinkToFit="1"/>
      <protection locked="0"/>
    </xf>
    <xf numFmtId="0" fontId="7" fillId="0" borderId="0" xfId="0" applyFont="1" applyAlignment="1" applyProtection="1">
      <alignment horizontal="right" vertical="center"/>
    </xf>
    <xf numFmtId="0" fontId="6" fillId="0" borderId="0" xfId="0" applyFont="1" applyAlignment="1">
      <alignment horizontal="right" vertical="center"/>
    </xf>
    <xf numFmtId="0" fontId="17" fillId="8" borderId="0" xfId="0" applyFont="1" applyFill="1" applyAlignment="1" applyProtection="1">
      <alignment vertical="center"/>
    </xf>
    <xf numFmtId="179" fontId="17" fillId="9" borderId="1" xfId="0" applyNumberFormat="1" applyFont="1" applyFill="1" applyBorder="1" applyAlignment="1" applyProtection="1">
      <alignment vertical="center" shrinkToFit="1"/>
      <protection locked="0"/>
    </xf>
    <xf numFmtId="179" fontId="0" fillId="9" borderId="1" xfId="0" applyNumberFormat="1" applyFill="1" applyBorder="1" applyAlignment="1" applyProtection="1">
      <alignment vertical="center" shrinkToFit="1"/>
      <protection locked="0"/>
    </xf>
    <xf numFmtId="179" fontId="17" fillId="0" borderId="1" xfId="0" applyNumberFormat="1" applyFont="1" applyBorder="1" applyAlignment="1" applyProtection="1">
      <alignment vertical="center" shrinkToFit="1"/>
    </xf>
    <xf numFmtId="179" fontId="0" fillId="0" borderId="1" xfId="0" applyNumberFormat="1" applyBorder="1" applyAlignment="1" applyProtection="1">
      <alignment vertical="center" shrinkToFit="1"/>
    </xf>
    <xf numFmtId="0" fontId="17" fillId="0" borderId="0" xfId="0" applyFont="1" applyBorder="1" applyAlignment="1" applyProtection="1">
      <alignment vertical="center" shrinkToFit="1"/>
    </xf>
    <xf numFmtId="0" fontId="17" fillId="0" borderId="25" xfId="0" applyFont="1" applyBorder="1" applyAlignment="1" applyProtection="1">
      <alignment horizontal="center" vertical="center"/>
    </xf>
    <xf numFmtId="179" fontId="17" fillId="0" borderId="17" xfId="0" applyNumberFormat="1" applyFont="1" applyBorder="1" applyAlignment="1" applyProtection="1">
      <alignment vertical="center"/>
    </xf>
    <xf numFmtId="0" fontId="17" fillId="0" borderId="17" xfId="0" applyFont="1" applyBorder="1" applyAlignment="1" applyProtection="1">
      <alignment horizontal="right" vertical="center"/>
    </xf>
    <xf numFmtId="0" fontId="0" fillId="0" borderId="17" xfId="0" applyBorder="1" applyAlignment="1" applyProtection="1">
      <alignment horizontal="right" vertical="center"/>
    </xf>
    <xf numFmtId="0" fontId="17" fillId="9" borderId="1" xfId="0" applyFont="1" applyFill="1" applyBorder="1" applyAlignment="1" applyProtection="1">
      <alignment vertical="center" shrinkToFit="1"/>
      <protection locked="0"/>
    </xf>
    <xf numFmtId="0" fontId="0" fillId="9" borderId="1" xfId="0" applyFill="1" applyBorder="1" applyAlignment="1" applyProtection="1">
      <alignment vertical="center" shrinkToFit="1"/>
      <protection locked="0"/>
    </xf>
    <xf numFmtId="179" fontId="17" fillId="0" borderId="1" xfId="0" applyNumberFormat="1" applyFont="1" applyFill="1" applyBorder="1" applyAlignment="1" applyProtection="1">
      <alignment vertical="center" shrinkToFit="1"/>
    </xf>
    <xf numFmtId="179" fontId="0" fillId="0" borderId="1" xfId="0" applyNumberFormat="1" applyFill="1" applyBorder="1" applyAlignment="1" applyProtection="1">
      <alignment vertical="center" shrinkToFit="1"/>
    </xf>
    <xf numFmtId="0" fontId="17" fillId="9" borderId="1" xfId="0" applyFont="1" applyFill="1" applyBorder="1" applyAlignment="1" applyProtection="1">
      <alignment horizontal="center" vertical="center" shrinkToFit="1"/>
      <protection locked="0"/>
    </xf>
    <xf numFmtId="0" fontId="0" fillId="9" borderId="1" xfId="0" applyFill="1" applyBorder="1" applyAlignment="1" applyProtection="1">
      <alignment horizontal="center" vertical="center" shrinkToFit="1"/>
      <protection locked="0"/>
    </xf>
    <xf numFmtId="0" fontId="17" fillId="9" borderId="1" xfId="0" applyFont="1" applyFill="1" applyBorder="1" applyAlignment="1" applyProtection="1">
      <alignment horizontal="left" vertical="center" shrinkToFit="1"/>
      <protection locked="0"/>
    </xf>
    <xf numFmtId="0" fontId="0" fillId="9" borderId="1" xfId="0" applyFill="1" applyBorder="1" applyAlignment="1" applyProtection="1">
      <alignment horizontal="left" vertical="center" shrinkToFit="1"/>
      <protection locked="0"/>
    </xf>
    <xf numFmtId="180" fontId="17" fillId="9" borderId="1" xfId="0" applyNumberFormat="1" applyFont="1" applyFill="1" applyBorder="1" applyAlignment="1" applyProtection="1">
      <alignment vertical="center" shrinkToFit="1"/>
      <protection locked="0"/>
    </xf>
    <xf numFmtId="180" fontId="0" fillId="9" borderId="1" xfId="0" applyNumberFormat="1" applyFill="1" applyBorder="1" applyAlignment="1" applyProtection="1">
      <alignment vertical="center" shrinkToFit="1"/>
      <protection locked="0"/>
    </xf>
    <xf numFmtId="180" fontId="17" fillId="0" borderId="31" xfId="0" applyNumberFormat="1" applyFont="1" applyBorder="1" applyAlignment="1" applyProtection="1">
      <alignment horizontal="right" vertical="center" shrinkToFit="1"/>
    </xf>
    <xf numFmtId="180" fontId="17" fillId="0" borderId="33" xfId="0" applyNumberFormat="1" applyFont="1" applyBorder="1" applyAlignment="1" applyProtection="1">
      <alignment vertical="center" shrinkToFit="1"/>
    </xf>
    <xf numFmtId="0" fontId="0" fillId="0" borderId="31" xfId="0" applyBorder="1" applyAlignment="1" applyProtection="1">
      <alignment horizontal="right" vertical="center" shrinkToFit="1"/>
    </xf>
    <xf numFmtId="0" fontId="0" fillId="0" borderId="32" xfId="0" applyBorder="1" applyAlignment="1" applyProtection="1">
      <alignment vertical="center" shrinkToFit="1"/>
    </xf>
    <xf numFmtId="0" fontId="0" fillId="0" borderId="33" xfId="0" applyBorder="1" applyAlignment="1" applyProtection="1">
      <alignment vertical="center" shrinkToFit="1"/>
    </xf>
    <xf numFmtId="0" fontId="17" fillId="0" borderId="31" xfId="0" applyFont="1" applyBorder="1" applyAlignment="1" applyProtection="1">
      <alignment horizontal="right" vertical="center" shrinkToFit="1"/>
    </xf>
    <xf numFmtId="0" fontId="0" fillId="0" borderId="32" xfId="0" applyBorder="1" applyAlignment="1" applyProtection="1">
      <alignment horizontal="right" vertical="center" shrinkToFit="1"/>
    </xf>
    <xf numFmtId="0" fontId="17" fillId="0" borderId="46" xfId="0" applyFont="1" applyBorder="1" applyAlignment="1" applyProtection="1">
      <alignment vertical="center"/>
    </xf>
    <xf numFmtId="0" fontId="0" fillId="0" borderId="46" xfId="0" applyBorder="1" applyAlignment="1" applyProtection="1">
      <alignment vertical="center"/>
    </xf>
    <xf numFmtId="0" fontId="0" fillId="0" borderId="47" xfId="0" applyBorder="1" applyAlignment="1" applyProtection="1">
      <alignment vertical="center"/>
    </xf>
    <xf numFmtId="0" fontId="17" fillId="0" borderId="7" xfId="0" applyFont="1" applyBorder="1" applyAlignment="1" applyProtection="1">
      <alignment horizontal="center" vertical="center" shrinkToFit="1"/>
    </xf>
    <xf numFmtId="0" fontId="0" fillId="0" borderId="8" xfId="0" applyBorder="1" applyAlignment="1" applyProtection="1">
      <alignment horizontal="center" vertical="center" shrinkToFit="1"/>
    </xf>
    <xf numFmtId="0" fontId="14" fillId="0" borderId="0" xfId="0" applyFont="1" applyAlignment="1" applyProtection="1">
      <alignment vertical="center" wrapText="1"/>
    </xf>
    <xf numFmtId="0" fontId="48" fillId="0" borderId="0" xfId="0" applyFont="1" applyAlignment="1" applyProtection="1">
      <alignment vertical="center" wrapText="1"/>
    </xf>
    <xf numFmtId="0" fontId="0" fillId="0" borderId="1" xfId="0" applyBorder="1" applyAlignment="1" applyProtection="1">
      <alignment vertical="center" shrinkToFit="1"/>
    </xf>
    <xf numFmtId="0" fontId="17" fillId="9" borderId="7" xfId="0" applyFont="1" applyFill="1" applyBorder="1" applyAlignment="1" applyProtection="1">
      <alignment horizontal="center" vertical="center" shrinkToFit="1"/>
      <protection locked="0"/>
    </xf>
    <xf numFmtId="0" fontId="0" fillId="9" borderId="8" xfId="0" applyFill="1" applyBorder="1" applyAlignment="1" applyProtection="1">
      <alignment horizontal="center" vertical="center" shrinkToFit="1"/>
      <protection locked="0"/>
    </xf>
    <xf numFmtId="0" fontId="17" fillId="9" borderId="7" xfId="0" applyFont="1" applyFill="1" applyBorder="1" applyAlignment="1" applyProtection="1">
      <alignment horizontal="left" vertical="center" shrinkToFit="1"/>
      <protection locked="0"/>
    </xf>
    <xf numFmtId="0" fontId="17" fillId="9" borderId="8" xfId="0" applyFont="1" applyFill="1" applyBorder="1" applyAlignment="1" applyProtection="1">
      <alignment horizontal="left" vertical="center" shrinkToFit="1"/>
      <protection locked="0"/>
    </xf>
    <xf numFmtId="0" fontId="17" fillId="9" borderId="6" xfId="0" applyFont="1" applyFill="1" applyBorder="1" applyAlignment="1" applyProtection="1">
      <alignment horizontal="left" vertical="center" shrinkToFit="1"/>
      <protection locked="0"/>
    </xf>
    <xf numFmtId="179" fontId="17" fillId="0" borderId="7" xfId="0" applyNumberFormat="1" applyFont="1" applyBorder="1" applyAlignment="1" applyProtection="1">
      <alignment vertical="center" shrinkToFit="1"/>
    </xf>
    <xf numFmtId="179" fontId="17" fillId="0" borderId="8" xfId="0" applyNumberFormat="1" applyFont="1" applyBorder="1" applyAlignment="1" applyProtection="1">
      <alignment vertical="center" shrinkToFit="1"/>
    </xf>
    <xf numFmtId="179" fontId="17" fillId="0" borderId="6" xfId="0" applyNumberFormat="1" applyFont="1" applyBorder="1" applyAlignment="1" applyProtection="1">
      <alignment vertical="center" shrinkToFit="1"/>
    </xf>
    <xf numFmtId="0" fontId="17" fillId="0" borderId="7" xfId="0" applyFont="1" applyBorder="1" applyAlignment="1" applyProtection="1">
      <alignment horizontal="center" vertical="center"/>
    </xf>
    <xf numFmtId="0" fontId="17" fillId="0" borderId="0" xfId="0" applyFont="1" applyBorder="1" applyAlignment="1" applyProtection="1">
      <alignment vertical="center"/>
    </xf>
    <xf numFmtId="0" fontId="0" fillId="0" borderId="52" xfId="0" applyBorder="1" applyAlignment="1" applyProtection="1">
      <alignment vertical="center"/>
    </xf>
    <xf numFmtId="0" fontId="17" fillId="0" borderId="31" xfId="0" applyFont="1" applyFill="1" applyBorder="1" applyAlignment="1" applyProtection="1">
      <alignment horizontal="right" vertical="center" shrinkToFit="1"/>
    </xf>
    <xf numFmtId="0" fontId="17" fillId="0" borderId="7" xfId="0" applyFont="1" applyFill="1" applyBorder="1" applyAlignment="1" applyProtection="1">
      <alignment horizontal="right" vertical="center" shrinkToFit="1"/>
    </xf>
    <xf numFmtId="0" fontId="0" fillId="0" borderId="8" xfId="0" applyBorder="1" applyAlignment="1" applyProtection="1">
      <alignment horizontal="right" vertical="center" shrinkToFit="1"/>
    </xf>
    <xf numFmtId="179" fontId="17" fillId="0" borderId="1" xfId="0" applyNumberFormat="1" applyFont="1" applyFill="1" applyBorder="1" applyAlignment="1" applyProtection="1">
      <alignment horizontal="right" vertical="center" shrinkToFit="1"/>
    </xf>
    <xf numFmtId="0" fontId="0" fillId="0" borderId="1" xfId="0" applyBorder="1" applyAlignment="1" applyProtection="1">
      <alignment horizontal="right" vertical="center" shrinkToFit="1"/>
    </xf>
    <xf numFmtId="179" fontId="17" fillId="9" borderId="1" xfId="0" applyNumberFormat="1" applyFont="1" applyFill="1" applyBorder="1" applyAlignment="1" applyProtection="1">
      <alignment horizontal="right" vertical="center" shrinkToFit="1"/>
    </xf>
    <xf numFmtId="0" fontId="0" fillId="9" borderId="1" xfId="0" applyFill="1" applyBorder="1" applyAlignment="1" applyProtection="1">
      <alignment horizontal="right" vertical="center" shrinkToFit="1"/>
    </xf>
    <xf numFmtId="0" fontId="17" fillId="0" borderId="32" xfId="0" applyFont="1" applyBorder="1" applyAlignment="1" applyProtection="1">
      <alignment horizontal="right" vertical="center" shrinkToFit="1"/>
    </xf>
    <xf numFmtId="0" fontId="17" fillId="0" borderId="33" xfId="0" applyFont="1" applyBorder="1" applyAlignment="1" applyProtection="1">
      <alignment horizontal="right" vertical="center" shrinkToFit="1"/>
    </xf>
    <xf numFmtId="0" fontId="17" fillId="0" borderId="8" xfId="0" applyFont="1" applyBorder="1" applyAlignment="1" applyProtection="1">
      <alignment horizontal="right" vertical="center" shrinkToFit="1"/>
    </xf>
    <xf numFmtId="0" fontId="17" fillId="0" borderId="6" xfId="0" applyFont="1" applyBorder="1" applyAlignment="1" applyProtection="1">
      <alignment horizontal="right" vertical="center" shrinkToFit="1"/>
    </xf>
    <xf numFmtId="0" fontId="0" fillId="0" borderId="52" xfId="0" applyBorder="1" applyAlignment="1" applyProtection="1">
      <alignment vertical="center" shrinkToFit="1"/>
    </xf>
    <xf numFmtId="0" fontId="17" fillId="0" borderId="49" xfId="0" applyFont="1" applyBorder="1" applyAlignment="1" applyProtection="1">
      <alignment vertical="center" shrinkToFit="1"/>
    </xf>
    <xf numFmtId="0" fontId="0" fillId="0" borderId="49" xfId="0" applyBorder="1" applyAlignment="1" applyProtection="1">
      <alignment vertical="center" shrinkToFit="1"/>
    </xf>
    <xf numFmtId="0" fontId="0" fillId="0" borderId="50" xfId="0" applyBorder="1" applyAlignment="1" applyProtection="1">
      <alignment vertical="center" shrinkToFit="1"/>
    </xf>
    <xf numFmtId="0" fontId="14" fillId="0" borderId="0" xfId="0" applyFont="1" applyAlignment="1" applyProtection="1">
      <alignment vertical="center" shrinkToFit="1"/>
    </xf>
    <xf numFmtId="0" fontId="20" fillId="0" borderId="0" xfId="0" applyFont="1" applyAlignment="1" applyProtection="1">
      <alignment vertical="center"/>
    </xf>
    <xf numFmtId="0" fontId="47" fillId="0" borderId="0" xfId="0" applyFont="1" applyAlignment="1" applyProtection="1">
      <alignment vertical="center"/>
    </xf>
    <xf numFmtId="179" fontId="17" fillId="0" borderId="13" xfId="0" applyNumberFormat="1" applyFont="1" applyFill="1" applyBorder="1" applyAlignment="1" applyProtection="1">
      <alignment vertical="center" shrinkToFit="1"/>
    </xf>
    <xf numFmtId="0" fontId="0" fillId="0" borderId="13" xfId="0" applyFill="1" applyBorder="1" applyAlignment="1" applyProtection="1">
      <alignment vertical="center" shrinkToFit="1"/>
    </xf>
    <xf numFmtId="179" fontId="17" fillId="0" borderId="1" xfId="0" applyNumberFormat="1" applyFont="1" applyBorder="1" applyAlignment="1" applyProtection="1">
      <alignment vertical="center"/>
    </xf>
    <xf numFmtId="180" fontId="17" fillId="0" borderId="1" xfId="0" applyNumberFormat="1" applyFont="1" applyBorder="1" applyAlignment="1" applyProtection="1">
      <alignment vertical="center"/>
    </xf>
    <xf numFmtId="180" fontId="0" fillId="0" borderId="1" xfId="0" applyNumberFormat="1" applyBorder="1" applyAlignment="1" applyProtection="1">
      <alignment vertical="center"/>
    </xf>
    <xf numFmtId="179" fontId="9" fillId="0" borderId="7" xfId="0" applyNumberFormat="1" applyFont="1" applyBorder="1" applyAlignment="1" applyProtection="1">
      <alignment horizontal="right" vertical="center" shrinkToFit="1"/>
    </xf>
    <xf numFmtId="0" fontId="0" fillId="0" borderId="6" xfId="0" applyBorder="1" applyAlignment="1">
      <alignment horizontal="right" vertical="center" shrinkToFit="1"/>
    </xf>
    <xf numFmtId="0" fontId="9" fillId="0" borderId="2" xfId="0" applyFont="1" applyBorder="1" applyAlignment="1" applyProtection="1">
      <alignment horizontal="center" vertical="center"/>
    </xf>
    <xf numFmtId="0" fontId="0" fillId="0" borderId="3" xfId="0" applyBorder="1" applyAlignment="1" applyProtection="1">
      <alignment vertical="center"/>
    </xf>
    <xf numFmtId="0" fontId="0" fillId="0" borderId="4" xfId="0" applyBorder="1" applyAlignment="1" applyProtection="1">
      <alignment vertical="center"/>
    </xf>
    <xf numFmtId="0" fontId="9" fillId="0" borderId="1" xfId="0" applyFont="1" applyBorder="1" applyAlignment="1" applyProtection="1">
      <alignment horizontal="left" vertical="center"/>
    </xf>
    <xf numFmtId="0" fontId="9" fillId="9" borderId="1" xfId="0" applyFont="1" applyFill="1" applyBorder="1" applyAlignment="1" applyProtection="1">
      <alignment horizontal="left" vertical="center" shrinkToFit="1"/>
      <protection locked="0"/>
    </xf>
    <xf numFmtId="0" fontId="9" fillId="0" borderId="0" xfId="0" applyFont="1" applyFill="1" applyBorder="1" applyAlignment="1" applyProtection="1">
      <alignment vertical="center"/>
    </xf>
    <xf numFmtId="0" fontId="9" fillId="0" borderId="7" xfId="0" applyFont="1" applyBorder="1" applyAlignment="1" applyProtection="1">
      <alignment vertical="center" wrapText="1"/>
    </xf>
    <xf numFmtId="0" fontId="0" fillId="0" borderId="7" xfId="0" applyBorder="1" applyAlignment="1" applyProtection="1">
      <alignment vertical="center"/>
    </xf>
    <xf numFmtId="0" fontId="9" fillId="9" borderId="16" xfId="0" applyFont="1" applyFill="1" applyBorder="1" applyAlignment="1" applyProtection="1">
      <alignment vertical="center" wrapText="1"/>
      <protection locked="0"/>
    </xf>
    <xf numFmtId="0" fontId="9" fillId="9" borderId="17" xfId="0" applyFont="1" applyFill="1" applyBorder="1" applyAlignment="1" applyProtection="1">
      <alignment vertical="center" wrapText="1"/>
      <protection locked="0"/>
    </xf>
    <xf numFmtId="0" fontId="0" fillId="9" borderId="17" xfId="0" applyFill="1" applyBorder="1" applyAlignment="1" applyProtection="1">
      <alignment vertical="center" wrapText="1"/>
      <protection locked="0"/>
    </xf>
    <xf numFmtId="0" fontId="0" fillId="9" borderId="18" xfId="0" applyFill="1" applyBorder="1" applyAlignment="1" applyProtection="1">
      <alignment vertical="center" wrapText="1"/>
      <protection locked="0"/>
    </xf>
    <xf numFmtId="0" fontId="9" fillId="9" borderId="11" xfId="0" applyFont="1" applyFill="1" applyBorder="1" applyAlignment="1" applyProtection="1">
      <alignment vertical="center" wrapText="1"/>
      <protection locked="0"/>
    </xf>
    <xf numFmtId="0" fontId="9" fillId="9" borderId="0" xfId="0" applyFont="1" applyFill="1" applyBorder="1" applyAlignment="1" applyProtection="1">
      <alignment vertical="center" wrapText="1"/>
      <protection locked="0"/>
    </xf>
    <xf numFmtId="0" fontId="0" fillId="9" borderId="0" xfId="0" applyFill="1" applyBorder="1" applyAlignment="1" applyProtection="1">
      <alignment vertical="center" wrapText="1"/>
      <protection locked="0"/>
    </xf>
    <xf numFmtId="0" fontId="0" fillId="9" borderId="9" xfId="0" applyFill="1" applyBorder="1" applyAlignment="1" applyProtection="1">
      <alignment vertical="center" wrapText="1"/>
      <protection locked="0"/>
    </xf>
    <xf numFmtId="0" fontId="0" fillId="9" borderId="19" xfId="0" applyFill="1" applyBorder="1" applyAlignment="1" applyProtection="1">
      <alignment vertical="center" wrapText="1"/>
      <protection locked="0"/>
    </xf>
    <xf numFmtId="0" fontId="0" fillId="9" borderId="5" xfId="0" applyFill="1" applyBorder="1" applyAlignment="1" applyProtection="1">
      <alignment vertical="center" wrapText="1"/>
      <protection locked="0"/>
    </xf>
    <xf numFmtId="0" fontId="0" fillId="9" borderId="10" xfId="0" applyFill="1" applyBorder="1" applyAlignment="1" applyProtection="1">
      <alignment vertical="center" wrapText="1"/>
      <protection locked="0"/>
    </xf>
    <xf numFmtId="0" fontId="9" fillId="0" borderId="0" xfId="0" applyFont="1" applyFill="1" applyBorder="1" applyAlignment="1" applyProtection="1">
      <alignment vertical="center" wrapText="1"/>
    </xf>
    <xf numFmtId="0" fontId="9" fillId="0" borderId="0" xfId="0" applyFont="1" applyBorder="1" applyAlignment="1" applyProtection="1">
      <alignment vertical="center" wrapText="1" shrinkToFit="1"/>
    </xf>
    <xf numFmtId="0" fontId="0" fillId="0" borderId="0" xfId="0" applyAlignment="1" applyProtection="1">
      <alignment vertical="center" wrapText="1" shrinkToFit="1"/>
    </xf>
    <xf numFmtId="0" fontId="0" fillId="0" borderId="5" xfId="0" applyBorder="1" applyAlignment="1" applyProtection="1">
      <alignment vertical="center" wrapText="1" shrinkToFit="1"/>
    </xf>
    <xf numFmtId="0" fontId="9" fillId="0" borderId="0" xfId="0" applyFont="1" applyBorder="1" applyAlignment="1" applyProtection="1">
      <alignment vertical="center" wrapText="1"/>
    </xf>
    <xf numFmtId="0" fontId="9" fillId="0" borderId="0" xfId="0" applyFont="1" applyAlignment="1" applyProtection="1">
      <alignment vertical="center"/>
    </xf>
    <xf numFmtId="0" fontId="9" fillId="0" borderId="0" xfId="0" applyFont="1" applyBorder="1" applyAlignment="1" applyProtection="1">
      <alignment vertical="center"/>
    </xf>
    <xf numFmtId="0" fontId="9" fillId="0" borderId="7" xfId="0" applyFont="1" applyBorder="1" applyAlignment="1" applyProtection="1">
      <alignment horizontal="center" vertical="center"/>
    </xf>
    <xf numFmtId="0" fontId="9" fillId="0" borderId="6" xfId="0" applyFont="1" applyBorder="1" applyAlignment="1" applyProtection="1">
      <alignment horizontal="center" vertical="center"/>
    </xf>
    <xf numFmtId="0" fontId="9" fillId="0" borderId="1" xfId="0" applyFont="1" applyBorder="1" applyAlignment="1" applyProtection="1">
      <alignment horizontal="center" vertical="center"/>
    </xf>
    <xf numFmtId="0" fontId="9" fillId="2" borderId="2" xfId="0" applyFont="1" applyFill="1" applyBorder="1" applyAlignment="1" applyProtection="1">
      <alignment horizontal="center" vertical="center" shrinkToFit="1"/>
    </xf>
    <xf numFmtId="0" fontId="9" fillId="2" borderId="7" xfId="0" applyFont="1" applyFill="1" applyBorder="1" applyAlignment="1" applyProtection="1">
      <alignment horizontal="center" vertical="center"/>
    </xf>
    <xf numFmtId="0" fontId="0" fillId="2" borderId="8" xfId="0" applyFill="1" applyBorder="1" applyAlignment="1">
      <alignment horizontal="center" vertical="center"/>
    </xf>
    <xf numFmtId="0" fontId="0" fillId="2" borderId="6" xfId="0" applyFill="1" applyBorder="1" applyAlignment="1">
      <alignment horizontal="center" vertical="center"/>
    </xf>
    <xf numFmtId="0" fontId="9" fillId="2" borderId="16" xfId="0" applyFont="1" applyFill="1" applyBorder="1" applyAlignment="1" applyProtection="1">
      <alignment horizontal="center" vertical="center" shrinkToFit="1"/>
    </xf>
    <xf numFmtId="0" fontId="0" fillId="0" borderId="19" xfId="0" applyBorder="1" applyAlignment="1">
      <alignment vertical="center"/>
    </xf>
    <xf numFmtId="0" fontId="0" fillId="0" borderId="10" xfId="0" applyBorder="1" applyAlignment="1">
      <alignment vertical="center"/>
    </xf>
    <xf numFmtId="0" fontId="9" fillId="0" borderId="7" xfId="0" applyFont="1"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8" xfId="0" applyBorder="1" applyAlignment="1">
      <alignment vertical="center"/>
    </xf>
    <xf numFmtId="0" fontId="0" fillId="0" borderId="6" xfId="0" applyBorder="1" applyAlignment="1">
      <alignment vertical="center"/>
    </xf>
    <xf numFmtId="179" fontId="9" fillId="9" borderId="7" xfId="0" applyNumberFormat="1" applyFont="1" applyFill="1" applyBorder="1" applyAlignment="1" applyProtection="1">
      <alignment horizontal="right" vertical="center" wrapText="1"/>
      <protection locked="0"/>
    </xf>
    <xf numFmtId="195" fontId="9" fillId="0" borderId="7" xfId="0" applyNumberFormat="1" applyFont="1" applyBorder="1" applyAlignment="1" applyProtection="1">
      <alignment horizontal="right" vertical="center" wrapText="1"/>
    </xf>
    <xf numFmtId="0" fontId="21" fillId="0" borderId="0" xfId="2" applyFont="1" applyAlignment="1" applyProtection="1">
      <alignment horizontal="right" vertical="center" shrinkToFit="1"/>
    </xf>
    <xf numFmtId="0" fontId="21" fillId="0" borderId="0" xfId="2" applyFont="1" applyAlignment="1" applyProtection="1">
      <alignment vertical="center" shrinkToFit="1"/>
    </xf>
    <xf numFmtId="0" fontId="21" fillId="0" borderId="2" xfId="2" applyFont="1" applyBorder="1" applyAlignment="1" applyProtection="1">
      <alignment horizontal="center" vertical="center"/>
    </xf>
    <xf numFmtId="0" fontId="21" fillId="0" borderId="2" xfId="2" applyFont="1" applyBorder="1" applyAlignment="1" applyProtection="1">
      <alignment vertical="center" wrapText="1"/>
    </xf>
    <xf numFmtId="0" fontId="0" fillId="0" borderId="2" xfId="0" applyBorder="1" applyAlignment="1" applyProtection="1">
      <alignment vertical="center" wrapText="1"/>
    </xf>
    <xf numFmtId="0" fontId="0" fillId="0" borderId="3" xfId="0" applyBorder="1" applyAlignment="1" applyProtection="1">
      <alignment vertical="center" wrapText="1"/>
    </xf>
    <xf numFmtId="0" fontId="0" fillId="0" borderId="4" xfId="0" applyBorder="1" applyAlignment="1" applyProtection="1">
      <alignment vertical="center" wrapText="1"/>
    </xf>
    <xf numFmtId="0" fontId="21" fillId="0" borderId="1" xfId="2" applyFont="1" applyBorder="1" applyAlignment="1" applyProtection="1">
      <alignment horizontal="center" vertical="center"/>
    </xf>
    <xf numFmtId="0" fontId="21" fillId="9" borderId="2" xfId="2" applyFont="1" applyFill="1" applyBorder="1" applyAlignment="1" applyProtection="1">
      <alignment horizontal="left" vertical="center" wrapText="1" shrinkToFit="1"/>
      <protection locked="0"/>
    </xf>
    <xf numFmtId="0" fontId="0" fillId="9" borderId="3" xfId="0" applyFill="1" applyBorder="1" applyAlignment="1" applyProtection="1">
      <alignment horizontal="left" vertical="center" wrapText="1" shrinkToFit="1"/>
      <protection locked="0"/>
    </xf>
    <xf numFmtId="0" fontId="0" fillId="9" borderId="4" xfId="0" applyFill="1" applyBorder="1" applyAlignment="1" applyProtection="1">
      <alignment horizontal="left" vertical="center" wrapText="1" shrinkToFit="1"/>
      <protection locked="0"/>
    </xf>
    <xf numFmtId="0" fontId="21" fillId="0" borderId="1" xfId="2" applyFont="1" applyBorder="1" applyAlignment="1" applyProtection="1">
      <alignment horizontal="center" vertical="center" shrinkToFit="1"/>
    </xf>
    <xf numFmtId="0" fontId="21" fillId="0" borderId="0" xfId="2" applyFont="1" applyAlignment="1" applyProtection="1">
      <alignment horizontal="distributed" vertical="center"/>
    </xf>
    <xf numFmtId="0" fontId="21" fillId="0" borderId="6" xfId="2" applyFont="1" applyBorder="1" applyAlignment="1" applyProtection="1">
      <alignment horizontal="center" vertical="center" shrinkToFit="1"/>
    </xf>
    <xf numFmtId="0" fontId="21" fillId="0" borderId="7" xfId="2" applyFont="1" applyBorder="1" applyAlignment="1" applyProtection="1">
      <alignment horizontal="center" vertical="center" shrinkToFit="1"/>
    </xf>
    <xf numFmtId="0" fontId="21" fillId="9" borderId="2" xfId="2" applyFont="1" applyFill="1" applyBorder="1" applyAlignment="1" applyProtection="1">
      <alignment vertical="center" wrapText="1"/>
      <protection locked="0"/>
    </xf>
    <xf numFmtId="0" fontId="0" fillId="9" borderId="3" xfId="0" applyFill="1" applyBorder="1" applyAlignment="1" applyProtection="1">
      <alignment vertical="center" wrapText="1"/>
      <protection locked="0"/>
    </xf>
    <xf numFmtId="0" fontId="0" fillId="9" borderId="4" xfId="0" applyFill="1" applyBorder="1" applyAlignment="1" applyProtection="1">
      <alignment vertical="center" wrapText="1"/>
      <protection locked="0"/>
    </xf>
    <xf numFmtId="179" fontId="21" fillId="9" borderId="2" xfId="2" applyNumberFormat="1" applyFont="1" applyFill="1" applyBorder="1" applyAlignment="1" applyProtection="1">
      <alignment horizontal="right" vertical="center" shrinkToFit="1"/>
      <protection locked="0"/>
    </xf>
    <xf numFmtId="179" fontId="0" fillId="9" borderId="3" xfId="0" applyNumberFormat="1" applyFill="1" applyBorder="1" applyAlignment="1" applyProtection="1">
      <alignment vertical="center" shrinkToFit="1"/>
      <protection locked="0"/>
    </xf>
    <xf numFmtId="179" fontId="0" fillId="9" borderId="4" xfId="0" applyNumberFormat="1" applyFill="1" applyBorder="1" applyAlignment="1" applyProtection="1">
      <alignment vertical="center" shrinkToFit="1"/>
      <protection locked="0"/>
    </xf>
    <xf numFmtId="0" fontId="21" fillId="9" borderId="2" xfId="2" applyFont="1" applyFill="1" applyBorder="1" applyAlignment="1" applyProtection="1">
      <alignment horizontal="left" vertical="center" wrapText="1"/>
      <protection locked="0"/>
    </xf>
    <xf numFmtId="0" fontId="0" fillId="9" borderId="3" xfId="0" applyFill="1" applyBorder="1" applyAlignment="1" applyProtection="1">
      <alignment horizontal="left" vertical="center" wrapText="1"/>
      <protection locked="0"/>
    </xf>
    <xf numFmtId="0" fontId="0" fillId="9" borderId="4" xfId="0" applyFill="1" applyBorder="1" applyAlignment="1" applyProtection="1">
      <alignment horizontal="left" vertical="center" wrapText="1"/>
      <protection locked="0"/>
    </xf>
    <xf numFmtId="0" fontId="22" fillId="0" borderId="0" xfId="2" applyFont="1" applyAlignment="1" applyProtection="1">
      <alignment horizontal="center" vertical="center"/>
    </xf>
    <xf numFmtId="0" fontId="19" fillId="0" borderId="1" xfId="6" applyFont="1" applyFill="1" applyBorder="1" applyAlignment="1">
      <alignment horizontal="center"/>
    </xf>
    <xf numFmtId="0" fontId="0" fillId="0" borderId="3" xfId="0" applyBorder="1" applyAlignment="1">
      <alignment horizontal="center" vertical="center" shrinkToFit="1"/>
    </xf>
    <xf numFmtId="0" fontId="0" fillId="0" borderId="11" xfId="0" applyBorder="1" applyAlignment="1">
      <alignment horizontal="center" vertical="center" shrinkToFit="1"/>
    </xf>
    <xf numFmtId="0" fontId="0" fillId="0" borderId="0" xfId="0" applyBorder="1" applyAlignment="1">
      <alignment horizontal="center" vertical="center" shrinkToFit="1"/>
    </xf>
    <xf numFmtId="0" fontId="0" fillId="0" borderId="9" xfId="0" applyBorder="1" applyAlignment="1">
      <alignment horizontal="center" vertical="center" shrinkToFit="1"/>
    </xf>
    <xf numFmtId="0" fontId="21" fillId="9" borderId="4" xfId="0" applyFont="1" applyFill="1" applyBorder="1" applyAlignment="1" applyProtection="1">
      <alignment horizontal="left" vertical="center" shrinkToFit="1"/>
      <protection locked="0"/>
    </xf>
    <xf numFmtId="0" fontId="21" fillId="9" borderId="19" xfId="0" applyFont="1" applyFill="1" applyBorder="1" applyAlignment="1" applyProtection="1">
      <alignment horizontal="left" vertical="center" shrinkToFit="1"/>
      <protection locked="0"/>
    </xf>
    <xf numFmtId="0" fontId="21" fillId="9" borderId="19" xfId="0" applyFont="1" applyFill="1" applyBorder="1" applyAlignment="1" applyProtection="1">
      <alignment horizontal="left" vertical="center" shrinkToFit="1"/>
      <protection locked="0"/>
    </xf>
    <xf numFmtId="0" fontId="6" fillId="9" borderId="5" xfId="0" applyFont="1" applyFill="1" applyBorder="1" applyAlignment="1" applyProtection="1">
      <alignment horizontal="left" vertical="center" shrinkToFit="1"/>
      <protection locked="0"/>
    </xf>
    <xf numFmtId="0" fontId="6" fillId="9" borderId="10" xfId="0" applyFont="1" applyFill="1" applyBorder="1" applyAlignment="1" applyProtection="1">
      <alignment horizontal="left" vertical="center" shrinkToFit="1"/>
      <protection locked="0"/>
    </xf>
    <xf numFmtId="196" fontId="7" fillId="9" borderId="4" xfId="0" applyNumberFormat="1" applyFont="1" applyFill="1" applyBorder="1" applyAlignment="1" applyProtection="1">
      <alignment horizontal="right" vertical="center" shrinkToFit="1"/>
      <protection locked="0"/>
    </xf>
    <xf numFmtId="212" fontId="7" fillId="9" borderId="4" xfId="0" applyNumberFormat="1" applyFont="1" applyFill="1" applyBorder="1" applyAlignment="1" applyProtection="1">
      <alignment horizontal="right" vertical="center" shrinkToFit="1"/>
      <protection locked="0"/>
    </xf>
    <xf numFmtId="179" fontId="7" fillId="0" borderId="4" xfId="0" applyNumberFormat="1" applyFont="1" applyFill="1" applyBorder="1" applyAlignment="1" applyProtection="1">
      <alignment horizontal="right" vertical="center" shrinkToFit="1"/>
    </xf>
    <xf numFmtId="179" fontId="21" fillId="0" borderId="4" xfId="0" applyNumberFormat="1" applyFont="1" applyBorder="1" applyAlignment="1" applyProtection="1">
      <alignment vertical="center" shrinkToFit="1"/>
    </xf>
    <xf numFmtId="213" fontId="21" fillId="0" borderId="4" xfId="0" applyNumberFormat="1" applyFont="1" applyFill="1" applyBorder="1" applyAlignment="1" applyProtection="1">
      <alignment horizontal="right" vertical="center" shrinkToFit="1"/>
    </xf>
    <xf numFmtId="0" fontId="7" fillId="0" borderId="4" xfId="0" applyFont="1" applyBorder="1" applyAlignment="1" applyProtection="1">
      <alignment horizontal="center" vertical="center" shrinkToFit="1"/>
    </xf>
    <xf numFmtId="196" fontId="7" fillId="9" borderId="60" xfId="0" applyNumberFormat="1" applyFont="1" applyFill="1" applyBorder="1" applyAlignment="1" applyProtection="1">
      <alignment horizontal="right" vertical="center" shrinkToFit="1"/>
      <protection locked="0"/>
    </xf>
    <xf numFmtId="179" fontId="7" fillId="0" borderId="60" xfId="0" applyNumberFormat="1" applyFont="1" applyFill="1" applyBorder="1" applyAlignment="1" applyProtection="1">
      <alignment horizontal="right" vertical="center" shrinkToFit="1"/>
    </xf>
    <xf numFmtId="179" fontId="21" fillId="0" borderId="60" xfId="0" applyNumberFormat="1" applyFont="1" applyBorder="1" applyAlignment="1" applyProtection="1">
      <alignment vertical="center" shrinkToFit="1"/>
    </xf>
    <xf numFmtId="213" fontId="21" fillId="0" borderId="60" xfId="0" applyNumberFormat="1" applyFont="1" applyFill="1" applyBorder="1" applyAlignment="1" applyProtection="1">
      <alignment horizontal="right" vertical="center" shrinkToFit="1"/>
    </xf>
    <xf numFmtId="0" fontId="7" fillId="0" borderId="60" xfId="0" applyFont="1" applyBorder="1" applyAlignment="1" applyProtection="1">
      <alignment horizontal="center" vertical="center" shrinkToFit="1"/>
    </xf>
    <xf numFmtId="0" fontId="7" fillId="0" borderId="61" xfId="0" applyFont="1" applyBorder="1" applyAlignment="1" applyProtection="1">
      <alignment horizontal="center" vertical="center" shrinkToFit="1"/>
    </xf>
    <xf numFmtId="0" fontId="7" fillId="0" borderId="63" xfId="0" applyFont="1" applyBorder="1" applyAlignment="1" applyProtection="1">
      <alignment horizontal="center" vertical="center" shrinkToFit="1"/>
    </xf>
    <xf numFmtId="196" fontId="7" fillId="9" borderId="65" xfId="0" applyNumberFormat="1" applyFont="1" applyFill="1" applyBorder="1" applyAlignment="1" applyProtection="1">
      <alignment horizontal="right" vertical="center" shrinkToFit="1"/>
      <protection locked="0"/>
    </xf>
    <xf numFmtId="179" fontId="7" fillId="0" borderId="65" xfId="0" applyNumberFormat="1" applyFont="1" applyFill="1" applyBorder="1" applyAlignment="1" applyProtection="1">
      <alignment horizontal="right" vertical="center" shrinkToFit="1"/>
    </xf>
    <xf numFmtId="179" fontId="21" fillId="0" borderId="65" xfId="0" applyNumberFormat="1" applyFont="1" applyBorder="1" applyAlignment="1" applyProtection="1">
      <alignment vertical="center" shrinkToFit="1"/>
    </xf>
    <xf numFmtId="213" fontId="21" fillId="0" borderId="65" xfId="0" applyNumberFormat="1" applyFont="1" applyFill="1" applyBorder="1" applyAlignment="1" applyProtection="1">
      <alignment horizontal="right" vertical="center" shrinkToFit="1"/>
    </xf>
    <xf numFmtId="0" fontId="7" fillId="0" borderId="65" xfId="0" applyFont="1" applyBorder="1" applyAlignment="1" applyProtection="1">
      <alignment horizontal="center" vertical="center" shrinkToFit="1"/>
    </xf>
    <xf numFmtId="0" fontId="7" fillId="0" borderId="66" xfId="0" applyFont="1" applyBorder="1" applyAlignment="1" applyProtection="1">
      <alignment horizontal="center" vertical="center" shrinkToFit="1"/>
    </xf>
    <xf numFmtId="247" fontId="44" fillId="9" borderId="7" xfId="0" applyNumberFormat="1" applyFont="1" applyFill="1" applyBorder="1" applyAlignment="1">
      <alignment vertical="center"/>
    </xf>
    <xf numFmtId="247" fontId="44" fillId="8" borderId="7" xfId="20" applyNumberFormat="1" applyFont="1" applyFill="1" applyBorder="1" applyAlignment="1">
      <alignment vertical="center"/>
    </xf>
    <xf numFmtId="247" fontId="44" fillId="8" borderId="6" xfId="20" applyNumberFormat="1" applyFont="1" applyFill="1" applyBorder="1" applyAlignment="1">
      <alignment vertical="center"/>
    </xf>
    <xf numFmtId="247" fontId="48" fillId="9" borderId="6" xfId="0" applyNumberFormat="1" applyFont="1" applyFill="1" applyBorder="1" applyAlignment="1">
      <alignment vertical="center"/>
    </xf>
    <xf numFmtId="247" fontId="44" fillId="8" borderId="16" xfId="0" applyNumberFormat="1" applyFont="1" applyFill="1" applyBorder="1" applyAlignment="1">
      <alignment vertical="center"/>
    </xf>
    <xf numFmtId="247" fontId="44" fillId="8" borderId="18" xfId="0" applyNumberFormat="1" applyFont="1" applyFill="1" applyBorder="1" applyAlignment="1">
      <alignment vertical="center"/>
    </xf>
    <xf numFmtId="247" fontId="44" fillId="8" borderId="7" xfId="0" applyNumberFormat="1" applyFont="1" applyFill="1" applyBorder="1" applyAlignment="1">
      <alignment vertical="center"/>
    </xf>
    <xf numFmtId="247" fontId="48" fillId="8" borderId="6" xfId="0" applyNumberFormat="1" applyFont="1" applyFill="1" applyBorder="1" applyAlignment="1">
      <alignment vertical="center"/>
    </xf>
    <xf numFmtId="211" fontId="44" fillId="12" borderId="1" xfId="0" applyNumberFormat="1" applyFont="1" applyFill="1" applyBorder="1" applyAlignment="1">
      <alignment horizontal="right" vertical="center" shrinkToFit="1"/>
    </xf>
    <xf numFmtId="211" fontId="44" fillId="8" borderId="1" xfId="0" applyNumberFormat="1" applyFont="1" applyFill="1" applyBorder="1" applyAlignment="1">
      <alignment vertical="center" shrinkToFit="1"/>
    </xf>
    <xf numFmtId="211" fontId="44" fillId="8" borderId="1" xfId="0" applyNumberFormat="1" applyFont="1" applyFill="1" applyBorder="1" applyAlignment="1">
      <alignment vertical="center" wrapText="1" shrinkToFit="1"/>
    </xf>
    <xf numFmtId="211" fontId="44" fillId="9" borderId="1" xfId="0" applyNumberFormat="1" applyFont="1" applyFill="1" applyBorder="1" applyAlignment="1">
      <alignment vertical="center" shrinkToFit="1"/>
    </xf>
    <xf numFmtId="191" fontId="44" fillId="0" borderId="0" xfId="0" applyNumberFormat="1" applyFont="1" applyFill="1" applyBorder="1" applyAlignment="1">
      <alignment vertical="center" shrinkToFit="1"/>
    </xf>
    <xf numFmtId="0" fontId="44" fillId="0" borderId="0" xfId="0" applyFont="1" applyFill="1" applyBorder="1" applyAlignment="1">
      <alignment vertical="center" shrinkToFit="1"/>
    </xf>
    <xf numFmtId="176" fontId="44" fillId="0" borderId="0" xfId="0" applyNumberFormat="1" applyFont="1" applyFill="1" applyBorder="1" applyAlignment="1">
      <alignment vertical="center" shrinkToFit="1"/>
    </xf>
    <xf numFmtId="191" fontId="44" fillId="0" borderId="6" xfId="0" applyNumberFormat="1" applyFont="1" applyBorder="1" applyAlignment="1">
      <alignment vertical="center" shrinkToFit="1"/>
    </xf>
    <xf numFmtId="0" fontId="44" fillId="0" borderId="6" xfId="0" applyFont="1" applyBorder="1" applyAlignment="1">
      <alignment vertical="center" shrinkToFit="1"/>
    </xf>
    <xf numFmtId="176" fontId="44" fillId="0" borderId="6" xfId="0" applyNumberFormat="1" applyFont="1" applyBorder="1" applyAlignment="1">
      <alignment vertical="center" shrinkToFit="1"/>
    </xf>
    <xf numFmtId="242" fontId="71" fillId="0" borderId="2" xfId="0" applyNumberFormat="1" applyFont="1" applyBorder="1" applyAlignment="1">
      <alignment horizontal="center" vertical="center" shrinkToFit="1"/>
    </xf>
    <xf numFmtId="249" fontId="44" fillId="12" borderId="19" xfId="0" applyNumberFormat="1" applyFont="1" applyFill="1" applyBorder="1" applyAlignment="1">
      <alignment horizontal="right" vertical="center" shrinkToFit="1"/>
    </xf>
    <xf numFmtId="249" fontId="44" fillId="0" borderId="10" xfId="0" applyNumberFormat="1" applyFont="1" applyBorder="1" applyAlignment="1">
      <alignment horizontal="right" vertical="center" shrinkToFit="1"/>
    </xf>
    <xf numFmtId="211" fontId="44" fillId="12" borderId="4" xfId="0" applyNumberFormat="1" applyFont="1" applyFill="1" applyBorder="1" applyAlignment="1">
      <alignment horizontal="right" vertical="center" shrinkToFit="1"/>
    </xf>
    <xf numFmtId="191" fontId="44" fillId="12" borderId="59" xfId="0" applyNumberFormat="1" applyFont="1" applyFill="1" applyBorder="1" applyAlignment="1">
      <alignment horizontal="center" vertical="center" shrinkToFit="1"/>
    </xf>
    <xf numFmtId="191" fontId="10" fillId="12" borderId="88" xfId="0" applyNumberFormat="1" applyFont="1" applyFill="1" applyBorder="1" applyAlignment="1">
      <alignment horizontal="center" vertical="center" shrinkToFit="1"/>
    </xf>
    <xf numFmtId="191" fontId="10" fillId="12" borderId="90" xfId="0" applyNumberFormat="1" applyFont="1" applyFill="1" applyBorder="1" applyAlignment="1">
      <alignment horizontal="center" vertical="center" shrinkToFit="1"/>
    </xf>
    <xf numFmtId="191" fontId="10" fillId="12" borderId="60" xfId="0" applyNumberFormat="1" applyFont="1" applyFill="1" applyBorder="1" applyAlignment="1">
      <alignment horizontal="center" vertical="center" shrinkToFit="1"/>
    </xf>
    <xf numFmtId="253" fontId="44" fillId="12" borderId="60" xfId="0" applyNumberFormat="1" applyFont="1" applyFill="1" applyBorder="1" applyAlignment="1">
      <alignment horizontal="center" vertical="center" shrinkToFit="1"/>
    </xf>
    <xf numFmtId="253" fontId="44" fillId="12" borderId="61" xfId="0" applyNumberFormat="1" applyFont="1" applyFill="1" applyBorder="1" applyAlignment="1">
      <alignment horizontal="center" vertical="center" shrinkToFit="1"/>
    </xf>
    <xf numFmtId="0" fontId="44" fillId="12" borderId="116" xfId="0" applyFont="1" applyFill="1" applyBorder="1" applyAlignment="1">
      <alignment horizontal="center" vertical="center" shrinkToFit="1"/>
    </xf>
    <xf numFmtId="176" fontId="44" fillId="12" borderId="116" xfId="0" applyNumberFormat="1" applyFont="1" applyFill="1" applyBorder="1" applyAlignment="1">
      <alignment horizontal="left" vertical="center" shrinkToFit="1"/>
    </xf>
    <xf numFmtId="211" fontId="44" fillId="12" borderId="63" xfId="0" applyNumberFormat="1" applyFont="1" applyFill="1" applyBorder="1" applyAlignment="1">
      <alignment horizontal="right" vertical="center" shrinkToFit="1"/>
    </xf>
    <xf numFmtId="176" fontId="44" fillId="12" borderId="191" xfId="0" applyNumberFormat="1" applyFont="1" applyFill="1" applyBorder="1" applyAlignment="1">
      <alignment horizontal="left" vertical="center" shrinkToFit="1"/>
    </xf>
    <xf numFmtId="249" fontId="44" fillId="12" borderId="91" xfId="0" applyNumberFormat="1" applyFont="1" applyFill="1" applyBorder="1" applyAlignment="1">
      <alignment horizontal="right" vertical="center" shrinkToFit="1"/>
    </xf>
    <xf numFmtId="249" fontId="44" fillId="0" borderId="92" xfId="0" applyNumberFormat="1" applyFont="1" applyBorder="1" applyAlignment="1">
      <alignment horizontal="right" vertical="center" shrinkToFit="1"/>
    </xf>
    <xf numFmtId="249" fontId="48" fillId="12" borderId="192" xfId="0" applyNumberFormat="1" applyFont="1" applyFill="1" applyBorder="1" applyAlignment="1">
      <alignment horizontal="center" vertical="center" shrinkToFit="1"/>
    </xf>
    <xf numFmtId="211" fontId="44" fillId="12" borderId="65" xfId="0" applyNumberFormat="1" applyFont="1" applyFill="1" applyBorder="1" applyAlignment="1">
      <alignment horizontal="right" vertical="center" shrinkToFit="1"/>
    </xf>
    <xf numFmtId="211" fontId="44" fillId="12" borderId="66" xfId="0" applyNumberFormat="1" applyFont="1" applyFill="1" applyBorder="1" applyAlignment="1">
      <alignment horizontal="right" vertical="center" shrinkToFit="1"/>
    </xf>
    <xf numFmtId="210" fontId="44" fillId="12" borderId="63" xfId="0" applyNumberFormat="1" applyFont="1" applyFill="1" applyBorder="1" applyAlignment="1">
      <alignment horizontal="center" vertical="center" shrinkToFit="1"/>
    </xf>
    <xf numFmtId="0" fontId="55" fillId="0" borderId="0" xfId="6" applyFont="1" applyAlignment="1" applyProtection="1">
      <alignment horizontal="center" vertical="center"/>
    </xf>
    <xf numFmtId="0" fontId="71" fillId="0" borderId="59" xfId="0" applyFont="1" applyBorder="1" applyAlignment="1">
      <alignment horizontal="left" vertical="center" shrinkToFit="1"/>
    </xf>
    <xf numFmtId="210" fontId="71" fillId="0" borderId="60" xfId="0" applyNumberFormat="1" applyFont="1" applyBorder="1" applyAlignment="1">
      <alignment horizontal="center" vertical="center" shrinkToFit="1"/>
    </xf>
    <xf numFmtId="210" fontId="46" fillId="0" borderId="60" xfId="0" applyNumberFormat="1" applyFont="1" applyBorder="1" applyAlignment="1">
      <alignment horizontal="center" vertical="center" shrinkToFit="1"/>
    </xf>
    <xf numFmtId="210" fontId="71" fillId="0" borderId="60" xfId="0" applyNumberFormat="1" applyFont="1" applyBorder="1" applyAlignment="1">
      <alignment horizontal="right" vertical="center" shrinkToFit="1"/>
    </xf>
    <xf numFmtId="210" fontId="46" fillId="0" borderId="60" xfId="0" applyNumberFormat="1" applyFont="1" applyBorder="1" applyAlignment="1">
      <alignment horizontal="right" vertical="center" shrinkToFit="1"/>
    </xf>
    <xf numFmtId="0" fontId="71" fillId="0" borderId="64" xfId="0" applyFont="1" applyBorder="1" applyAlignment="1">
      <alignment horizontal="left" vertical="center" shrinkToFit="1"/>
    </xf>
    <xf numFmtId="210" fontId="71" fillId="0" borderId="65" xfId="0" applyNumberFormat="1" applyFont="1" applyBorder="1" applyAlignment="1">
      <alignment horizontal="center" vertical="center" shrinkToFit="1"/>
    </xf>
    <xf numFmtId="210" fontId="46" fillId="0" borderId="65" xfId="0" applyNumberFormat="1" applyFont="1" applyBorder="1" applyAlignment="1">
      <alignment horizontal="center" vertical="center" shrinkToFit="1"/>
    </xf>
    <xf numFmtId="210" fontId="71" fillId="0" borderId="65" xfId="0" applyNumberFormat="1" applyFont="1" applyBorder="1" applyAlignment="1">
      <alignment horizontal="right" vertical="center" shrinkToFit="1"/>
    </xf>
    <xf numFmtId="210" fontId="46" fillId="0" borderId="65" xfId="0" applyNumberFormat="1" applyFont="1" applyBorder="1" applyAlignment="1">
      <alignment horizontal="right" vertical="center" shrinkToFit="1"/>
    </xf>
    <xf numFmtId="248" fontId="9" fillId="0" borderId="1" xfId="0" applyNumberFormat="1" applyFont="1" applyBorder="1" applyProtection="1">
      <alignment vertical="center"/>
    </xf>
    <xf numFmtId="0" fontId="21" fillId="9" borderId="59" xfId="0" applyFont="1" applyFill="1" applyBorder="1" applyAlignment="1" applyProtection="1">
      <alignment horizontal="left" vertical="center" shrinkToFit="1"/>
    </xf>
    <xf numFmtId="0" fontId="21" fillId="9" borderId="88" xfId="0" applyFont="1" applyFill="1" applyBorder="1" applyAlignment="1" applyProtection="1">
      <alignment horizontal="left" vertical="center" shrinkToFit="1"/>
    </xf>
    <xf numFmtId="0" fontId="21" fillId="9" borderId="88" xfId="0" applyFont="1" applyFill="1" applyBorder="1" applyAlignment="1" applyProtection="1">
      <alignment horizontal="left" vertical="center" shrinkToFit="1"/>
    </xf>
    <xf numFmtId="0" fontId="6" fillId="9" borderId="89" xfId="0" applyFont="1" applyFill="1" applyBorder="1" applyAlignment="1" applyProtection="1">
      <alignment horizontal="left" vertical="center" shrinkToFit="1"/>
    </xf>
    <xf numFmtId="0" fontId="6" fillId="9" borderId="90" xfId="0" applyFont="1" applyFill="1" applyBorder="1" applyAlignment="1" applyProtection="1">
      <alignment horizontal="left" vertical="center" shrinkToFit="1"/>
    </xf>
    <xf numFmtId="0" fontId="21" fillId="9" borderId="62" xfId="0" applyFont="1" applyFill="1" applyBorder="1" applyAlignment="1" applyProtection="1">
      <alignment horizontal="left" vertical="center" shrinkToFit="1"/>
    </xf>
    <xf numFmtId="0" fontId="6" fillId="9" borderId="8" xfId="0" applyFont="1" applyFill="1" applyBorder="1" applyAlignment="1" applyProtection="1">
      <alignment horizontal="left" vertical="center" shrinkToFit="1"/>
    </xf>
    <xf numFmtId="0" fontId="6" fillId="9" borderId="6" xfId="0" applyFont="1" applyFill="1" applyBorder="1" applyAlignment="1" applyProtection="1">
      <alignment horizontal="left" vertical="center" shrinkToFit="1"/>
    </xf>
    <xf numFmtId="0" fontId="21" fillId="9" borderId="64" xfId="0" applyFont="1" applyFill="1" applyBorder="1" applyAlignment="1" applyProtection="1">
      <alignment horizontal="left" vertical="center" shrinkToFit="1"/>
    </xf>
    <xf numFmtId="0" fontId="21" fillId="9" borderId="91" xfId="0" applyFont="1" applyFill="1" applyBorder="1" applyAlignment="1" applyProtection="1">
      <alignment horizontal="left" vertical="center" shrinkToFit="1"/>
    </xf>
    <xf numFmtId="0" fontId="21" fillId="9" borderId="91" xfId="0" applyFont="1" applyFill="1" applyBorder="1" applyAlignment="1" applyProtection="1">
      <alignment horizontal="left" vertical="center" shrinkToFit="1"/>
    </xf>
    <xf numFmtId="0" fontId="6" fillId="9" borderId="75" xfId="0" applyFont="1" applyFill="1" applyBorder="1" applyAlignment="1" applyProtection="1">
      <alignment horizontal="left" vertical="center" shrinkToFit="1"/>
    </xf>
    <xf numFmtId="0" fontId="6" fillId="9" borderId="92" xfId="0" applyFont="1" applyFill="1" applyBorder="1" applyAlignment="1" applyProtection="1">
      <alignment horizontal="left" vertical="center" shrinkToFit="1"/>
    </xf>
    <xf numFmtId="212" fontId="7" fillId="9" borderId="60" xfId="0" applyNumberFormat="1" applyFont="1" applyFill="1" applyBorder="1" applyAlignment="1" applyProtection="1">
      <alignment horizontal="right" vertical="center" shrinkToFit="1"/>
    </xf>
    <xf numFmtId="196" fontId="7" fillId="9" borderId="60" xfId="0" applyNumberFormat="1" applyFont="1" applyFill="1" applyBorder="1" applyAlignment="1" applyProtection="1">
      <alignment horizontal="right" vertical="center" shrinkToFit="1"/>
    </xf>
    <xf numFmtId="212" fontId="7" fillId="9" borderId="1" xfId="0" applyNumberFormat="1" applyFont="1" applyFill="1" applyBorder="1" applyAlignment="1" applyProtection="1">
      <alignment horizontal="right" vertical="center" shrinkToFit="1"/>
    </xf>
    <xf numFmtId="196" fontId="7" fillId="9" borderId="1" xfId="0" applyNumberFormat="1" applyFont="1" applyFill="1" applyBorder="1" applyAlignment="1" applyProtection="1">
      <alignment horizontal="right" vertical="center" shrinkToFit="1"/>
    </xf>
    <xf numFmtId="212" fontId="7" fillId="9" borderId="65" xfId="0" applyNumberFormat="1" applyFont="1" applyFill="1" applyBorder="1" applyAlignment="1" applyProtection="1">
      <alignment horizontal="right" vertical="center" shrinkToFit="1"/>
    </xf>
    <xf numFmtId="196" fontId="7" fillId="9" borderId="65" xfId="0" applyNumberFormat="1" applyFont="1" applyFill="1" applyBorder="1" applyAlignment="1" applyProtection="1">
      <alignment horizontal="right" vertical="center" shrinkToFit="1"/>
    </xf>
    <xf numFmtId="248" fontId="8" fillId="0" borderId="1" xfId="0" applyNumberFormat="1" applyFont="1" applyBorder="1" applyAlignment="1" applyProtection="1">
      <alignment horizontal="center" vertical="center"/>
    </xf>
    <xf numFmtId="0" fontId="17" fillId="0" borderId="193" xfId="6" applyFont="1" applyBorder="1" applyAlignment="1" applyProtection="1">
      <alignment horizontal="left"/>
    </xf>
    <xf numFmtId="0" fontId="13" fillId="0" borderId="194" xfId="0" applyFont="1" applyBorder="1" applyAlignment="1" applyProtection="1"/>
    <xf numFmtId="0" fontId="13" fillId="0" borderId="195" xfId="0" applyFont="1" applyBorder="1" applyAlignment="1" applyProtection="1"/>
    <xf numFmtId="3" fontId="8" fillId="0" borderId="171" xfId="0" applyNumberFormat="1" applyFont="1" applyFill="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3" fontId="8" fillId="0" borderId="175" xfId="0" applyNumberFormat="1" applyFont="1" applyFill="1" applyBorder="1" applyAlignment="1" applyProtection="1">
      <alignment horizontal="center" vertical="center"/>
    </xf>
    <xf numFmtId="0" fontId="0" fillId="0" borderId="190" xfId="0" applyBorder="1" applyAlignment="1" applyProtection="1">
      <alignment vertical="center"/>
    </xf>
    <xf numFmtId="0" fontId="0" fillId="0" borderId="112" xfId="0" applyBorder="1" applyAlignment="1" applyProtection="1">
      <alignment vertical="center"/>
    </xf>
    <xf numFmtId="0" fontId="0" fillId="0" borderId="16" xfId="0" applyBorder="1" applyAlignment="1" applyProtection="1">
      <alignment horizontal="center" vertical="center"/>
    </xf>
    <xf numFmtId="0" fontId="0" fillId="0" borderId="187" xfId="0" applyFill="1" applyBorder="1" applyAlignment="1" applyProtection="1">
      <alignment vertical="center"/>
    </xf>
    <xf numFmtId="0" fontId="0" fillId="0" borderId="113" xfId="0" applyBorder="1" applyAlignment="1" applyProtection="1">
      <alignment horizontal="center" vertical="center"/>
    </xf>
    <xf numFmtId="0" fontId="0" fillId="0" borderId="31" xfId="0" applyBorder="1" applyAlignment="1" applyProtection="1">
      <alignment horizontal="center" vertical="center"/>
    </xf>
    <xf numFmtId="0" fontId="0" fillId="0" borderId="165" xfId="0" applyFill="1" applyBorder="1" applyAlignment="1" applyProtection="1">
      <alignment vertical="center"/>
    </xf>
    <xf numFmtId="0" fontId="0" fillId="0" borderId="113" xfId="0" applyBorder="1" applyAlignment="1" applyProtection="1">
      <alignment vertical="center"/>
    </xf>
    <xf numFmtId="0" fontId="0" fillId="0" borderId="42" xfId="0" applyBorder="1" applyAlignment="1" applyProtection="1">
      <alignment horizontal="center" vertical="center"/>
    </xf>
    <xf numFmtId="0" fontId="0" fillId="0" borderId="168" xfId="0" applyFill="1" applyBorder="1" applyAlignment="1" applyProtection="1">
      <alignment vertical="center"/>
    </xf>
    <xf numFmtId="0" fontId="0" fillId="0" borderId="19" xfId="0" applyBorder="1" applyAlignment="1" applyProtection="1">
      <alignment horizontal="center" vertical="center"/>
    </xf>
    <xf numFmtId="237" fontId="0" fillId="0" borderId="165" xfId="0" applyNumberFormat="1" applyBorder="1" applyAlignment="1" applyProtection="1">
      <alignment vertical="center"/>
    </xf>
    <xf numFmtId="0" fontId="0" fillId="0" borderId="58" xfId="0" applyBorder="1" applyAlignment="1" applyProtection="1">
      <alignment vertical="center"/>
    </xf>
    <xf numFmtId="0" fontId="0" fillId="0" borderId="113" xfId="0" applyFill="1" applyBorder="1" applyAlignment="1" applyProtection="1">
      <alignment vertical="center"/>
    </xf>
    <xf numFmtId="0" fontId="0" fillId="0" borderId="7" xfId="0" applyBorder="1" applyAlignment="1" applyProtection="1">
      <alignment horizontal="center" vertical="center"/>
    </xf>
    <xf numFmtId="0" fontId="0" fillId="0" borderId="91" xfId="0" applyBorder="1" applyAlignment="1" applyProtection="1">
      <alignment horizontal="center" vertical="center"/>
    </xf>
    <xf numFmtId="0" fontId="0" fillId="0" borderId="98" xfId="0" applyBorder="1" applyAlignment="1" applyProtection="1">
      <alignment vertical="center"/>
    </xf>
    <xf numFmtId="236" fontId="9" fillId="0" borderId="0" xfId="0" applyNumberFormat="1" applyFont="1" applyAlignment="1" applyProtection="1">
      <alignment horizontal="distributed" shrinkToFit="1"/>
    </xf>
    <xf numFmtId="0" fontId="7" fillId="0" borderId="3" xfId="0" applyFont="1" applyBorder="1" applyAlignment="1" applyProtection="1">
      <alignment horizontal="left" vertical="center" wrapText="1"/>
    </xf>
    <xf numFmtId="0" fontId="0" fillId="0" borderId="4" xfId="0" applyBorder="1" applyAlignment="1">
      <alignment horizontal="left" vertical="center" wrapText="1"/>
    </xf>
    <xf numFmtId="210" fontId="44" fillId="12" borderId="1" xfId="0" applyNumberFormat="1" applyFont="1" applyFill="1" applyBorder="1" applyAlignment="1" applyProtection="1">
      <alignment horizontal="center" vertical="center" shrinkToFit="1"/>
      <protection locked="0"/>
    </xf>
    <xf numFmtId="210" fontId="44" fillId="12" borderId="63" xfId="0" applyNumberFormat="1" applyFont="1" applyFill="1" applyBorder="1" applyAlignment="1" applyProtection="1">
      <alignment horizontal="center" vertical="center" shrinkToFit="1"/>
      <protection locked="0"/>
    </xf>
    <xf numFmtId="14" fontId="7" fillId="0" borderId="0" xfId="0" applyNumberFormat="1" applyFont="1" applyProtection="1">
      <alignment vertical="center"/>
    </xf>
    <xf numFmtId="0" fontId="17" fillId="9" borderId="26" xfId="0" applyFont="1" applyFill="1" applyBorder="1" applyAlignment="1" applyProtection="1">
      <alignment horizontal="center" vertical="center" shrinkToFit="1"/>
      <protection locked="0"/>
    </xf>
    <xf numFmtId="0" fontId="7" fillId="9" borderId="26" xfId="0" applyFont="1" applyFill="1" applyBorder="1" applyAlignment="1" applyProtection="1">
      <alignment horizontal="center" vertical="center" shrinkToFit="1"/>
      <protection locked="0"/>
    </xf>
    <xf numFmtId="0" fontId="7" fillId="9" borderId="26" xfId="0" applyFont="1" applyFill="1" applyBorder="1" applyAlignment="1" applyProtection="1">
      <alignment vertical="center"/>
      <protection locked="0"/>
    </xf>
    <xf numFmtId="0" fontId="6" fillId="0" borderId="0" xfId="0" applyFont="1" applyAlignment="1" applyProtection="1">
      <alignment horizontal="right" vertical="center"/>
    </xf>
    <xf numFmtId="0" fontId="17" fillId="0" borderId="26" xfId="0" applyFont="1" applyBorder="1" applyAlignment="1" applyProtection="1">
      <alignment horizontal="center" vertical="center"/>
    </xf>
    <xf numFmtId="0" fontId="0" fillId="0" borderId="8" xfId="0" applyBorder="1" applyAlignment="1" applyProtection="1">
      <alignment vertical="center"/>
      <protection locked="0"/>
    </xf>
  </cellXfs>
  <cellStyles count="21">
    <cellStyle name="ハイパーリンク" xfId="1" builtinId="8"/>
    <cellStyle name="ハイパーリンク 2" xfId="17" xr:uid="{1DFA7B82-22D0-4680-8A2C-354C10EAC52F}"/>
    <cellStyle name="ハイパーリンク 3" xfId="8" xr:uid="{37D181F6-E7BF-4407-99D1-CE3E9D575FBE}"/>
    <cellStyle name="桁区切り" xfId="5" builtinId="6"/>
    <cellStyle name="桁区切り 2" xfId="3" xr:uid="{00000000-0005-0000-0000-000002000000}"/>
    <cellStyle name="桁区切り 3" xfId="7" xr:uid="{73BC0B68-C273-4A81-A439-27DD2BA8A846}"/>
    <cellStyle name="標準" xfId="0" builtinId="0"/>
    <cellStyle name="標準 2" xfId="2" xr:uid="{00000000-0005-0000-0000-000004000000}"/>
    <cellStyle name="標準 2 2" xfId="13" xr:uid="{082A6CEF-B6E8-428C-923B-72F94F20C717}"/>
    <cellStyle name="標準 2 2 2" xfId="15" xr:uid="{DD5744ED-4D69-4167-9E28-B607700611F1}"/>
    <cellStyle name="標準 2 3" xfId="16" xr:uid="{056CE773-CB41-4F6A-BF09-58A64887C12D}"/>
    <cellStyle name="標準 2 4" xfId="12" xr:uid="{C27E0C57-6FC1-4BA6-A761-D442358D92B8}"/>
    <cellStyle name="標準 2 5" xfId="4" xr:uid="{00000000-0005-0000-0000-000005000000}"/>
    <cellStyle name="標準 2 6" xfId="9" xr:uid="{3289ABD2-B3AF-4AC1-AB3E-0AEDF91CA7A2}"/>
    <cellStyle name="標準 3" xfId="6" xr:uid="{00000000-0005-0000-0000-000006000000}"/>
    <cellStyle name="標準 3 2" xfId="14" xr:uid="{26BAB389-8F90-4375-B6B3-1817989D5E3F}"/>
    <cellStyle name="標準 4" xfId="10" xr:uid="{AB4E5413-89D6-436B-BC30-AC990B93E9B5}"/>
    <cellStyle name="標準 5" xfId="11" xr:uid="{A7062884-9674-4F9E-AD7B-EBD7D020BBE0}"/>
    <cellStyle name="標準 6" xfId="18" xr:uid="{ADB8E3A2-574F-4199-89A5-2E8E2B5E642B}"/>
    <cellStyle name="標準 7" xfId="19" xr:uid="{6FA136FA-F4BF-4C73-B227-BF22AE7F1498}"/>
    <cellStyle name="標準 8" xfId="20" xr:uid="{B7449E45-8043-4955-A6F3-60ABE8098375}"/>
  </cellStyles>
  <dxfs count="38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fmlaLink="$AN$3" lockText="1" noThreeD="1"/>
</file>

<file path=xl/ctrlProps/ctrlProp2.xml><?xml version="1.0" encoding="utf-8"?>
<formControlPr xmlns="http://schemas.microsoft.com/office/spreadsheetml/2009/9/main" objectType="CheckBox" fmlaLink="$AN$4" lockText="1" noThreeD="1"/>
</file>

<file path=xl/ctrlProps/ctrlProp3.xml><?xml version="1.0" encoding="utf-8"?>
<formControlPr xmlns="http://schemas.microsoft.com/office/spreadsheetml/2009/9/main" objectType="CheckBox" fmlaLink="$AN$5" lockText="1" noThreeD="1"/>
</file>

<file path=xl/ctrlProps/ctrlProp4.xml><?xml version="1.0" encoding="utf-8"?>
<formControlPr xmlns="http://schemas.microsoft.com/office/spreadsheetml/2009/9/main" objectType="CheckBox" fmlaLink="$AE$2" lockText="1" noThreeD="1"/>
</file>

<file path=xl/ctrlProps/ctrlProp5.xml><?xml version="1.0" encoding="utf-8"?>
<formControlPr xmlns="http://schemas.microsoft.com/office/spreadsheetml/2009/9/main" objectType="CheckBox" fmlaLink="$AE$4" lockText="1" noThreeD="1"/>
</file>

<file path=xl/ctrlProps/ctrlProp6.xml><?xml version="1.0" encoding="utf-8"?>
<formControlPr xmlns="http://schemas.microsoft.com/office/spreadsheetml/2009/9/main" objectType="CheckBox" fmlaLink="$AE$3" lockText="1" noThreeD="1"/>
</file>

<file path=xl/ctrlProps/ctrlProp7.xml><?xml version="1.0" encoding="utf-8"?>
<formControlPr xmlns="http://schemas.microsoft.com/office/spreadsheetml/2009/9/main" objectType="CheckBox" fmlaLink="$AH$2" lockText="1" noThreeD="1"/>
</file>

<file path=xl/ctrlProps/ctrlProp8.xml><?xml version="1.0" encoding="utf-8"?>
<formControlPr xmlns="http://schemas.microsoft.com/office/spreadsheetml/2009/9/main" objectType="CheckBox" fmlaLink="$AH$3" lockText="1" noThreeD="1"/>
</file>

<file path=xl/drawings/_rels/drawing11.xml.rels><?xml version="1.0" encoding="UTF-8" standalone="yes"?>
<Relationships xmlns="http://schemas.openxmlformats.org/package/2006/relationships"><Relationship Id="rId1" Type="http://schemas.openxmlformats.org/officeDocument/2006/relationships/image" Target="../media/image21.emf"/></Relationships>
</file>

<file path=xl/drawings/_rels/drawing1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emf"/></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drawing9.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1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85725</xdr:colOff>
          <xdr:row>2</xdr:row>
          <xdr:rowOff>57150</xdr:rowOff>
        </xdr:from>
        <xdr:to>
          <xdr:col>7</xdr:col>
          <xdr:colOff>333375</xdr:colOff>
          <xdr:row>2</xdr:row>
          <xdr:rowOff>266700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xdr:row>
          <xdr:rowOff>76200</xdr:rowOff>
        </xdr:from>
        <xdr:to>
          <xdr:col>7</xdr:col>
          <xdr:colOff>333375</xdr:colOff>
          <xdr:row>3</xdr:row>
          <xdr:rowOff>304800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4</xdr:row>
          <xdr:rowOff>38100</xdr:rowOff>
        </xdr:from>
        <xdr:to>
          <xdr:col>7</xdr:col>
          <xdr:colOff>428625</xdr:colOff>
          <xdr:row>4</xdr:row>
          <xdr:rowOff>266700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587375</xdr:colOff>
      <xdr:row>11</xdr:row>
      <xdr:rowOff>162721</xdr:rowOff>
    </xdr:from>
    <xdr:to>
      <xdr:col>38</xdr:col>
      <xdr:colOff>492125</xdr:colOff>
      <xdr:row>12</xdr:row>
      <xdr:rowOff>127002</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19431000" y="5052221"/>
          <a:ext cx="4095750" cy="7897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日付をプルダウン設定すること。</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39</xdr:col>
      <xdr:colOff>253999</xdr:colOff>
      <xdr:row>13</xdr:row>
      <xdr:rowOff>47624</xdr:rowOff>
    </xdr:from>
    <xdr:to>
      <xdr:col>49</xdr:col>
      <xdr:colOff>47625</xdr:colOff>
      <xdr:row>21</xdr:row>
      <xdr:rowOff>63499</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10239374" y="2285999"/>
          <a:ext cx="4968876" cy="1666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1"/>
            <a:t>賃金情報については、</a:t>
          </a:r>
          <a:endParaRPr kumimoji="1" lang="en-US" altLang="ja-JP" sz="1600" b="1"/>
        </a:p>
        <a:p>
          <a:r>
            <a:rPr kumimoji="1" lang="ja-JP" altLang="en-US" sz="1600" b="1"/>
            <a:t>「月例給の場合」または「時給雇用の場合」</a:t>
          </a:r>
          <a:endParaRPr kumimoji="1" lang="en-US" altLang="ja-JP" sz="1600" b="1"/>
        </a:p>
        <a:p>
          <a:r>
            <a:rPr kumimoji="1" lang="ja-JP" altLang="en-US" sz="1600" b="1"/>
            <a:t>のいずれかのみ入力するようにしてください。</a:t>
          </a:r>
          <a:endParaRPr kumimoji="1" lang="en-US" altLang="ja-JP" sz="1600" b="1"/>
        </a:p>
        <a:p>
          <a:r>
            <a:rPr kumimoji="1" lang="ja-JP" altLang="en-US" sz="1600" b="1"/>
            <a:t>（いずれも入力すると判定が「</a:t>
          </a:r>
          <a:r>
            <a:rPr kumimoji="1" lang="en-US" altLang="ja-JP" sz="1600" b="1"/>
            <a:t>×</a:t>
          </a:r>
          <a:r>
            <a:rPr kumimoji="1" lang="ja-JP" altLang="en-US" sz="1600" b="1"/>
            <a:t>」になります。）</a:t>
          </a:r>
          <a:endParaRPr kumimoji="1" lang="en-US" altLang="ja-JP" sz="1600" b="1"/>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39</xdr:col>
          <xdr:colOff>107950</xdr:colOff>
          <xdr:row>0</xdr:row>
          <xdr:rowOff>60325</xdr:rowOff>
        </xdr:from>
        <xdr:to>
          <xdr:col>47</xdr:col>
          <xdr:colOff>444500</xdr:colOff>
          <xdr:row>4</xdr:row>
          <xdr:rowOff>3175</xdr:rowOff>
        </xdr:to>
        <xdr:pic>
          <xdr:nvPicPr>
            <xdr:cNvPr id="2" name="図 1">
              <a:extLst>
                <a:ext uri="{FF2B5EF4-FFF2-40B4-BE49-F238E27FC236}">
                  <a16:creationId xmlns:a16="http://schemas.microsoft.com/office/drawing/2014/main" id="{00000000-0008-0000-0E00-000002000000}"/>
                </a:ext>
              </a:extLst>
            </xdr:cNvPr>
            <xdr:cNvPicPr>
              <a:picLocks noChangeAspect="1" noChangeArrowheads="1"/>
              <a:extLst>
                <a:ext uri="{84589F7E-364E-4C9E-8A38-B11213B215E9}">
                  <a14:cameraTool cellRange="$BD$2:$BF$5" spid="_x0000_s68629"/>
                </a:ext>
              </a:extLst>
            </xdr:cNvPicPr>
          </xdr:nvPicPr>
          <xdr:blipFill>
            <a:blip xmlns:r="http://schemas.openxmlformats.org/officeDocument/2006/relationships" r:embed="rId1"/>
            <a:srcRect/>
            <a:stretch>
              <a:fillRect/>
            </a:stretch>
          </xdr:blipFill>
          <xdr:spPr bwMode="auto">
            <a:xfrm>
              <a:off x="11331575" y="60325"/>
              <a:ext cx="8940800" cy="12287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371475</xdr:colOff>
          <xdr:row>5</xdr:row>
          <xdr:rowOff>28575</xdr:rowOff>
        </xdr:from>
        <xdr:to>
          <xdr:col>2</xdr:col>
          <xdr:colOff>790575</xdr:colOff>
          <xdr:row>5</xdr:row>
          <xdr:rowOff>266700</xdr:rowOff>
        </xdr:to>
        <xdr:sp macro="" textlink="">
          <xdr:nvSpPr>
            <xdr:cNvPr id="7302" name="Check Box 134" hidden="1">
              <a:extLst>
                <a:ext uri="{63B3BB69-23CF-44E3-9099-C40C66FF867C}">
                  <a14:compatExt spid="_x0000_s7302"/>
                </a:ext>
                <a:ext uri="{FF2B5EF4-FFF2-40B4-BE49-F238E27FC236}">
                  <a16:creationId xmlns:a16="http://schemas.microsoft.com/office/drawing/2014/main" id="{00000000-0008-0000-0F00-00008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3000375</xdr:colOff>
          <xdr:row>5</xdr:row>
          <xdr:rowOff>28575</xdr:rowOff>
        </xdr:from>
        <xdr:to>
          <xdr:col>4</xdr:col>
          <xdr:colOff>285750</xdr:colOff>
          <xdr:row>5</xdr:row>
          <xdr:rowOff>304800</xdr:rowOff>
        </xdr:to>
        <xdr:sp macro="" textlink="">
          <xdr:nvSpPr>
            <xdr:cNvPr id="7304" name="Check Box 136" hidden="1">
              <a:extLst>
                <a:ext uri="{63B3BB69-23CF-44E3-9099-C40C66FF867C}">
                  <a14:compatExt spid="_x0000_s7304"/>
                </a:ext>
                <a:ext uri="{FF2B5EF4-FFF2-40B4-BE49-F238E27FC236}">
                  <a16:creationId xmlns:a16="http://schemas.microsoft.com/office/drawing/2014/main" id="{00000000-0008-0000-0F00-00008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5</xdr:row>
          <xdr:rowOff>9525</xdr:rowOff>
        </xdr:from>
        <xdr:to>
          <xdr:col>3</xdr:col>
          <xdr:colOff>1171575</xdr:colOff>
          <xdr:row>5</xdr:row>
          <xdr:rowOff>285750</xdr:rowOff>
        </xdr:to>
        <xdr:sp macro="" textlink="">
          <xdr:nvSpPr>
            <xdr:cNvPr id="7579" name="Check Box 411" hidden="1">
              <a:extLst>
                <a:ext uri="{63B3BB69-23CF-44E3-9099-C40C66FF867C}">
                  <a14:compatExt spid="_x0000_s7579"/>
                </a:ext>
                <a:ext uri="{FF2B5EF4-FFF2-40B4-BE49-F238E27FC236}">
                  <a16:creationId xmlns:a16="http://schemas.microsoft.com/office/drawing/2014/main" id="{00000000-0008-0000-0F00-00009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xdr:row>
          <xdr:rowOff>38100</xdr:rowOff>
        </xdr:from>
        <xdr:to>
          <xdr:col>2</xdr:col>
          <xdr:colOff>838200</xdr:colOff>
          <xdr:row>15</xdr:row>
          <xdr:rowOff>276225</xdr:rowOff>
        </xdr:to>
        <xdr:sp macro="" textlink="">
          <xdr:nvSpPr>
            <xdr:cNvPr id="7969" name="Check Box 801" hidden="1">
              <a:extLst>
                <a:ext uri="{63B3BB69-23CF-44E3-9099-C40C66FF867C}">
                  <a14:compatExt spid="_x0000_s7969"/>
                </a:ext>
                <a:ext uri="{FF2B5EF4-FFF2-40B4-BE49-F238E27FC236}">
                  <a16:creationId xmlns:a16="http://schemas.microsoft.com/office/drawing/2014/main" id="{00000000-0008-0000-0F00-00002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1076325</xdr:colOff>
          <xdr:row>15</xdr:row>
          <xdr:rowOff>28575</xdr:rowOff>
        </xdr:from>
        <xdr:to>
          <xdr:col>3</xdr:col>
          <xdr:colOff>1495425</xdr:colOff>
          <xdr:row>15</xdr:row>
          <xdr:rowOff>276225</xdr:rowOff>
        </xdr:to>
        <xdr:sp macro="" textlink="">
          <xdr:nvSpPr>
            <xdr:cNvPr id="7970" name="Check Box 802" hidden="1">
              <a:extLst>
                <a:ext uri="{63B3BB69-23CF-44E3-9099-C40C66FF867C}">
                  <a14:compatExt spid="_x0000_s7970"/>
                </a:ext>
                <a:ext uri="{FF2B5EF4-FFF2-40B4-BE49-F238E27FC236}">
                  <a16:creationId xmlns:a16="http://schemas.microsoft.com/office/drawing/2014/main" id="{00000000-0008-0000-0F00-00002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234950</xdr:colOff>
          <xdr:row>0</xdr:row>
          <xdr:rowOff>160867</xdr:rowOff>
        </xdr:from>
        <xdr:to>
          <xdr:col>27</xdr:col>
          <xdr:colOff>165100</xdr:colOff>
          <xdr:row>5</xdr:row>
          <xdr:rowOff>224367</xdr:rowOff>
        </xdr:to>
        <xdr:pic>
          <xdr:nvPicPr>
            <xdr:cNvPr id="12" name="図 11">
              <a:extLst>
                <a:ext uri="{FF2B5EF4-FFF2-40B4-BE49-F238E27FC236}">
                  <a16:creationId xmlns:a16="http://schemas.microsoft.com/office/drawing/2014/main" id="{00000000-0008-0000-0F00-00000C000000}"/>
                </a:ext>
              </a:extLst>
            </xdr:cNvPr>
            <xdr:cNvPicPr>
              <a:picLocks noChangeAspect="1" noChangeArrowheads="1"/>
              <a:extLst>
                <a:ext uri="{84589F7E-364E-4C9E-8A38-B11213B215E9}">
                  <a14:cameraTool cellRange="$AH$77:$AU$81" spid="_x0000_s72771"/>
                </a:ext>
              </a:extLst>
            </xdr:cNvPicPr>
          </xdr:nvPicPr>
          <xdr:blipFill>
            <a:blip xmlns:r="http://schemas.openxmlformats.org/officeDocument/2006/relationships" r:embed="rId1"/>
            <a:srcRect/>
            <a:stretch>
              <a:fillRect/>
            </a:stretch>
          </xdr:blipFill>
          <xdr:spPr bwMode="auto">
            <a:xfrm>
              <a:off x="15208250" y="160867"/>
              <a:ext cx="9632950" cy="15494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10</xdr:col>
      <xdr:colOff>238125</xdr:colOff>
      <xdr:row>3</xdr:row>
      <xdr:rowOff>222249</xdr:rowOff>
    </xdr:from>
    <xdr:to>
      <xdr:col>14</xdr:col>
      <xdr:colOff>73025</xdr:colOff>
      <xdr:row>5</xdr:row>
      <xdr:rowOff>285750</xdr:rowOff>
    </xdr:to>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10779125" y="1047749"/>
          <a:ext cx="5581650" cy="698501"/>
        </a:xfrm>
        <a:prstGeom prst="rect">
          <a:avLst/>
        </a:prstGeom>
        <a:solidFill>
          <a:schemeClr val="lt1"/>
        </a:solidFill>
        <a:ln w="1905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0000"/>
              </a:solidFill>
            </a:rPr>
            <a:t>【</a:t>
          </a:r>
          <a:r>
            <a:rPr kumimoji="1" lang="ja-JP" altLang="en-US" sz="1400" b="1">
              <a:solidFill>
                <a:srgbClr val="FF0000"/>
              </a:solidFill>
            </a:rPr>
            <a:t>注意</a:t>
          </a:r>
          <a:r>
            <a:rPr kumimoji="1" lang="en-US" altLang="ja-JP" sz="1400" b="1">
              <a:solidFill>
                <a:srgbClr val="FF0000"/>
              </a:solidFill>
            </a:rPr>
            <a:t>】</a:t>
          </a:r>
          <a:r>
            <a:rPr kumimoji="1" lang="ja-JP" altLang="en-US" sz="1400" b="1">
              <a:solidFill>
                <a:srgbClr val="FF0000"/>
              </a:solidFill>
            </a:rPr>
            <a:t>簡易診療室の整備について申請をしない場合は、</a:t>
          </a:r>
          <a:r>
            <a:rPr kumimoji="1" lang="ja-JP" altLang="en-US" sz="1400" b="1" u="sng">
              <a:solidFill>
                <a:srgbClr val="FF0000"/>
              </a:solidFill>
            </a:rPr>
            <a:t>本シート</a:t>
          </a:r>
          <a:endParaRPr kumimoji="1" lang="en-US" altLang="ja-JP" sz="1400" b="1" u="sng">
            <a:solidFill>
              <a:srgbClr val="FF0000"/>
            </a:solidFill>
          </a:endParaRPr>
        </a:p>
        <a:p>
          <a:r>
            <a:rPr kumimoji="1" lang="ja-JP" altLang="en-US" sz="1400" b="1" u="sng">
              <a:solidFill>
                <a:srgbClr val="FF0000"/>
              </a:solidFill>
            </a:rPr>
            <a:t>への入力（チェックを含めて）はしない</a:t>
          </a:r>
          <a:r>
            <a:rPr kumimoji="1" lang="ja-JP" altLang="en-US" sz="1400" b="1">
              <a:solidFill>
                <a:srgbClr val="FF0000"/>
              </a:solidFill>
            </a:rPr>
            <a:t>ようにしてください。</a:t>
          </a:r>
        </a:p>
      </xdr:txBody>
    </xdr:sp>
    <xdr:clientData/>
  </xdr:twoCellAnchor>
  <mc:AlternateContent xmlns:mc="http://schemas.openxmlformats.org/markup-compatibility/2006">
    <mc:Choice xmlns:a14="http://schemas.microsoft.com/office/drawing/2010/main" Requires="a14">
      <xdr:twoCellAnchor editAs="oneCell">
        <xdr:from>
          <xdr:col>20</xdr:col>
          <xdr:colOff>565150</xdr:colOff>
          <xdr:row>29</xdr:row>
          <xdr:rowOff>250825</xdr:rowOff>
        </xdr:from>
        <xdr:to>
          <xdr:col>26</xdr:col>
          <xdr:colOff>22225</xdr:colOff>
          <xdr:row>70</xdr:row>
          <xdr:rowOff>193675</xdr:rowOff>
        </xdr:to>
        <xdr:pic>
          <xdr:nvPicPr>
            <xdr:cNvPr id="3" name="図 2">
              <a:extLst>
                <a:ext uri="{FF2B5EF4-FFF2-40B4-BE49-F238E27FC236}">
                  <a16:creationId xmlns:a16="http://schemas.microsoft.com/office/drawing/2014/main" id="{00000000-0008-0000-0F00-000003000000}"/>
                </a:ext>
              </a:extLst>
            </xdr:cNvPr>
            <xdr:cNvPicPr>
              <a:picLocks noChangeAspect="1" noChangeArrowheads="1"/>
              <a:extLst>
                <a:ext uri="{84589F7E-364E-4C9E-8A38-B11213B215E9}">
                  <a14:cameraTool cellRange="$Z$31:$AC$71" spid="_x0000_s72772"/>
                </a:ext>
              </a:extLst>
            </xdr:cNvPicPr>
          </xdr:nvPicPr>
          <xdr:blipFill>
            <a:blip xmlns:r="http://schemas.openxmlformats.org/officeDocument/2006/relationships" r:embed="rId2"/>
            <a:srcRect/>
            <a:stretch>
              <a:fillRect/>
            </a:stretch>
          </xdr:blipFill>
          <xdr:spPr bwMode="auto">
            <a:xfrm>
              <a:off x="19345275" y="10093325"/>
              <a:ext cx="5838825" cy="129603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41</xdr:col>
      <xdr:colOff>105834</xdr:colOff>
      <xdr:row>21</xdr:row>
      <xdr:rowOff>42333</xdr:rowOff>
    </xdr:from>
    <xdr:to>
      <xdr:col>42</xdr:col>
      <xdr:colOff>21167</xdr:colOff>
      <xdr:row>27</xdr:row>
      <xdr:rowOff>201083</xdr:rowOff>
    </xdr:to>
    <xdr:sp macro="" textlink="">
      <xdr:nvSpPr>
        <xdr:cNvPr id="2" name="右中かっこ 1">
          <a:extLst>
            <a:ext uri="{FF2B5EF4-FFF2-40B4-BE49-F238E27FC236}">
              <a16:creationId xmlns:a16="http://schemas.microsoft.com/office/drawing/2014/main" id="{00000000-0008-0000-0200-000002000000}"/>
            </a:ext>
          </a:extLst>
        </xdr:cNvPr>
        <xdr:cNvSpPr/>
      </xdr:nvSpPr>
      <xdr:spPr>
        <a:xfrm>
          <a:off x="11431059" y="3795183"/>
          <a:ext cx="191558" cy="158750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0</xdr:colOff>
      <xdr:row>77</xdr:row>
      <xdr:rowOff>19050</xdr:rowOff>
    </xdr:from>
    <xdr:to>
      <xdr:col>33</xdr:col>
      <xdr:colOff>266700</xdr:colOff>
      <xdr:row>77</xdr:row>
      <xdr:rowOff>266700</xdr:rowOff>
    </xdr:to>
    <xdr:cxnSp macro="">
      <xdr:nvCxnSpPr>
        <xdr:cNvPr id="5" name="直線矢印コネクタ 4">
          <a:extLst>
            <a:ext uri="{FF2B5EF4-FFF2-40B4-BE49-F238E27FC236}">
              <a16:creationId xmlns:a16="http://schemas.microsoft.com/office/drawing/2014/main" id="{00000000-0008-0000-0200-000005000000}"/>
            </a:ext>
          </a:extLst>
        </xdr:cNvPr>
        <xdr:cNvCxnSpPr/>
      </xdr:nvCxnSpPr>
      <xdr:spPr>
        <a:xfrm flipH="1">
          <a:off x="8286750" y="30613350"/>
          <a:ext cx="1409700" cy="24765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214312</xdr:colOff>
      <xdr:row>65</xdr:row>
      <xdr:rowOff>309562</xdr:rowOff>
    </xdr:from>
    <xdr:to>
      <xdr:col>50</xdr:col>
      <xdr:colOff>62932</xdr:colOff>
      <xdr:row>67</xdr:row>
      <xdr:rowOff>544286</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1441906" y="22014656"/>
          <a:ext cx="2313214" cy="1115786"/>
        </a:xfrm>
        <a:prstGeom prst="rect">
          <a:avLst/>
        </a:prstGeom>
        <a:solidFill>
          <a:schemeClr val="lt1"/>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個人防護具の経費を申請に計上しない場合は入力不要です。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105834</xdr:colOff>
      <xdr:row>21</xdr:row>
      <xdr:rowOff>42333</xdr:rowOff>
    </xdr:from>
    <xdr:to>
      <xdr:col>42</xdr:col>
      <xdr:colOff>21167</xdr:colOff>
      <xdr:row>27</xdr:row>
      <xdr:rowOff>201083</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11431059" y="6757458"/>
          <a:ext cx="191558" cy="198755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105834</xdr:colOff>
      <xdr:row>21</xdr:row>
      <xdr:rowOff>42333</xdr:rowOff>
    </xdr:from>
    <xdr:to>
      <xdr:col>42</xdr:col>
      <xdr:colOff>21167</xdr:colOff>
      <xdr:row>27</xdr:row>
      <xdr:rowOff>201083</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11431059" y="6757458"/>
          <a:ext cx="191558" cy="198755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105834</xdr:colOff>
      <xdr:row>21</xdr:row>
      <xdr:rowOff>42333</xdr:rowOff>
    </xdr:from>
    <xdr:to>
      <xdr:col>42</xdr:col>
      <xdr:colOff>21167</xdr:colOff>
      <xdr:row>27</xdr:row>
      <xdr:rowOff>201083</xdr:rowOff>
    </xdr:to>
    <xdr:sp macro="" textlink="">
      <xdr:nvSpPr>
        <xdr:cNvPr id="5" name="右中かっこ 4">
          <a:extLst>
            <a:ext uri="{FF2B5EF4-FFF2-40B4-BE49-F238E27FC236}">
              <a16:creationId xmlns:a16="http://schemas.microsoft.com/office/drawing/2014/main" id="{00000000-0008-0000-0300-000005000000}"/>
            </a:ext>
          </a:extLst>
        </xdr:cNvPr>
        <xdr:cNvSpPr/>
      </xdr:nvSpPr>
      <xdr:spPr>
        <a:xfrm>
          <a:off x="11431059" y="6757458"/>
          <a:ext cx="191558" cy="198755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0</xdr:colOff>
      <xdr:row>76</xdr:row>
      <xdr:rowOff>19050</xdr:rowOff>
    </xdr:from>
    <xdr:to>
      <xdr:col>33</xdr:col>
      <xdr:colOff>266700</xdr:colOff>
      <xdr:row>76</xdr:row>
      <xdr:rowOff>266700</xdr:rowOff>
    </xdr:to>
    <xdr:cxnSp macro="">
      <xdr:nvCxnSpPr>
        <xdr:cNvPr id="6" name="直線矢印コネクタ 5">
          <a:extLst>
            <a:ext uri="{FF2B5EF4-FFF2-40B4-BE49-F238E27FC236}">
              <a16:creationId xmlns:a16="http://schemas.microsoft.com/office/drawing/2014/main" id="{00000000-0008-0000-0300-000006000000}"/>
            </a:ext>
          </a:extLst>
        </xdr:cNvPr>
        <xdr:cNvCxnSpPr/>
      </xdr:nvCxnSpPr>
      <xdr:spPr>
        <a:xfrm flipH="1">
          <a:off x="8010525" y="25679400"/>
          <a:ext cx="1371600" cy="17145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76</xdr:row>
      <xdr:rowOff>19050</xdr:rowOff>
    </xdr:from>
    <xdr:to>
      <xdr:col>33</xdr:col>
      <xdr:colOff>266700</xdr:colOff>
      <xdr:row>76</xdr:row>
      <xdr:rowOff>266700</xdr:rowOff>
    </xdr:to>
    <xdr:cxnSp macro="">
      <xdr:nvCxnSpPr>
        <xdr:cNvPr id="7" name="直線矢印コネクタ 6">
          <a:extLst>
            <a:ext uri="{FF2B5EF4-FFF2-40B4-BE49-F238E27FC236}">
              <a16:creationId xmlns:a16="http://schemas.microsoft.com/office/drawing/2014/main" id="{00000000-0008-0000-0300-000007000000}"/>
            </a:ext>
          </a:extLst>
        </xdr:cNvPr>
        <xdr:cNvCxnSpPr/>
      </xdr:nvCxnSpPr>
      <xdr:spPr>
        <a:xfrm flipH="1">
          <a:off x="8010525" y="25679400"/>
          <a:ext cx="1371600" cy="17145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163286</xdr:colOff>
      <xdr:row>65</xdr:row>
      <xdr:rowOff>163285</xdr:rowOff>
    </xdr:from>
    <xdr:to>
      <xdr:col>50</xdr:col>
      <xdr:colOff>27214</xdr:colOff>
      <xdr:row>67</xdr:row>
      <xdr:rowOff>408214</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11321143" y="20941392"/>
          <a:ext cx="2313214" cy="1115786"/>
        </a:xfrm>
        <a:prstGeom prst="rect">
          <a:avLst/>
        </a:prstGeom>
        <a:solidFill>
          <a:schemeClr val="lt1"/>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個人防護具の経費を申請に計上しない場合は入力不要です。</a:t>
          </a:r>
        </a:p>
      </xdr:txBody>
    </xdr:sp>
    <xdr:clientData/>
  </xdr:twoCellAnchor>
  <xdr:twoCellAnchor>
    <xdr:from>
      <xdr:col>41</xdr:col>
      <xdr:colOff>105834</xdr:colOff>
      <xdr:row>21</xdr:row>
      <xdr:rowOff>42333</xdr:rowOff>
    </xdr:from>
    <xdr:to>
      <xdr:col>42</xdr:col>
      <xdr:colOff>21167</xdr:colOff>
      <xdr:row>27</xdr:row>
      <xdr:rowOff>201083</xdr:rowOff>
    </xdr:to>
    <xdr:sp macro="" textlink="">
      <xdr:nvSpPr>
        <xdr:cNvPr id="3" name="右中かっこ 2">
          <a:extLst>
            <a:ext uri="{FF2B5EF4-FFF2-40B4-BE49-F238E27FC236}">
              <a16:creationId xmlns:a16="http://schemas.microsoft.com/office/drawing/2014/main" id="{00000000-0008-0000-0300-000003000000}"/>
            </a:ext>
          </a:extLst>
        </xdr:cNvPr>
        <xdr:cNvSpPr/>
      </xdr:nvSpPr>
      <xdr:spPr>
        <a:xfrm>
          <a:off x="11431059" y="6766983"/>
          <a:ext cx="191558" cy="198755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105834</xdr:colOff>
      <xdr:row>21</xdr:row>
      <xdr:rowOff>42333</xdr:rowOff>
    </xdr:from>
    <xdr:to>
      <xdr:col>42</xdr:col>
      <xdr:colOff>21167</xdr:colOff>
      <xdr:row>27</xdr:row>
      <xdr:rowOff>201083</xdr:rowOff>
    </xdr:to>
    <xdr:sp macro="" textlink="">
      <xdr:nvSpPr>
        <xdr:cNvPr id="9" name="右中かっこ 8">
          <a:extLst>
            <a:ext uri="{FF2B5EF4-FFF2-40B4-BE49-F238E27FC236}">
              <a16:creationId xmlns:a16="http://schemas.microsoft.com/office/drawing/2014/main" id="{00000000-0008-0000-0300-000009000000}"/>
            </a:ext>
          </a:extLst>
        </xdr:cNvPr>
        <xdr:cNvSpPr/>
      </xdr:nvSpPr>
      <xdr:spPr>
        <a:xfrm>
          <a:off x="11431059" y="6766983"/>
          <a:ext cx="191558" cy="198755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106589</xdr:colOff>
      <xdr:row>43</xdr:row>
      <xdr:rowOff>47624</xdr:rowOff>
    </xdr:from>
    <xdr:to>
      <xdr:col>29</xdr:col>
      <xdr:colOff>263071</xdr:colOff>
      <xdr:row>50</xdr:row>
      <xdr:rowOff>127000</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455964" y="10366374"/>
          <a:ext cx="6633482" cy="16351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　　</a:t>
          </a:r>
          <a:r>
            <a:rPr kumimoji="1" lang="ja-JP" altLang="en-US" sz="1800"/>
            <a:t>　</a:t>
          </a:r>
          <a:r>
            <a:rPr kumimoji="1" lang="en-US" altLang="ja-JP" sz="1800"/>
            <a:t>【</a:t>
          </a:r>
          <a:r>
            <a:rPr kumimoji="1" lang="ja-JP" altLang="en-US" sz="1800"/>
            <a:t>郵送先</a:t>
          </a:r>
          <a:r>
            <a:rPr kumimoji="1" lang="en-US" altLang="ja-JP" sz="1800"/>
            <a:t>】</a:t>
          </a:r>
        </a:p>
        <a:p>
          <a:r>
            <a:rPr kumimoji="1" lang="ja-JP" altLang="en-US" sz="1800"/>
            <a:t>　　　〒４６０－８５０１</a:t>
          </a:r>
          <a:endParaRPr kumimoji="1" lang="en-US" altLang="ja-JP" sz="1800"/>
        </a:p>
        <a:p>
          <a:r>
            <a:rPr kumimoji="1" lang="ja-JP" altLang="en-US" sz="1800"/>
            <a:t>　　　名古屋市中区三の丸３－１－２</a:t>
          </a:r>
          <a:endParaRPr kumimoji="1" lang="en-US" altLang="ja-JP" sz="1800"/>
        </a:p>
        <a:p>
          <a:r>
            <a:rPr kumimoji="1" lang="ja-JP" altLang="en-US" sz="1800"/>
            <a:t>　　　愛知県感染症対策課助成グループ　宛</a:t>
          </a:r>
        </a:p>
      </xdr:txBody>
    </xdr:sp>
    <xdr:clientData/>
  </xdr:twoCellAnchor>
  <xdr:twoCellAnchor>
    <xdr:from>
      <xdr:col>0</xdr:col>
      <xdr:colOff>149679</xdr:colOff>
      <xdr:row>6</xdr:row>
      <xdr:rowOff>217715</xdr:rowOff>
    </xdr:from>
    <xdr:to>
      <xdr:col>12</xdr:col>
      <xdr:colOff>149679</xdr:colOff>
      <xdr:row>17</xdr:row>
      <xdr:rowOff>20411</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49679" y="1673679"/>
          <a:ext cx="3265714" cy="2347232"/>
        </a:xfrm>
        <a:prstGeom prst="rect">
          <a:avLst/>
        </a:prstGeom>
        <a:solidFill>
          <a:schemeClr val="accent4">
            <a:lumMod val="20000"/>
            <a:lumOff val="80000"/>
          </a:schemeClr>
        </a:solidFill>
        <a:ln w="15875" cmpd="dbl">
          <a:solidFill>
            <a:schemeClr val="accent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kumimoji="1" lang="ja-JP" altLang="en-US" sz="1600" b="0">
              <a:latin typeface="ＭＳ ゴシック" panose="020B0609070205080204" pitchFamily="49" charset="-128"/>
              <a:ea typeface="ＭＳ ゴシック" panose="020B0609070205080204" pitchFamily="49" charset="-128"/>
            </a:rPr>
            <a:t>「はじめに入力してください」シートに入力した内容が自動表示されますので、本シートは入力　不要です。</a:t>
          </a:r>
          <a:endParaRPr kumimoji="1" lang="en-US" altLang="ja-JP" sz="1600" b="0">
            <a:latin typeface="ＭＳ ゴシック" panose="020B0609070205080204" pitchFamily="49" charset="-128"/>
            <a:ea typeface="ＭＳ ゴシック" panose="020B0609070205080204" pitchFamily="49" charset="-128"/>
          </a:endParaRPr>
        </a:p>
        <a:p>
          <a:pPr algn="just"/>
          <a:endParaRPr kumimoji="1" lang="en-US" altLang="ja-JP" sz="1600" b="0">
            <a:latin typeface="ＭＳ ゴシック" panose="020B0609070205080204" pitchFamily="49" charset="-128"/>
            <a:ea typeface="ＭＳ ゴシック" panose="020B0609070205080204" pitchFamily="49" charset="-128"/>
          </a:endParaRPr>
        </a:p>
        <a:p>
          <a:pPr algn="just"/>
          <a:r>
            <a:rPr kumimoji="1" lang="ja-JP" altLang="en-US" sz="1600" b="0">
              <a:latin typeface="ＭＳ ゴシック" panose="020B0609070205080204" pitchFamily="49" charset="-128"/>
              <a:ea typeface="ＭＳ ゴシック" panose="020B0609070205080204" pitchFamily="49" charset="-128"/>
            </a:rPr>
            <a:t>また、申請額は関係シートに経費情報が入力されると自動で表示　されます。</a:t>
          </a:r>
        </a:p>
      </xdr:txBody>
    </xdr:sp>
    <xdr:clientData/>
  </xdr:twoCellAnchor>
  <xdr:twoCellAnchor editAs="oneCell">
    <xdr:from>
      <xdr:col>1</xdr:col>
      <xdr:colOff>0</xdr:colOff>
      <xdr:row>55</xdr:row>
      <xdr:rowOff>0</xdr:rowOff>
    </xdr:from>
    <xdr:to>
      <xdr:col>35</xdr:col>
      <xdr:colOff>174625</xdr:colOff>
      <xdr:row>67</xdr:row>
      <xdr:rowOff>75949</xdr:rowOff>
    </xdr:to>
    <xdr:pic>
      <xdr:nvPicPr>
        <xdr:cNvPr id="5" name="図 4">
          <a:extLst>
            <a:ext uri="{FF2B5EF4-FFF2-40B4-BE49-F238E27FC236}">
              <a16:creationId xmlns:a16="http://schemas.microsoft.com/office/drawing/2014/main" id="{E7B6398C-420A-21DC-3C06-478E4B8BF4A9}"/>
            </a:ext>
          </a:extLst>
        </xdr:cNvPr>
        <xdr:cNvPicPr>
          <a:picLocks noChangeAspect="1"/>
        </xdr:cNvPicPr>
      </xdr:nvPicPr>
      <xdr:blipFill>
        <a:blip xmlns:r="http://schemas.openxmlformats.org/officeDocument/2006/relationships" r:embed="rId1"/>
        <a:stretch>
          <a:fillRect/>
        </a:stretch>
      </xdr:blipFill>
      <xdr:spPr>
        <a:xfrm>
          <a:off x="317500" y="13128625"/>
          <a:ext cx="10969625" cy="29016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158749</xdr:colOff>
          <xdr:row>0</xdr:row>
          <xdr:rowOff>147637</xdr:rowOff>
        </xdr:from>
        <xdr:to>
          <xdr:col>13</xdr:col>
          <xdr:colOff>5302249</xdr:colOff>
          <xdr:row>2</xdr:row>
          <xdr:rowOff>523875</xdr:rowOff>
        </xdr:to>
        <xdr:pic>
          <xdr:nvPicPr>
            <xdr:cNvPr id="2" name="図 1">
              <a:extLst>
                <a:ext uri="{FF2B5EF4-FFF2-40B4-BE49-F238E27FC236}">
                  <a16:creationId xmlns:a16="http://schemas.microsoft.com/office/drawing/2014/main" id="{00000000-0008-0000-0500-000002000000}"/>
                </a:ext>
              </a:extLst>
            </xdr:cNvPr>
            <xdr:cNvPicPr>
              <a:picLocks noChangeAspect="1" noChangeArrowheads="1"/>
              <a:extLst>
                <a:ext uri="{84589F7E-364E-4C9E-8A38-B11213B215E9}">
                  <a14:cameraTool cellRange="$M$48:$N$50" spid="_x0000_s18156"/>
                </a:ext>
              </a:extLst>
            </xdr:cNvPicPr>
          </xdr:nvPicPr>
          <xdr:blipFill>
            <a:blip xmlns:r="http://schemas.openxmlformats.org/officeDocument/2006/relationships" r:embed="rId1"/>
            <a:srcRect/>
            <a:stretch>
              <a:fillRect/>
            </a:stretch>
          </xdr:blipFill>
          <xdr:spPr bwMode="auto">
            <a:xfrm>
              <a:off x="12287249" y="147637"/>
              <a:ext cx="7096125" cy="151923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13</xdr:col>
      <xdr:colOff>6048375</xdr:colOff>
      <xdr:row>0</xdr:row>
      <xdr:rowOff>261936</xdr:rowOff>
    </xdr:from>
    <xdr:to>
      <xdr:col>21</xdr:col>
      <xdr:colOff>381000</xdr:colOff>
      <xdr:row>3</xdr:row>
      <xdr:rowOff>190499</xdr:rowOff>
    </xdr:to>
    <xdr:sp macro="" textlink="">
      <xdr:nvSpPr>
        <xdr:cNvPr id="3" name="吹き出し: 角を丸めた四角形 2">
          <a:extLst>
            <a:ext uri="{FF2B5EF4-FFF2-40B4-BE49-F238E27FC236}">
              <a16:creationId xmlns:a16="http://schemas.microsoft.com/office/drawing/2014/main" id="{00000000-0008-0000-0500-000003000000}"/>
            </a:ext>
          </a:extLst>
        </xdr:cNvPr>
        <xdr:cNvSpPr/>
      </xdr:nvSpPr>
      <xdr:spPr>
        <a:xfrm>
          <a:off x="19907250" y="261936"/>
          <a:ext cx="5905500" cy="1643063"/>
        </a:xfrm>
        <a:prstGeom prst="wedgeRoundRectCallout">
          <a:avLst>
            <a:gd name="adj1" fmla="val -58343"/>
            <a:gd name="adj2" fmla="val -37485"/>
            <a:gd name="adj3" fmla="val 16667"/>
          </a:avLst>
        </a:prstGeom>
        <a:solidFill>
          <a:schemeClr val="accent4">
            <a:lumMod val="20000"/>
            <a:lumOff val="80000"/>
          </a:schemeClr>
        </a:solidFill>
        <a:ln>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rgbClr val="FF0000"/>
              </a:solidFill>
            </a:rPr>
            <a:t>日付は記入不要です。</a:t>
          </a:r>
          <a:endParaRPr kumimoji="1" lang="ja-JP" altLang="en-US" sz="1600" b="1">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38</xdr:col>
      <xdr:colOff>66675</xdr:colOff>
      <xdr:row>49</xdr:row>
      <xdr:rowOff>17808</xdr:rowOff>
    </xdr:from>
    <xdr:to>
      <xdr:col>41</xdr:col>
      <xdr:colOff>342900</xdr:colOff>
      <xdr:row>55</xdr:row>
      <xdr:rowOff>204498</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375632" y="10445612"/>
          <a:ext cx="2255768" cy="232360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264239</xdr:colOff>
          <xdr:row>13</xdr:row>
          <xdr:rowOff>243094</xdr:rowOff>
        </xdr:from>
        <xdr:to>
          <xdr:col>17</xdr:col>
          <xdr:colOff>351680</xdr:colOff>
          <xdr:row>18</xdr:row>
          <xdr:rowOff>97871</xdr:rowOff>
        </xdr:to>
        <xdr:pic>
          <xdr:nvPicPr>
            <xdr:cNvPr id="4" name="図 3">
              <a:extLst>
                <a:ext uri="{FF2B5EF4-FFF2-40B4-BE49-F238E27FC236}">
                  <a16:creationId xmlns:a16="http://schemas.microsoft.com/office/drawing/2014/main" id="{00000000-0008-0000-0600-000004000000}"/>
                </a:ext>
              </a:extLst>
            </xdr:cNvPr>
            <xdr:cNvPicPr>
              <a:picLocks noChangeAspect="1" noChangeArrowheads="1"/>
              <a:extLst>
                <a:ext uri="{84589F7E-364E-4C9E-8A38-B11213B215E9}">
                  <a14:cameraTool cellRange="$AM$50:$AP$56" spid="_x0000_s19158"/>
                </a:ext>
              </a:extLst>
            </xdr:cNvPicPr>
          </xdr:nvPicPr>
          <xdr:blipFill>
            <a:blip xmlns:r="http://schemas.openxmlformats.org/officeDocument/2006/relationships" r:embed="rId2"/>
            <a:srcRect/>
            <a:stretch>
              <a:fillRect/>
            </a:stretch>
          </xdr:blipFill>
          <xdr:spPr bwMode="auto">
            <a:xfrm>
              <a:off x="5093000" y="2802420"/>
              <a:ext cx="1155897" cy="1146864"/>
            </a:xfrm>
            <a:prstGeom prst="rect">
              <a:avLst/>
            </a:prstGeom>
            <a:noFill/>
            <a:ln w="9525">
              <a:noFill/>
              <a:miter lim="800000"/>
              <a:headEnd/>
              <a:tailEnd/>
            </a:ln>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174624</xdr:colOff>
          <xdr:row>3</xdr:row>
          <xdr:rowOff>47624</xdr:rowOff>
        </xdr:from>
        <xdr:to>
          <xdr:col>16</xdr:col>
          <xdr:colOff>628648</xdr:colOff>
          <xdr:row>12</xdr:row>
          <xdr:rowOff>95249</xdr:rowOff>
        </xdr:to>
        <xdr:pic>
          <xdr:nvPicPr>
            <xdr:cNvPr id="2" name="図 1">
              <a:extLst>
                <a:ext uri="{FF2B5EF4-FFF2-40B4-BE49-F238E27FC236}">
                  <a16:creationId xmlns:a16="http://schemas.microsoft.com/office/drawing/2014/main" id="{00000000-0008-0000-1000-000002000000}"/>
                </a:ext>
              </a:extLst>
            </xdr:cNvPr>
            <xdr:cNvPicPr>
              <a:picLocks noChangeAspect="1" noChangeArrowheads="1"/>
              <a:extLst>
                <a:ext uri="{84589F7E-364E-4C9E-8A38-B11213B215E9}">
                  <a14:cameraTool cellRange="$X$4:$AD$13" spid="_x0000_s17316"/>
                </a:ext>
              </a:extLst>
            </xdr:cNvPicPr>
          </xdr:nvPicPr>
          <xdr:blipFill>
            <a:blip xmlns:r="http://schemas.openxmlformats.org/officeDocument/2006/relationships" r:embed="rId1"/>
            <a:srcRect/>
            <a:stretch>
              <a:fillRect/>
            </a:stretch>
          </xdr:blipFill>
          <xdr:spPr bwMode="auto">
            <a:xfrm>
              <a:off x="7810499" y="1015999"/>
              <a:ext cx="5232399" cy="23336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2266950</xdr:colOff>
          <xdr:row>13</xdr:row>
          <xdr:rowOff>63500</xdr:rowOff>
        </xdr:from>
        <xdr:to>
          <xdr:col>32</xdr:col>
          <xdr:colOff>527051</xdr:colOff>
          <xdr:row>165</xdr:row>
          <xdr:rowOff>34471</xdr:rowOff>
        </xdr:to>
        <xdr:pic>
          <xdr:nvPicPr>
            <xdr:cNvPr id="6" name="図 5">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AL$12:$AO$163" spid="_x0000_s61273"/>
                </a:ext>
              </a:extLst>
            </xdr:cNvPicPr>
          </xdr:nvPicPr>
          <xdr:blipFill>
            <a:blip xmlns:r="http://schemas.openxmlformats.org/officeDocument/2006/relationships" r:embed="rId1"/>
            <a:srcRect/>
            <a:stretch>
              <a:fillRect/>
            </a:stretch>
          </xdr:blipFill>
          <xdr:spPr bwMode="auto">
            <a:xfrm>
              <a:off x="19443700" y="5349875"/>
              <a:ext cx="4371976" cy="38578971"/>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22</xdr:col>
      <xdr:colOff>1397000</xdr:colOff>
      <xdr:row>10</xdr:row>
      <xdr:rowOff>635000</xdr:rowOff>
    </xdr:from>
    <xdr:to>
      <xdr:col>23</xdr:col>
      <xdr:colOff>1476375</xdr:colOff>
      <xdr:row>10</xdr:row>
      <xdr:rowOff>1571625</xdr:rowOff>
    </xdr:to>
    <xdr:sp macro="" textlink="">
      <xdr:nvSpPr>
        <xdr:cNvPr id="5" name="吹き出し: 角を丸めた四角形 2">
          <a:extLst>
            <a:ext uri="{FF2B5EF4-FFF2-40B4-BE49-F238E27FC236}">
              <a16:creationId xmlns:a16="http://schemas.microsoft.com/office/drawing/2014/main" id="{00000000-0008-0000-0A00-000005000000}"/>
            </a:ext>
          </a:extLst>
        </xdr:cNvPr>
        <xdr:cNvSpPr/>
      </xdr:nvSpPr>
      <xdr:spPr>
        <a:xfrm>
          <a:off x="16240125" y="3238500"/>
          <a:ext cx="2413000" cy="936625"/>
        </a:xfrm>
        <a:prstGeom prst="wedgeRoundRectCallout">
          <a:avLst>
            <a:gd name="adj1" fmla="val -123876"/>
            <a:gd name="adj2" fmla="val 79444"/>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latin typeface="+mn-ea"/>
              <a:ea typeface="+mn-ea"/>
            </a:rPr>
            <a:t>購入した個人防護具の単価が基準額を上回っていると赤く表示されますが、入力上問題ありません。</a:t>
          </a:r>
        </a:p>
      </xdr:txBody>
    </xdr:sp>
    <xdr:clientData/>
  </xdr:twoCellAnchor>
  <mc:AlternateContent xmlns:mc="http://schemas.openxmlformats.org/markup-compatibility/2006">
    <mc:Choice xmlns:a14="http://schemas.microsoft.com/office/drawing/2010/main" Requires="a14">
      <xdr:twoCellAnchor editAs="oneCell">
        <xdr:from>
          <xdr:col>22</xdr:col>
          <xdr:colOff>143329</xdr:colOff>
          <xdr:row>0</xdr:row>
          <xdr:rowOff>313872</xdr:rowOff>
        </xdr:from>
        <xdr:to>
          <xdr:col>31</xdr:col>
          <xdr:colOff>46174</xdr:colOff>
          <xdr:row>6</xdr:row>
          <xdr:rowOff>156409</xdr:rowOff>
        </xdr:to>
        <xdr:pic>
          <xdr:nvPicPr>
            <xdr:cNvPr id="7" name="図 6">
              <a:extLst>
                <a:ext uri="{FF2B5EF4-FFF2-40B4-BE49-F238E27FC236}">
                  <a16:creationId xmlns:a16="http://schemas.microsoft.com/office/drawing/2014/main" id="{00000000-0008-0000-0A00-000007000000}"/>
                </a:ext>
              </a:extLst>
            </xdr:cNvPr>
            <xdr:cNvPicPr>
              <a:picLocks noChangeAspect="1" noChangeArrowheads="1"/>
              <a:extLst>
                <a:ext uri="{84589F7E-364E-4C9E-8A38-B11213B215E9}">
                  <a14:cameraTool cellRange="$AU$174:$AX$177" spid="_x0000_s61274"/>
                </a:ext>
              </a:extLst>
            </xdr:cNvPicPr>
          </xdr:nvPicPr>
          <xdr:blipFill>
            <a:blip xmlns:r="http://schemas.openxmlformats.org/officeDocument/2006/relationships" r:embed="rId2"/>
            <a:srcRect/>
            <a:stretch>
              <a:fillRect/>
            </a:stretch>
          </xdr:blipFill>
          <xdr:spPr bwMode="auto">
            <a:xfrm>
              <a:off x="14986454" y="313872"/>
              <a:ext cx="7665720" cy="1430037"/>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8</xdr:col>
      <xdr:colOff>555625</xdr:colOff>
      <xdr:row>9</xdr:row>
      <xdr:rowOff>15875</xdr:rowOff>
    </xdr:from>
    <xdr:to>
      <xdr:col>10</xdr:col>
      <xdr:colOff>444500</xdr:colOff>
      <xdr:row>10</xdr:row>
      <xdr:rowOff>1222375</xdr:rowOff>
    </xdr:to>
    <xdr:cxnSp macro="">
      <xdr:nvCxnSpPr>
        <xdr:cNvPr id="8" name="直線矢印コネクタ 7">
          <a:extLst>
            <a:ext uri="{FF2B5EF4-FFF2-40B4-BE49-F238E27FC236}">
              <a16:creationId xmlns:a16="http://schemas.microsoft.com/office/drawing/2014/main" id="{00000000-0008-0000-0A00-000008000000}"/>
            </a:ext>
          </a:extLst>
        </xdr:cNvPr>
        <xdr:cNvCxnSpPr/>
      </xdr:nvCxnSpPr>
      <xdr:spPr>
        <a:xfrm flipH="1" flipV="1">
          <a:off x="5635625" y="2301875"/>
          <a:ext cx="1190625" cy="1524000"/>
        </a:xfrm>
        <a:prstGeom prst="straightConnector1">
          <a:avLst/>
        </a:prstGeom>
        <a:ln w="28575">
          <a:solidFill>
            <a:srgbClr val="FFC000"/>
          </a:solidFill>
          <a:prstDash val="dash"/>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47625</xdr:colOff>
      <xdr:row>5</xdr:row>
      <xdr:rowOff>15875</xdr:rowOff>
    </xdr:from>
    <xdr:to>
      <xdr:col>5</xdr:col>
      <xdr:colOff>111125</xdr:colOff>
      <xdr:row>7</xdr:row>
      <xdr:rowOff>15875</xdr:rowOff>
    </xdr:to>
    <xdr:sp macro="" textlink="">
      <xdr:nvSpPr>
        <xdr:cNvPr id="2" name="右中かっこ 1">
          <a:extLst>
            <a:ext uri="{FF2B5EF4-FFF2-40B4-BE49-F238E27FC236}">
              <a16:creationId xmlns:a16="http://schemas.microsoft.com/office/drawing/2014/main" id="{00000000-0008-0000-0A00-000002000000}"/>
            </a:ext>
          </a:extLst>
        </xdr:cNvPr>
        <xdr:cNvSpPr/>
      </xdr:nvSpPr>
      <xdr:spPr>
        <a:xfrm>
          <a:off x="2698750" y="1349375"/>
          <a:ext cx="63500" cy="50800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238125</xdr:colOff>
      <xdr:row>1</xdr:row>
      <xdr:rowOff>158750</xdr:rowOff>
    </xdr:from>
    <xdr:to>
      <xdr:col>6</xdr:col>
      <xdr:colOff>523875</xdr:colOff>
      <xdr:row>5</xdr:row>
      <xdr:rowOff>222250</xdr:rowOff>
    </xdr:to>
    <xdr:cxnSp macro="">
      <xdr:nvCxnSpPr>
        <xdr:cNvPr id="4" name="直線矢印コネクタ 3">
          <a:extLst>
            <a:ext uri="{FF2B5EF4-FFF2-40B4-BE49-F238E27FC236}">
              <a16:creationId xmlns:a16="http://schemas.microsoft.com/office/drawing/2014/main" id="{00000000-0008-0000-0A00-000004000000}"/>
            </a:ext>
          </a:extLst>
        </xdr:cNvPr>
        <xdr:cNvCxnSpPr/>
      </xdr:nvCxnSpPr>
      <xdr:spPr>
        <a:xfrm flipH="1">
          <a:off x="2889250" y="539750"/>
          <a:ext cx="1095375" cy="10160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508000</xdr:colOff>
      <xdr:row>0</xdr:row>
      <xdr:rowOff>206374</xdr:rowOff>
    </xdr:from>
    <xdr:to>
      <xdr:col>15</xdr:col>
      <xdr:colOff>682625</xdr:colOff>
      <xdr:row>3</xdr:row>
      <xdr:rowOff>126999</xdr:rowOff>
    </xdr:to>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3968750" y="206374"/>
          <a:ext cx="4953000" cy="68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「基礎情報」シートに入力された</a:t>
          </a:r>
          <a:endParaRPr kumimoji="1" lang="en-US" altLang="ja-JP" sz="1100" b="1">
            <a:solidFill>
              <a:srgbClr val="FF0000"/>
            </a:solidFill>
          </a:endParaRPr>
        </a:p>
        <a:p>
          <a:r>
            <a:rPr kumimoji="1" lang="ja-JP" altLang="en-US" sz="1100" b="1">
              <a:solidFill>
                <a:srgbClr val="FF0000"/>
              </a:solidFill>
            </a:rPr>
            <a:t>「診療日数」及び１日あたり平均の「常勤換算配置員数」が表示されます。</a:t>
          </a:r>
        </a:p>
      </xdr:txBody>
    </xdr:sp>
    <xdr:clientData/>
  </xdr:twoCellAnchor>
  <xdr:twoCellAnchor>
    <xdr:from>
      <xdr:col>17</xdr:col>
      <xdr:colOff>809625</xdr:colOff>
      <xdr:row>10</xdr:row>
      <xdr:rowOff>1000126</xdr:rowOff>
    </xdr:from>
    <xdr:to>
      <xdr:col>20</xdr:col>
      <xdr:colOff>95250</xdr:colOff>
      <xdr:row>10</xdr:row>
      <xdr:rowOff>1397000</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11795125" y="3667126"/>
          <a:ext cx="1746250" cy="396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ゴシック" panose="020B0609070205080204" pitchFamily="49" charset="-128"/>
              <a:ea typeface="ＭＳ ゴシック" panose="020B0609070205080204" pitchFamily="49" charset="-128"/>
            </a:rPr>
            <a:t>↑ １ケあたり補助単価</a:t>
          </a:r>
        </a:p>
      </xdr:txBody>
    </xdr:sp>
    <xdr:clientData/>
  </xdr:twoCellAnchor>
  <xdr:twoCellAnchor>
    <xdr:from>
      <xdr:col>22</xdr:col>
      <xdr:colOff>206375</xdr:colOff>
      <xdr:row>8</xdr:row>
      <xdr:rowOff>111124</xdr:rowOff>
    </xdr:from>
    <xdr:to>
      <xdr:col>23</xdr:col>
      <xdr:colOff>793750</xdr:colOff>
      <xdr:row>10</xdr:row>
      <xdr:rowOff>571500</xdr:rowOff>
    </xdr:to>
    <xdr:sp macro="" textlink="">
      <xdr:nvSpPr>
        <xdr:cNvPr id="9" name="吹き出し: 角を丸めた四角形 2">
          <a:extLst>
            <a:ext uri="{FF2B5EF4-FFF2-40B4-BE49-F238E27FC236}">
              <a16:creationId xmlns:a16="http://schemas.microsoft.com/office/drawing/2014/main" id="{00000000-0008-0000-0A00-000009000000}"/>
            </a:ext>
          </a:extLst>
        </xdr:cNvPr>
        <xdr:cNvSpPr/>
      </xdr:nvSpPr>
      <xdr:spPr>
        <a:xfrm>
          <a:off x="15049500" y="2206624"/>
          <a:ext cx="2921000" cy="968376"/>
        </a:xfrm>
        <a:prstGeom prst="wedgeRoundRectCallout">
          <a:avLst>
            <a:gd name="adj1" fmla="val -114474"/>
            <a:gd name="adj2" fmla="val 176441"/>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latin typeface="+mn-ea"/>
              <a:ea typeface="+mn-ea"/>
            </a:rPr>
            <a:t>交付申請の際は見積書、カタログ等の提出は不要ですので必要情報が入力されると「－」が表示されます。</a:t>
          </a:r>
        </a:p>
      </xdr:txBody>
    </xdr:sp>
    <xdr:clientData/>
  </xdr:twoCellAnchor>
  <mc:AlternateContent xmlns:mc="http://schemas.openxmlformats.org/markup-compatibility/2006">
    <mc:Choice xmlns:a14="http://schemas.microsoft.com/office/drawing/2010/main" Requires="a14">
      <xdr:twoCellAnchor editAs="oneCell">
        <xdr:from>
          <xdr:col>15</xdr:col>
          <xdr:colOff>635001</xdr:colOff>
          <xdr:row>3</xdr:row>
          <xdr:rowOff>47626</xdr:rowOff>
        </xdr:from>
        <xdr:to>
          <xdr:col>20</xdr:col>
          <xdr:colOff>1079500</xdr:colOff>
          <xdr:row>10</xdr:row>
          <xdr:rowOff>963298</xdr:rowOff>
        </xdr:to>
        <xdr:pic>
          <xdr:nvPicPr>
            <xdr:cNvPr id="10" name="図 9">
              <a:extLst>
                <a:ext uri="{FF2B5EF4-FFF2-40B4-BE49-F238E27FC236}">
                  <a16:creationId xmlns:a16="http://schemas.microsoft.com/office/drawing/2014/main" id="{00000000-0008-0000-0A00-00000A000000}"/>
                </a:ext>
              </a:extLst>
            </xdr:cNvPr>
            <xdr:cNvPicPr>
              <a:picLocks noChangeAspect="1" noChangeArrowheads="1"/>
              <a:extLst>
                <a:ext uri="{84589F7E-364E-4C9E-8A38-B11213B215E9}">
                  <a14:cameraTool cellRange="$AZ$122:$BG$140" spid="_x0000_s61275"/>
                </a:ext>
              </a:extLst>
            </xdr:cNvPicPr>
          </xdr:nvPicPr>
          <xdr:blipFill>
            <a:blip xmlns:r="http://schemas.openxmlformats.org/officeDocument/2006/relationships" r:embed="rId3"/>
            <a:srcRect/>
            <a:stretch>
              <a:fillRect/>
            </a:stretch>
          </xdr:blipFill>
          <xdr:spPr bwMode="auto">
            <a:xfrm>
              <a:off x="9683751" y="809626"/>
              <a:ext cx="4841874" cy="2820672"/>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3</xdr:col>
      <xdr:colOff>222250</xdr:colOff>
      <xdr:row>30</xdr:row>
      <xdr:rowOff>190500</xdr:rowOff>
    </xdr:from>
    <xdr:to>
      <xdr:col>20</xdr:col>
      <xdr:colOff>692150</xdr:colOff>
      <xdr:row>43</xdr:row>
      <xdr:rowOff>47626</xdr:rowOff>
    </xdr:to>
    <xdr:sp macro="" textlink="">
      <xdr:nvSpPr>
        <xdr:cNvPr id="11" name="テキスト ボックス 10">
          <a:extLst>
            <a:ext uri="{FF2B5EF4-FFF2-40B4-BE49-F238E27FC236}">
              <a16:creationId xmlns:a16="http://schemas.microsoft.com/office/drawing/2014/main" id="{12579840-4D7F-4437-A450-31AA706A39DC}"/>
            </a:ext>
          </a:extLst>
        </xdr:cNvPr>
        <xdr:cNvSpPr txBox="1"/>
      </xdr:nvSpPr>
      <xdr:spPr>
        <a:xfrm>
          <a:off x="492125" y="9794875"/>
          <a:ext cx="13646150" cy="31591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000" b="1">
              <a:solidFill>
                <a:srgbClr val="FF0000"/>
              </a:solidFill>
            </a:rPr>
            <a:t>○太枠内には、補助対象期間の期首（令和５年</a:t>
          </a:r>
          <a:r>
            <a:rPr kumimoji="1" lang="en-US" altLang="ja-JP" sz="2000" b="1">
              <a:solidFill>
                <a:srgbClr val="FF0000"/>
              </a:solidFill>
            </a:rPr>
            <a:t>10</a:t>
          </a:r>
          <a:r>
            <a:rPr kumimoji="1" lang="ja-JP" altLang="en-US" sz="2000" b="1">
              <a:solidFill>
                <a:srgbClr val="FF0000"/>
              </a:solidFill>
            </a:rPr>
            <a:t>月１日）時点でのコロナ対応に供する用途である各品目の備蓄量（自費購入分及び国からの物資配布分を含む）を入力してください。</a:t>
          </a:r>
          <a:endParaRPr kumimoji="1" lang="en-US" altLang="ja-JP" sz="2000" b="1">
            <a:solidFill>
              <a:srgbClr val="FF0000"/>
            </a:solidFill>
          </a:endParaRPr>
        </a:p>
        <a:p>
          <a:r>
            <a:rPr kumimoji="1" lang="ja-JP" altLang="en-US" sz="2000" b="1">
              <a:solidFill>
                <a:srgbClr val="FF0000"/>
              </a:solidFill>
            </a:rPr>
            <a:t>○箱当たりの入数が異なる場合は、「内容量</a:t>
          </a:r>
          <a:r>
            <a:rPr kumimoji="1" lang="en-US" altLang="ja-JP" sz="2000" b="1">
              <a:solidFill>
                <a:srgbClr val="FF0000"/>
              </a:solidFill>
            </a:rPr>
            <a:t>/</a:t>
          </a:r>
          <a:r>
            <a:rPr kumimoji="1" lang="ja-JP" altLang="en-US" sz="2000" b="1">
              <a:solidFill>
                <a:srgbClr val="FF0000"/>
              </a:solidFill>
            </a:rPr>
            <a:t>箱」を「</a:t>
          </a:r>
          <a:r>
            <a:rPr kumimoji="1" lang="en-US" altLang="ja-JP" sz="2000" b="1">
              <a:solidFill>
                <a:srgbClr val="FF0000"/>
              </a:solidFill>
            </a:rPr>
            <a:t>1</a:t>
          </a:r>
          <a:r>
            <a:rPr kumimoji="1" lang="ja-JP" altLang="en-US" sz="2000" b="1">
              <a:solidFill>
                <a:srgbClr val="FF0000"/>
              </a:solidFill>
            </a:rPr>
            <a:t>」、箱数を在庫の数量としてください。</a:t>
          </a:r>
          <a:endParaRPr kumimoji="1" lang="en-US" altLang="ja-JP" sz="2000" b="1">
            <a:solidFill>
              <a:srgbClr val="FF0000"/>
            </a:solidFill>
          </a:endParaRPr>
        </a:p>
        <a:p>
          <a:r>
            <a:rPr kumimoji="1" lang="ja-JP" altLang="en-US" sz="2000" b="1">
              <a:solidFill>
                <a:srgbClr val="FF0000"/>
              </a:solidFill>
            </a:rPr>
            <a:t>厳密算定が難しい場合は、平常時において備蓄している平均的な量を入力するようにしてください。</a:t>
          </a:r>
          <a:endParaRPr kumimoji="1" lang="en-US" altLang="ja-JP" sz="2000" b="1">
            <a:solidFill>
              <a:srgbClr val="FF0000"/>
            </a:solidFill>
          </a:endParaRPr>
        </a:p>
        <a:p>
          <a:r>
            <a:rPr kumimoji="1" lang="ja-JP" altLang="en-US" sz="2000" b="1">
              <a:solidFill>
                <a:srgbClr val="FF0000"/>
              </a:solidFill>
            </a:rPr>
            <a:t>○また、期間中において国からの物資配布を受けている場合、太枠内の記載に倣い、配布を受けた日付とともに数量等を記載するようにしてください。（配布数の内訳が判る納品伝票等がある場合、郵送資料に同封願います。）</a:t>
          </a:r>
          <a:endParaRPr kumimoji="1" lang="en-US" altLang="ja-JP" sz="2000" b="1">
            <a:solidFill>
              <a:srgbClr val="FF0000"/>
            </a:solidFill>
          </a:endParaRPr>
        </a:p>
        <a:p>
          <a:r>
            <a:rPr kumimoji="1" lang="ja-JP" altLang="en-US" sz="2000" b="1">
              <a:solidFill>
                <a:srgbClr val="FF0000"/>
              </a:solidFill>
            </a:rPr>
            <a:t>○なお、このメッセージボックスは、内容を確認いただいたら削除していただいて構いません。</a:t>
          </a:r>
          <a:endParaRPr kumimoji="1" lang="en-US" altLang="ja-JP" sz="2000" b="1">
            <a:solidFill>
              <a:srgbClr val="FF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39</xdr:col>
      <xdr:colOff>91280</xdr:colOff>
      <xdr:row>33</xdr:row>
      <xdr:rowOff>71439</xdr:rowOff>
    </xdr:from>
    <xdr:to>
      <xdr:col>44</xdr:col>
      <xdr:colOff>247650</xdr:colOff>
      <xdr:row>44</xdr:row>
      <xdr:rowOff>1</xdr:rowOff>
    </xdr:to>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35229005" y="9405939"/>
          <a:ext cx="5233195" cy="2652712"/>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＜留意事項＞</a:t>
          </a:r>
          <a:endParaRPr kumimoji="1" lang="en-US" altLang="ja-JP" sz="1100" b="1">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①</a:t>
          </a:r>
          <a:r>
            <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「種類」欄はプルダウンリストから選択してください。</a:t>
          </a:r>
          <a:endPar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申請できる個人防護具の種類は、</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マスク、ゴーグル、ガウン、グローブ、キャップ、フェイスシールド</a:t>
          </a:r>
          <a:endPar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です。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令和</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4</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月</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日（診療・検査医療機関の指定を受けた日が</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4</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月</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1</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日以降の場合は、指定日）から令和</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年</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9</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月</a:t>
          </a:r>
          <a:r>
            <a:rPr kumimoji="1" lang="en-US" altLang="ja-JP"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30</a:t>
          </a:r>
          <a:r>
            <a:rPr kumimoji="1" lang="ja-JP" altLang="en-US" sz="11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日（または、診療・検査医療機関の指定取り下げ日）までの期間内に使用する分を申請してください。</a:t>
          </a:r>
          <a:endParaRPr kumimoji="1" lang="en-US" altLang="ja-JP" sz="11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②「単価（税抜）」欄と「単価（税込）」欄については、</a:t>
          </a:r>
          <a:r>
            <a:rPr kumimoji="1" lang="ja-JP" altLang="en-US" sz="1100">
              <a:solidFill>
                <a:srgbClr val="FF0000"/>
              </a:solidFill>
              <a:latin typeface="ＭＳ ゴシック" panose="020B0609070205080204" pitchFamily="49" charset="-128"/>
              <a:ea typeface="ＭＳ ゴシック" panose="020B0609070205080204" pitchFamily="49" charset="-128"/>
            </a:rPr>
            <a:t>どちらか一方を</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入力して下さい。（最終的に、</a:t>
          </a:r>
          <a:r>
            <a:rPr kumimoji="1" lang="ja-JP" altLang="en-US" sz="1100">
              <a:solidFill>
                <a:srgbClr val="FF0000"/>
              </a:solidFill>
              <a:latin typeface="ＭＳ ゴシック" panose="020B0609070205080204" pitchFamily="49" charset="-128"/>
              <a:ea typeface="ＭＳ ゴシック" panose="020B0609070205080204" pitchFamily="49" charset="-128"/>
            </a:rPr>
            <a:t>「金額（税込）」欄が、見積書等（発注・契約書、納品書、請求書、領収書など）と一致</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するようにしてください。）</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③「添付書類番号」欄に番号を入力いただき、照合できるように、</a:t>
          </a:r>
          <a:r>
            <a:rPr kumimoji="1" lang="ja-JP" altLang="en-US" sz="1100">
              <a:solidFill>
                <a:srgbClr val="FF0000"/>
              </a:solidFill>
              <a:latin typeface="ＭＳ ゴシック" panose="020B0609070205080204" pitchFamily="49" charset="-128"/>
              <a:ea typeface="ＭＳ ゴシック" panose="020B0609070205080204" pitchFamily="49" charset="-128"/>
            </a:rPr>
            <a:t>各品目に対する見積書等（発注・契約書、納品書、請求書、領収書など）に番号を付記してください。</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endParaRPr kumimoji="1" lang="en-US" altLang="ja-JP" sz="1100">
            <a:latin typeface="ＭＳ ゴシック" panose="020B0609070205080204" pitchFamily="49" charset="-128"/>
            <a:ea typeface="ＭＳ ゴシック" panose="020B0609070205080204" pitchFamily="49" charset="-128"/>
          </a:endParaRPr>
        </a:p>
        <a:p>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xdr:twoCellAnchor>
    <xdr:from>
      <xdr:col>9</xdr:col>
      <xdr:colOff>414262</xdr:colOff>
      <xdr:row>8</xdr:row>
      <xdr:rowOff>201082</xdr:rowOff>
    </xdr:from>
    <xdr:to>
      <xdr:col>10</xdr:col>
      <xdr:colOff>244929</xdr:colOff>
      <xdr:row>10</xdr:row>
      <xdr:rowOff>1251856</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flipH="1" flipV="1">
          <a:off x="4333119" y="2364618"/>
          <a:ext cx="483810" cy="1608667"/>
        </a:xfrm>
        <a:prstGeom prst="straightConnector1">
          <a:avLst/>
        </a:prstGeom>
        <a:ln w="28575">
          <a:solidFill>
            <a:srgbClr val="FFC000"/>
          </a:solidFill>
          <a:prstDash val="dash"/>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31750</xdr:colOff>
      <xdr:row>3</xdr:row>
      <xdr:rowOff>0</xdr:rowOff>
    </xdr:from>
    <xdr:to>
      <xdr:col>5</xdr:col>
      <xdr:colOff>444500</xdr:colOff>
      <xdr:row>5</xdr:row>
      <xdr:rowOff>142875</xdr:rowOff>
    </xdr:to>
    <xdr:cxnSp macro="">
      <xdr:nvCxnSpPr>
        <xdr:cNvPr id="8" name="直線矢印コネクタ 7">
          <a:extLst>
            <a:ext uri="{FF2B5EF4-FFF2-40B4-BE49-F238E27FC236}">
              <a16:creationId xmlns:a16="http://schemas.microsoft.com/office/drawing/2014/main" id="{00000000-0008-0000-0B00-000008000000}"/>
            </a:ext>
          </a:extLst>
        </xdr:cNvPr>
        <xdr:cNvCxnSpPr/>
      </xdr:nvCxnSpPr>
      <xdr:spPr>
        <a:xfrm flipH="1">
          <a:off x="2460625" y="889000"/>
          <a:ext cx="412750" cy="904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1940718</xdr:colOff>
      <xdr:row>1</xdr:row>
      <xdr:rowOff>190500</xdr:rowOff>
    </xdr:from>
    <xdr:to>
      <xdr:col>15</xdr:col>
      <xdr:colOff>66676</xdr:colOff>
      <xdr:row>3</xdr:row>
      <xdr:rowOff>85725</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2214562" y="571500"/>
          <a:ext cx="7293770" cy="395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「基礎情報」シートに入力された補助対象期間中の疑い外来患者（見込または実績）数が表示されます。</a:t>
          </a:r>
        </a:p>
      </xdr:txBody>
    </xdr:sp>
    <xdr:clientData/>
  </xdr:twoCellAnchor>
  <mc:AlternateContent xmlns:mc="http://schemas.openxmlformats.org/markup-compatibility/2006">
    <mc:Choice xmlns:a14="http://schemas.microsoft.com/office/drawing/2010/main" Requires="a14">
      <xdr:twoCellAnchor editAs="oneCell">
        <xdr:from>
          <xdr:col>19</xdr:col>
          <xdr:colOff>214312</xdr:colOff>
          <xdr:row>11</xdr:row>
          <xdr:rowOff>19050</xdr:rowOff>
        </xdr:from>
        <xdr:to>
          <xdr:col>21</xdr:col>
          <xdr:colOff>1062037</xdr:colOff>
          <xdr:row>113</xdr:row>
          <xdr:rowOff>28575</xdr:rowOff>
        </xdr:to>
        <xdr:pic>
          <xdr:nvPicPr>
            <xdr:cNvPr id="6" name="図 5">
              <a:extLst>
                <a:ext uri="{FF2B5EF4-FFF2-40B4-BE49-F238E27FC236}">
                  <a16:creationId xmlns:a16="http://schemas.microsoft.com/office/drawing/2014/main" id="{00000000-0008-0000-0B00-000006000000}"/>
                </a:ext>
              </a:extLst>
            </xdr:cNvPr>
            <xdr:cNvPicPr>
              <a:picLocks noChangeAspect="1" noChangeArrowheads="1"/>
              <a:extLst>
                <a:ext uri="{84589F7E-364E-4C9E-8A38-B11213B215E9}">
                  <a14:cameraTool cellRange="$AI$12:$AL$113" spid="_x0000_s73822"/>
                </a:ext>
              </a:extLst>
            </xdr:cNvPicPr>
          </xdr:nvPicPr>
          <xdr:blipFill>
            <a:blip xmlns:r="http://schemas.openxmlformats.org/officeDocument/2006/relationships" r:embed="rId1"/>
            <a:srcRect/>
            <a:stretch>
              <a:fillRect/>
            </a:stretch>
          </xdr:blipFill>
          <xdr:spPr bwMode="auto">
            <a:xfrm>
              <a:off x="12703968" y="4733925"/>
              <a:ext cx="5514975" cy="25476994"/>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19</xdr:col>
      <xdr:colOff>169069</xdr:colOff>
      <xdr:row>10</xdr:row>
      <xdr:rowOff>21431</xdr:rowOff>
    </xdr:from>
    <xdr:to>
      <xdr:col>20</xdr:col>
      <xdr:colOff>2166938</xdr:colOff>
      <xdr:row>10</xdr:row>
      <xdr:rowOff>690562</xdr:rowOff>
    </xdr:to>
    <xdr:sp macro="" textlink="">
      <xdr:nvSpPr>
        <xdr:cNvPr id="11" name="吹き出し: 角を丸めた四角形 2">
          <a:extLst>
            <a:ext uri="{FF2B5EF4-FFF2-40B4-BE49-F238E27FC236}">
              <a16:creationId xmlns:a16="http://schemas.microsoft.com/office/drawing/2014/main" id="{00000000-0008-0000-0B00-00000B000000}"/>
            </a:ext>
          </a:extLst>
        </xdr:cNvPr>
        <xdr:cNvSpPr/>
      </xdr:nvSpPr>
      <xdr:spPr>
        <a:xfrm>
          <a:off x="12658725" y="2962275"/>
          <a:ext cx="4331494" cy="669131"/>
        </a:xfrm>
        <a:prstGeom prst="wedgeRoundRectCallout">
          <a:avLst>
            <a:gd name="adj1" fmla="val -27670"/>
            <a:gd name="adj2" fmla="val 50351"/>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latin typeface="+mn-ea"/>
              <a:ea typeface="+mn-ea"/>
            </a:rPr>
            <a:t>人件費の発生額は別シート「消毒積算」で算定してください。</a:t>
          </a:r>
          <a:endParaRPr kumimoji="1" lang="en-US" altLang="ja-JP" sz="1000" b="1">
            <a:latin typeface="+mn-ea"/>
            <a:ea typeface="+mn-ea"/>
          </a:endParaRPr>
        </a:p>
        <a:p>
          <a:pPr algn="l"/>
          <a:r>
            <a:rPr kumimoji="1" lang="ja-JP" altLang="en-US" sz="1000" b="1">
              <a:latin typeface="+mn-ea"/>
              <a:ea typeface="+mn-ea"/>
            </a:rPr>
            <a:t>算定された人件費は最上段の行「人件費」として自動表示されます。</a:t>
          </a:r>
        </a:p>
      </xdr:txBody>
    </xdr:sp>
    <xdr:clientData/>
  </xdr:twoCellAnchor>
  <xdr:twoCellAnchor>
    <xdr:from>
      <xdr:col>19</xdr:col>
      <xdr:colOff>138113</xdr:colOff>
      <xdr:row>10</xdr:row>
      <xdr:rowOff>788194</xdr:rowOff>
    </xdr:from>
    <xdr:to>
      <xdr:col>20</xdr:col>
      <xdr:colOff>573882</xdr:colOff>
      <xdr:row>10</xdr:row>
      <xdr:rowOff>1597819</xdr:rowOff>
    </xdr:to>
    <xdr:sp macro="" textlink="">
      <xdr:nvSpPr>
        <xdr:cNvPr id="7" name="吹き出し: 角を丸めた四角形 2">
          <a:extLst>
            <a:ext uri="{FF2B5EF4-FFF2-40B4-BE49-F238E27FC236}">
              <a16:creationId xmlns:a16="http://schemas.microsoft.com/office/drawing/2014/main" id="{00000000-0008-0000-0B00-000007000000}"/>
            </a:ext>
          </a:extLst>
        </xdr:cNvPr>
        <xdr:cNvSpPr/>
      </xdr:nvSpPr>
      <xdr:spPr>
        <a:xfrm>
          <a:off x="12627769" y="3729038"/>
          <a:ext cx="2769394" cy="809625"/>
        </a:xfrm>
        <a:prstGeom prst="wedgeRoundRectCallout">
          <a:avLst>
            <a:gd name="adj1" fmla="val -110609"/>
            <a:gd name="adj2" fmla="val 128852"/>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b="1">
              <a:latin typeface="+mn-ea"/>
              <a:ea typeface="+mn-ea"/>
            </a:rPr>
            <a:t>交付申請の際は見積書、カタログ等の提出は不要ですので必要情報が入力されると「－」が表示されます。</a:t>
          </a:r>
        </a:p>
      </xdr:txBody>
    </xdr:sp>
    <xdr:clientData/>
  </xdr:twoCellAnchor>
  <mc:AlternateContent xmlns:mc="http://schemas.openxmlformats.org/markup-compatibility/2006">
    <mc:Choice xmlns:a14="http://schemas.microsoft.com/office/drawing/2010/main" Requires="a14">
      <xdr:twoCellAnchor editAs="oneCell">
        <xdr:from>
          <xdr:col>19</xdr:col>
          <xdr:colOff>219075</xdr:colOff>
          <xdr:row>0</xdr:row>
          <xdr:rowOff>377825</xdr:rowOff>
        </xdr:from>
        <xdr:to>
          <xdr:col>21</xdr:col>
          <xdr:colOff>1619250</xdr:colOff>
          <xdr:row>9</xdr:row>
          <xdr:rowOff>165100</xdr:rowOff>
        </xdr:to>
        <xdr:pic>
          <xdr:nvPicPr>
            <xdr:cNvPr id="12" name="図 11">
              <a:extLst>
                <a:ext uri="{FF2B5EF4-FFF2-40B4-BE49-F238E27FC236}">
                  <a16:creationId xmlns:a16="http://schemas.microsoft.com/office/drawing/2014/main" id="{00000000-0008-0000-0B00-00000C000000}"/>
                </a:ext>
              </a:extLst>
            </xdr:cNvPr>
            <xdr:cNvPicPr>
              <a:picLocks noChangeAspect="1" noChangeArrowheads="1"/>
              <a:extLst>
                <a:ext uri="{84589F7E-364E-4C9E-8A38-B11213B215E9}">
                  <a14:cameraTool cellRange="$AR$117:$AT$123" spid="_x0000_s73823"/>
                </a:ext>
              </a:extLst>
            </xdr:cNvPicPr>
          </xdr:nvPicPr>
          <xdr:blipFill>
            <a:blip xmlns:r="http://schemas.openxmlformats.org/officeDocument/2006/relationships" r:embed="rId2"/>
            <a:srcRect/>
            <a:stretch>
              <a:fillRect/>
            </a:stretch>
          </xdr:blipFill>
          <xdr:spPr bwMode="auto">
            <a:xfrm>
              <a:off x="12696825" y="377825"/>
              <a:ext cx="6067425" cy="24542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154781</xdr:colOff>
          <xdr:row>4</xdr:row>
          <xdr:rowOff>257125</xdr:rowOff>
        </xdr:from>
        <xdr:to>
          <xdr:col>18</xdr:col>
          <xdr:colOff>118098</xdr:colOff>
          <xdr:row>8</xdr:row>
          <xdr:rowOff>107157</xdr:rowOff>
        </xdr:to>
        <xdr:pic>
          <xdr:nvPicPr>
            <xdr:cNvPr id="4" name="図 3">
              <a:extLst>
                <a:ext uri="{FF2B5EF4-FFF2-40B4-BE49-F238E27FC236}">
                  <a16:creationId xmlns:a16="http://schemas.microsoft.com/office/drawing/2014/main" id="{00000000-0008-0000-0B00-000004000000}"/>
                </a:ext>
              </a:extLst>
            </xdr:cNvPr>
            <xdr:cNvPicPr>
              <a:picLocks noChangeAspect="1" noChangeArrowheads="1"/>
              <a:extLst>
                <a:ext uri="{84589F7E-364E-4C9E-8A38-B11213B215E9}">
                  <a14:cameraTool cellRange="$AU$20:$BA$25" spid="_x0000_s73824"/>
                </a:ext>
              </a:extLst>
            </xdr:cNvPicPr>
          </xdr:nvPicPr>
          <xdr:blipFill>
            <a:blip xmlns:r="http://schemas.openxmlformats.org/officeDocument/2006/relationships" r:embed="rId3"/>
            <a:srcRect/>
            <a:stretch>
              <a:fillRect/>
            </a:stretch>
          </xdr:blipFill>
          <xdr:spPr bwMode="auto">
            <a:xfrm>
              <a:off x="7810500" y="1447750"/>
              <a:ext cx="4594848" cy="1040657"/>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10.vml"/><Relationship Id="rId7" Type="http://schemas.openxmlformats.org/officeDocument/2006/relationships/ctrlProp" Target="../ctrlProps/ctrlProp7.xml"/><Relationship Id="rId2" Type="http://schemas.openxmlformats.org/officeDocument/2006/relationships/drawing" Target="../drawings/drawing12.xml"/><Relationship Id="rId1" Type="http://schemas.openxmlformats.org/officeDocument/2006/relationships/printerSettings" Target="../printerSettings/printerSettings16.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V48"/>
  <sheetViews>
    <sheetView view="pageBreakPreview" topLeftCell="B1" zoomScale="85" zoomScaleNormal="100" zoomScaleSheetLayoutView="85" workbookViewId="0">
      <selection activeCell="N16" sqref="N16"/>
    </sheetView>
  </sheetViews>
  <sheetFormatPr defaultColWidth="9" defaultRowHeight="9.75" x14ac:dyDescent="0.4"/>
  <cols>
    <col min="1" max="1" width="6.625" style="28" customWidth="1"/>
    <col min="2" max="2" width="15.625" style="29" customWidth="1"/>
    <col min="3" max="16" width="8.625" style="28" customWidth="1"/>
    <col min="17" max="17" width="3.625" style="98" customWidth="1"/>
    <col min="18" max="18" width="8.625" style="28" customWidth="1"/>
    <col min="19" max="19" width="3.625" style="98" customWidth="1"/>
    <col min="20" max="21" width="8.625" style="28" customWidth="1"/>
    <col min="22" max="22" width="3.625" style="98" customWidth="1"/>
    <col min="23" max="51" width="8.625" style="28" customWidth="1"/>
    <col min="52" max="52" width="20.625" style="28" customWidth="1"/>
    <col min="53" max="53" width="9" style="28"/>
    <col min="54" max="54" width="60.625" style="28" customWidth="1"/>
    <col min="55" max="16384" width="9" style="28"/>
  </cols>
  <sheetData>
    <row r="3" spans="1:15" ht="15" customHeight="1" x14ac:dyDescent="0.4">
      <c r="B3" s="30" t="s">
        <v>1322</v>
      </c>
      <c r="F3" s="230" t="s">
        <v>1068</v>
      </c>
      <c r="M3" s="150" t="s">
        <v>144</v>
      </c>
      <c r="N3" s="150"/>
      <c r="O3" s="150"/>
    </row>
    <row r="4" spans="1:15" ht="15" customHeight="1" x14ac:dyDescent="0.4">
      <c r="G4" s="151" t="s">
        <v>1068</v>
      </c>
      <c r="M4" s="150" t="s">
        <v>145</v>
      </c>
      <c r="N4" s="150"/>
      <c r="O4" s="150"/>
    </row>
    <row r="5" spans="1:15" ht="15" customHeight="1" x14ac:dyDescent="0.4">
      <c r="G5" s="151" t="s">
        <v>1069</v>
      </c>
      <c r="M5" s="150" t="s">
        <v>1323</v>
      </c>
      <c r="N5" s="150"/>
      <c r="O5" s="150"/>
    </row>
    <row r="6" spans="1:15" ht="15" customHeight="1" x14ac:dyDescent="0.4">
      <c r="M6" s="150" t="s">
        <v>1322</v>
      </c>
      <c r="N6" s="151">
        <v>45323</v>
      </c>
      <c r="O6" s="151">
        <v>45351</v>
      </c>
    </row>
    <row r="7" spans="1:15" ht="15" customHeight="1" x14ac:dyDescent="0.4">
      <c r="B7" s="665" t="s">
        <v>1358</v>
      </c>
      <c r="C7" s="98" t="s">
        <v>1359</v>
      </c>
      <c r="D7" s="98" t="s">
        <v>1360</v>
      </c>
      <c r="E7" s="98" t="s">
        <v>1361</v>
      </c>
      <c r="M7" s="150" t="s">
        <v>1393</v>
      </c>
      <c r="N7" s="150"/>
      <c r="O7" s="150"/>
    </row>
    <row r="8" spans="1:15" ht="15" customHeight="1" x14ac:dyDescent="0.4">
      <c r="A8" s="149">
        <v>8</v>
      </c>
      <c r="B8" s="148" t="s">
        <v>255</v>
      </c>
      <c r="C8" s="149" t="s">
        <v>252</v>
      </c>
      <c r="D8" s="149" t="s">
        <v>253</v>
      </c>
      <c r="E8" s="149" t="s">
        <v>254</v>
      </c>
      <c r="G8" s="150" t="s">
        <v>990</v>
      </c>
      <c r="H8" s="150" t="s">
        <v>991</v>
      </c>
      <c r="I8" s="150" t="s">
        <v>992</v>
      </c>
      <c r="J8" s="150" t="s">
        <v>993</v>
      </c>
      <c r="K8" s="150" t="s">
        <v>995</v>
      </c>
      <c r="L8" s="671" t="s">
        <v>994</v>
      </c>
      <c r="M8" s="150" t="s">
        <v>1325</v>
      </c>
      <c r="N8" s="150"/>
      <c r="O8" s="150"/>
    </row>
    <row r="9" spans="1:15" ht="15" customHeight="1" x14ac:dyDescent="0.4">
      <c r="A9" s="149">
        <v>9</v>
      </c>
      <c r="B9" s="144" t="s">
        <v>245</v>
      </c>
      <c r="C9" s="145">
        <f xml:space="preserve">
IF(テーブル!B3="交付申請",2023,
IF(テーブル!B3="変更申請",0,
IF(テーブル!B3="実績報告（１次）",2023,
IF(テーブル!B3="交付申請（２次）",2024,
IF(テーブル!B3="交付申請兼実績報告（２次）",2024,
IF(テーブル!B3="実績報告（２次）",2024))))))</f>
        <v>2024</v>
      </c>
      <c r="D9" s="145">
        <f xml:space="preserve">
IF(テーブル!B3="交付申請",7,
IF(テーブル!B3="変更申請",0,
IF(テーブル!B3="実績報告（１次）",9,
IF(テーブル!B3="交付申請（２次）",2,
IF(テーブル!B3="交付申請兼実績報告（２次）",3,
IF(テーブル!B3="実績報告（２次）",3))))))</f>
        <v>2</v>
      </c>
      <c r="E9" s="145">
        <f xml:space="preserve">
IF(テーブル!B3="交付申請",12,
IF(テーブル!B3="変更申請",0,
IF(テーブル!B3="実績報告（１次）",30,
IF(テーブル!B3="交付申請（２次）",1,
IF(テーブル!B3="交付申請兼実績報告（２次）",15,
IF(テーブル!B3="実績報告（２次）",15))))))</f>
        <v>1</v>
      </c>
      <c r="G9" s="150" t="s">
        <v>1001</v>
      </c>
      <c r="H9" s="150" t="s">
        <v>1017</v>
      </c>
      <c r="I9" s="150" t="s">
        <v>1008</v>
      </c>
      <c r="J9" s="150" t="s">
        <v>1206</v>
      </c>
      <c r="K9" s="150" t="s">
        <v>995</v>
      </c>
      <c r="L9" s="150" t="s">
        <v>1019</v>
      </c>
    </row>
    <row r="10" spans="1:15" ht="15" customHeight="1" x14ac:dyDescent="0.4">
      <c r="A10" s="149">
        <v>10</v>
      </c>
      <c r="B10" s="144" t="s">
        <v>246</v>
      </c>
      <c r="C10" s="146">
        <f xml:space="preserve">
IF(テーブル!B3="交付申請",2023,
IF(テーブル!B3="変更申請",0,
IF(テーブル!B3="実績報告（１次）",2023,
IF(テーブル!B3="交付申請（２次）",2024,
IF(テーブル!B3="交付申請兼実績報告（２次）",2024,
IF(テーブル!B3="実績報告（２次）",2024))))))</f>
        <v>2024</v>
      </c>
      <c r="D10" s="146">
        <f xml:space="preserve">
IF(テーブル!B3="交付申請",8,
IF(テーブル!B3="変更申請",0,
IF(テーブル!B3="実績報告（１次）",9,
IF(テーブル!B3="交付申請（２次）",2,
IF(テーブル!B3="交付申請兼実績報告（２次）",4,
IF(テーブル!B3="実績報告（２次）",4))))))</f>
        <v>2</v>
      </c>
      <c r="E10" s="146">
        <f xml:space="preserve">
IF(テーブル!B3="交付申請",14,
IF(テーブル!B3="変更申請",0,
IF(テーブル!B3="実績報告（１次）",30,
IF(テーブル!B3="交付申請（２次）",15,
IF(テーブル!B3="交付申請兼実績報告（２次）",5,
IF(テーブル!B3="実績報告（２次）",5))))))</f>
        <v>15</v>
      </c>
      <c r="G10" s="150" t="s">
        <v>1002</v>
      </c>
      <c r="H10" s="150" t="s">
        <v>1018</v>
      </c>
      <c r="I10" s="150" t="s">
        <v>1010</v>
      </c>
      <c r="J10" s="150" t="s">
        <v>1013</v>
      </c>
      <c r="K10" s="150"/>
      <c r="L10" s="150" t="s">
        <v>1021</v>
      </c>
    </row>
    <row r="11" spans="1:15" ht="15" customHeight="1" x14ac:dyDescent="0.4">
      <c r="A11" s="149">
        <v>11</v>
      </c>
      <c r="B11" s="144" t="s">
        <v>243</v>
      </c>
      <c r="C11" s="145">
        <v>2023</v>
      </c>
      <c r="D11" s="145">
        <v>11</v>
      </c>
      <c r="E11" s="145">
        <v>1</v>
      </c>
      <c r="G11" s="150" t="s">
        <v>1004</v>
      </c>
      <c r="H11" s="150"/>
      <c r="I11" s="150" t="s">
        <v>1012</v>
      </c>
      <c r="J11" s="150" t="s">
        <v>1015</v>
      </c>
      <c r="K11" s="150"/>
      <c r="L11" s="150" t="s">
        <v>1022</v>
      </c>
    </row>
    <row r="12" spans="1:15" ht="15" customHeight="1" x14ac:dyDescent="0.4">
      <c r="A12" s="149">
        <v>12</v>
      </c>
      <c r="B12" s="144" t="s">
        <v>244</v>
      </c>
      <c r="C12" s="145">
        <v>2023</v>
      </c>
      <c r="D12" s="145">
        <v>11</v>
      </c>
      <c r="E12" s="145">
        <v>30</v>
      </c>
      <c r="G12" s="150" t="s">
        <v>1006</v>
      </c>
      <c r="H12" s="150"/>
      <c r="I12" s="150"/>
      <c r="J12" s="150"/>
      <c r="K12" s="150"/>
      <c r="L12" s="150" t="s">
        <v>1207</v>
      </c>
    </row>
    <row r="13" spans="1:15" ht="15" customHeight="1" x14ac:dyDescent="0.4">
      <c r="A13" s="149">
        <v>13</v>
      </c>
      <c r="B13" s="147" t="s">
        <v>17</v>
      </c>
      <c r="C13" s="145">
        <f>IF(はじめに入力してください!I12=4,2022,IF(はじめに入力してください!I12=5,2023,2022))</f>
        <v>2022</v>
      </c>
      <c r="D13" s="145">
        <f>IF(はじめに入力してください!K12="",5,はじめに入力してください!K12)</f>
        <v>5</v>
      </c>
      <c r="E13" s="145">
        <f>IF(はじめに入力してください!M12="",30,はじめに入力してください!M12)</f>
        <v>30</v>
      </c>
    </row>
    <row r="14" spans="1:15" ht="15" customHeight="1" x14ac:dyDescent="0.4">
      <c r="A14" s="149">
        <v>14</v>
      </c>
      <c r="B14" s="144" t="s">
        <v>915</v>
      </c>
      <c r="C14" s="145" t="e">
        <f>VLOOKUP(MAX(はじめに入力してください!AG30:AG35),はじめに入力してください!AG30:AJ35,2,FALSE)</f>
        <v>#N/A</v>
      </c>
      <c r="D14" s="145" t="e">
        <f>VLOOKUP(MAX(はじめに入力してください!AG30:AG35),はじめに入力してください!AG30:AJ35,3,FALSE)</f>
        <v>#N/A</v>
      </c>
      <c r="E14" s="145" t="e">
        <f>VLOOKUP(MAX(はじめに入力してください!AG30:AG35),はじめに入力してください!AG30:AJ35,4,FALSE)</f>
        <v>#N/A</v>
      </c>
    </row>
    <row r="15" spans="1:15" ht="15" customHeight="1" x14ac:dyDescent="0.4">
      <c r="A15" s="149">
        <v>15</v>
      </c>
      <c r="B15" s="144" t="s">
        <v>176</v>
      </c>
      <c r="C15" s="145">
        <f>VLOOKUP(はじめに入力してください!L18,リスト!A:BQ,67,FALSE)</f>
        <v>2023</v>
      </c>
      <c r="D15" s="145">
        <f>VLOOKUP(はじめに入力してください!L18,リスト!A:BQ,68,FALSE)</f>
        <v>9</v>
      </c>
      <c r="E15" s="145">
        <f>VLOOKUP(はじめに入力してください!L18,リスト!A:BQ,69,FALSE)</f>
        <v>30</v>
      </c>
    </row>
    <row r="16" spans="1:15" ht="15" customHeight="1" x14ac:dyDescent="0.4">
      <c r="A16" s="149">
        <v>16</v>
      </c>
      <c r="B16" s="144" t="s">
        <v>256</v>
      </c>
      <c r="C16" s="149">
        <v>2023</v>
      </c>
      <c r="D16" s="149">
        <v>4</v>
      </c>
      <c r="E16" s="149">
        <v>1</v>
      </c>
      <c r="G16" s="150" t="s">
        <v>1057</v>
      </c>
    </row>
    <row r="17" spans="1:7" ht="15" customHeight="1" x14ac:dyDescent="0.4">
      <c r="A17" s="149">
        <v>17</v>
      </c>
      <c r="B17" s="144" t="s">
        <v>177</v>
      </c>
      <c r="C17" s="145">
        <v>2023</v>
      </c>
      <c r="D17" s="145">
        <v>3</v>
      </c>
      <c r="E17" s="145">
        <v>31</v>
      </c>
      <c r="G17" s="150" t="s">
        <v>1054</v>
      </c>
    </row>
    <row r="18" spans="1:7" ht="15" customHeight="1" x14ac:dyDescent="0.4">
      <c r="G18" s="150" t="s">
        <v>1055</v>
      </c>
    </row>
    <row r="19" spans="1:7" ht="15" customHeight="1" x14ac:dyDescent="0.4">
      <c r="B19" s="151" t="s">
        <v>257</v>
      </c>
      <c r="C19" s="149">
        <v>5</v>
      </c>
      <c r="G19" s="150" t="s">
        <v>1056</v>
      </c>
    </row>
    <row r="20" spans="1:7" ht="15" customHeight="1" x14ac:dyDescent="0.4">
      <c r="B20" s="151"/>
      <c r="C20" s="149">
        <v>6</v>
      </c>
      <c r="G20" s="150" t="s">
        <v>1058</v>
      </c>
    </row>
    <row r="21" spans="1:7" ht="15" customHeight="1" x14ac:dyDescent="0.4"/>
    <row r="22" spans="1:7" ht="15" customHeight="1" x14ac:dyDescent="0.4">
      <c r="B22" s="150" t="s">
        <v>265</v>
      </c>
      <c r="C22" s="157" t="s">
        <v>136</v>
      </c>
      <c r="F22" s="150">
        <v>6</v>
      </c>
      <c r="G22" s="670" t="s">
        <v>1216</v>
      </c>
    </row>
    <row r="23" spans="1:7" ht="15" customHeight="1" x14ac:dyDescent="0.4">
      <c r="B23" s="150"/>
      <c r="C23" s="157" t="s">
        <v>137</v>
      </c>
      <c r="F23" s="150">
        <v>7</v>
      </c>
      <c r="G23" s="670" t="s">
        <v>1217</v>
      </c>
    </row>
    <row r="24" spans="1:7" ht="15" customHeight="1" x14ac:dyDescent="0.4">
      <c r="F24" s="150">
        <v>8</v>
      </c>
      <c r="G24" s="670" t="s">
        <v>1218</v>
      </c>
    </row>
    <row r="25" spans="1:7" ht="15" customHeight="1" x14ac:dyDescent="0.4">
      <c r="B25" s="150" t="s">
        <v>144</v>
      </c>
      <c r="F25" s="150">
        <v>9</v>
      </c>
      <c r="G25" s="670" t="s">
        <v>1219</v>
      </c>
    </row>
    <row r="26" spans="1:7" ht="15" customHeight="1" x14ac:dyDescent="0.4">
      <c r="B26" s="150" t="s">
        <v>145</v>
      </c>
      <c r="F26" s="150">
        <v>10</v>
      </c>
    </row>
    <row r="27" spans="1:7" ht="15" customHeight="1" x14ac:dyDescent="0.4">
      <c r="B27" s="150" t="s">
        <v>1323</v>
      </c>
      <c r="F27" s="150">
        <v>11</v>
      </c>
    </row>
    <row r="28" spans="1:7" ht="15" customHeight="1" x14ac:dyDescent="0.4">
      <c r="B28" s="150" t="s">
        <v>1322</v>
      </c>
      <c r="F28" s="150">
        <v>12</v>
      </c>
    </row>
    <row r="29" spans="1:7" ht="15" customHeight="1" x14ac:dyDescent="0.4">
      <c r="B29" s="150" t="s">
        <v>1324</v>
      </c>
      <c r="F29" s="150">
        <v>13</v>
      </c>
    </row>
    <row r="30" spans="1:7" ht="15" customHeight="1" x14ac:dyDescent="0.4">
      <c r="B30" s="150" t="s">
        <v>1325</v>
      </c>
      <c r="F30" s="150">
        <v>14</v>
      </c>
    </row>
    <row r="31" spans="1:7" ht="15" customHeight="1" x14ac:dyDescent="0.4">
      <c r="F31" s="150">
        <v>15</v>
      </c>
    </row>
    <row r="32" spans="1:7" ht="15" customHeight="1" x14ac:dyDescent="0.4">
      <c r="F32" s="150">
        <v>16</v>
      </c>
    </row>
    <row r="33" spans="6:6" ht="15" customHeight="1" x14ac:dyDescent="0.4">
      <c r="F33" s="150">
        <v>17</v>
      </c>
    </row>
    <row r="34" spans="6:6" ht="15" customHeight="1" x14ac:dyDescent="0.4">
      <c r="F34" s="150">
        <v>18</v>
      </c>
    </row>
    <row r="35" spans="6:6" ht="15" customHeight="1" x14ac:dyDescent="0.4">
      <c r="F35" s="150">
        <v>19</v>
      </c>
    </row>
    <row r="36" spans="6:6" x14ac:dyDescent="0.4">
      <c r="F36" s="150">
        <v>20</v>
      </c>
    </row>
    <row r="37" spans="6:6" ht="15" customHeight="1" x14ac:dyDescent="0.4">
      <c r="F37" s="150">
        <v>21</v>
      </c>
    </row>
    <row r="38" spans="6:6" ht="15" customHeight="1" x14ac:dyDescent="0.4">
      <c r="F38" s="150">
        <v>22</v>
      </c>
    </row>
    <row r="39" spans="6:6" ht="15" customHeight="1" x14ac:dyDescent="0.4">
      <c r="F39" s="150">
        <v>23</v>
      </c>
    </row>
    <row r="40" spans="6:6" ht="15" customHeight="1" x14ac:dyDescent="0.4">
      <c r="F40" s="150">
        <v>24</v>
      </c>
    </row>
    <row r="41" spans="6:6" ht="15" customHeight="1" x14ac:dyDescent="0.4">
      <c r="F41" s="150">
        <v>1</v>
      </c>
    </row>
    <row r="42" spans="6:6" ht="15" customHeight="1" x14ac:dyDescent="0.4">
      <c r="F42" s="150">
        <v>2</v>
      </c>
    </row>
    <row r="43" spans="6:6" ht="15" customHeight="1" x14ac:dyDescent="0.4">
      <c r="F43" s="150">
        <v>3</v>
      </c>
    </row>
    <row r="44" spans="6:6" ht="15" customHeight="1" x14ac:dyDescent="0.4">
      <c r="F44" s="150">
        <v>4</v>
      </c>
    </row>
    <row r="45" spans="6:6" ht="15" customHeight="1" x14ac:dyDescent="0.4">
      <c r="F45" s="150">
        <v>5</v>
      </c>
    </row>
    <row r="46" spans="6:6" ht="15" customHeight="1" x14ac:dyDescent="0.4">
      <c r="F46" s="150">
        <v>6</v>
      </c>
    </row>
    <row r="47" spans="6:6" ht="15" customHeight="1" x14ac:dyDescent="0.4"/>
    <row r="48" spans="6:6" ht="15" customHeight="1" x14ac:dyDescent="0.4"/>
  </sheetData>
  <phoneticPr fontId="1"/>
  <dataValidations count="2">
    <dataValidation type="list" allowBlank="1" showInputMessage="1" showErrorMessage="1" sqref="F3" xr:uid="{FE02E3E1-59CC-409A-BAD3-5D55B6C1A277}">
      <formula1>$G$4:$G$5</formula1>
    </dataValidation>
    <dataValidation type="list" allowBlank="1" showInputMessage="1" showErrorMessage="1" sqref="B3" xr:uid="{00000000-0002-0000-0000-000000000000}">
      <formula1>$M$3:$M$8</formula1>
    </dataValidation>
  </dataValidations>
  <pageMargins left="0.7" right="0.7" top="0.75" bottom="0.75" header="0.3" footer="0.3"/>
  <pageSetup paperSize="9" scale="5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B1:AF44"/>
  <sheetViews>
    <sheetView showGridLines="0" view="pageBreakPreview" zoomScale="60" zoomScaleNormal="100" workbookViewId="0">
      <selection activeCell="B21" activeCellId="1" sqref="B6:H17 B21:H32"/>
    </sheetView>
  </sheetViews>
  <sheetFormatPr defaultColWidth="9" defaultRowHeight="18" x14ac:dyDescent="0.4"/>
  <cols>
    <col min="1" max="1" width="5.625" style="473" customWidth="1"/>
    <col min="2" max="8" width="12.625" style="473" customWidth="1"/>
    <col min="9" max="9" width="5.625" style="473" customWidth="1"/>
    <col min="10" max="23" width="9" style="473"/>
    <col min="24" max="24" width="11.625" style="473" bestFit="1" customWidth="1"/>
    <col min="25" max="25" width="10.5" style="473" bestFit="1" customWidth="1"/>
    <col min="26" max="26" width="10.75" style="473" bestFit="1" customWidth="1"/>
    <col min="27" max="264" width="9" style="473"/>
    <col min="265" max="265" width="12.5" style="473" customWidth="1"/>
    <col min="266" max="268" width="10.625" style="473" customWidth="1"/>
    <col min="269" max="271" width="12.625" style="473" customWidth="1"/>
    <col min="272" max="272" width="9" style="473"/>
    <col min="273" max="273" width="11.625" style="473" bestFit="1" customWidth="1"/>
    <col min="274" max="520" width="9" style="473"/>
    <col min="521" max="521" width="12.5" style="473" customWidth="1"/>
    <col min="522" max="524" width="10.625" style="473" customWidth="1"/>
    <col min="525" max="527" width="12.625" style="473" customWidth="1"/>
    <col min="528" max="528" width="9" style="473"/>
    <col min="529" max="529" width="11.625" style="473" bestFit="1" customWidth="1"/>
    <col min="530" max="776" width="9" style="473"/>
    <col min="777" max="777" width="12.5" style="473" customWidth="1"/>
    <col min="778" max="780" width="10.625" style="473" customWidth="1"/>
    <col min="781" max="783" width="12.625" style="473" customWidth="1"/>
    <col min="784" max="784" width="9" style="473"/>
    <col min="785" max="785" width="11.625" style="473" bestFit="1" customWidth="1"/>
    <col min="786" max="1032" width="9" style="473"/>
    <col min="1033" max="1033" width="12.5" style="473" customWidth="1"/>
    <col min="1034" max="1036" width="10.625" style="473" customWidth="1"/>
    <col min="1037" max="1039" width="12.625" style="473" customWidth="1"/>
    <col min="1040" max="1040" width="9" style="473"/>
    <col min="1041" max="1041" width="11.625" style="473" bestFit="1" customWidth="1"/>
    <col min="1042" max="1288" width="9" style="473"/>
    <col min="1289" max="1289" width="12.5" style="473" customWidth="1"/>
    <col min="1290" max="1292" width="10.625" style="473" customWidth="1"/>
    <col min="1293" max="1295" width="12.625" style="473" customWidth="1"/>
    <col min="1296" max="1296" width="9" style="473"/>
    <col min="1297" max="1297" width="11.625" style="473" bestFit="1" customWidth="1"/>
    <col min="1298" max="1544" width="9" style="473"/>
    <col min="1545" max="1545" width="12.5" style="473" customWidth="1"/>
    <col min="1546" max="1548" width="10.625" style="473" customWidth="1"/>
    <col min="1549" max="1551" width="12.625" style="473" customWidth="1"/>
    <col min="1552" max="1552" width="9" style="473"/>
    <col min="1553" max="1553" width="11.625" style="473" bestFit="1" customWidth="1"/>
    <col min="1554" max="1800" width="9" style="473"/>
    <col min="1801" max="1801" width="12.5" style="473" customWidth="1"/>
    <col min="1802" max="1804" width="10.625" style="473" customWidth="1"/>
    <col min="1805" max="1807" width="12.625" style="473" customWidth="1"/>
    <col min="1808" max="1808" width="9" style="473"/>
    <col min="1809" max="1809" width="11.625" style="473" bestFit="1" customWidth="1"/>
    <col min="1810" max="2056" width="9" style="473"/>
    <col min="2057" max="2057" width="12.5" style="473" customWidth="1"/>
    <col min="2058" max="2060" width="10.625" style="473" customWidth="1"/>
    <col min="2061" max="2063" width="12.625" style="473" customWidth="1"/>
    <col min="2064" max="2064" width="9" style="473"/>
    <col min="2065" max="2065" width="11.625" style="473" bestFit="1" customWidth="1"/>
    <col min="2066" max="2312" width="9" style="473"/>
    <col min="2313" max="2313" width="12.5" style="473" customWidth="1"/>
    <col min="2314" max="2316" width="10.625" style="473" customWidth="1"/>
    <col min="2317" max="2319" width="12.625" style="473" customWidth="1"/>
    <col min="2320" max="2320" width="9" style="473"/>
    <col min="2321" max="2321" width="11.625" style="473" bestFit="1" customWidth="1"/>
    <col min="2322" max="2568" width="9" style="473"/>
    <col min="2569" max="2569" width="12.5" style="473" customWidth="1"/>
    <col min="2570" max="2572" width="10.625" style="473" customWidth="1"/>
    <col min="2573" max="2575" width="12.625" style="473" customWidth="1"/>
    <col min="2576" max="2576" width="9" style="473"/>
    <col min="2577" max="2577" width="11.625" style="473" bestFit="1" customWidth="1"/>
    <col min="2578" max="2824" width="9" style="473"/>
    <col min="2825" max="2825" width="12.5" style="473" customWidth="1"/>
    <col min="2826" max="2828" width="10.625" style="473" customWidth="1"/>
    <col min="2829" max="2831" width="12.625" style="473" customWidth="1"/>
    <col min="2832" max="2832" width="9" style="473"/>
    <col min="2833" max="2833" width="11.625" style="473" bestFit="1" customWidth="1"/>
    <col min="2834" max="3080" width="9" style="473"/>
    <col min="3081" max="3081" width="12.5" style="473" customWidth="1"/>
    <col min="3082" max="3084" width="10.625" style="473" customWidth="1"/>
    <col min="3085" max="3087" width="12.625" style="473" customWidth="1"/>
    <col min="3088" max="3088" width="9" style="473"/>
    <col min="3089" max="3089" width="11.625" style="473" bestFit="1" customWidth="1"/>
    <col min="3090" max="3336" width="9" style="473"/>
    <col min="3337" max="3337" width="12.5" style="473" customWidth="1"/>
    <col min="3338" max="3340" width="10.625" style="473" customWidth="1"/>
    <col min="3341" max="3343" width="12.625" style="473" customWidth="1"/>
    <col min="3344" max="3344" width="9" style="473"/>
    <col min="3345" max="3345" width="11.625" style="473" bestFit="1" customWidth="1"/>
    <col min="3346" max="3592" width="9" style="473"/>
    <col min="3593" max="3593" width="12.5" style="473" customWidth="1"/>
    <col min="3594" max="3596" width="10.625" style="473" customWidth="1"/>
    <col min="3597" max="3599" width="12.625" style="473" customWidth="1"/>
    <col min="3600" max="3600" width="9" style="473"/>
    <col min="3601" max="3601" width="11.625" style="473" bestFit="1" customWidth="1"/>
    <col min="3602" max="3848" width="9" style="473"/>
    <col min="3849" max="3849" width="12.5" style="473" customWidth="1"/>
    <col min="3850" max="3852" width="10.625" style="473" customWidth="1"/>
    <col min="3853" max="3855" width="12.625" style="473" customWidth="1"/>
    <col min="3856" max="3856" width="9" style="473"/>
    <col min="3857" max="3857" width="11.625" style="473" bestFit="1" customWidth="1"/>
    <col min="3858" max="4104" width="9" style="473"/>
    <col min="4105" max="4105" width="12.5" style="473" customWidth="1"/>
    <col min="4106" max="4108" width="10.625" style="473" customWidth="1"/>
    <col min="4109" max="4111" width="12.625" style="473" customWidth="1"/>
    <col min="4112" max="4112" width="9" style="473"/>
    <col min="4113" max="4113" width="11.625" style="473" bestFit="1" customWidth="1"/>
    <col min="4114" max="4360" width="9" style="473"/>
    <col min="4361" max="4361" width="12.5" style="473" customWidth="1"/>
    <col min="4362" max="4364" width="10.625" style="473" customWidth="1"/>
    <col min="4365" max="4367" width="12.625" style="473" customWidth="1"/>
    <col min="4368" max="4368" width="9" style="473"/>
    <col min="4369" max="4369" width="11.625" style="473" bestFit="1" customWidth="1"/>
    <col min="4370" max="4616" width="9" style="473"/>
    <col min="4617" max="4617" width="12.5" style="473" customWidth="1"/>
    <col min="4618" max="4620" width="10.625" style="473" customWidth="1"/>
    <col min="4621" max="4623" width="12.625" style="473" customWidth="1"/>
    <col min="4624" max="4624" width="9" style="473"/>
    <col min="4625" max="4625" width="11.625" style="473" bestFit="1" customWidth="1"/>
    <col min="4626" max="4872" width="9" style="473"/>
    <col min="4873" max="4873" width="12.5" style="473" customWidth="1"/>
    <col min="4874" max="4876" width="10.625" style="473" customWidth="1"/>
    <col min="4877" max="4879" width="12.625" style="473" customWidth="1"/>
    <col min="4880" max="4880" width="9" style="473"/>
    <col min="4881" max="4881" width="11.625" style="473" bestFit="1" customWidth="1"/>
    <col min="4882" max="5128" width="9" style="473"/>
    <col min="5129" max="5129" width="12.5" style="473" customWidth="1"/>
    <col min="5130" max="5132" width="10.625" style="473" customWidth="1"/>
    <col min="5133" max="5135" width="12.625" style="473" customWidth="1"/>
    <col min="5136" max="5136" width="9" style="473"/>
    <col min="5137" max="5137" width="11.625" style="473" bestFit="1" customWidth="1"/>
    <col min="5138" max="5384" width="9" style="473"/>
    <col min="5385" max="5385" width="12.5" style="473" customWidth="1"/>
    <col min="5386" max="5388" width="10.625" style="473" customWidth="1"/>
    <col min="5389" max="5391" width="12.625" style="473" customWidth="1"/>
    <col min="5392" max="5392" width="9" style="473"/>
    <col min="5393" max="5393" width="11.625" style="473" bestFit="1" customWidth="1"/>
    <col min="5394" max="5640" width="9" style="473"/>
    <col min="5641" max="5641" width="12.5" style="473" customWidth="1"/>
    <col min="5642" max="5644" width="10.625" style="473" customWidth="1"/>
    <col min="5645" max="5647" width="12.625" style="473" customWidth="1"/>
    <col min="5648" max="5648" width="9" style="473"/>
    <col min="5649" max="5649" width="11.625" style="473" bestFit="1" customWidth="1"/>
    <col min="5650" max="5896" width="9" style="473"/>
    <col min="5897" max="5897" width="12.5" style="473" customWidth="1"/>
    <col min="5898" max="5900" width="10.625" style="473" customWidth="1"/>
    <col min="5901" max="5903" width="12.625" style="473" customWidth="1"/>
    <col min="5904" max="5904" width="9" style="473"/>
    <col min="5905" max="5905" width="11.625" style="473" bestFit="1" customWidth="1"/>
    <col min="5906" max="6152" width="9" style="473"/>
    <col min="6153" max="6153" width="12.5" style="473" customWidth="1"/>
    <col min="6154" max="6156" width="10.625" style="473" customWidth="1"/>
    <col min="6157" max="6159" width="12.625" style="473" customWidth="1"/>
    <col min="6160" max="6160" width="9" style="473"/>
    <col min="6161" max="6161" width="11.625" style="473" bestFit="1" customWidth="1"/>
    <col min="6162" max="6408" width="9" style="473"/>
    <col min="6409" max="6409" width="12.5" style="473" customWidth="1"/>
    <col min="6410" max="6412" width="10.625" style="473" customWidth="1"/>
    <col min="6413" max="6415" width="12.625" style="473" customWidth="1"/>
    <col min="6416" max="6416" width="9" style="473"/>
    <col min="6417" max="6417" width="11.625" style="473" bestFit="1" customWidth="1"/>
    <col min="6418" max="6664" width="9" style="473"/>
    <col min="6665" max="6665" width="12.5" style="473" customWidth="1"/>
    <col min="6666" max="6668" width="10.625" style="473" customWidth="1"/>
    <col min="6669" max="6671" width="12.625" style="473" customWidth="1"/>
    <col min="6672" max="6672" width="9" style="473"/>
    <col min="6673" max="6673" width="11.625" style="473" bestFit="1" customWidth="1"/>
    <col min="6674" max="6920" width="9" style="473"/>
    <col min="6921" max="6921" width="12.5" style="473" customWidth="1"/>
    <col min="6922" max="6924" width="10.625" style="473" customWidth="1"/>
    <col min="6925" max="6927" width="12.625" style="473" customWidth="1"/>
    <col min="6928" max="6928" width="9" style="473"/>
    <col min="6929" max="6929" width="11.625" style="473" bestFit="1" customWidth="1"/>
    <col min="6930" max="7176" width="9" style="473"/>
    <col min="7177" max="7177" width="12.5" style="473" customWidth="1"/>
    <col min="7178" max="7180" width="10.625" style="473" customWidth="1"/>
    <col min="7181" max="7183" width="12.625" style="473" customWidth="1"/>
    <col min="7184" max="7184" width="9" style="473"/>
    <col min="7185" max="7185" width="11.625" style="473" bestFit="1" customWidth="1"/>
    <col min="7186" max="7432" width="9" style="473"/>
    <col min="7433" max="7433" width="12.5" style="473" customWidth="1"/>
    <col min="7434" max="7436" width="10.625" style="473" customWidth="1"/>
    <col min="7437" max="7439" width="12.625" style="473" customWidth="1"/>
    <col min="7440" max="7440" width="9" style="473"/>
    <col min="7441" max="7441" width="11.625" style="473" bestFit="1" customWidth="1"/>
    <col min="7442" max="7688" width="9" style="473"/>
    <col min="7689" max="7689" width="12.5" style="473" customWidth="1"/>
    <col min="7690" max="7692" width="10.625" style="473" customWidth="1"/>
    <col min="7693" max="7695" width="12.625" style="473" customWidth="1"/>
    <col min="7696" max="7696" width="9" style="473"/>
    <col min="7697" max="7697" width="11.625" style="473" bestFit="1" customWidth="1"/>
    <col min="7698" max="7944" width="9" style="473"/>
    <col min="7945" max="7945" width="12.5" style="473" customWidth="1"/>
    <col min="7946" max="7948" width="10.625" style="473" customWidth="1"/>
    <col min="7949" max="7951" width="12.625" style="473" customWidth="1"/>
    <col min="7952" max="7952" width="9" style="473"/>
    <col min="7953" max="7953" width="11.625" style="473" bestFit="1" customWidth="1"/>
    <col min="7954" max="8200" width="9" style="473"/>
    <col min="8201" max="8201" width="12.5" style="473" customWidth="1"/>
    <col min="8202" max="8204" width="10.625" style="473" customWidth="1"/>
    <col min="8205" max="8207" width="12.625" style="473" customWidth="1"/>
    <col min="8208" max="8208" width="9" style="473"/>
    <col min="8209" max="8209" width="11.625" style="473" bestFit="1" customWidth="1"/>
    <col min="8210" max="8456" width="9" style="473"/>
    <col min="8457" max="8457" width="12.5" style="473" customWidth="1"/>
    <col min="8458" max="8460" width="10.625" style="473" customWidth="1"/>
    <col min="8461" max="8463" width="12.625" style="473" customWidth="1"/>
    <col min="8464" max="8464" width="9" style="473"/>
    <col min="8465" max="8465" width="11.625" style="473" bestFit="1" customWidth="1"/>
    <col min="8466" max="8712" width="9" style="473"/>
    <col min="8713" max="8713" width="12.5" style="473" customWidth="1"/>
    <col min="8714" max="8716" width="10.625" style="473" customWidth="1"/>
    <col min="8717" max="8719" width="12.625" style="473" customWidth="1"/>
    <col min="8720" max="8720" width="9" style="473"/>
    <col min="8721" max="8721" width="11.625" style="473" bestFit="1" customWidth="1"/>
    <col min="8722" max="8968" width="9" style="473"/>
    <col min="8969" max="8969" width="12.5" style="473" customWidth="1"/>
    <col min="8970" max="8972" width="10.625" style="473" customWidth="1"/>
    <col min="8973" max="8975" width="12.625" style="473" customWidth="1"/>
    <col min="8976" max="8976" width="9" style="473"/>
    <col min="8977" max="8977" width="11.625" style="473" bestFit="1" customWidth="1"/>
    <col min="8978" max="9224" width="9" style="473"/>
    <col min="9225" max="9225" width="12.5" style="473" customWidth="1"/>
    <col min="9226" max="9228" width="10.625" style="473" customWidth="1"/>
    <col min="9229" max="9231" width="12.625" style="473" customWidth="1"/>
    <col min="9232" max="9232" width="9" style="473"/>
    <col min="9233" max="9233" width="11.625" style="473" bestFit="1" customWidth="1"/>
    <col min="9234" max="9480" width="9" style="473"/>
    <col min="9481" max="9481" width="12.5" style="473" customWidth="1"/>
    <col min="9482" max="9484" width="10.625" style="473" customWidth="1"/>
    <col min="9485" max="9487" width="12.625" style="473" customWidth="1"/>
    <col min="9488" max="9488" width="9" style="473"/>
    <col min="9489" max="9489" width="11.625" style="473" bestFit="1" customWidth="1"/>
    <col min="9490" max="9736" width="9" style="473"/>
    <col min="9737" max="9737" width="12.5" style="473" customWidth="1"/>
    <col min="9738" max="9740" width="10.625" style="473" customWidth="1"/>
    <col min="9741" max="9743" width="12.625" style="473" customWidth="1"/>
    <col min="9744" max="9744" width="9" style="473"/>
    <col min="9745" max="9745" width="11.625" style="473" bestFit="1" customWidth="1"/>
    <col min="9746" max="9992" width="9" style="473"/>
    <col min="9993" max="9993" width="12.5" style="473" customWidth="1"/>
    <col min="9994" max="9996" width="10.625" style="473" customWidth="1"/>
    <col min="9997" max="9999" width="12.625" style="473" customWidth="1"/>
    <col min="10000" max="10000" width="9" style="473"/>
    <col min="10001" max="10001" width="11.625" style="473" bestFit="1" customWidth="1"/>
    <col min="10002" max="10248" width="9" style="473"/>
    <col min="10249" max="10249" width="12.5" style="473" customWidth="1"/>
    <col min="10250" max="10252" width="10.625" style="473" customWidth="1"/>
    <col min="10253" max="10255" width="12.625" style="473" customWidth="1"/>
    <col min="10256" max="10256" width="9" style="473"/>
    <col min="10257" max="10257" width="11.625" style="473" bestFit="1" customWidth="1"/>
    <col min="10258" max="10504" width="9" style="473"/>
    <col min="10505" max="10505" width="12.5" style="473" customWidth="1"/>
    <col min="10506" max="10508" width="10.625" style="473" customWidth="1"/>
    <col min="10509" max="10511" width="12.625" style="473" customWidth="1"/>
    <col min="10512" max="10512" width="9" style="473"/>
    <col min="10513" max="10513" width="11.625" style="473" bestFit="1" customWidth="1"/>
    <col min="10514" max="10760" width="9" style="473"/>
    <col min="10761" max="10761" width="12.5" style="473" customWidth="1"/>
    <col min="10762" max="10764" width="10.625" style="473" customWidth="1"/>
    <col min="10765" max="10767" width="12.625" style="473" customWidth="1"/>
    <col min="10768" max="10768" width="9" style="473"/>
    <col min="10769" max="10769" width="11.625" style="473" bestFit="1" customWidth="1"/>
    <col min="10770" max="11016" width="9" style="473"/>
    <col min="11017" max="11017" width="12.5" style="473" customWidth="1"/>
    <col min="11018" max="11020" width="10.625" style="473" customWidth="1"/>
    <col min="11021" max="11023" width="12.625" style="473" customWidth="1"/>
    <col min="11024" max="11024" width="9" style="473"/>
    <col min="11025" max="11025" width="11.625" style="473" bestFit="1" customWidth="1"/>
    <col min="11026" max="11272" width="9" style="473"/>
    <col min="11273" max="11273" width="12.5" style="473" customWidth="1"/>
    <col min="11274" max="11276" width="10.625" style="473" customWidth="1"/>
    <col min="11277" max="11279" width="12.625" style="473" customWidth="1"/>
    <col min="11280" max="11280" width="9" style="473"/>
    <col min="11281" max="11281" width="11.625" style="473" bestFit="1" customWidth="1"/>
    <col min="11282" max="11528" width="9" style="473"/>
    <col min="11529" max="11529" width="12.5" style="473" customWidth="1"/>
    <col min="11530" max="11532" width="10.625" style="473" customWidth="1"/>
    <col min="11533" max="11535" width="12.625" style="473" customWidth="1"/>
    <col min="11536" max="11536" width="9" style="473"/>
    <col min="11537" max="11537" width="11.625" style="473" bestFit="1" customWidth="1"/>
    <col min="11538" max="11784" width="9" style="473"/>
    <col min="11785" max="11785" width="12.5" style="473" customWidth="1"/>
    <col min="11786" max="11788" width="10.625" style="473" customWidth="1"/>
    <col min="11789" max="11791" width="12.625" style="473" customWidth="1"/>
    <col min="11792" max="11792" width="9" style="473"/>
    <col min="11793" max="11793" width="11.625" style="473" bestFit="1" customWidth="1"/>
    <col min="11794" max="12040" width="9" style="473"/>
    <col min="12041" max="12041" width="12.5" style="473" customWidth="1"/>
    <col min="12042" max="12044" width="10.625" style="473" customWidth="1"/>
    <col min="12045" max="12047" width="12.625" style="473" customWidth="1"/>
    <col min="12048" max="12048" width="9" style="473"/>
    <col min="12049" max="12049" width="11.625" style="473" bestFit="1" customWidth="1"/>
    <col min="12050" max="12296" width="9" style="473"/>
    <col min="12297" max="12297" width="12.5" style="473" customWidth="1"/>
    <col min="12298" max="12300" width="10.625" style="473" customWidth="1"/>
    <col min="12301" max="12303" width="12.625" style="473" customWidth="1"/>
    <col min="12304" max="12304" width="9" style="473"/>
    <col min="12305" max="12305" width="11.625" style="473" bestFit="1" customWidth="1"/>
    <col min="12306" max="12552" width="9" style="473"/>
    <col min="12553" max="12553" width="12.5" style="473" customWidth="1"/>
    <col min="12554" max="12556" width="10.625" style="473" customWidth="1"/>
    <col min="12557" max="12559" width="12.625" style="473" customWidth="1"/>
    <col min="12560" max="12560" width="9" style="473"/>
    <col min="12561" max="12561" width="11.625" style="473" bestFit="1" customWidth="1"/>
    <col min="12562" max="12808" width="9" style="473"/>
    <col min="12809" max="12809" width="12.5" style="473" customWidth="1"/>
    <col min="12810" max="12812" width="10.625" style="473" customWidth="1"/>
    <col min="12813" max="12815" width="12.625" style="473" customWidth="1"/>
    <col min="12816" max="12816" width="9" style="473"/>
    <col min="12817" max="12817" width="11.625" style="473" bestFit="1" customWidth="1"/>
    <col min="12818" max="13064" width="9" style="473"/>
    <col min="13065" max="13065" width="12.5" style="473" customWidth="1"/>
    <col min="13066" max="13068" width="10.625" style="473" customWidth="1"/>
    <col min="13069" max="13071" width="12.625" style="473" customWidth="1"/>
    <col min="13072" max="13072" width="9" style="473"/>
    <col min="13073" max="13073" width="11.625" style="473" bestFit="1" customWidth="1"/>
    <col min="13074" max="13320" width="9" style="473"/>
    <col min="13321" max="13321" width="12.5" style="473" customWidth="1"/>
    <col min="13322" max="13324" width="10.625" style="473" customWidth="1"/>
    <col min="13325" max="13327" width="12.625" style="473" customWidth="1"/>
    <col min="13328" max="13328" width="9" style="473"/>
    <col min="13329" max="13329" width="11.625" style="473" bestFit="1" customWidth="1"/>
    <col min="13330" max="13576" width="9" style="473"/>
    <col min="13577" max="13577" width="12.5" style="473" customWidth="1"/>
    <col min="13578" max="13580" width="10.625" style="473" customWidth="1"/>
    <col min="13581" max="13583" width="12.625" style="473" customWidth="1"/>
    <col min="13584" max="13584" width="9" style="473"/>
    <col min="13585" max="13585" width="11.625" style="473" bestFit="1" customWidth="1"/>
    <col min="13586" max="13832" width="9" style="473"/>
    <col min="13833" max="13833" width="12.5" style="473" customWidth="1"/>
    <col min="13834" max="13836" width="10.625" style="473" customWidth="1"/>
    <col min="13837" max="13839" width="12.625" style="473" customWidth="1"/>
    <col min="13840" max="13840" width="9" style="473"/>
    <col min="13841" max="13841" width="11.625" style="473" bestFit="1" customWidth="1"/>
    <col min="13842" max="14088" width="9" style="473"/>
    <col min="14089" max="14089" width="12.5" style="473" customWidth="1"/>
    <col min="14090" max="14092" width="10.625" style="473" customWidth="1"/>
    <col min="14093" max="14095" width="12.625" style="473" customWidth="1"/>
    <col min="14096" max="14096" width="9" style="473"/>
    <col min="14097" max="14097" width="11.625" style="473" bestFit="1" customWidth="1"/>
    <col min="14098" max="14344" width="9" style="473"/>
    <col min="14345" max="14345" width="12.5" style="473" customWidth="1"/>
    <col min="14346" max="14348" width="10.625" style="473" customWidth="1"/>
    <col min="14349" max="14351" width="12.625" style="473" customWidth="1"/>
    <col min="14352" max="14352" width="9" style="473"/>
    <col min="14353" max="14353" width="11.625" style="473" bestFit="1" customWidth="1"/>
    <col min="14354" max="14600" width="9" style="473"/>
    <col min="14601" max="14601" width="12.5" style="473" customWidth="1"/>
    <col min="14602" max="14604" width="10.625" style="473" customWidth="1"/>
    <col min="14605" max="14607" width="12.625" style="473" customWidth="1"/>
    <col min="14608" max="14608" width="9" style="473"/>
    <col min="14609" max="14609" width="11.625" style="473" bestFit="1" customWidth="1"/>
    <col min="14610" max="14856" width="9" style="473"/>
    <col min="14857" max="14857" width="12.5" style="473" customWidth="1"/>
    <col min="14858" max="14860" width="10.625" style="473" customWidth="1"/>
    <col min="14861" max="14863" width="12.625" style="473" customWidth="1"/>
    <col min="14864" max="14864" width="9" style="473"/>
    <col min="14865" max="14865" width="11.625" style="473" bestFit="1" customWidth="1"/>
    <col min="14866" max="15112" width="9" style="473"/>
    <col min="15113" max="15113" width="12.5" style="473" customWidth="1"/>
    <col min="15114" max="15116" width="10.625" style="473" customWidth="1"/>
    <col min="15117" max="15119" width="12.625" style="473" customWidth="1"/>
    <col min="15120" max="15120" width="9" style="473"/>
    <col min="15121" max="15121" width="11.625" style="473" bestFit="1" customWidth="1"/>
    <col min="15122" max="15368" width="9" style="473"/>
    <col min="15369" max="15369" width="12.5" style="473" customWidth="1"/>
    <col min="15370" max="15372" width="10.625" style="473" customWidth="1"/>
    <col min="15373" max="15375" width="12.625" style="473" customWidth="1"/>
    <col min="15376" max="15376" width="9" style="473"/>
    <col min="15377" max="15377" width="11.625" style="473" bestFit="1" customWidth="1"/>
    <col min="15378" max="15624" width="9" style="473"/>
    <col min="15625" max="15625" width="12.5" style="473" customWidth="1"/>
    <col min="15626" max="15628" width="10.625" style="473" customWidth="1"/>
    <col min="15629" max="15631" width="12.625" style="473" customWidth="1"/>
    <col min="15632" max="15632" width="9" style="473"/>
    <col min="15633" max="15633" width="11.625" style="473" bestFit="1" customWidth="1"/>
    <col min="15634" max="15880" width="9" style="473"/>
    <col min="15881" max="15881" width="12.5" style="473" customWidth="1"/>
    <col min="15882" max="15884" width="10.625" style="473" customWidth="1"/>
    <col min="15885" max="15887" width="12.625" style="473" customWidth="1"/>
    <col min="15888" max="15888" width="9" style="473"/>
    <col min="15889" max="15889" width="11.625" style="473" bestFit="1" customWidth="1"/>
    <col min="15890" max="16136" width="9" style="473"/>
    <col min="16137" max="16137" width="12.5" style="473" customWidth="1"/>
    <col min="16138" max="16140" width="10.625" style="473" customWidth="1"/>
    <col min="16141" max="16143" width="12.625" style="473" customWidth="1"/>
    <col min="16144" max="16144" width="9" style="473"/>
    <col min="16145" max="16145" width="11.625" style="473" bestFit="1" customWidth="1"/>
    <col min="16146" max="16384" width="9" style="473"/>
  </cols>
  <sheetData>
    <row r="1" spans="2:32" ht="30" customHeight="1" x14ac:dyDescent="0.4">
      <c r="B1" s="473" t="str">
        <f xml:space="preserve">
IF(テーブル!B3="交付申請","様式２－３",
IF(テーブル!B3="変更申請","様式２－３",
IF(テーブル!B3="実績報告（１次）","様式１－３",
IF(テーブル!B3="交付申請（２次）","様式２－３",
IF(テーブル!B3="交付申請兼実績報告（２次）","様式１－３",
IF(テーブル!B3="実績報告（２次）","様式１－３"))))))</f>
        <v>様式２－３</v>
      </c>
      <c r="C1" s="1935" t="str">
        <f>額内訳書!C1</f>
        <v>　（10月１日～３月31日分）</v>
      </c>
      <c r="D1" s="1450"/>
      <c r="E1" s="1450"/>
      <c r="F1" s="1450"/>
      <c r="G1" s="1450"/>
      <c r="H1" s="1450"/>
      <c r="I1" s="1450"/>
    </row>
    <row r="2" spans="2:32" ht="35.1" customHeight="1" x14ac:dyDescent="0.4">
      <c r="B2" s="1959" t="str">
        <f xml:space="preserve">
IF(テーブル!B3="交付申請","令和５年度歳入歳出予算書抄本",
IF(テーブル!B3="変更申請","令和５年度歳入歳出予算書抄本",
IF(テーブル!B3="実績報告（１次）","令和５年度歳入歳出決算書（見込書）抄本",
IF(テーブル!B3="交付申請（２次）","令和５年度歳入歳出予算書抄本",
IF(テーブル!B3="交付申請兼実績報告（２次）","令和５年度歳入歳出決算書（見込書）抄本",
IF(テーブル!B3="実績報告（２次）","令和５年度歳入歳出決算書（見込書）抄本"))))))</f>
        <v>令和５年度歳入歳出予算書抄本</v>
      </c>
      <c r="C2" s="1959"/>
      <c r="D2" s="1959"/>
      <c r="E2" s="1959"/>
      <c r="F2" s="1959"/>
      <c r="G2" s="1959"/>
      <c r="H2" s="1959"/>
    </row>
    <row r="3" spans="2:32" ht="20.100000000000001" customHeight="1" x14ac:dyDescent="0.4">
      <c r="B3" s="473" t="s">
        <v>27</v>
      </c>
    </row>
    <row r="4" spans="2:32" ht="20.100000000000001" customHeight="1" x14ac:dyDescent="0.4">
      <c r="B4" s="1942" t="s">
        <v>28</v>
      </c>
      <c r="C4" s="1942" t="s">
        <v>29</v>
      </c>
      <c r="D4" s="1942" t="s">
        <v>30</v>
      </c>
      <c r="E4" s="1942" t="s">
        <v>31</v>
      </c>
      <c r="F4" s="1942" t="s">
        <v>32</v>
      </c>
      <c r="G4" s="1942"/>
      <c r="H4" s="1942" t="s">
        <v>33</v>
      </c>
      <c r="X4" s="1937" t="s">
        <v>140</v>
      </c>
      <c r="Y4" s="1942" t="s">
        <v>28</v>
      </c>
      <c r="Z4" s="1942" t="s">
        <v>29</v>
      </c>
      <c r="AA4" s="1942" t="s">
        <v>30</v>
      </c>
      <c r="AB4" s="1942" t="s">
        <v>31</v>
      </c>
      <c r="AC4" s="1942" t="s">
        <v>32</v>
      </c>
      <c r="AD4" s="1942"/>
    </row>
    <row r="5" spans="2:32" ht="20.100000000000001" customHeight="1" x14ac:dyDescent="0.4">
      <c r="B5" s="1942"/>
      <c r="C5" s="1942"/>
      <c r="D5" s="1942"/>
      <c r="E5" s="1942"/>
      <c r="F5" s="474" t="s">
        <v>34</v>
      </c>
      <c r="G5" s="474" t="s">
        <v>35</v>
      </c>
      <c r="H5" s="1942"/>
      <c r="X5" s="790"/>
      <c r="Y5" s="1411"/>
      <c r="Z5" s="1411"/>
      <c r="AA5" s="1411"/>
      <c r="AB5" s="1411"/>
      <c r="AC5" s="474" t="s">
        <v>34</v>
      </c>
      <c r="AD5" s="474" t="s">
        <v>35</v>
      </c>
    </row>
    <row r="6" spans="2:32" ht="20.100000000000001" customHeight="1" x14ac:dyDescent="0.4">
      <c r="B6" s="1956"/>
      <c r="C6" s="1956"/>
      <c r="D6" s="1956"/>
      <c r="E6" s="1953"/>
      <c r="F6" s="1950"/>
      <c r="G6" s="1953"/>
      <c r="H6" s="1943"/>
      <c r="X6" s="1942" t="s">
        <v>138</v>
      </c>
      <c r="Y6" s="1942" t="str">
        <f t="shared" ref="Y6:AD6" si="0">IF(COUNTA(B6)=1,"○","×")</f>
        <v>×</v>
      </c>
      <c r="Z6" s="1942" t="str">
        <f t="shared" si="0"/>
        <v>×</v>
      </c>
      <c r="AA6" s="1942" t="str">
        <f t="shared" si="0"/>
        <v>×</v>
      </c>
      <c r="AB6" s="1942" t="str">
        <f t="shared" si="0"/>
        <v>×</v>
      </c>
      <c r="AC6" s="1942" t="str">
        <f t="shared" si="0"/>
        <v>×</v>
      </c>
      <c r="AD6" s="1942" t="str">
        <f t="shared" si="0"/>
        <v>×</v>
      </c>
      <c r="AF6" s="1937" t="str">
        <f>IF(COUNTIF(Y6:AD9,"○")=12,"○","×")</f>
        <v>×</v>
      </c>
    </row>
    <row r="7" spans="2:32" ht="20.100000000000001" customHeight="1" x14ac:dyDescent="0.4">
      <c r="B7" s="1957"/>
      <c r="C7" s="1957"/>
      <c r="D7" s="1957"/>
      <c r="E7" s="1954"/>
      <c r="F7" s="1951"/>
      <c r="G7" s="1954"/>
      <c r="H7" s="1944"/>
      <c r="X7" s="1238"/>
      <c r="Y7" s="1238"/>
      <c r="Z7" s="1238"/>
      <c r="AA7" s="1238"/>
      <c r="AB7" s="1238"/>
      <c r="AC7" s="1238"/>
      <c r="AD7" s="1238"/>
      <c r="AF7" s="789"/>
    </row>
    <row r="8" spans="2:32" ht="20.100000000000001" customHeight="1" x14ac:dyDescent="0.4">
      <c r="B8" s="1957"/>
      <c r="C8" s="1957"/>
      <c r="D8" s="1957"/>
      <c r="E8" s="1954"/>
      <c r="F8" s="1951"/>
      <c r="G8" s="1954"/>
      <c r="H8" s="1944"/>
      <c r="X8" s="1942" t="s">
        <v>139</v>
      </c>
      <c r="Y8" s="1942" t="str">
        <f t="shared" ref="Y8:AD8" si="1">IF(COUNTA(B21)=1,"○","×")</f>
        <v>×</v>
      </c>
      <c r="Z8" s="1942" t="str">
        <f t="shared" si="1"/>
        <v>×</v>
      </c>
      <c r="AA8" s="1942" t="str">
        <f t="shared" si="1"/>
        <v>×</v>
      </c>
      <c r="AB8" s="1942" t="str">
        <f t="shared" si="1"/>
        <v>×</v>
      </c>
      <c r="AC8" s="1942" t="str">
        <f t="shared" si="1"/>
        <v>×</v>
      </c>
      <c r="AD8" s="1942" t="str">
        <f t="shared" si="1"/>
        <v>×</v>
      </c>
      <c r="AF8" s="789"/>
    </row>
    <row r="9" spans="2:32" ht="20.100000000000001" customHeight="1" x14ac:dyDescent="0.4">
      <c r="B9" s="1957"/>
      <c r="C9" s="1957"/>
      <c r="D9" s="1957"/>
      <c r="E9" s="1954"/>
      <c r="F9" s="1951"/>
      <c r="G9" s="1954"/>
      <c r="H9" s="1944"/>
      <c r="X9" s="1238"/>
      <c r="Y9" s="1238"/>
      <c r="Z9" s="1238"/>
      <c r="AA9" s="1238"/>
      <c r="AB9" s="1238"/>
      <c r="AC9" s="1238"/>
      <c r="AD9" s="1238"/>
      <c r="AF9" s="790"/>
    </row>
    <row r="10" spans="2:32" ht="20.100000000000001" customHeight="1" x14ac:dyDescent="0.4">
      <c r="B10" s="1957"/>
      <c r="C10" s="1957"/>
      <c r="D10" s="1957"/>
      <c r="E10" s="1954"/>
      <c r="F10" s="1951"/>
      <c r="G10" s="1954"/>
      <c r="H10" s="1944"/>
    </row>
    <row r="11" spans="2:32" ht="20.100000000000001" customHeight="1" x14ac:dyDescent="0.4">
      <c r="B11" s="1957"/>
      <c r="C11" s="1957"/>
      <c r="D11" s="1957"/>
      <c r="E11" s="1954"/>
      <c r="F11" s="1951"/>
      <c r="G11" s="1954"/>
      <c r="H11" s="1944"/>
      <c r="X11" s="1937" t="s">
        <v>133</v>
      </c>
      <c r="Y11" s="1937" t="str">
        <f xml:space="preserve">
IF(AND(はじめに入力してください!O3="○"&amp;CHAR(10)&amp;"（公立）",歳入歳出抄本!AF6="○"),"○",
IF(AND(はじめに入力してください!O3="○"&amp;CHAR(10)&amp;"（公立）",歳入歳出抄本!AF6="×"),"×",
IF(AND(はじめに入力してください!O3&lt;&gt;"○"&amp;CHAR(10)&amp;"（公立）",歳入歳出抄本!AF6="○"),"○",
IF(AND(はじめに入力してください!O3&lt;&gt;"○"&amp;CHAR(10)&amp;"（公立）",歳入歳出抄本!AF6="×"),"○",))))</f>
        <v>○</v>
      </c>
      <c r="Z11" s="1938" t="str">
        <f xml:space="preserve">
IF(AND(はじめに入力してください!O3="○"&amp;CHAR(10)&amp;"（公立）",歳入歳出抄本!AF6="○"),"適切に入力がされました。",
IF(AND(はじめに入力してください!O3="○"&amp;CHAR(10)&amp;"（公立）",歳入歳出抄本!AF6="×"),"【要修正】公立機関なので作成が必要です。",
IF(AND(はじめに入力してください!O3&lt;&gt;"○"&amp;CHAR(10)&amp;"（公立）",歳入歳出抄本!AF6="○"),"公立機関ではない場合、作成不要です。"&amp;CHAR(10)&amp;"（入力されていても特段問題はありません。）",
IF(AND(はじめに入力してください!O3&lt;&gt;"○"&amp;CHAR(10)&amp;"（公立）",歳入歳出抄本!AF6="×"),"公立機関ではない場合、作成不要です。"&amp;CHAR(10)&amp;"（入力されていても特段問題はありません。）",))))</f>
        <v>公立機関ではない場合、作成不要です。
（入力されていても特段問題はありません。）</v>
      </c>
      <c r="AA11" s="1939"/>
      <c r="AB11" s="1939"/>
      <c r="AC11" s="1939"/>
      <c r="AD11" s="1939"/>
    </row>
    <row r="12" spans="2:32" ht="20.100000000000001" customHeight="1" x14ac:dyDescent="0.4">
      <c r="B12" s="1957"/>
      <c r="C12" s="1957"/>
      <c r="D12" s="1957"/>
      <c r="E12" s="1954"/>
      <c r="F12" s="1951"/>
      <c r="G12" s="1954"/>
      <c r="H12" s="1944"/>
      <c r="X12" s="789"/>
      <c r="Y12" s="789"/>
      <c r="Z12" s="1940"/>
      <c r="AA12" s="1940"/>
      <c r="AB12" s="1940"/>
      <c r="AC12" s="1940"/>
      <c r="AD12" s="1940"/>
    </row>
    <row r="13" spans="2:32" ht="20.100000000000001" customHeight="1" x14ac:dyDescent="0.4">
      <c r="B13" s="1957"/>
      <c r="C13" s="1957"/>
      <c r="D13" s="1957"/>
      <c r="E13" s="1954"/>
      <c r="F13" s="1951"/>
      <c r="G13" s="1954"/>
      <c r="H13" s="1944"/>
      <c r="X13" s="790"/>
      <c r="Y13" s="790"/>
      <c r="Z13" s="1941"/>
      <c r="AA13" s="1941"/>
      <c r="AB13" s="1941"/>
      <c r="AC13" s="1941"/>
      <c r="AD13" s="1941"/>
      <c r="AF13" s="473">
        <f>COUNTIF(Y6:AD9,"○")</f>
        <v>0</v>
      </c>
    </row>
    <row r="14" spans="2:32" ht="20.100000000000001" customHeight="1" x14ac:dyDescent="0.4">
      <c r="B14" s="1957"/>
      <c r="C14" s="1957"/>
      <c r="D14" s="1957"/>
      <c r="E14" s="1954"/>
      <c r="F14" s="1951"/>
      <c r="G14" s="1954"/>
      <c r="H14" s="1944"/>
    </row>
    <row r="15" spans="2:32" ht="20.100000000000001" customHeight="1" x14ac:dyDescent="0.4">
      <c r="B15" s="1957"/>
      <c r="C15" s="1957"/>
      <c r="D15" s="1957"/>
      <c r="E15" s="1954"/>
      <c r="F15" s="1951"/>
      <c r="G15" s="1954"/>
      <c r="H15" s="1944"/>
    </row>
    <row r="16" spans="2:32" ht="20.100000000000001" customHeight="1" x14ac:dyDescent="0.4">
      <c r="B16" s="1957"/>
      <c r="C16" s="1957"/>
      <c r="D16" s="1957"/>
      <c r="E16" s="1954"/>
      <c r="F16" s="1951"/>
      <c r="G16" s="1954"/>
      <c r="H16" s="1944"/>
    </row>
    <row r="17" spans="2:24" ht="20.100000000000001" customHeight="1" x14ac:dyDescent="0.4">
      <c r="B17" s="1958"/>
      <c r="C17" s="1958"/>
      <c r="D17" s="1958"/>
      <c r="E17" s="1955"/>
      <c r="F17" s="1952"/>
      <c r="G17" s="1955"/>
      <c r="H17" s="1945"/>
    </row>
    <row r="18" spans="2:24" ht="20.100000000000001" customHeight="1" x14ac:dyDescent="0.4">
      <c r="B18" s="475" t="s">
        <v>36</v>
      </c>
      <c r="C18" s="475"/>
      <c r="D18" s="475"/>
      <c r="E18" s="475"/>
      <c r="F18" s="475"/>
      <c r="G18" s="475"/>
      <c r="H18" s="475"/>
    </row>
    <row r="19" spans="2:24" ht="20.100000000000001" customHeight="1" x14ac:dyDescent="0.4">
      <c r="B19" s="1946" t="s">
        <v>28</v>
      </c>
      <c r="C19" s="1946" t="s">
        <v>29</v>
      </c>
      <c r="D19" s="1946" t="s">
        <v>30</v>
      </c>
      <c r="E19" s="1948" t="s">
        <v>31</v>
      </c>
      <c r="F19" s="1946" t="s">
        <v>32</v>
      </c>
      <c r="G19" s="1949"/>
      <c r="H19" s="1946" t="s">
        <v>33</v>
      </c>
      <c r="X19" s="476"/>
    </row>
    <row r="20" spans="2:24" ht="20.100000000000001" customHeight="1" x14ac:dyDescent="0.4">
      <c r="B20" s="1946"/>
      <c r="C20" s="1946"/>
      <c r="D20" s="1946"/>
      <c r="E20" s="1948"/>
      <c r="F20" s="477" t="s">
        <v>34</v>
      </c>
      <c r="G20" s="478" t="s">
        <v>35</v>
      </c>
      <c r="H20" s="1946"/>
      <c r="X20" s="476"/>
    </row>
    <row r="21" spans="2:24" ht="20.100000000000001" customHeight="1" x14ac:dyDescent="0.4">
      <c r="B21" s="1956"/>
      <c r="C21" s="1956"/>
      <c r="D21" s="1956"/>
      <c r="E21" s="1953"/>
      <c r="F21" s="1950"/>
      <c r="G21" s="1953"/>
      <c r="H21" s="1943"/>
      <c r="X21" s="476"/>
    </row>
    <row r="22" spans="2:24" ht="20.100000000000001" customHeight="1" x14ac:dyDescent="0.4">
      <c r="B22" s="1957"/>
      <c r="C22" s="1957"/>
      <c r="D22" s="1957"/>
      <c r="E22" s="1954"/>
      <c r="F22" s="1951"/>
      <c r="G22" s="1954"/>
      <c r="H22" s="1944"/>
      <c r="X22" s="476"/>
    </row>
    <row r="23" spans="2:24" ht="20.100000000000001" customHeight="1" x14ac:dyDescent="0.4">
      <c r="B23" s="1957"/>
      <c r="C23" s="1957"/>
      <c r="D23" s="1957"/>
      <c r="E23" s="1954"/>
      <c r="F23" s="1951"/>
      <c r="G23" s="1954"/>
      <c r="H23" s="1944"/>
      <c r="X23" s="479"/>
    </row>
    <row r="24" spans="2:24" ht="20.100000000000001" customHeight="1" x14ac:dyDescent="0.4">
      <c r="B24" s="1957"/>
      <c r="C24" s="1957"/>
      <c r="D24" s="1957"/>
      <c r="E24" s="1954"/>
      <c r="F24" s="1951"/>
      <c r="G24" s="1954"/>
      <c r="H24" s="1944"/>
      <c r="X24" s="476"/>
    </row>
    <row r="25" spans="2:24" ht="20.100000000000001" customHeight="1" x14ac:dyDescent="0.4">
      <c r="B25" s="1957"/>
      <c r="C25" s="1957"/>
      <c r="D25" s="1957"/>
      <c r="E25" s="1954"/>
      <c r="F25" s="1951"/>
      <c r="G25" s="1954"/>
      <c r="H25" s="1944"/>
      <c r="X25" s="476"/>
    </row>
    <row r="26" spans="2:24" ht="20.100000000000001" customHeight="1" x14ac:dyDescent="0.4">
      <c r="B26" s="1957"/>
      <c r="C26" s="1957"/>
      <c r="D26" s="1957"/>
      <c r="E26" s="1954"/>
      <c r="F26" s="1951"/>
      <c r="G26" s="1954"/>
      <c r="H26" s="1944"/>
      <c r="X26" s="476"/>
    </row>
    <row r="27" spans="2:24" ht="20.100000000000001" customHeight="1" x14ac:dyDescent="0.4">
      <c r="B27" s="1957"/>
      <c r="C27" s="1957"/>
      <c r="D27" s="1957"/>
      <c r="E27" s="1954"/>
      <c r="F27" s="1951"/>
      <c r="G27" s="1954"/>
      <c r="H27" s="1944"/>
      <c r="X27" s="476"/>
    </row>
    <row r="28" spans="2:24" ht="20.100000000000001" customHeight="1" x14ac:dyDescent="0.4">
      <c r="B28" s="1957"/>
      <c r="C28" s="1957"/>
      <c r="D28" s="1957"/>
      <c r="E28" s="1954"/>
      <c r="F28" s="1951"/>
      <c r="G28" s="1954"/>
      <c r="H28" s="1944"/>
      <c r="X28" s="480"/>
    </row>
    <row r="29" spans="2:24" ht="20.100000000000001" customHeight="1" x14ac:dyDescent="0.4">
      <c r="B29" s="1957"/>
      <c r="C29" s="1957"/>
      <c r="D29" s="1957"/>
      <c r="E29" s="1954"/>
      <c r="F29" s="1951"/>
      <c r="G29" s="1954"/>
      <c r="H29" s="1944"/>
      <c r="X29" s="476"/>
    </row>
    <row r="30" spans="2:24" ht="20.100000000000001" customHeight="1" x14ac:dyDescent="0.4">
      <c r="B30" s="1957"/>
      <c r="C30" s="1957"/>
      <c r="D30" s="1957"/>
      <c r="E30" s="1954"/>
      <c r="F30" s="1951"/>
      <c r="G30" s="1954"/>
      <c r="H30" s="1944"/>
      <c r="X30" s="476"/>
    </row>
    <row r="31" spans="2:24" ht="20.100000000000001" customHeight="1" x14ac:dyDescent="0.4">
      <c r="B31" s="1957"/>
      <c r="C31" s="1957"/>
      <c r="D31" s="1957"/>
      <c r="E31" s="1954"/>
      <c r="F31" s="1951"/>
      <c r="G31" s="1954"/>
      <c r="H31" s="1944"/>
      <c r="X31" s="476"/>
    </row>
    <row r="32" spans="2:24" ht="20.100000000000001" customHeight="1" x14ac:dyDescent="0.4">
      <c r="B32" s="1958"/>
      <c r="C32" s="1958"/>
      <c r="D32" s="1958"/>
      <c r="E32" s="1955"/>
      <c r="F32" s="1952"/>
      <c r="G32" s="1955"/>
      <c r="H32" s="1945"/>
      <c r="X32" s="476"/>
    </row>
    <row r="33" spans="2:24" ht="20.100000000000001" customHeight="1" x14ac:dyDescent="0.4">
      <c r="X33" s="479"/>
    </row>
    <row r="34" spans="2:24" ht="20.100000000000001" customHeight="1" x14ac:dyDescent="0.4">
      <c r="B34" s="473" t="s">
        <v>37</v>
      </c>
      <c r="X34" s="476"/>
    </row>
    <row r="35" spans="2:24" ht="20.100000000000001" customHeight="1" x14ac:dyDescent="0.4">
      <c r="X35" s="476"/>
    </row>
    <row r="36" spans="2:24" ht="20.100000000000001" customHeight="1" x14ac:dyDescent="0.4">
      <c r="C36" s="481" t="str">
        <f>IF(テーブル!B13="","令和４年　　月　　日",テーブル!B13)</f>
        <v>提出日</v>
      </c>
      <c r="D36" s="481"/>
      <c r="E36" s="1947" t="str">
        <f>IF(表紙!N5="令和　年　月　　日","",表紙!N5)</f>
        <v/>
      </c>
      <c r="F36" s="1560"/>
      <c r="X36" s="476"/>
    </row>
    <row r="37" spans="2:24" ht="20.100000000000001" customHeight="1" x14ac:dyDescent="0.4">
      <c r="X37" s="476"/>
    </row>
    <row r="38" spans="2:24" ht="20.100000000000001" customHeight="1" x14ac:dyDescent="0.4">
      <c r="C38" s="482" t="s">
        <v>183</v>
      </c>
      <c r="E38" s="1936" t="str">
        <f>表紙!L9</f>
        <v/>
      </c>
      <c r="F38" s="1544"/>
      <c r="G38" s="1544"/>
      <c r="H38" s="1544"/>
      <c r="X38" s="476"/>
    </row>
    <row r="39" spans="2:24" ht="20.100000000000001" customHeight="1" x14ac:dyDescent="0.4">
      <c r="X39" s="483"/>
    </row>
    <row r="40" spans="2:24" ht="20.100000000000001" customHeight="1" x14ac:dyDescent="0.4">
      <c r="C40" s="482" t="s">
        <v>184</v>
      </c>
      <c r="E40" s="473" t="str">
        <f>はじめに入力してください!H7&amp;"　"&amp;はじめに入力してください!H8</f>
        <v>　</v>
      </c>
    </row>
    <row r="41" spans="2:24" ht="20.100000000000001" customHeight="1" x14ac:dyDescent="0.4">
      <c r="X41" s="476"/>
    </row>
    <row r="42" spans="2:24" ht="20.100000000000001" customHeight="1" x14ac:dyDescent="0.4">
      <c r="X42" s="476"/>
    </row>
    <row r="43" spans="2:24" ht="20.100000000000001" customHeight="1" x14ac:dyDescent="0.4">
      <c r="B43" s="473" t="s">
        <v>42</v>
      </c>
      <c r="X43" s="476"/>
    </row>
    <row r="44" spans="2:24" ht="20.100000000000001" customHeight="1" x14ac:dyDescent="0.4"/>
  </sheetData>
  <mergeCells count="54">
    <mergeCell ref="B6:B17"/>
    <mergeCell ref="C6:C17"/>
    <mergeCell ref="B19:B20"/>
    <mergeCell ref="C19:C20"/>
    <mergeCell ref="D19:D20"/>
    <mergeCell ref="D6:D17"/>
    <mergeCell ref="B2:H2"/>
    <mergeCell ref="B4:B5"/>
    <mergeCell ref="C4:C5"/>
    <mergeCell ref="D4:D5"/>
    <mergeCell ref="E4:E5"/>
    <mergeCell ref="F4:G4"/>
    <mergeCell ref="H4:H5"/>
    <mergeCell ref="B21:B32"/>
    <mergeCell ref="C21:C32"/>
    <mergeCell ref="D21:D32"/>
    <mergeCell ref="F21:F32"/>
    <mergeCell ref="G21:G32"/>
    <mergeCell ref="E21:E32"/>
    <mergeCell ref="Y8:Y9"/>
    <mergeCell ref="Z8:Z9"/>
    <mergeCell ref="AA8:AA9"/>
    <mergeCell ref="F6:F17"/>
    <mergeCell ref="E6:E17"/>
    <mergeCell ref="G6:G17"/>
    <mergeCell ref="H6:H17"/>
    <mergeCell ref="AA4:AA5"/>
    <mergeCell ref="Z4:Z5"/>
    <mergeCell ref="Y4:Y5"/>
    <mergeCell ref="AB4:AB5"/>
    <mergeCell ref="Z6:Z7"/>
    <mergeCell ref="AA6:AA7"/>
    <mergeCell ref="AB6:AB7"/>
    <mergeCell ref="AC6:AC7"/>
    <mergeCell ref="AD6:AD7"/>
    <mergeCell ref="AC8:AC9"/>
    <mergeCell ref="AD8:AD9"/>
    <mergeCell ref="AC4:AD4"/>
    <mergeCell ref="C1:I1"/>
    <mergeCell ref="E38:H38"/>
    <mergeCell ref="Y11:Y13"/>
    <mergeCell ref="AF6:AF9"/>
    <mergeCell ref="X11:X13"/>
    <mergeCell ref="Z11:AD13"/>
    <mergeCell ref="AB8:AB9"/>
    <mergeCell ref="H21:H32"/>
    <mergeCell ref="X6:X7"/>
    <mergeCell ref="X8:X9"/>
    <mergeCell ref="Y6:Y7"/>
    <mergeCell ref="H19:H20"/>
    <mergeCell ref="E36:F36"/>
    <mergeCell ref="E19:E20"/>
    <mergeCell ref="F19:G19"/>
    <mergeCell ref="X4:X5"/>
  </mergeCells>
  <phoneticPr fontId="1"/>
  <conditionalFormatting sqref="Y6:AD9">
    <cfRule type="containsText" dxfId="5" priority="3" operator="containsText" text="×">
      <formula>NOT(ISERROR(SEARCH("×",Y6)))</formula>
    </cfRule>
  </conditionalFormatting>
  <conditionalFormatting sqref="Y11:Y13">
    <cfRule type="containsText" dxfId="4" priority="2" operator="containsText" text="×">
      <formula>NOT(ISERROR(SEARCH("×",Y11)))</formula>
    </cfRule>
  </conditionalFormatting>
  <conditionalFormatting sqref="Z11:AD13">
    <cfRule type="containsText" dxfId="3" priority="1" operator="containsText" text="要修正">
      <formula>NOT(ISERROR(SEARCH("要修正",Z11)))</formula>
    </cfRule>
  </conditionalFormatting>
  <printOptions horizontalCentered="1"/>
  <pageMargins left="0.78740157480314965" right="0.78740157480314965" top="0.98425196850393704" bottom="0.98425196850393704" header="0.51181102362204722" footer="0.51181102362204722"/>
  <pageSetup paperSize="9" scale="78" orientation="portrait" r:id="rId1"/>
  <headerFooter alignWithMargins="0"/>
  <colBreaks count="1" manualBreakCount="1">
    <brk id="24" max="1048575"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29867-BB60-4DE5-A1AC-318138829247}">
  <sheetPr>
    <tabColor rgb="FFFFFF00"/>
  </sheetPr>
  <dimension ref="A1"/>
  <sheetViews>
    <sheetView workbookViewId="0"/>
  </sheetViews>
  <sheetFormatPr defaultRowHeight="18.75" x14ac:dyDescent="0.4"/>
  <sheetData/>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FFC000"/>
    <pageSetUpPr fitToPage="1"/>
  </sheetPr>
  <dimension ref="A1:BG177"/>
  <sheetViews>
    <sheetView showGridLines="0" view="pageBreakPreview" topLeftCell="A19" zoomScale="60" zoomScaleNormal="100" workbookViewId="0">
      <selection activeCell="I14" sqref="I14:J30"/>
    </sheetView>
  </sheetViews>
  <sheetFormatPr defaultColWidth="9" defaultRowHeight="20.100000000000001" customHeight="1" x14ac:dyDescent="0.4"/>
  <cols>
    <col min="1" max="1" width="3.625" style="277" customWidth="1"/>
    <col min="2" max="2" width="30.625" style="627" hidden="1" customWidth="1"/>
    <col min="3" max="3" width="12.625" style="627" hidden="1" customWidth="1"/>
    <col min="4" max="5" width="15.625" style="129" customWidth="1"/>
    <col min="6" max="7" width="10.625" style="129" customWidth="1"/>
    <col min="8" max="8" width="10.625" style="130" customWidth="1"/>
    <col min="9" max="9" width="8.625" style="131" customWidth="1"/>
    <col min="10" max="10" width="8.625" style="53" customWidth="1"/>
    <col min="11" max="11" width="11.625" style="53" customWidth="1"/>
    <col min="12" max="14" width="3.625" style="53" customWidth="1"/>
    <col min="15" max="18" width="12.625" style="53" customWidth="1"/>
    <col min="19" max="19" width="10.625" style="53" customWidth="1"/>
    <col min="20" max="20" width="9" style="53"/>
    <col min="21" max="21" width="15.625" style="53" customWidth="1"/>
    <col min="22" max="22" width="2.625" style="53" customWidth="1"/>
    <col min="23" max="24" width="30.625" style="53" customWidth="1"/>
    <col min="25" max="25" width="40.625" style="53" customWidth="1"/>
    <col min="26" max="27" width="30.625" style="53" hidden="1" customWidth="1"/>
    <col min="28" max="31" width="12.625" style="53" hidden="1" customWidth="1"/>
    <col min="32" max="37" width="9" style="53"/>
    <col min="38" max="38" width="3.625" style="444" customWidth="1"/>
    <col min="39" max="39" width="9" style="277"/>
    <col min="40" max="40" width="9" style="53"/>
    <col min="41" max="41" width="35.625" style="53" customWidth="1"/>
    <col min="42" max="46" width="9" style="53"/>
    <col min="47" max="47" width="30.625" style="53" customWidth="1"/>
    <col min="48" max="48" width="10.75" style="53" bestFit="1" customWidth="1"/>
    <col min="49" max="49" width="9" style="53"/>
    <col min="50" max="50" width="60.625" style="53" customWidth="1"/>
    <col min="51" max="51" width="9" style="53"/>
    <col min="52" max="52" width="10.625" style="277" customWidth="1"/>
    <col min="53" max="53" width="20.625" style="53" customWidth="1"/>
    <col min="54" max="59" width="12.625" style="53" customWidth="1"/>
    <col min="60" max="60" width="10.625" style="53" customWidth="1"/>
    <col min="61" max="16384" width="9" style="53"/>
  </cols>
  <sheetData>
    <row r="1" spans="1:58" s="2" customFormat="1" ht="30" customHeight="1" x14ac:dyDescent="0.4">
      <c r="A1" s="3"/>
      <c r="B1" s="5"/>
      <c r="C1" s="5"/>
      <c r="D1" s="1583" t="str">
        <f>額内訳書!C1</f>
        <v>　（10月１日～３月31日分）</v>
      </c>
      <c r="E1" s="1584"/>
      <c r="F1" s="1584"/>
      <c r="G1" s="1584"/>
      <c r="H1" s="1584"/>
      <c r="I1" s="1584"/>
      <c r="J1" s="1584"/>
      <c r="K1" s="1584"/>
      <c r="L1" s="1584"/>
      <c r="M1" s="1584"/>
      <c r="N1" s="1584"/>
      <c r="O1" s="1584"/>
      <c r="P1" s="1584"/>
      <c r="Q1" s="1584"/>
      <c r="R1" s="1584"/>
      <c r="S1" s="1584"/>
      <c r="T1" s="1584"/>
      <c r="U1" s="1584"/>
      <c r="V1" s="1584"/>
      <c r="AL1" s="442"/>
      <c r="AM1" s="3"/>
      <c r="AZ1" s="3"/>
    </row>
    <row r="2" spans="1:58" ht="20.100000000000001" customHeight="1" x14ac:dyDescent="0.4">
      <c r="D2" s="5" t="s">
        <v>55</v>
      </c>
      <c r="E2" s="5"/>
      <c r="F2" s="132"/>
      <c r="G2" s="132"/>
      <c r="Q2" s="443"/>
      <c r="S2" s="276" t="s">
        <v>26</v>
      </c>
      <c r="T2" s="1614">
        <f xml:space="preserve">
IF(AW175="○",0,
IF(AW175="◎",SUM(R14:R113),
IF(AW175="×",0)))</f>
        <v>0</v>
      </c>
      <c r="U2" s="1615"/>
    </row>
    <row r="3" spans="1:58" ht="9.9499999999999993" customHeight="1" x14ac:dyDescent="0.4">
      <c r="D3" s="132"/>
      <c r="E3" s="132"/>
      <c r="F3" s="132"/>
      <c r="G3" s="132"/>
      <c r="J3" s="56"/>
      <c r="T3" s="445"/>
      <c r="U3" s="445"/>
    </row>
    <row r="4" spans="1:58" ht="24.95" customHeight="1" x14ac:dyDescent="0.4">
      <c r="A4" s="1638" t="s">
        <v>241</v>
      </c>
      <c r="B4" s="1638"/>
      <c r="C4" s="1638"/>
      <c r="D4" s="947"/>
      <c r="E4" s="947"/>
      <c r="F4" s="947"/>
      <c r="G4" s="947"/>
      <c r="H4" s="947"/>
      <c r="I4" s="947"/>
      <c r="J4" s="947"/>
      <c r="K4" s="947"/>
      <c r="L4" s="947"/>
      <c r="M4" s="947"/>
      <c r="N4" s="947"/>
      <c r="O4" s="947"/>
      <c r="P4" s="947"/>
      <c r="Q4" s="947"/>
      <c r="R4" s="947"/>
      <c r="S4" s="947"/>
      <c r="T4" s="947"/>
      <c r="U4" s="947"/>
      <c r="V4" s="235"/>
    </row>
    <row r="5" spans="1:58" ht="20.100000000000001" customHeight="1" x14ac:dyDescent="0.4">
      <c r="A5" s="1616" t="s">
        <v>1108</v>
      </c>
      <c r="B5" s="1616"/>
      <c r="C5" s="1616"/>
      <c r="D5" s="1617"/>
      <c r="E5" s="1617"/>
      <c r="F5" s="1617"/>
      <c r="G5" s="1617"/>
      <c r="H5" s="1617"/>
      <c r="I5" s="1617"/>
      <c r="J5" s="1617"/>
      <c r="K5" s="1617"/>
      <c r="L5" s="1617"/>
      <c r="M5" s="1617"/>
      <c r="N5" s="1617"/>
      <c r="O5" s="1617"/>
      <c r="P5" s="1617"/>
      <c r="Q5" s="1617"/>
      <c r="R5" s="1617"/>
      <c r="S5" s="1617"/>
      <c r="T5" s="1617"/>
      <c r="U5" s="1617"/>
    </row>
    <row r="6" spans="1:58" ht="20.100000000000001" customHeight="1" x14ac:dyDescent="0.4">
      <c r="A6" s="276">
        <v>1</v>
      </c>
      <c r="B6" s="643"/>
      <c r="C6" s="644"/>
      <c r="D6" s="94" t="s">
        <v>984</v>
      </c>
      <c r="E6" s="237">
        <f>基礎情報!AQ49</f>
        <v>0</v>
      </c>
      <c r="F6" s="239"/>
      <c r="G6" s="1621" t="s">
        <v>226</v>
      </c>
      <c r="H6" s="1622"/>
      <c r="I6" s="1622"/>
      <c r="J6" s="1607" t="s">
        <v>1023</v>
      </c>
      <c r="K6" s="1608"/>
      <c r="L6" s="1608"/>
      <c r="M6" s="1608"/>
      <c r="N6" s="1608"/>
      <c r="O6" s="1609"/>
      <c r="P6" s="421"/>
      <c r="Q6" s="421"/>
      <c r="R6" s="421"/>
      <c r="S6" s="421"/>
      <c r="T6" s="421"/>
      <c r="U6" s="421"/>
      <c r="AP6" s="56"/>
      <c r="AQ6" s="56"/>
      <c r="AR6" s="56"/>
      <c r="AS6" s="56"/>
    </row>
    <row r="7" spans="1:58" ht="20.100000000000001" customHeight="1" x14ac:dyDescent="0.4">
      <c r="A7" s="276">
        <v>2</v>
      </c>
      <c r="B7" s="643"/>
      <c r="C7" s="644"/>
      <c r="D7" s="94" t="s">
        <v>985</v>
      </c>
      <c r="E7" s="236">
        <f>基礎情報!AQ54</f>
        <v>0</v>
      </c>
      <c r="F7" s="239"/>
      <c r="G7" s="278" t="s">
        <v>227</v>
      </c>
      <c r="H7" s="1623"/>
      <c r="I7" s="1624"/>
      <c r="J7" s="1610"/>
      <c r="K7" s="1608"/>
      <c r="L7" s="1608"/>
      <c r="M7" s="1608"/>
      <c r="N7" s="1608"/>
      <c r="O7" s="1609"/>
      <c r="P7" s="629"/>
      <c r="Q7" s="446"/>
      <c r="R7" s="447"/>
      <c r="S7" s="447"/>
      <c r="T7" s="421"/>
      <c r="U7" s="421"/>
      <c r="AP7" s="133"/>
      <c r="AQ7" s="133"/>
      <c r="AR7" s="133"/>
      <c r="AS7" s="133"/>
    </row>
    <row r="8" spans="1:58" ht="20.100000000000001" customHeight="1" x14ac:dyDescent="0.4">
      <c r="A8" s="276">
        <v>3</v>
      </c>
      <c r="B8" s="643"/>
      <c r="C8" s="644"/>
      <c r="D8" s="134" t="s">
        <v>986</v>
      </c>
      <c r="E8" s="238">
        <f>ROUNDUP(E6*E7,1)</f>
        <v>0</v>
      </c>
      <c r="G8" s="278" t="s">
        <v>228</v>
      </c>
      <c r="H8" s="1625">
        <f>ROUNDUP(H7/1.1,2)</f>
        <v>0</v>
      </c>
      <c r="I8" s="1626"/>
      <c r="J8" s="1610"/>
      <c r="K8" s="1608"/>
      <c r="L8" s="1608"/>
      <c r="M8" s="1608"/>
      <c r="N8" s="1608"/>
      <c r="O8" s="1609"/>
      <c r="P8" s="629"/>
      <c r="Q8" s="446"/>
      <c r="R8" s="447"/>
      <c r="S8" s="447"/>
      <c r="AB8" s="26"/>
      <c r="AC8" s="26"/>
      <c r="AD8" s="26"/>
      <c r="AE8" s="26"/>
      <c r="AP8" s="133"/>
      <c r="AQ8" s="133"/>
      <c r="AR8" s="133"/>
      <c r="AS8" s="133"/>
    </row>
    <row r="9" spans="1:58" ht="20.100000000000001" customHeight="1" x14ac:dyDescent="0.4">
      <c r="A9" s="136"/>
      <c r="B9" s="229"/>
      <c r="C9" s="229"/>
      <c r="D9" s="137"/>
      <c r="E9" s="135"/>
      <c r="F9" s="138"/>
      <c r="G9" s="229" t="s">
        <v>229</v>
      </c>
      <c r="I9" s="139"/>
      <c r="J9" s="448"/>
      <c r="AB9" s="26"/>
      <c r="AC9" s="26"/>
      <c r="AD9" s="26"/>
      <c r="AE9" s="26"/>
      <c r="AP9" s="133"/>
      <c r="AQ9" s="133"/>
      <c r="AR9" s="133"/>
      <c r="AS9" s="133"/>
    </row>
    <row r="10" spans="1:58" ht="24.95" customHeight="1" x14ac:dyDescent="0.4">
      <c r="A10" s="1639" t="s">
        <v>107</v>
      </c>
      <c r="B10" s="1639"/>
      <c r="C10" s="1639"/>
      <c r="D10" s="1640"/>
      <c r="E10" s="947"/>
      <c r="F10" s="947"/>
      <c r="G10" s="947"/>
      <c r="H10" s="947"/>
      <c r="I10" s="947"/>
      <c r="J10" s="947"/>
      <c r="K10" s="947"/>
      <c r="L10" s="947"/>
      <c r="M10" s="947"/>
      <c r="N10" s="947"/>
      <c r="O10" s="947"/>
      <c r="P10" s="947"/>
      <c r="Q10" s="947"/>
      <c r="R10" s="947"/>
      <c r="S10" s="947"/>
      <c r="T10" s="947"/>
      <c r="U10" s="947"/>
      <c r="V10" s="235"/>
      <c r="AB10" s="26"/>
      <c r="AC10" s="26"/>
      <c r="AD10" s="26"/>
      <c r="AE10" s="26"/>
      <c r="AP10" s="56"/>
      <c r="AQ10" s="56"/>
      <c r="AR10" s="56"/>
      <c r="AS10" s="56"/>
      <c r="AY10" s="26"/>
      <c r="BA10" s="421"/>
      <c r="BB10" s="654"/>
      <c r="BC10" s="421"/>
      <c r="BD10" s="421"/>
      <c r="BE10" s="421"/>
      <c r="BF10" s="421"/>
    </row>
    <row r="11" spans="1:58" ht="170.1" customHeight="1" x14ac:dyDescent="0.4">
      <c r="A11" s="1552" t="str">
        <f xml:space="preserve">
IF(テーブル!B3="交付申請",
"【注意１】！！発注書、見積書、カタログ等の提出は不要です。！！"&amp;CHAR(10)&amp;
"【注意２】記載にあたってはお手元の発注書、見積書、カタログ等に記載の金額と一致するようにしてください。"&amp;CHAR(10)&amp;
"【注意３】購入数量に基づく１人１日あたり使用量が過剰と見受けられる場合は、県から確認の連絡をさせていただく場合があります。"&amp;CHAR(10)&amp;
"【注意４】補助対象期間（令和５年５月８日～９月30日）の納品（見込）分のみ入力するようにしてください。"&amp;CHAR(10)&amp;
"【注意５】公費補助の範囲は直近募集における品目毎の平均単価を上限とし、これを超える購入単価の場合は部分補助とさせていただきます。"&amp;CHAR(10)&amp;
"【注意６】補助対象のとなる数量は、国の配布物資の使用を優先し、単日毎に購入在庫数量から賄った患者１人あたり平均使用量及び平均患者数に基づく使用量の総和とします。",
IF(テーブル!B3="交付申請（２次）",
"【注意１】！！発注書、見積書、カタログ等の提出は不要です。！！"&amp;CHAR(10)&amp;
"【注意２】記載にあたってはお手元の発注書、見積書、カタログ等に記載の金額と一致するようにしてください。"&amp;CHAR(10)&amp;
"【注意３】購入数量に基づく１人１日あたり使用量が過剰と見受けられる場合は、必要量を確認の上で補正を行う場合があります。"&amp;CHAR(10)&amp;
"【注意４】補助対象期間に使用される見込の納品（見込）分のみ入力するようにしてください。"&amp;CHAR(10)&amp;
"【注意５】公費補助の範囲は直近募集における品目毎の平均単価を上限とし、これを超える購入単価の場合は部分補助とさせていただきます。"&amp;CHAR(10)&amp;
"【注意６】補助対象のとなる数量は、国の配布物資の使用を優先し、単日平均の患者数及び患者１人あたり平均使用量に基づく品目毎の使用量を購入在庫数量から賄った分とします。"&amp;CHAR(10)&amp;
"【注意７】補助対象となる経費は、コロナ入院患者の在院者数により設定される「段階」が「１」以上の期間における使用分です。（段階が１以上の期間は実績報告時にお示しします。なお、納品時期はこれに限らない。）"&amp;CHAR(10)&amp;
"【注意８】実績報告の際は、必ず納品書の日付毎に入力し、複数日の納品分を一括で記載しないようにしてください。",
IF(OR(テーブル!B3="変更申請"),
"【注意１】！！発注書、見積書、カタログ等の提出は不要です。！！"&amp;CHAR(10)&amp;
"【注意２】記載にあたってはお手元の発注書、見積書、カタログ等に記載の金額と一致するようにしてください。"&amp;CHAR(10)&amp;
"【注意３】購入数量に基づく１人１日あたり使用量が過剰と見受けられる場合は、必要量を確認の上で補正を行う場合があります。"&amp;CHAR(10)&amp;
"【注意４】補助対象期間に使用される見込の納品（見込）分のみ入力するようにしてください。"&amp;CHAR(10)&amp;
"【注意５】公費補助の範囲は直近募集における品目毎の平均単価を上限とし、これを超える購入単価の場合は部分補助とさせていただきます。"&amp;CHAR(10)&amp;
"【注意６】補助対象のとなる数量は、国の配布物資の使用を優先し、単日平均の患者数及び患者１人あたり平均使用量に基づく品目毎の使用量を購入在庫数量から賄った分とします。"&amp;CHAR(10)&amp;
"【注意７】補助対象となる経費は、コロナ入院患者の在院者数により設定される「段階」が「１」以上の期間における使用分です。（段階が１以上の期間は実績報告時にお示しします。なお、納品時期はこれに限らない。）"&amp;CHAR(10)&amp;
"【注意８】実績報告の際は、必ず納品書の日付毎に入力し、複数日の納品分を一括で記載しないようにしてください。",
IF(テーブル!B3="実績報告（１次）",
"【注意１】！！購入の具体的内容及び経費発生の事実がわかる書類（納品書、領収書等）の提出が必要です。！！"&amp;CHAR(10)&amp;
"【注意２】記載にあたっては納品書、領収書等に記載の金額と一致するようにしてください。"&amp;CHAR(10)&amp;
"【注意３】各行の右に表示の「添付資料番号」は資料中、該当の記述箇所に番号を付記してください。"&amp;CHAR(10)&amp;
"【注意４】購入数量に基づく１人１日あたり使用量が過剰と見受けられる場合は、県から確認の連絡をさせていただく場合があります。"&amp;CHAR(10)&amp;
"【注意５】補助対象期間（令和５年５月８日～９月30日）に納品され、使用された分のみ入力するようにしてください。"&amp;CHAR(10)&amp;
"【注意６】公費補助の範囲は直近募集における品目毎の平均単価を上限とし、これを超える購入単価の場合は部分補助とさせていただきます。"&amp;CHAR(10)&amp;
"【注意７】補助対象のとなる数量は、国の配布物資の使用を優先し、単日平均の患者数及び患者１人あたり平均使用量に基づく品目毎の使用量を購入在庫数量から賄った分とします。"&amp;CHAR(10)&amp;
"【注意８】必ず納品書の日付毎に入力し、複数日の納品分を一括で記載しないようにしてください。",
IF(テーブル!B3="交付申請兼実績報告（２次）",
"【注意１】！！発注書、見積書、カタログ等の提出は不要です。！！"&amp;CHAR(10)&amp;
"【注意２】記載にあたってはお手元の発注書、見積書、カタログ等に記載の金額と一致するようにしてください。"&amp;CHAR(10)&amp;
"【注意３】購入数量に基づく１人１日あたり使用量が過剰と見受けられる場合は、必要量を確認の上で補正を行う場合があります。"&amp;CHAR(10)&amp;
"【注意４】補助対象期間に使用される見込の納品（見込）分のみ入力するようにしてください。"&amp;CHAR(10)&amp;
"【注意５】公費補助の範囲は直近募集における品目毎の平均単価を上限とし、これを超える購入単価の場合は部分補助とさせていただきます。"&amp;CHAR(10)&amp;
"【注意６】補助対象のとなる数量は、国の配布物資の使用を優先し、単日平均の患者数及び患者１人あたり平均使用量に基づく品目毎の使用量を購入在庫数量から賄った分とします。"&amp;CHAR(10)&amp;
"【注意７】補助対象となる経費は、コロナ入院患者の在院者数により設定される「段階」が「１」以上の期間における使用分です。（納品時期はこれに限らない。）"&amp;CHAR(10)&amp;
"【注意８】必ず納品書の日付毎に入力し、複数日の納品分を一括で記載しないようにしてください。",
IF(テーブル!B3="実績報告（２次）",
"【注意１】！！発注書、見積書、カタログ等の提出は不要です。！！"&amp;CHAR(10)&amp;
"【注意２】記載にあたってはお手元の発注書、見積書、カタログ等に記載の金額と一致するようにしてください。"&amp;CHAR(10)&amp;
"【注意３】購入数量に基づく１人１日あたり使用量が過剰と見受けられる場合は、必要量を確認の上で補正を行う場合があります。"&amp;CHAR(10)&amp;
"【注意４】補助対象期間に使用される見込の納品（見込）分のみ入力するようにしてください。"&amp;CHAR(10)&amp;
"【注意５】公費補助の範囲は直近募集における品目毎の平均単価を上限とし、これを超える購入単価の場合は部分補助とさせていただきます。"&amp;CHAR(10)&amp;
"【注意６】補助対象のとなる数量は、国の配布物資の使用を優先し、単日平均の患者数及び患者１人あたり平均使用量に基づく品目毎の使用量を購入在庫数量から賄った分とします。"&amp;CHAR(10)&amp;
"【注意７】補助対象となる経費は、コロナ入院患者の在院者数により設定される「段階」が「１」以上の期間における使用分です。（納品時期はこれに限らない。）"&amp;CHAR(10)&amp;
"【注意８】実績報告の際は、必ず納品書の日付毎に入力し、複数日の納品分を一括で記載しないようにしてください。",))))))</f>
        <v>【注意１】！！発注書、見積書、カタログ等の提出は不要です。！！
【注意２】記載にあたってはお手元の発注書、見積書、カタログ等に記載の金額と一致するようにしてください。
【注意３】購入数量に基づく１人１日あたり使用量が過剰と見受けられる場合は、必要量を確認の上で補正を行う場合があります。
【注意４】補助対象期間に使用される見込の納品（見込）分のみ入力するようにしてください。
【注意５】公費補助の範囲は直近募集における品目毎の平均単価を上限とし、これを超える購入単価の場合は部分補助とさせていただきます。
【注意６】補助対象のとなる数量は、国の配布物資の使用を優先し、単日平均の患者数及び患者１人あたり平均使用量に基づく品目毎の使用量を購入在庫数量から賄った分とします。
【注意７】補助対象となる経費は、コロナ入院患者の在院者数により設定される「段階」が「１」以上の期間における使用分です。（段階が１以上の期間は実績報告時にお示しします。なお、納品時期はこれに限らない。）
【注意８】実績報告の際は、必ず納品書の日付毎に入力し、複数日の納品分を一括で記載しないようにしてください。</v>
      </c>
      <c r="B11" s="1552"/>
      <c r="C11" s="1552"/>
      <c r="D11" s="1617"/>
      <c r="E11" s="1617"/>
      <c r="F11" s="1617"/>
      <c r="G11" s="1617"/>
      <c r="H11" s="1617"/>
      <c r="I11" s="1617"/>
      <c r="J11" s="1617"/>
      <c r="K11" s="1617"/>
      <c r="L11" s="1617"/>
      <c r="M11" s="1617"/>
      <c r="N11" s="1617"/>
      <c r="O11" s="1617"/>
      <c r="P11" s="1617"/>
      <c r="Q11" s="1617"/>
      <c r="R11" s="1617"/>
      <c r="S11" s="1617"/>
      <c r="T11" s="1617"/>
      <c r="U11" s="449"/>
      <c r="AB11" s="26"/>
      <c r="AC11" s="26"/>
      <c r="AD11" s="26"/>
      <c r="AE11" s="26"/>
      <c r="AP11" s="56"/>
      <c r="AQ11" s="56"/>
      <c r="AR11" s="56"/>
      <c r="AS11" s="56"/>
      <c r="AY11" s="26"/>
      <c r="BA11" s="421"/>
      <c r="BB11" s="654"/>
      <c r="BC11" s="421"/>
      <c r="BD11" s="421"/>
      <c r="BE11" s="421"/>
      <c r="BF11" s="421"/>
    </row>
    <row r="12" spans="1:58" ht="18.75" x14ac:dyDescent="0.4">
      <c r="D12" s="1652" t="s">
        <v>999</v>
      </c>
      <c r="E12" s="1652" t="s">
        <v>1000</v>
      </c>
      <c r="F12" s="1654" t="s">
        <v>989</v>
      </c>
      <c r="G12" s="1655"/>
      <c r="H12" s="1656"/>
      <c r="I12" s="1652" t="s">
        <v>1028</v>
      </c>
      <c r="J12" s="1652" t="s">
        <v>1029</v>
      </c>
      <c r="K12" s="1652" t="s">
        <v>70</v>
      </c>
      <c r="L12" s="1660" t="str">
        <f xml:space="preserve">
IF(テーブル!B3="交付申請","納品予定日",
IF(テーブル!B3="変更申請","納品予定日",
IF(テーブル!B3="実績報告（１次）","納品日",
IF(テーブル!B3="交付申請（２次）","納品予定日",
IF(テーブル!B3="交付申請兼実績報告（２次）","納品日",
IF(テーブル!B3="実績報告（２次）","納品日"))))))</f>
        <v>納品予定日</v>
      </c>
      <c r="M12" s="1661"/>
      <c r="N12" s="1662"/>
      <c r="O12" s="1652" t="s">
        <v>71</v>
      </c>
      <c r="P12" s="1652" t="s">
        <v>72</v>
      </c>
      <c r="Q12" s="1652" t="s">
        <v>987</v>
      </c>
      <c r="R12" s="1652" t="s">
        <v>988</v>
      </c>
      <c r="S12" s="1652" t="s">
        <v>1030</v>
      </c>
      <c r="T12" s="1652" t="s">
        <v>25</v>
      </c>
      <c r="U12" s="1652" t="s">
        <v>250</v>
      </c>
      <c r="AG12" s="451">
        <v>5</v>
      </c>
      <c r="AH12" s="451">
        <f xml:space="preserve">
IF(テーブル!B3="交付申請",5,
IF(テーブル!B3="変更申請",10,
IF(テーブル!B3="実績報告（１次）",5,
IF(テーブル!B3="交付申請（２次）",10,
IF(テーブル!B3="交付申請兼実績報告（２次）",10,
IF(テーブル!B3="実績報告（２次）",10))))))</f>
        <v>10</v>
      </c>
      <c r="AM12" s="1663" t="s">
        <v>147</v>
      </c>
      <c r="AN12" s="1663" t="s">
        <v>69</v>
      </c>
      <c r="AO12" s="1663" t="s">
        <v>73</v>
      </c>
      <c r="AP12" s="201"/>
      <c r="AQ12" s="276" t="s">
        <v>225</v>
      </c>
      <c r="AR12" s="572" t="s">
        <v>1307</v>
      </c>
      <c r="AS12" s="56"/>
      <c r="AY12" s="26"/>
      <c r="BA12" s="421"/>
      <c r="BB12" s="654"/>
      <c r="BC12" s="421"/>
      <c r="BD12" s="421"/>
      <c r="BE12" s="421"/>
      <c r="BF12" s="421"/>
    </row>
    <row r="13" spans="1:58" ht="18" customHeight="1" thickBot="1" x14ac:dyDescent="0.45">
      <c r="A13" s="522"/>
      <c r="D13" s="1961"/>
      <c r="E13" s="1961"/>
      <c r="F13" s="1962"/>
      <c r="G13" s="1963"/>
      <c r="H13" s="1964"/>
      <c r="I13" s="1961"/>
      <c r="J13" s="1961"/>
      <c r="K13" s="1961"/>
      <c r="L13" s="692" t="s">
        <v>1255</v>
      </c>
      <c r="M13" s="692" t="s">
        <v>1256</v>
      </c>
      <c r="N13" s="692" t="s">
        <v>1257</v>
      </c>
      <c r="O13" s="1961"/>
      <c r="P13" s="1961"/>
      <c r="Q13" s="1961"/>
      <c r="R13" s="1961"/>
      <c r="S13" s="1961"/>
      <c r="T13" s="1961"/>
      <c r="U13" s="1961"/>
      <c r="AG13" s="451">
        <f xml:space="preserve">
IF(テーブル!B3="交付申請","",
IF(テーブル!B3="変更申請",6,
IF(テーブル!B3="実績報告（１次）","",
IF(テーブル!B3="交付申請（２次）",6,
IF(テーブル!B3="交付申請兼実績報告（２次）",6,
IF(テーブル!B3="実績報告（２次）",6))))))</f>
        <v>6</v>
      </c>
      <c r="AH13" s="451">
        <f xml:space="preserve">
IF(テーブル!B3="交付申請",6,
IF(テーブル!B3="変更申請",11,
IF(テーブル!B3="実績報告（１次）",6,
IF(テーブル!B3="交付申請（２次）",11,
IF(テーブル!B3="交付申請兼実績報告（２次）",11,
IF(テーブル!B3="実績報告（２次）",11))))))</f>
        <v>11</v>
      </c>
      <c r="AM13" s="1518"/>
      <c r="AN13" s="1518"/>
      <c r="AO13" s="1518"/>
      <c r="AP13" s="56"/>
      <c r="AQ13" s="521"/>
      <c r="AR13" s="572"/>
      <c r="AS13" s="56"/>
      <c r="AY13" s="26"/>
      <c r="AZ13" s="522"/>
      <c r="BA13" s="523"/>
      <c r="BB13" s="654"/>
      <c r="BC13" s="523"/>
      <c r="BD13" s="523"/>
      <c r="BE13" s="523"/>
      <c r="BF13" s="523"/>
    </row>
    <row r="14" spans="1:58" ht="20.100000000000001" customHeight="1" x14ac:dyDescent="0.4">
      <c r="A14" s="226">
        <v>1</v>
      </c>
      <c r="B14" s="628" t="str">
        <f>IFERROR(DATE(IF(L14=5,2023,IF(L14=6,2024)),M14,N14)&amp;E14,"")</f>
        <v>45200その他マスク</v>
      </c>
      <c r="C14" s="645">
        <f>IFERROR(DATE(IF(L14=5,2023,IF(L14=6,2024)),M14,N14),"")</f>
        <v>45200</v>
      </c>
      <c r="D14" s="2039" t="s">
        <v>1191</v>
      </c>
      <c r="E14" s="2040" t="s">
        <v>1379</v>
      </c>
      <c r="F14" s="2041" t="s">
        <v>1385</v>
      </c>
      <c r="G14" s="2042"/>
      <c r="H14" s="2043"/>
      <c r="I14" s="1976"/>
      <c r="J14" s="1976"/>
      <c r="K14" s="2052">
        <v>0</v>
      </c>
      <c r="L14" s="2053">
        <v>5</v>
      </c>
      <c r="M14" s="2053">
        <v>10</v>
      </c>
      <c r="N14" s="2053">
        <v>1</v>
      </c>
      <c r="O14" s="1977">
        <f t="shared" ref="O14:O45" si="0">ROUNDDOWN(K14*1.1,0)</f>
        <v>0</v>
      </c>
      <c r="P14" s="1978">
        <f t="shared" ref="P14:P45" si="1">ROUNDDOWN(J14*O14,0)</f>
        <v>0</v>
      </c>
      <c r="Q14" s="1978">
        <f>IFERROR(I14*J14*VLOOKUP(E14,$BA$124:$BC$140,3,FALSE),"")</f>
        <v>0</v>
      </c>
      <c r="R14" s="1978">
        <f>IF(Q14="","",MIN(P14,Q14))</f>
        <v>0</v>
      </c>
      <c r="S14" s="1979">
        <f xml:space="preserve">
IF(AN14="◎",I14*J14,0)</f>
        <v>0</v>
      </c>
      <c r="T14" s="1980" t="str">
        <f xml:space="preserve">
IF(AND(AN14="◎",OR(テーブル!$B$3="交付申請",テーブル!$B$3="交付申請（２次以降）",テーブル!$B$3="変更申請")),"－",
IF(AND(AN14&lt;&gt;"◎",OR(テーブル!$B$3="交付申請",テーブル!$B$3="交付申請（２次以降）",テーブル!$B$3="変更申請")),"",
IF(AND(OR(テーブル!$B$3="実績報告",テーブル!$B$3="交付申請兼実績報告"),AN14="◎"),COUNTIF($AN$14:AN14,"◎"),"")))</f>
        <v/>
      </c>
      <c r="U14" s="1981" t="str">
        <f>IFERROR(
"@"&amp;TEXT(ROUNDUP(O14/I14,0),"#,###円")&amp;
IF(ROUNDUP(O14/I14,0)&lt;VLOOKUP(E14,$BA$124:$BC$140,3,FALSE),"&lt;",
IF(ROUNDUP(O14/I14,0)=VLOOKUP(E14,$BA$124:$BC$140,3,FALSE),"=",
IF(ROUNDUP(O14/I14,0)&gt;VLOOKUP(E14,$BA$124:$BC$140,3,FALSE),"&gt;")))&amp;
"上限@"&amp;TEXT(VLOOKUP(E14,$BA$124:$BC$140,3,FALSE),"#,###円"),"")</f>
        <v/>
      </c>
      <c r="W14" s="2087" t="str">
        <f xml:space="preserve">
IF(AN14&lt;&gt;"◎","",
DATE(IF(L14=5,2023,IF(L14=6,2024)),M14,N14))</f>
        <v/>
      </c>
      <c r="AG14" s="451"/>
      <c r="AH14" s="451">
        <f xml:space="preserve">
IF(テーブル!B3="交付申請",7,
IF(テーブル!B3="変更申請",12,
IF(テーブル!B3="実績報告（１次）",7,
IF(テーブル!B3="交付申請（２次）",12,
IF(テーブル!B3="交付申請兼実績報告（２次）",12,
IF(テーブル!B3="実績報告（２次）",12))))))</f>
        <v>12</v>
      </c>
      <c r="AL14" s="444" t="s">
        <v>68</v>
      </c>
      <c r="AM14" s="450">
        <v>1</v>
      </c>
      <c r="AN14" s="276" t="str">
        <f xml:space="preserve">
IF(COUNTA(D14:N14)=0,"○",
IF(AND(COUNTA(D14:N14)&gt;=1,COUNTA(D14:N14)&lt;9),"×",
IF(COUNTA(D14:N14)=9,"◎")))</f>
        <v>×</v>
      </c>
      <c r="AO14" s="451" t="str">
        <f xml:space="preserve">
IF(COUNTA(D14:N14)=0,"申請しない場合は入力不要です。",
IF(AND(COUNTA(D14:N14)&gt;=1,COUNTA(D14:N14)&lt;9),"【要修正】未入力の箇所があります。",
IF(COUNTA(D14:N14)=9,"適切に入力がされました。")))</f>
        <v>【要修正】未入力の箇所があります。</v>
      </c>
      <c r="AQ14" s="451">
        <f t="shared" ref="AQ14:AQ45" si="2">I14*J14</f>
        <v>0</v>
      </c>
      <c r="AR14" s="451"/>
    </row>
    <row r="15" spans="1:58" ht="20.100000000000001" customHeight="1" x14ac:dyDescent="0.4">
      <c r="A15" s="226">
        <v>2</v>
      </c>
      <c r="B15" s="628" t="str">
        <f t="shared" ref="B15:B78" si="3">IFERROR(DATE(IF(L15=5,2023,IF(L15=6,2024)),M15,N15)&amp;E15,"")</f>
        <v>45200シールド付きマスク</v>
      </c>
      <c r="C15" s="645">
        <f t="shared" ref="C15:C78" si="4">IFERROR(DATE(IF(L15=5,2023,IF(L15=6,2024)),M15,N15),"")</f>
        <v>45200</v>
      </c>
      <c r="D15" s="2044" t="s">
        <v>1191</v>
      </c>
      <c r="E15" s="693" t="s">
        <v>1380</v>
      </c>
      <c r="F15" s="1674" t="s">
        <v>1385</v>
      </c>
      <c r="G15" s="2045"/>
      <c r="H15" s="2046"/>
      <c r="I15" s="530"/>
      <c r="J15" s="530"/>
      <c r="K15" s="2054">
        <v>0</v>
      </c>
      <c r="L15" s="2055">
        <v>5</v>
      </c>
      <c r="M15" s="2055">
        <v>10</v>
      </c>
      <c r="N15" s="2055">
        <v>1</v>
      </c>
      <c r="O15" s="140">
        <f t="shared" si="0"/>
        <v>0</v>
      </c>
      <c r="P15" s="141">
        <f t="shared" si="1"/>
        <v>0</v>
      </c>
      <c r="Q15" s="141">
        <f t="shared" ref="Q15:Q78" si="5">IFERROR(I15*J15*VLOOKUP(E15,$BA$124:$BC$140,3,FALSE),"")</f>
        <v>0</v>
      </c>
      <c r="R15" s="141">
        <f t="shared" ref="R15:R78" si="6">IF(Q15="","",MIN(P15,Q15))</f>
        <v>0</v>
      </c>
      <c r="S15" s="227">
        <f xml:space="preserve">
IF(AN15="◎",I15*J15,0)</f>
        <v>0</v>
      </c>
      <c r="T15" s="142" t="str">
        <f xml:space="preserve">
IF(AND(AN15="◎",OR(テーブル!$B$3="交付申請",テーブル!$B$3="交付申請（２次以降）",テーブル!$B$3="変更申請")),"－",
IF(AND(AN15&lt;&gt;"◎",OR(テーブル!$B$3="交付申請",テーブル!$B$3="交付申請（２次以降）",テーブル!$B$3="変更申請")),"",
IF(AND(OR(テーブル!$B$3="実績報告",テーブル!$B$3="交付申請兼実績報告"),AN15="◎"),COUNTIF($AN$14:AN15,"◎"),"")))</f>
        <v/>
      </c>
      <c r="U15" s="1982" t="str">
        <f t="shared" ref="U15:U78" si="7">IFERROR(
"@"&amp;TEXT(ROUNDUP(O15/I15,0),"#,###円")&amp;
IF(ROUNDUP(O15/I15,0)&lt;VLOOKUP(E15,$BA$124:$BC$140,3,FALSE),"&lt;",
IF(ROUNDUP(O15/I15,0)=VLOOKUP(E15,$BA$124:$BC$140,3,FALSE),"=",
IF(ROUNDUP(O15/I15,0)&gt;VLOOKUP(E15,$BA$124:$BC$140,3,FALSE),"&gt;")))&amp;
"上限@"&amp;TEXT(VLOOKUP(E15,$BA$124:$BC$140,3,FALSE),"#,###円"),"")</f>
        <v/>
      </c>
      <c r="W15" s="2087" t="str">
        <f t="shared" ref="W15:W78" si="8" xml:space="preserve">
IF(AN15&lt;&gt;"◎","",
DATE(IF(L15=5,2023,IF(L15=6,2024)),M15,N15))</f>
        <v/>
      </c>
      <c r="AG15" s="451"/>
      <c r="AH15" s="451">
        <f xml:space="preserve">
IF(テーブル!B3="交付申請",8,
IF(テーブル!B3="変更申請",1,
IF(テーブル!B3="実績報告（１次）",8,
IF(テーブル!B3="交付申請（２次）",1,
IF(テーブル!B3="交付申請兼実績報告（２次）",1,
IF(テーブル!B3="実績報告（２次）",1))))))</f>
        <v>1</v>
      </c>
      <c r="AL15" s="444" t="s">
        <v>68</v>
      </c>
      <c r="AM15" s="450">
        <v>2</v>
      </c>
      <c r="AN15" s="572" t="str">
        <f t="shared" ref="AN15:AN78" si="9" xml:space="preserve">
IF(COUNTA(D15:N15)=0,"○",
IF(AND(COUNTA(D15:N15)&gt;=1,COUNTA(D15:N15)&lt;9),"×",
IF(COUNTA(D15:N15)=9,"◎")))</f>
        <v>×</v>
      </c>
      <c r="AO15" s="451" t="str">
        <f t="shared" ref="AO15:AO78" si="10" xml:space="preserve">
IF(COUNTA(D15:N15)=0,"申請しない場合は入力不要です。",
IF(AND(COUNTA(D15:N15)&gt;=1,COUNTA(D15:N15)&lt;9),"【要修正】未入力の箇所があります。",
IF(COUNTA(D15:N15)=9,"適切に入力がされました。")))</f>
        <v>【要修正】未入力の箇所があります。</v>
      </c>
      <c r="AQ15" s="451">
        <f t="shared" si="2"/>
        <v>0</v>
      </c>
      <c r="AR15" s="451"/>
    </row>
    <row r="16" spans="1:58" ht="20.100000000000001" customHeight="1" x14ac:dyDescent="0.4">
      <c r="A16" s="226">
        <v>3</v>
      </c>
      <c r="B16" s="628" t="str">
        <f t="shared" si="3"/>
        <v>45200N95マスク</v>
      </c>
      <c r="C16" s="645">
        <f t="shared" si="4"/>
        <v>45200</v>
      </c>
      <c r="D16" s="2044" t="s">
        <v>1191</v>
      </c>
      <c r="E16" s="693" t="s">
        <v>1003</v>
      </c>
      <c r="F16" s="1674" t="s">
        <v>1385</v>
      </c>
      <c r="G16" s="2045"/>
      <c r="H16" s="2046"/>
      <c r="I16" s="530"/>
      <c r="J16" s="530"/>
      <c r="K16" s="2054">
        <v>0</v>
      </c>
      <c r="L16" s="2055">
        <v>5</v>
      </c>
      <c r="M16" s="2055">
        <v>10</v>
      </c>
      <c r="N16" s="2055">
        <v>1</v>
      </c>
      <c r="O16" s="140">
        <f t="shared" si="0"/>
        <v>0</v>
      </c>
      <c r="P16" s="141">
        <f t="shared" si="1"/>
        <v>0</v>
      </c>
      <c r="Q16" s="141">
        <f t="shared" si="5"/>
        <v>0</v>
      </c>
      <c r="R16" s="141">
        <f t="shared" si="6"/>
        <v>0</v>
      </c>
      <c r="S16" s="227">
        <f t="shared" ref="S16:S79" si="11" xml:space="preserve">
IF(AN16="◎",I16*J16,0)</f>
        <v>0</v>
      </c>
      <c r="T16" s="142" t="str">
        <f xml:space="preserve">
IF(AND(AN16="◎",OR(テーブル!$B$3="交付申請",テーブル!$B$3="交付申請（２次以降）",テーブル!$B$3="変更申請")),"－",
IF(AND(AN16&lt;&gt;"◎",OR(テーブル!$B$3="交付申請",テーブル!$B$3="交付申請（２次以降）",テーブル!$B$3="変更申請")),"",
IF(AND(OR(テーブル!$B$3="実績報告",テーブル!$B$3="交付申請兼実績報告"),AN16="◎"),COUNTIF($AN$14:AN16,"◎"),"")))</f>
        <v/>
      </c>
      <c r="U16" s="1982" t="str">
        <f t="shared" si="7"/>
        <v/>
      </c>
      <c r="W16" s="2087" t="str">
        <f t="shared" si="8"/>
        <v/>
      </c>
      <c r="AG16" s="451"/>
      <c r="AH16" s="451">
        <f xml:space="preserve">
IF(テーブル!B3="交付申請",9,
IF(テーブル!B3="変更申請",2,
IF(テーブル!B3="実績報告（１次）",9,
IF(テーブル!B3="交付申請（２次）",2,
IF(テーブル!B3="交付申請兼実績報告（２次）",2,
IF(テーブル!B3="実績報告（２次）",2))))))</f>
        <v>2</v>
      </c>
      <c r="AL16" s="444" t="s">
        <v>68</v>
      </c>
      <c r="AM16" s="450">
        <v>3</v>
      </c>
      <c r="AN16" s="572" t="str">
        <f t="shared" si="9"/>
        <v>×</v>
      </c>
      <c r="AO16" s="451" t="str">
        <f t="shared" si="10"/>
        <v>【要修正】未入力の箇所があります。</v>
      </c>
      <c r="AQ16" s="451">
        <f t="shared" si="2"/>
        <v>0</v>
      </c>
      <c r="AR16" s="451"/>
    </row>
    <row r="17" spans="1:44" ht="20.100000000000001" customHeight="1" x14ac:dyDescent="0.4">
      <c r="A17" s="226">
        <v>4</v>
      </c>
      <c r="B17" s="628" t="str">
        <f t="shared" si="3"/>
        <v>45200ハイラックマスク</v>
      </c>
      <c r="C17" s="645">
        <f t="shared" si="4"/>
        <v>45200</v>
      </c>
      <c r="D17" s="2044" t="s">
        <v>1191</v>
      </c>
      <c r="E17" s="693" t="s">
        <v>1005</v>
      </c>
      <c r="F17" s="1674" t="s">
        <v>1385</v>
      </c>
      <c r="G17" s="2045"/>
      <c r="H17" s="2046"/>
      <c r="I17" s="530"/>
      <c r="J17" s="530"/>
      <c r="K17" s="2054">
        <v>0</v>
      </c>
      <c r="L17" s="2055">
        <v>5</v>
      </c>
      <c r="M17" s="2055">
        <v>10</v>
      </c>
      <c r="N17" s="2055">
        <v>1</v>
      </c>
      <c r="O17" s="140">
        <f t="shared" si="0"/>
        <v>0</v>
      </c>
      <c r="P17" s="141">
        <f t="shared" si="1"/>
        <v>0</v>
      </c>
      <c r="Q17" s="141">
        <f t="shared" si="5"/>
        <v>0</v>
      </c>
      <c r="R17" s="141">
        <f t="shared" si="6"/>
        <v>0</v>
      </c>
      <c r="S17" s="227">
        <f t="shared" si="11"/>
        <v>0</v>
      </c>
      <c r="T17" s="142" t="str">
        <f xml:space="preserve">
IF(AND(AN17="◎",OR(テーブル!$B$3="交付申請",テーブル!$B$3="交付申請（２次以降）",テーブル!$B$3="変更申請")),"－",
IF(AND(AN17&lt;&gt;"◎",OR(テーブル!$B$3="交付申請",テーブル!$B$3="交付申請（２次以降）",テーブル!$B$3="変更申請")),"",
IF(AND(OR(テーブル!$B$3="実績報告",テーブル!$B$3="交付申請兼実績報告"),AN17="◎"),COUNTIF($AN$14:AN17,"◎"),"")))</f>
        <v/>
      </c>
      <c r="U17" s="1982" t="str">
        <f t="shared" si="7"/>
        <v/>
      </c>
      <c r="W17" s="2087" t="str">
        <f t="shared" si="8"/>
        <v/>
      </c>
      <c r="AG17" s="451"/>
      <c r="AH17" s="451">
        <f xml:space="preserve">
IF(テーブル!B3="交付申請","",
IF(テーブル!B3="変更申請",3,
IF(テーブル!B3="実績報告（１次）","",
IF(テーブル!B3="交付申請（２次）",3,
IF(テーブル!B3="交付申請兼実績報告（２次）",3,
IF(テーブル!B3="実績報告（２次）",3))))))</f>
        <v>3</v>
      </c>
      <c r="AL17" s="444" t="s">
        <v>68</v>
      </c>
      <c r="AM17" s="450">
        <v>4</v>
      </c>
      <c r="AN17" s="572" t="str">
        <f t="shared" si="9"/>
        <v>×</v>
      </c>
      <c r="AO17" s="451" t="str">
        <f t="shared" si="10"/>
        <v>【要修正】未入力の箇所があります。</v>
      </c>
      <c r="AQ17" s="451">
        <f t="shared" si="2"/>
        <v>0</v>
      </c>
      <c r="AR17" s="451"/>
    </row>
    <row r="18" spans="1:44" ht="20.100000000000001" customHeight="1" x14ac:dyDescent="0.4">
      <c r="A18" s="226">
        <v>5</v>
      </c>
      <c r="B18" s="628" t="str">
        <f>IFERROR(DATE(IF(L18=5,2023,IF(L18=6,2024)),M18,N18)&amp;E18,"")</f>
        <v>45200リユーサブルゴーグル</v>
      </c>
      <c r="C18" s="645">
        <f t="shared" si="4"/>
        <v>45200</v>
      </c>
      <c r="D18" s="2044" t="s">
        <v>1204</v>
      </c>
      <c r="E18" s="693" t="s">
        <v>1258</v>
      </c>
      <c r="F18" s="1674" t="s">
        <v>1385</v>
      </c>
      <c r="G18" s="2045"/>
      <c r="H18" s="2046"/>
      <c r="I18" s="530"/>
      <c r="J18" s="530"/>
      <c r="K18" s="2054">
        <v>0</v>
      </c>
      <c r="L18" s="2055">
        <v>5</v>
      </c>
      <c r="M18" s="2055">
        <v>10</v>
      </c>
      <c r="N18" s="2055">
        <v>1</v>
      </c>
      <c r="O18" s="140">
        <f t="shared" si="0"/>
        <v>0</v>
      </c>
      <c r="P18" s="141">
        <f t="shared" si="1"/>
        <v>0</v>
      </c>
      <c r="Q18" s="141">
        <f t="shared" si="5"/>
        <v>0</v>
      </c>
      <c r="R18" s="141">
        <f t="shared" si="6"/>
        <v>0</v>
      </c>
      <c r="S18" s="227">
        <f t="shared" si="11"/>
        <v>0</v>
      </c>
      <c r="T18" s="142" t="str">
        <f xml:space="preserve">
IF(AND(AN18="◎",OR(テーブル!$B$3="交付申請",テーブル!$B$3="交付申請（２次以降）",テーブル!$B$3="変更申請")),"－",
IF(AND(AN18&lt;&gt;"◎",OR(テーブル!$B$3="交付申請",テーブル!$B$3="交付申請（２次以降）",テーブル!$B$3="変更申請")),"",
IF(AND(OR(テーブル!$B$3="実績報告",テーブル!$B$3="交付申請兼実績報告"),AN18="◎"),COUNTIF($AN$14:AN18,"◎"),"")))</f>
        <v/>
      </c>
      <c r="U18" s="1982" t="str">
        <f t="shared" si="7"/>
        <v/>
      </c>
      <c r="W18" s="2087" t="str">
        <f t="shared" si="8"/>
        <v/>
      </c>
      <c r="AL18" s="444" t="s">
        <v>68</v>
      </c>
      <c r="AM18" s="450">
        <v>5</v>
      </c>
      <c r="AN18" s="572" t="str">
        <f t="shared" si="9"/>
        <v>×</v>
      </c>
      <c r="AO18" s="451" t="str">
        <f t="shared" si="10"/>
        <v>【要修正】未入力の箇所があります。</v>
      </c>
      <c r="AQ18" s="451">
        <f t="shared" si="2"/>
        <v>0</v>
      </c>
      <c r="AR18" s="451"/>
    </row>
    <row r="19" spans="1:44" ht="20.100000000000001" customHeight="1" x14ac:dyDescent="0.4">
      <c r="A19" s="226">
        <v>6</v>
      </c>
      <c r="B19" s="628" t="str">
        <f t="shared" si="3"/>
        <v>45200レンズ交換型</v>
      </c>
      <c r="C19" s="645">
        <f>IFERROR(DATE(IF(L19=5,2023,IF(L19=6,2024)),M19,N19),"")</f>
        <v>45200</v>
      </c>
      <c r="D19" s="2044" t="s">
        <v>1204</v>
      </c>
      <c r="E19" s="693" t="s">
        <v>1381</v>
      </c>
      <c r="F19" s="1674" t="s">
        <v>1385</v>
      </c>
      <c r="G19" s="2045"/>
      <c r="H19" s="2046"/>
      <c r="I19" s="530"/>
      <c r="J19" s="530"/>
      <c r="K19" s="2054">
        <v>0</v>
      </c>
      <c r="L19" s="2055">
        <v>5</v>
      </c>
      <c r="M19" s="2055">
        <v>10</v>
      </c>
      <c r="N19" s="2055">
        <v>1</v>
      </c>
      <c r="O19" s="140">
        <f t="shared" si="0"/>
        <v>0</v>
      </c>
      <c r="P19" s="141">
        <f t="shared" si="1"/>
        <v>0</v>
      </c>
      <c r="Q19" s="141">
        <f t="shared" si="5"/>
        <v>0</v>
      </c>
      <c r="R19" s="141">
        <f t="shared" si="6"/>
        <v>0</v>
      </c>
      <c r="S19" s="227">
        <f t="shared" si="11"/>
        <v>0</v>
      </c>
      <c r="T19" s="142" t="str">
        <f xml:space="preserve">
IF(AND(AN19="◎",OR(テーブル!$B$3="交付申請",テーブル!$B$3="交付申請（２次以降）",テーブル!$B$3="変更申請")),"－",
IF(AND(AN19&lt;&gt;"◎",OR(テーブル!$B$3="交付申請",テーブル!$B$3="交付申請（２次以降）",テーブル!$B$3="変更申請")),"",
IF(AND(OR(テーブル!$B$3="実績報告",テーブル!$B$3="交付申請兼実績報告"),AN19="◎"),COUNTIF($AN$14:AN19,"◎"),"")))</f>
        <v/>
      </c>
      <c r="U19" s="1982" t="str">
        <f t="shared" si="7"/>
        <v/>
      </c>
      <c r="W19" s="2087" t="str">
        <f t="shared" si="8"/>
        <v/>
      </c>
      <c r="AL19" s="444" t="s">
        <v>68</v>
      </c>
      <c r="AM19" s="450">
        <v>6</v>
      </c>
      <c r="AN19" s="572" t="str">
        <f t="shared" si="9"/>
        <v>×</v>
      </c>
      <c r="AO19" s="451" t="str">
        <f t="shared" si="10"/>
        <v>【要修正】未入力の箇所があります。</v>
      </c>
      <c r="AQ19" s="451">
        <f t="shared" si="2"/>
        <v>0</v>
      </c>
      <c r="AR19" s="451"/>
    </row>
    <row r="20" spans="1:44" ht="20.100000000000001" customHeight="1" x14ac:dyDescent="0.4">
      <c r="A20" s="226">
        <v>7</v>
      </c>
      <c r="B20" s="628" t="str">
        <f t="shared" si="3"/>
        <v>45200スペアレンズ</v>
      </c>
      <c r="C20" s="645">
        <f t="shared" si="4"/>
        <v>45200</v>
      </c>
      <c r="D20" s="2044" t="s">
        <v>1204</v>
      </c>
      <c r="E20" s="693" t="s">
        <v>1014</v>
      </c>
      <c r="F20" s="1674" t="s">
        <v>1385</v>
      </c>
      <c r="G20" s="2045"/>
      <c r="H20" s="2046"/>
      <c r="I20" s="530"/>
      <c r="J20" s="530"/>
      <c r="K20" s="2054">
        <v>0</v>
      </c>
      <c r="L20" s="2055">
        <v>5</v>
      </c>
      <c r="M20" s="2055">
        <v>10</v>
      </c>
      <c r="N20" s="2055">
        <v>1</v>
      </c>
      <c r="O20" s="140">
        <f t="shared" si="0"/>
        <v>0</v>
      </c>
      <c r="P20" s="141">
        <f t="shared" si="1"/>
        <v>0</v>
      </c>
      <c r="Q20" s="141">
        <f t="shared" si="5"/>
        <v>0</v>
      </c>
      <c r="R20" s="141">
        <f t="shared" si="6"/>
        <v>0</v>
      </c>
      <c r="S20" s="227">
        <f t="shared" si="11"/>
        <v>0</v>
      </c>
      <c r="T20" s="142" t="str">
        <f xml:space="preserve">
IF(AND(AN20="◎",OR(テーブル!$B$3="交付申請",テーブル!$B$3="交付申請（２次以降）",テーブル!$B$3="変更申請")),"－",
IF(AND(AN20&lt;&gt;"◎",OR(テーブル!$B$3="交付申請",テーブル!$B$3="交付申請（２次以降）",テーブル!$B$3="変更申請")),"",
IF(AND(OR(テーブル!$B$3="実績報告",テーブル!$B$3="交付申請兼実績報告"),AN20="◎"),COUNTIF($AN$14:AN20,"◎"),"")))</f>
        <v/>
      </c>
      <c r="U20" s="1982" t="str">
        <f t="shared" si="7"/>
        <v/>
      </c>
      <c r="W20" s="2087" t="str">
        <f t="shared" si="8"/>
        <v/>
      </c>
      <c r="AL20" s="444" t="s">
        <v>68</v>
      </c>
      <c r="AM20" s="450">
        <v>7</v>
      </c>
      <c r="AN20" s="572" t="str">
        <f t="shared" si="9"/>
        <v>×</v>
      </c>
      <c r="AO20" s="451" t="str">
        <f t="shared" si="10"/>
        <v>【要修正】未入力の箇所があります。</v>
      </c>
      <c r="AQ20" s="451">
        <f t="shared" si="2"/>
        <v>0</v>
      </c>
      <c r="AR20" s="451"/>
    </row>
    <row r="21" spans="1:44" ht="20.100000000000001" customHeight="1" x14ac:dyDescent="0.4">
      <c r="A21" s="226">
        <v>8</v>
      </c>
      <c r="B21" s="628" t="str">
        <f t="shared" si="3"/>
        <v>45200アイソレーションガウン</v>
      </c>
      <c r="C21" s="645">
        <f t="shared" si="4"/>
        <v>45200</v>
      </c>
      <c r="D21" s="2044" t="s">
        <v>1208</v>
      </c>
      <c r="E21" s="693" t="s">
        <v>1007</v>
      </c>
      <c r="F21" s="1674" t="s">
        <v>1385</v>
      </c>
      <c r="G21" s="2045"/>
      <c r="H21" s="2046"/>
      <c r="I21" s="530"/>
      <c r="J21" s="530"/>
      <c r="K21" s="2054">
        <v>0</v>
      </c>
      <c r="L21" s="2055">
        <v>5</v>
      </c>
      <c r="M21" s="2055">
        <v>10</v>
      </c>
      <c r="N21" s="2055">
        <v>1</v>
      </c>
      <c r="O21" s="140">
        <f t="shared" si="0"/>
        <v>0</v>
      </c>
      <c r="P21" s="141">
        <f t="shared" si="1"/>
        <v>0</v>
      </c>
      <c r="Q21" s="141">
        <f t="shared" si="5"/>
        <v>0</v>
      </c>
      <c r="R21" s="141">
        <f t="shared" si="6"/>
        <v>0</v>
      </c>
      <c r="S21" s="227">
        <f t="shared" si="11"/>
        <v>0</v>
      </c>
      <c r="T21" s="142" t="str">
        <f xml:space="preserve">
IF(AND(AN21="◎",OR(テーブル!$B$3="交付申請",テーブル!$B$3="交付申請（２次以降）",テーブル!$B$3="変更申請")),"－",
IF(AND(AN21&lt;&gt;"◎",OR(テーブル!$B$3="交付申請",テーブル!$B$3="交付申請（２次以降）",テーブル!$B$3="変更申請")),"",
IF(AND(OR(テーブル!$B$3="実績報告",テーブル!$B$3="交付申請兼実績報告"),AN21="◎"),COUNTIF($AN$14:AN21,"◎"),"")))</f>
        <v/>
      </c>
      <c r="U21" s="1982" t="str">
        <f t="shared" si="7"/>
        <v/>
      </c>
      <c r="W21" s="2087" t="str">
        <f t="shared" si="8"/>
        <v/>
      </c>
      <c r="AC21" s="421"/>
      <c r="AD21" s="421"/>
      <c r="AE21" s="421"/>
      <c r="AL21" s="444" t="s">
        <v>68</v>
      </c>
      <c r="AM21" s="450">
        <v>8</v>
      </c>
      <c r="AN21" s="572" t="str">
        <f t="shared" si="9"/>
        <v>×</v>
      </c>
      <c r="AO21" s="451" t="str">
        <f t="shared" si="10"/>
        <v>【要修正】未入力の箇所があります。</v>
      </c>
      <c r="AQ21" s="451">
        <f t="shared" si="2"/>
        <v>0</v>
      </c>
      <c r="AR21" s="451"/>
    </row>
    <row r="22" spans="1:44" ht="20.100000000000001" customHeight="1" x14ac:dyDescent="0.4">
      <c r="A22" s="226">
        <v>9</v>
      </c>
      <c r="B22" s="628" t="str">
        <f t="shared" si="3"/>
        <v>45200プラスチックガウン</v>
      </c>
      <c r="C22" s="645">
        <f t="shared" si="4"/>
        <v>45200</v>
      </c>
      <c r="D22" s="2044" t="s">
        <v>1208</v>
      </c>
      <c r="E22" s="693" t="s">
        <v>1009</v>
      </c>
      <c r="F22" s="1674" t="s">
        <v>1385</v>
      </c>
      <c r="G22" s="2045"/>
      <c r="H22" s="2046"/>
      <c r="I22" s="530"/>
      <c r="J22" s="530"/>
      <c r="K22" s="2054">
        <v>0</v>
      </c>
      <c r="L22" s="2055">
        <v>5</v>
      </c>
      <c r="M22" s="2055">
        <v>10</v>
      </c>
      <c r="N22" s="2055">
        <v>1</v>
      </c>
      <c r="O22" s="140">
        <f t="shared" si="0"/>
        <v>0</v>
      </c>
      <c r="P22" s="141">
        <f t="shared" si="1"/>
        <v>0</v>
      </c>
      <c r="Q22" s="141">
        <f t="shared" si="5"/>
        <v>0</v>
      </c>
      <c r="R22" s="141">
        <f t="shared" si="6"/>
        <v>0</v>
      </c>
      <c r="S22" s="227">
        <f t="shared" si="11"/>
        <v>0</v>
      </c>
      <c r="T22" s="142" t="str">
        <f xml:space="preserve">
IF(AND(AN22="◎",OR(テーブル!$B$3="交付申請",テーブル!$B$3="交付申請（２次以降）",テーブル!$B$3="変更申請")),"－",
IF(AND(AN22&lt;&gt;"◎",OR(テーブル!$B$3="交付申請",テーブル!$B$3="交付申請（２次以降）",テーブル!$B$3="変更申請")),"",
IF(AND(OR(テーブル!$B$3="実績報告",テーブル!$B$3="交付申請兼実績報告"),AN22="◎"),COUNTIF($AN$14:AN22,"◎"),"")))</f>
        <v/>
      </c>
      <c r="U22" s="1982" t="str">
        <f t="shared" si="7"/>
        <v/>
      </c>
      <c r="W22" s="2087" t="str">
        <f t="shared" si="8"/>
        <v/>
      </c>
      <c r="AL22" s="444" t="s">
        <v>68</v>
      </c>
      <c r="AM22" s="450">
        <v>9</v>
      </c>
      <c r="AN22" s="572" t="str">
        <f t="shared" si="9"/>
        <v>×</v>
      </c>
      <c r="AO22" s="451" t="str">
        <f t="shared" si="10"/>
        <v>【要修正】未入力の箇所があります。</v>
      </c>
      <c r="AQ22" s="451">
        <f t="shared" si="2"/>
        <v>0</v>
      </c>
      <c r="AR22" s="451"/>
    </row>
    <row r="23" spans="1:44" ht="20.100000000000001" customHeight="1" x14ac:dyDescent="0.4">
      <c r="A23" s="226">
        <v>10</v>
      </c>
      <c r="B23" s="628" t="str">
        <f t="shared" si="3"/>
        <v>45200エプロン</v>
      </c>
      <c r="C23" s="645">
        <f t="shared" si="4"/>
        <v>45200</v>
      </c>
      <c r="D23" s="2044" t="s">
        <v>1208</v>
      </c>
      <c r="E23" s="693" t="s">
        <v>1011</v>
      </c>
      <c r="F23" s="1674" t="s">
        <v>1385</v>
      </c>
      <c r="G23" s="2045"/>
      <c r="H23" s="2046"/>
      <c r="I23" s="530"/>
      <c r="J23" s="530"/>
      <c r="K23" s="2054">
        <v>0</v>
      </c>
      <c r="L23" s="2055">
        <v>5</v>
      </c>
      <c r="M23" s="2055">
        <v>10</v>
      </c>
      <c r="N23" s="2055">
        <v>1</v>
      </c>
      <c r="O23" s="140">
        <f t="shared" si="0"/>
        <v>0</v>
      </c>
      <c r="P23" s="141">
        <f t="shared" si="1"/>
        <v>0</v>
      </c>
      <c r="Q23" s="141">
        <f t="shared" si="5"/>
        <v>0</v>
      </c>
      <c r="R23" s="141">
        <f t="shared" si="6"/>
        <v>0</v>
      </c>
      <c r="S23" s="227">
        <f t="shared" si="11"/>
        <v>0</v>
      </c>
      <c r="T23" s="142" t="str">
        <f xml:space="preserve">
IF(AND(AN23="◎",OR(テーブル!$B$3="交付申請",テーブル!$B$3="交付申請（２次以降）",テーブル!$B$3="変更申請")),"－",
IF(AND(AN23&lt;&gt;"◎",OR(テーブル!$B$3="交付申請",テーブル!$B$3="交付申請（２次以降）",テーブル!$B$3="変更申請")),"",
IF(AND(OR(テーブル!$B$3="実績報告",テーブル!$B$3="交付申請兼実績報告"),AN23="◎"),COUNTIF($AN$14:AN23,"◎"),"")))</f>
        <v/>
      </c>
      <c r="U23" s="1982" t="str">
        <f t="shared" si="7"/>
        <v/>
      </c>
      <c r="W23" s="2087" t="str">
        <f t="shared" si="8"/>
        <v/>
      </c>
      <c r="AL23" s="444" t="s">
        <v>68</v>
      </c>
      <c r="AM23" s="450">
        <v>10</v>
      </c>
      <c r="AN23" s="572" t="str">
        <f t="shared" si="9"/>
        <v>×</v>
      </c>
      <c r="AO23" s="451" t="str">
        <f t="shared" si="10"/>
        <v>【要修正】未入力の箇所があります。</v>
      </c>
      <c r="AQ23" s="451">
        <f t="shared" si="2"/>
        <v>0</v>
      </c>
      <c r="AR23" s="451"/>
    </row>
    <row r="24" spans="1:44" ht="20.100000000000001" customHeight="1" x14ac:dyDescent="0.4">
      <c r="A24" s="226">
        <v>11</v>
      </c>
      <c r="B24" s="628" t="str">
        <f t="shared" si="3"/>
        <v>45200ニトリルグローブ</v>
      </c>
      <c r="C24" s="645">
        <f t="shared" si="4"/>
        <v>45200</v>
      </c>
      <c r="D24" s="2044" t="s">
        <v>1209</v>
      </c>
      <c r="E24" s="693" t="s">
        <v>1016</v>
      </c>
      <c r="F24" s="1674" t="s">
        <v>1385</v>
      </c>
      <c r="G24" s="2045"/>
      <c r="H24" s="2046"/>
      <c r="I24" s="530"/>
      <c r="J24" s="530"/>
      <c r="K24" s="2054">
        <v>0</v>
      </c>
      <c r="L24" s="2055">
        <v>5</v>
      </c>
      <c r="M24" s="2055">
        <v>10</v>
      </c>
      <c r="N24" s="2055">
        <v>1</v>
      </c>
      <c r="O24" s="140">
        <f t="shared" si="0"/>
        <v>0</v>
      </c>
      <c r="P24" s="141">
        <f t="shared" si="1"/>
        <v>0</v>
      </c>
      <c r="Q24" s="141">
        <f t="shared" si="5"/>
        <v>0</v>
      </c>
      <c r="R24" s="141">
        <f t="shared" si="6"/>
        <v>0</v>
      </c>
      <c r="S24" s="227">
        <f t="shared" si="11"/>
        <v>0</v>
      </c>
      <c r="T24" s="142" t="str">
        <f xml:space="preserve">
IF(AND(AN24="◎",OR(テーブル!$B$3="交付申請",テーブル!$B$3="交付申請（２次以降）",テーブル!$B$3="変更申請")),"－",
IF(AND(AN24&lt;&gt;"◎",OR(テーブル!$B$3="交付申請",テーブル!$B$3="交付申請（２次以降）",テーブル!$B$3="変更申請")),"",
IF(AND(OR(テーブル!$B$3="実績報告",テーブル!$B$3="交付申請兼実績報告"),AN24="◎"),COUNTIF($AN$14:AN24,"◎"),"")))</f>
        <v/>
      </c>
      <c r="U24" s="1982" t="str">
        <f t="shared" si="7"/>
        <v/>
      </c>
      <c r="W24" s="2087" t="str">
        <f t="shared" si="8"/>
        <v/>
      </c>
      <c r="AL24" s="444" t="s">
        <v>68</v>
      </c>
      <c r="AM24" s="450">
        <v>11</v>
      </c>
      <c r="AN24" s="572" t="str">
        <f t="shared" si="9"/>
        <v>×</v>
      </c>
      <c r="AO24" s="451" t="str">
        <f t="shared" si="10"/>
        <v>【要修正】未入力の箇所があります。</v>
      </c>
      <c r="AQ24" s="451">
        <f t="shared" si="2"/>
        <v>0</v>
      </c>
      <c r="AR24" s="451"/>
    </row>
    <row r="25" spans="1:44" ht="20.100000000000001" customHeight="1" x14ac:dyDescent="0.4">
      <c r="A25" s="226">
        <v>12</v>
      </c>
      <c r="B25" s="628" t="str">
        <f t="shared" si="3"/>
        <v>45200プラスチックグローブ等</v>
      </c>
      <c r="C25" s="645">
        <f t="shared" si="4"/>
        <v>45200</v>
      </c>
      <c r="D25" s="2044" t="s">
        <v>1209</v>
      </c>
      <c r="E25" s="693" t="s">
        <v>1382</v>
      </c>
      <c r="F25" s="1674" t="s">
        <v>1385</v>
      </c>
      <c r="G25" s="2045"/>
      <c r="H25" s="2046"/>
      <c r="I25" s="530"/>
      <c r="J25" s="530"/>
      <c r="K25" s="2054">
        <v>0</v>
      </c>
      <c r="L25" s="2055">
        <v>5</v>
      </c>
      <c r="M25" s="2055">
        <v>10</v>
      </c>
      <c r="N25" s="2055">
        <v>1</v>
      </c>
      <c r="O25" s="140">
        <f t="shared" si="0"/>
        <v>0</v>
      </c>
      <c r="P25" s="141">
        <f t="shared" si="1"/>
        <v>0</v>
      </c>
      <c r="Q25" s="141">
        <f t="shared" si="5"/>
        <v>0</v>
      </c>
      <c r="R25" s="141">
        <f t="shared" si="6"/>
        <v>0</v>
      </c>
      <c r="S25" s="227">
        <f t="shared" si="11"/>
        <v>0</v>
      </c>
      <c r="T25" s="142" t="str">
        <f xml:space="preserve">
IF(AND(AN25="◎",OR(テーブル!$B$3="交付申請",テーブル!$B$3="交付申請（２次以降）",テーブル!$B$3="変更申請")),"－",
IF(AND(AN25&lt;&gt;"◎",OR(テーブル!$B$3="交付申請",テーブル!$B$3="交付申請（２次以降）",テーブル!$B$3="変更申請")),"",
IF(AND(OR(テーブル!$B$3="実績報告",テーブル!$B$3="交付申請兼実績報告"),AN25="◎"),COUNTIF($AN$14:AN25,"◎"),"")))</f>
        <v/>
      </c>
      <c r="U25" s="1982" t="str">
        <f t="shared" si="7"/>
        <v/>
      </c>
      <c r="W25" s="2087" t="str">
        <f t="shared" si="8"/>
        <v/>
      </c>
      <c r="AL25" s="444" t="s">
        <v>68</v>
      </c>
      <c r="AM25" s="450">
        <v>12</v>
      </c>
      <c r="AN25" s="572" t="str">
        <f t="shared" si="9"/>
        <v>×</v>
      </c>
      <c r="AO25" s="451" t="str">
        <f t="shared" si="10"/>
        <v>【要修正】未入力の箇所があります。</v>
      </c>
      <c r="AQ25" s="451">
        <f t="shared" si="2"/>
        <v>0</v>
      </c>
      <c r="AR25" s="451"/>
    </row>
    <row r="26" spans="1:44" ht="20.100000000000001" customHeight="1" x14ac:dyDescent="0.4">
      <c r="A26" s="226">
        <v>13</v>
      </c>
      <c r="B26" s="628" t="str">
        <f t="shared" si="3"/>
        <v>45200キャップ</v>
      </c>
      <c r="C26" s="645">
        <f t="shared" si="4"/>
        <v>45200</v>
      </c>
      <c r="D26" s="2044" t="s">
        <v>1210</v>
      </c>
      <c r="E26" s="693" t="s">
        <v>1210</v>
      </c>
      <c r="F26" s="1674" t="s">
        <v>1385</v>
      </c>
      <c r="G26" s="2045"/>
      <c r="H26" s="2046"/>
      <c r="I26" s="530"/>
      <c r="J26" s="530"/>
      <c r="K26" s="2054">
        <v>0</v>
      </c>
      <c r="L26" s="2055">
        <v>5</v>
      </c>
      <c r="M26" s="2055">
        <v>10</v>
      </c>
      <c r="N26" s="2055">
        <v>1</v>
      </c>
      <c r="O26" s="140">
        <f t="shared" si="0"/>
        <v>0</v>
      </c>
      <c r="P26" s="141">
        <f t="shared" si="1"/>
        <v>0</v>
      </c>
      <c r="Q26" s="141">
        <f t="shared" si="5"/>
        <v>0</v>
      </c>
      <c r="R26" s="141">
        <f t="shared" si="6"/>
        <v>0</v>
      </c>
      <c r="S26" s="227">
        <f t="shared" si="11"/>
        <v>0</v>
      </c>
      <c r="T26" s="142" t="str">
        <f xml:space="preserve">
IF(AND(AN26="◎",OR(テーブル!$B$3="交付申請",テーブル!$B$3="交付申請（２次以降）",テーブル!$B$3="変更申請")),"－",
IF(AND(AN26&lt;&gt;"◎",OR(テーブル!$B$3="交付申請",テーブル!$B$3="交付申請（２次以降）",テーブル!$B$3="変更申請")),"",
IF(AND(OR(テーブル!$B$3="実績報告",テーブル!$B$3="交付申請兼実績報告"),AN26="◎"),COUNTIF($AN$14:AN26,"◎"),"")))</f>
        <v/>
      </c>
      <c r="U26" s="1982" t="str">
        <f t="shared" si="7"/>
        <v/>
      </c>
      <c r="W26" s="2087" t="str">
        <f t="shared" si="8"/>
        <v/>
      </c>
      <c r="AL26" s="444" t="s">
        <v>68</v>
      </c>
      <c r="AM26" s="450">
        <v>13</v>
      </c>
      <c r="AN26" s="572" t="str">
        <f t="shared" si="9"/>
        <v>×</v>
      </c>
      <c r="AO26" s="451" t="str">
        <f t="shared" si="10"/>
        <v>【要修正】未入力の箇所があります。</v>
      </c>
      <c r="AQ26" s="451">
        <f t="shared" si="2"/>
        <v>0</v>
      </c>
      <c r="AR26" s="451"/>
    </row>
    <row r="27" spans="1:44" ht="20.100000000000001" customHeight="1" x14ac:dyDescent="0.4">
      <c r="A27" s="226">
        <v>14</v>
      </c>
      <c r="B27" s="628" t="str">
        <f t="shared" si="3"/>
        <v>45200使い捨て一体型</v>
      </c>
      <c r="C27" s="645">
        <f t="shared" si="4"/>
        <v>45200</v>
      </c>
      <c r="D27" s="2044" t="s">
        <v>1332</v>
      </c>
      <c r="E27" s="693" t="s">
        <v>1383</v>
      </c>
      <c r="F27" s="1674" t="s">
        <v>1385</v>
      </c>
      <c r="G27" s="2045"/>
      <c r="H27" s="2046"/>
      <c r="I27" s="530"/>
      <c r="J27" s="530"/>
      <c r="K27" s="2054">
        <v>0</v>
      </c>
      <c r="L27" s="2055">
        <v>5</v>
      </c>
      <c r="M27" s="2055">
        <v>10</v>
      </c>
      <c r="N27" s="2055">
        <v>1</v>
      </c>
      <c r="O27" s="140">
        <f t="shared" si="0"/>
        <v>0</v>
      </c>
      <c r="P27" s="141">
        <f t="shared" si="1"/>
        <v>0</v>
      </c>
      <c r="Q27" s="141">
        <f t="shared" si="5"/>
        <v>0</v>
      </c>
      <c r="R27" s="141">
        <f t="shared" si="6"/>
        <v>0</v>
      </c>
      <c r="S27" s="227">
        <f t="shared" si="11"/>
        <v>0</v>
      </c>
      <c r="T27" s="142" t="str">
        <f xml:space="preserve">
IF(AND(AN27="◎",OR(テーブル!$B$3="交付申請",テーブル!$B$3="交付申請（２次以降）",テーブル!$B$3="変更申請")),"－",
IF(AND(AN27&lt;&gt;"◎",OR(テーブル!$B$3="交付申請",テーブル!$B$3="交付申請（２次以降）",テーブル!$B$3="変更申請")),"",
IF(AND(OR(テーブル!$B$3="実績報告",テーブル!$B$3="交付申請兼実績報告"),AN27="◎"),COUNTIF($AN$14:AN27,"◎"),"")))</f>
        <v/>
      </c>
      <c r="U27" s="1982" t="str">
        <f t="shared" si="7"/>
        <v/>
      </c>
      <c r="W27" s="2087" t="str">
        <f t="shared" si="8"/>
        <v/>
      </c>
      <c r="AL27" s="444" t="s">
        <v>68</v>
      </c>
      <c r="AM27" s="450">
        <v>14</v>
      </c>
      <c r="AN27" s="572" t="str">
        <f t="shared" si="9"/>
        <v>×</v>
      </c>
      <c r="AO27" s="451" t="str">
        <f t="shared" si="10"/>
        <v>【要修正】未入力の箇所があります。</v>
      </c>
      <c r="AQ27" s="451">
        <f t="shared" si="2"/>
        <v>0</v>
      </c>
      <c r="AR27" s="451"/>
    </row>
    <row r="28" spans="1:44" ht="20.100000000000001" customHeight="1" x14ac:dyDescent="0.4">
      <c r="A28" s="226">
        <v>15</v>
      </c>
      <c r="B28" s="628" t="str">
        <f t="shared" si="3"/>
        <v>45200フレーム</v>
      </c>
      <c r="C28" s="645">
        <f t="shared" si="4"/>
        <v>45200</v>
      </c>
      <c r="D28" s="2044" t="s">
        <v>1332</v>
      </c>
      <c r="E28" s="693" t="s">
        <v>1020</v>
      </c>
      <c r="F28" s="1674" t="s">
        <v>1385</v>
      </c>
      <c r="G28" s="2045"/>
      <c r="H28" s="2046"/>
      <c r="I28" s="530"/>
      <c r="J28" s="530"/>
      <c r="K28" s="2054">
        <v>0</v>
      </c>
      <c r="L28" s="2055">
        <v>5</v>
      </c>
      <c r="M28" s="2055">
        <v>10</v>
      </c>
      <c r="N28" s="2055">
        <v>1</v>
      </c>
      <c r="O28" s="140">
        <f t="shared" si="0"/>
        <v>0</v>
      </c>
      <c r="P28" s="141">
        <f t="shared" si="1"/>
        <v>0</v>
      </c>
      <c r="Q28" s="141">
        <f t="shared" si="5"/>
        <v>0</v>
      </c>
      <c r="R28" s="141">
        <f t="shared" si="6"/>
        <v>0</v>
      </c>
      <c r="S28" s="227">
        <f t="shared" si="11"/>
        <v>0</v>
      </c>
      <c r="T28" s="142" t="str">
        <f xml:space="preserve">
IF(AND(AN28="◎",OR(テーブル!$B$3="交付申請",テーブル!$B$3="交付申請（２次以降）",テーブル!$B$3="変更申請")),"－",
IF(AND(AN28&lt;&gt;"◎",OR(テーブル!$B$3="交付申請",テーブル!$B$3="交付申請（２次以降）",テーブル!$B$3="変更申請")),"",
IF(AND(OR(テーブル!$B$3="実績報告",テーブル!$B$3="交付申請兼実績報告"),AN28="◎"),COUNTIF($AN$14:AN28,"◎"),"")))</f>
        <v/>
      </c>
      <c r="U28" s="1982" t="str">
        <f t="shared" si="7"/>
        <v/>
      </c>
      <c r="W28" s="2087" t="str">
        <f t="shared" si="8"/>
        <v/>
      </c>
      <c r="AL28" s="444" t="s">
        <v>68</v>
      </c>
      <c r="AM28" s="450">
        <v>15</v>
      </c>
      <c r="AN28" s="572" t="str">
        <f t="shared" si="9"/>
        <v>×</v>
      </c>
      <c r="AO28" s="451" t="str">
        <f t="shared" si="10"/>
        <v>【要修正】未入力の箇所があります。</v>
      </c>
      <c r="AQ28" s="451">
        <f t="shared" si="2"/>
        <v>0</v>
      </c>
      <c r="AR28" s="451"/>
    </row>
    <row r="29" spans="1:44" ht="20.100000000000001" customHeight="1" x14ac:dyDescent="0.4">
      <c r="A29" s="226">
        <v>16</v>
      </c>
      <c r="B29" s="628" t="str">
        <f t="shared" si="3"/>
        <v>45200交換用シールド</v>
      </c>
      <c r="C29" s="645">
        <f t="shared" si="4"/>
        <v>45200</v>
      </c>
      <c r="D29" s="2044" t="s">
        <v>1332</v>
      </c>
      <c r="E29" s="693" t="s">
        <v>1384</v>
      </c>
      <c r="F29" s="1674" t="s">
        <v>1385</v>
      </c>
      <c r="G29" s="2045"/>
      <c r="H29" s="2046"/>
      <c r="I29" s="530"/>
      <c r="J29" s="530"/>
      <c r="K29" s="2054">
        <v>0</v>
      </c>
      <c r="L29" s="2055">
        <v>5</v>
      </c>
      <c r="M29" s="2055">
        <v>10</v>
      </c>
      <c r="N29" s="2055">
        <v>1</v>
      </c>
      <c r="O29" s="140">
        <f t="shared" si="0"/>
        <v>0</v>
      </c>
      <c r="P29" s="141">
        <f t="shared" si="1"/>
        <v>0</v>
      </c>
      <c r="Q29" s="141">
        <f t="shared" si="5"/>
        <v>0</v>
      </c>
      <c r="R29" s="141">
        <f t="shared" si="6"/>
        <v>0</v>
      </c>
      <c r="S29" s="227">
        <f t="shared" si="11"/>
        <v>0</v>
      </c>
      <c r="T29" s="142" t="str">
        <f xml:space="preserve">
IF(AND(AN29="◎",OR(テーブル!$B$3="交付申請",テーブル!$B$3="交付申請（２次以降）",テーブル!$B$3="変更申請")),"－",
IF(AND(AN29&lt;&gt;"◎",OR(テーブル!$B$3="交付申請",テーブル!$B$3="交付申請（２次以降）",テーブル!$B$3="変更申請")),"",
IF(AND(OR(テーブル!$B$3="実績報告",テーブル!$B$3="交付申請兼実績報告"),AN29="◎"),COUNTIF($AN$14:AN29,"◎"),"")))</f>
        <v/>
      </c>
      <c r="U29" s="1982" t="str">
        <f t="shared" si="7"/>
        <v/>
      </c>
      <c r="W29" s="2087" t="str">
        <f t="shared" si="8"/>
        <v/>
      </c>
      <c r="AL29" s="444" t="s">
        <v>68</v>
      </c>
      <c r="AM29" s="450">
        <v>16</v>
      </c>
      <c r="AN29" s="572" t="str">
        <f t="shared" si="9"/>
        <v>×</v>
      </c>
      <c r="AO29" s="451" t="str">
        <f t="shared" si="10"/>
        <v>【要修正】未入力の箇所があります。</v>
      </c>
      <c r="AQ29" s="451">
        <f t="shared" si="2"/>
        <v>0</v>
      </c>
      <c r="AR29" s="451"/>
    </row>
    <row r="30" spans="1:44" ht="20.100000000000001" customHeight="1" thickBot="1" x14ac:dyDescent="0.45">
      <c r="A30" s="226">
        <v>17</v>
      </c>
      <c r="B30" s="628" t="str">
        <f t="shared" si="3"/>
        <v>45200リユーサブルシールド</v>
      </c>
      <c r="C30" s="645">
        <f t="shared" si="4"/>
        <v>45200</v>
      </c>
      <c r="D30" s="2047" t="s">
        <v>1332</v>
      </c>
      <c r="E30" s="2048" t="s">
        <v>1259</v>
      </c>
      <c r="F30" s="2049" t="s">
        <v>1385</v>
      </c>
      <c r="G30" s="2050"/>
      <c r="H30" s="2051"/>
      <c r="I30" s="1983"/>
      <c r="J30" s="1983"/>
      <c r="K30" s="2056">
        <v>0</v>
      </c>
      <c r="L30" s="2057">
        <v>5</v>
      </c>
      <c r="M30" s="2057">
        <v>10</v>
      </c>
      <c r="N30" s="2057">
        <v>1</v>
      </c>
      <c r="O30" s="1984">
        <f t="shared" si="0"/>
        <v>0</v>
      </c>
      <c r="P30" s="1985">
        <f t="shared" si="1"/>
        <v>0</v>
      </c>
      <c r="Q30" s="1985">
        <f t="shared" si="5"/>
        <v>0</v>
      </c>
      <c r="R30" s="1985">
        <f t="shared" si="6"/>
        <v>0</v>
      </c>
      <c r="S30" s="1986">
        <f t="shared" si="11"/>
        <v>0</v>
      </c>
      <c r="T30" s="1987" t="str">
        <f xml:space="preserve">
IF(AND(AN30="◎",OR(テーブル!$B$3="交付申請",テーブル!$B$3="交付申請（２次以降）",テーブル!$B$3="変更申請")),"－",
IF(AND(AN30&lt;&gt;"◎",OR(テーブル!$B$3="交付申請",テーブル!$B$3="交付申請（２次以降）",テーブル!$B$3="変更申請")),"",
IF(AND(OR(テーブル!$B$3="実績報告",テーブル!$B$3="交付申請兼実績報告"),AN30="◎"),COUNTIF($AN$14:AN30,"◎"),"")))</f>
        <v/>
      </c>
      <c r="U30" s="1988" t="str">
        <f t="shared" si="7"/>
        <v/>
      </c>
      <c r="W30" s="2087" t="str">
        <f t="shared" si="8"/>
        <v/>
      </c>
      <c r="AL30" s="444" t="s">
        <v>68</v>
      </c>
      <c r="AM30" s="450">
        <v>17</v>
      </c>
      <c r="AN30" s="572" t="str">
        <f t="shared" si="9"/>
        <v>×</v>
      </c>
      <c r="AO30" s="451" t="str">
        <f t="shared" si="10"/>
        <v>【要修正】未入力の箇所があります。</v>
      </c>
      <c r="AQ30" s="451">
        <f t="shared" si="2"/>
        <v>0</v>
      </c>
      <c r="AR30" s="451"/>
    </row>
    <row r="31" spans="1:44" ht="20.100000000000001" customHeight="1" x14ac:dyDescent="0.4">
      <c r="A31" s="226">
        <v>18</v>
      </c>
      <c r="B31" s="628" t="str">
        <f t="shared" si="3"/>
        <v/>
      </c>
      <c r="C31" s="645" t="str">
        <f t="shared" si="4"/>
        <v/>
      </c>
      <c r="D31" s="1965"/>
      <c r="E31" s="1966"/>
      <c r="F31" s="1967"/>
      <c r="G31" s="1968"/>
      <c r="H31" s="1969"/>
      <c r="I31" s="1970"/>
      <c r="J31" s="1970"/>
      <c r="K31" s="1971"/>
      <c r="L31" s="1970"/>
      <c r="M31" s="1970"/>
      <c r="N31" s="1970"/>
      <c r="O31" s="1972">
        <f t="shared" si="0"/>
        <v>0</v>
      </c>
      <c r="P31" s="1973">
        <f t="shared" si="1"/>
        <v>0</v>
      </c>
      <c r="Q31" s="1973" t="str">
        <f t="shared" si="5"/>
        <v/>
      </c>
      <c r="R31" s="1973" t="str">
        <f t="shared" si="6"/>
        <v/>
      </c>
      <c r="S31" s="1974">
        <f t="shared" si="11"/>
        <v>0</v>
      </c>
      <c r="T31" s="1975" t="str">
        <f xml:space="preserve">
IF(AND(AN31="◎",OR(テーブル!$B$3="交付申請",テーブル!$B$3="交付申請（２次以降）",テーブル!$B$3="変更申請")),"－",
IF(AND(AN31&lt;&gt;"◎",OR(テーブル!$B$3="交付申請",テーブル!$B$3="交付申請（２次以降）",テーブル!$B$3="変更申請")),"",
IF(AND(OR(テーブル!$B$3="実績報告",テーブル!$B$3="交付申請兼実績報告"),AN31="◎"),COUNTIF($AN$14:AN31,"◎"),"")))</f>
        <v/>
      </c>
      <c r="U31" s="1975" t="str">
        <f t="shared" si="7"/>
        <v/>
      </c>
      <c r="W31" s="2087" t="str">
        <f t="shared" si="8"/>
        <v/>
      </c>
      <c r="AL31" s="444" t="s">
        <v>68</v>
      </c>
      <c r="AM31" s="450">
        <v>18</v>
      </c>
      <c r="AN31" s="572" t="str">
        <f t="shared" si="9"/>
        <v>○</v>
      </c>
      <c r="AO31" s="451" t="str">
        <f t="shared" si="10"/>
        <v>申請しない場合は入力不要です。</v>
      </c>
      <c r="AQ31" s="451">
        <f t="shared" si="2"/>
        <v>0</v>
      </c>
      <c r="AR31" s="451"/>
    </row>
    <row r="32" spans="1:44" ht="20.100000000000001" customHeight="1" x14ac:dyDescent="0.4">
      <c r="A32" s="226">
        <v>19</v>
      </c>
      <c r="B32" s="628" t="str">
        <f t="shared" si="3"/>
        <v/>
      </c>
      <c r="C32" s="645" t="str">
        <f t="shared" si="4"/>
        <v/>
      </c>
      <c r="D32" s="578"/>
      <c r="E32" s="556"/>
      <c r="F32" s="1618"/>
      <c r="G32" s="1619"/>
      <c r="H32" s="1620"/>
      <c r="I32" s="530"/>
      <c r="J32" s="530"/>
      <c r="K32" s="225"/>
      <c r="L32" s="530"/>
      <c r="M32" s="530"/>
      <c r="N32" s="530"/>
      <c r="O32" s="140">
        <f t="shared" si="0"/>
        <v>0</v>
      </c>
      <c r="P32" s="141">
        <f t="shared" si="1"/>
        <v>0</v>
      </c>
      <c r="Q32" s="141" t="str">
        <f t="shared" si="5"/>
        <v/>
      </c>
      <c r="R32" s="141" t="str">
        <f t="shared" si="6"/>
        <v/>
      </c>
      <c r="S32" s="227">
        <f t="shared" si="11"/>
        <v>0</v>
      </c>
      <c r="T32" s="142" t="str">
        <f xml:space="preserve">
IF(AND(AN32="◎",OR(テーブル!$B$3="交付申請",テーブル!$B$3="交付申請（２次以降）",テーブル!$B$3="変更申請")),"－",
IF(AND(AN32&lt;&gt;"◎",OR(テーブル!$B$3="交付申請",テーブル!$B$3="交付申請（２次以降）",テーブル!$B$3="変更申請")),"",
IF(AND(OR(テーブル!$B$3="実績報告",テーブル!$B$3="交付申請兼実績報告"),AN32="◎"),COUNTIF($AN$14:AN32,"◎"),"")))</f>
        <v/>
      </c>
      <c r="U32" s="142" t="str">
        <f t="shared" si="7"/>
        <v/>
      </c>
      <c r="W32" s="2087" t="str">
        <f t="shared" si="8"/>
        <v/>
      </c>
      <c r="AL32" s="444" t="s">
        <v>68</v>
      </c>
      <c r="AM32" s="450">
        <v>19</v>
      </c>
      <c r="AN32" s="572" t="str">
        <f t="shared" si="9"/>
        <v>○</v>
      </c>
      <c r="AO32" s="451" t="str">
        <f t="shared" si="10"/>
        <v>申請しない場合は入力不要です。</v>
      </c>
      <c r="AQ32" s="451">
        <f t="shared" si="2"/>
        <v>0</v>
      </c>
      <c r="AR32" s="451"/>
    </row>
    <row r="33" spans="1:44" ht="20.100000000000001" customHeight="1" x14ac:dyDescent="0.4">
      <c r="A33" s="226">
        <v>20</v>
      </c>
      <c r="B33" s="628" t="str">
        <f t="shared" si="3"/>
        <v/>
      </c>
      <c r="C33" s="645" t="str">
        <f t="shared" si="4"/>
        <v/>
      </c>
      <c r="D33" s="578"/>
      <c r="E33" s="556"/>
      <c r="F33" s="1618"/>
      <c r="G33" s="1619"/>
      <c r="H33" s="1620"/>
      <c r="I33" s="530"/>
      <c r="J33" s="530"/>
      <c r="K33" s="225"/>
      <c r="L33" s="530"/>
      <c r="M33" s="530"/>
      <c r="N33" s="530"/>
      <c r="O33" s="140">
        <f t="shared" si="0"/>
        <v>0</v>
      </c>
      <c r="P33" s="141">
        <f t="shared" si="1"/>
        <v>0</v>
      </c>
      <c r="Q33" s="141" t="str">
        <f t="shared" si="5"/>
        <v/>
      </c>
      <c r="R33" s="141" t="str">
        <f t="shared" si="6"/>
        <v/>
      </c>
      <c r="S33" s="227">
        <f t="shared" si="11"/>
        <v>0</v>
      </c>
      <c r="T33" s="142" t="str">
        <f xml:space="preserve">
IF(AND(AN33="◎",OR(テーブル!$B$3="交付申請",テーブル!$B$3="交付申請（２次以降）",テーブル!$B$3="変更申請")),"－",
IF(AND(AN33&lt;&gt;"◎",OR(テーブル!$B$3="交付申請",テーブル!$B$3="交付申請（２次以降）",テーブル!$B$3="変更申請")),"",
IF(AND(OR(テーブル!$B$3="実績報告",テーブル!$B$3="交付申請兼実績報告"),AN33="◎"),COUNTIF($AN$14:AN33,"◎"),"")))</f>
        <v/>
      </c>
      <c r="U33" s="142" t="str">
        <f t="shared" si="7"/>
        <v/>
      </c>
      <c r="W33" s="2087" t="str">
        <f t="shared" si="8"/>
        <v/>
      </c>
      <c r="AL33" s="444" t="s">
        <v>68</v>
      </c>
      <c r="AM33" s="450">
        <v>20</v>
      </c>
      <c r="AN33" s="572" t="str">
        <f t="shared" si="9"/>
        <v>○</v>
      </c>
      <c r="AO33" s="451" t="str">
        <f t="shared" si="10"/>
        <v>申請しない場合は入力不要です。</v>
      </c>
      <c r="AQ33" s="451">
        <f t="shared" si="2"/>
        <v>0</v>
      </c>
      <c r="AR33" s="451"/>
    </row>
    <row r="34" spans="1:44" ht="20.100000000000001" customHeight="1" x14ac:dyDescent="0.4">
      <c r="A34" s="226">
        <v>21</v>
      </c>
      <c r="B34" s="628" t="str">
        <f t="shared" si="3"/>
        <v/>
      </c>
      <c r="C34" s="645" t="str">
        <f t="shared" si="4"/>
        <v/>
      </c>
      <c r="D34" s="578"/>
      <c r="E34" s="556"/>
      <c r="F34" s="1618"/>
      <c r="G34" s="1619"/>
      <c r="H34" s="1620"/>
      <c r="I34" s="530"/>
      <c r="J34" s="530"/>
      <c r="K34" s="225"/>
      <c r="L34" s="530"/>
      <c r="M34" s="530"/>
      <c r="N34" s="530"/>
      <c r="O34" s="140">
        <f t="shared" si="0"/>
        <v>0</v>
      </c>
      <c r="P34" s="141">
        <f t="shared" si="1"/>
        <v>0</v>
      </c>
      <c r="Q34" s="141" t="str">
        <f t="shared" si="5"/>
        <v/>
      </c>
      <c r="R34" s="141" t="str">
        <f t="shared" si="6"/>
        <v/>
      </c>
      <c r="S34" s="227">
        <f t="shared" si="11"/>
        <v>0</v>
      </c>
      <c r="T34" s="142" t="str">
        <f xml:space="preserve">
IF(AND(AN34="◎",OR(テーブル!$B$3="交付申請",テーブル!$B$3="交付申請（２次以降）",テーブル!$B$3="変更申請")),"－",
IF(AND(AN34&lt;&gt;"◎",OR(テーブル!$B$3="交付申請",テーブル!$B$3="交付申請（２次以降）",テーブル!$B$3="変更申請")),"",
IF(AND(OR(テーブル!$B$3="実績報告",テーブル!$B$3="交付申請兼実績報告"),AN34="◎"),COUNTIF($AN$14:AN34,"◎"),"")))</f>
        <v/>
      </c>
      <c r="U34" s="142" t="str">
        <f t="shared" si="7"/>
        <v/>
      </c>
      <c r="W34" s="2087" t="str">
        <f t="shared" si="8"/>
        <v/>
      </c>
      <c r="AL34" s="444" t="s">
        <v>68</v>
      </c>
      <c r="AM34" s="450">
        <v>21</v>
      </c>
      <c r="AN34" s="572" t="str">
        <f t="shared" si="9"/>
        <v>○</v>
      </c>
      <c r="AO34" s="451" t="str">
        <f t="shared" si="10"/>
        <v>申請しない場合は入力不要です。</v>
      </c>
      <c r="AQ34" s="451">
        <f t="shared" si="2"/>
        <v>0</v>
      </c>
      <c r="AR34" s="451"/>
    </row>
    <row r="35" spans="1:44" ht="20.100000000000001" customHeight="1" x14ac:dyDescent="0.4">
      <c r="A35" s="226">
        <v>22</v>
      </c>
      <c r="B35" s="628" t="str">
        <f t="shared" si="3"/>
        <v/>
      </c>
      <c r="C35" s="645" t="str">
        <f t="shared" si="4"/>
        <v/>
      </c>
      <c r="D35" s="578"/>
      <c r="E35" s="556"/>
      <c r="F35" s="1618"/>
      <c r="G35" s="1619"/>
      <c r="H35" s="1620"/>
      <c r="I35" s="530"/>
      <c r="J35" s="530"/>
      <c r="K35" s="225"/>
      <c r="L35" s="530"/>
      <c r="M35" s="530"/>
      <c r="N35" s="530"/>
      <c r="O35" s="140">
        <f t="shared" si="0"/>
        <v>0</v>
      </c>
      <c r="P35" s="141">
        <f t="shared" si="1"/>
        <v>0</v>
      </c>
      <c r="Q35" s="141" t="str">
        <f t="shared" si="5"/>
        <v/>
      </c>
      <c r="R35" s="141" t="str">
        <f t="shared" si="6"/>
        <v/>
      </c>
      <c r="S35" s="227">
        <f t="shared" si="11"/>
        <v>0</v>
      </c>
      <c r="T35" s="142" t="str">
        <f xml:space="preserve">
IF(AND(AN35="◎",OR(テーブル!$B$3="交付申請",テーブル!$B$3="交付申請（２次以降）",テーブル!$B$3="変更申請")),"－",
IF(AND(AN35&lt;&gt;"◎",OR(テーブル!$B$3="交付申請",テーブル!$B$3="交付申請（２次以降）",テーブル!$B$3="変更申請")),"",
IF(AND(OR(テーブル!$B$3="実績報告",テーブル!$B$3="交付申請兼実績報告"),AN35="◎"),COUNTIF($AN$14:AN35,"◎"),"")))</f>
        <v/>
      </c>
      <c r="U35" s="142" t="str">
        <f t="shared" si="7"/>
        <v/>
      </c>
      <c r="W35" s="2087" t="str">
        <f t="shared" si="8"/>
        <v/>
      </c>
      <c r="AL35" s="444" t="s">
        <v>68</v>
      </c>
      <c r="AM35" s="450">
        <v>22</v>
      </c>
      <c r="AN35" s="572" t="str">
        <f t="shared" si="9"/>
        <v>○</v>
      </c>
      <c r="AO35" s="451" t="str">
        <f t="shared" si="10"/>
        <v>申請しない場合は入力不要です。</v>
      </c>
      <c r="AQ35" s="451">
        <f t="shared" si="2"/>
        <v>0</v>
      </c>
      <c r="AR35" s="451"/>
    </row>
    <row r="36" spans="1:44" ht="20.100000000000001" customHeight="1" x14ac:dyDescent="0.4">
      <c r="A36" s="226">
        <v>23</v>
      </c>
      <c r="B36" s="628" t="str">
        <f t="shared" si="3"/>
        <v/>
      </c>
      <c r="C36" s="645" t="str">
        <f t="shared" si="4"/>
        <v/>
      </c>
      <c r="D36" s="578"/>
      <c r="E36" s="556"/>
      <c r="F36" s="1618"/>
      <c r="G36" s="1619"/>
      <c r="H36" s="1620"/>
      <c r="I36" s="530"/>
      <c r="J36" s="530"/>
      <c r="K36" s="225"/>
      <c r="L36" s="530"/>
      <c r="M36" s="530"/>
      <c r="N36" s="530"/>
      <c r="O36" s="140">
        <f t="shared" si="0"/>
        <v>0</v>
      </c>
      <c r="P36" s="141">
        <f t="shared" si="1"/>
        <v>0</v>
      </c>
      <c r="Q36" s="141" t="str">
        <f t="shared" si="5"/>
        <v/>
      </c>
      <c r="R36" s="141" t="str">
        <f t="shared" si="6"/>
        <v/>
      </c>
      <c r="S36" s="227">
        <f t="shared" si="11"/>
        <v>0</v>
      </c>
      <c r="T36" s="142" t="str">
        <f xml:space="preserve">
IF(AND(AN36="◎",OR(テーブル!$B$3="交付申請",テーブル!$B$3="交付申請（２次以降）",テーブル!$B$3="変更申請")),"－",
IF(AND(AN36&lt;&gt;"◎",OR(テーブル!$B$3="交付申請",テーブル!$B$3="交付申請（２次以降）",テーブル!$B$3="変更申請")),"",
IF(AND(OR(テーブル!$B$3="実績報告",テーブル!$B$3="交付申請兼実績報告"),AN36="◎"),COUNTIF($AN$14:AN36,"◎"),"")))</f>
        <v/>
      </c>
      <c r="U36" s="142" t="str">
        <f t="shared" si="7"/>
        <v/>
      </c>
      <c r="W36" s="2087" t="str">
        <f t="shared" si="8"/>
        <v/>
      </c>
      <c r="AL36" s="444" t="s">
        <v>68</v>
      </c>
      <c r="AM36" s="450">
        <v>23</v>
      </c>
      <c r="AN36" s="572" t="str">
        <f t="shared" si="9"/>
        <v>○</v>
      </c>
      <c r="AO36" s="451" t="str">
        <f t="shared" si="10"/>
        <v>申請しない場合は入力不要です。</v>
      </c>
      <c r="AQ36" s="451">
        <f t="shared" si="2"/>
        <v>0</v>
      </c>
      <c r="AR36" s="451"/>
    </row>
    <row r="37" spans="1:44" ht="20.100000000000001" customHeight="1" x14ac:dyDescent="0.4">
      <c r="A37" s="226">
        <v>24</v>
      </c>
      <c r="B37" s="628" t="str">
        <f t="shared" si="3"/>
        <v/>
      </c>
      <c r="C37" s="645" t="str">
        <f t="shared" si="4"/>
        <v/>
      </c>
      <c r="D37" s="578"/>
      <c r="E37" s="556"/>
      <c r="F37" s="1618"/>
      <c r="G37" s="1619"/>
      <c r="H37" s="1620"/>
      <c r="I37" s="530"/>
      <c r="J37" s="530"/>
      <c r="K37" s="225"/>
      <c r="L37" s="530"/>
      <c r="M37" s="530"/>
      <c r="N37" s="530"/>
      <c r="O37" s="140">
        <f t="shared" si="0"/>
        <v>0</v>
      </c>
      <c r="P37" s="141">
        <f t="shared" si="1"/>
        <v>0</v>
      </c>
      <c r="Q37" s="141" t="str">
        <f t="shared" si="5"/>
        <v/>
      </c>
      <c r="R37" s="141" t="str">
        <f t="shared" si="6"/>
        <v/>
      </c>
      <c r="S37" s="227">
        <f t="shared" si="11"/>
        <v>0</v>
      </c>
      <c r="T37" s="142" t="str">
        <f xml:space="preserve">
IF(AND(AN37="◎",OR(テーブル!$B$3="交付申請",テーブル!$B$3="交付申請（２次以降）",テーブル!$B$3="変更申請")),"－",
IF(AND(AN37&lt;&gt;"◎",OR(テーブル!$B$3="交付申請",テーブル!$B$3="交付申請（２次以降）",テーブル!$B$3="変更申請")),"",
IF(AND(OR(テーブル!$B$3="実績報告",テーブル!$B$3="交付申請兼実績報告"),AN37="◎"),COUNTIF($AN$14:AN37,"◎"),"")))</f>
        <v/>
      </c>
      <c r="U37" s="142" t="str">
        <f t="shared" si="7"/>
        <v/>
      </c>
      <c r="W37" s="2087" t="str">
        <f t="shared" si="8"/>
        <v/>
      </c>
      <c r="AL37" s="444" t="s">
        <v>68</v>
      </c>
      <c r="AM37" s="450">
        <v>24</v>
      </c>
      <c r="AN37" s="572" t="str">
        <f t="shared" si="9"/>
        <v>○</v>
      </c>
      <c r="AO37" s="451" t="str">
        <f t="shared" si="10"/>
        <v>申請しない場合は入力不要です。</v>
      </c>
      <c r="AQ37" s="451">
        <f t="shared" si="2"/>
        <v>0</v>
      </c>
      <c r="AR37" s="451"/>
    </row>
    <row r="38" spans="1:44" ht="20.100000000000001" customHeight="1" x14ac:dyDescent="0.4">
      <c r="A38" s="226">
        <v>25</v>
      </c>
      <c r="B38" s="628" t="str">
        <f t="shared" si="3"/>
        <v/>
      </c>
      <c r="C38" s="645" t="str">
        <f t="shared" si="4"/>
        <v/>
      </c>
      <c r="D38" s="578"/>
      <c r="E38" s="556"/>
      <c r="F38" s="1618"/>
      <c r="G38" s="1619"/>
      <c r="H38" s="1620"/>
      <c r="I38" s="530"/>
      <c r="J38" s="530"/>
      <c r="K38" s="225"/>
      <c r="L38" s="530"/>
      <c r="M38" s="530"/>
      <c r="N38" s="530"/>
      <c r="O38" s="140">
        <f t="shared" si="0"/>
        <v>0</v>
      </c>
      <c r="P38" s="141">
        <f t="shared" si="1"/>
        <v>0</v>
      </c>
      <c r="Q38" s="141" t="str">
        <f t="shared" si="5"/>
        <v/>
      </c>
      <c r="R38" s="141" t="str">
        <f t="shared" si="6"/>
        <v/>
      </c>
      <c r="S38" s="227">
        <f t="shared" si="11"/>
        <v>0</v>
      </c>
      <c r="T38" s="142" t="str">
        <f xml:space="preserve">
IF(AND(AN38="◎",OR(テーブル!$B$3="交付申請",テーブル!$B$3="交付申請（２次以降）",テーブル!$B$3="変更申請")),"－",
IF(AND(AN38&lt;&gt;"◎",OR(テーブル!$B$3="交付申請",テーブル!$B$3="交付申請（２次以降）",テーブル!$B$3="変更申請")),"",
IF(AND(OR(テーブル!$B$3="実績報告",テーブル!$B$3="交付申請兼実績報告"),AN38="◎"),COUNTIF($AN$14:AN38,"◎"),"")))</f>
        <v/>
      </c>
      <c r="U38" s="142" t="str">
        <f t="shared" si="7"/>
        <v/>
      </c>
      <c r="W38" s="2087" t="str">
        <f t="shared" si="8"/>
        <v/>
      </c>
      <c r="AL38" s="444" t="s">
        <v>68</v>
      </c>
      <c r="AM38" s="450">
        <v>25</v>
      </c>
      <c r="AN38" s="572" t="str">
        <f t="shared" si="9"/>
        <v>○</v>
      </c>
      <c r="AO38" s="451" t="str">
        <f t="shared" si="10"/>
        <v>申請しない場合は入力不要です。</v>
      </c>
      <c r="AQ38" s="451">
        <f t="shared" si="2"/>
        <v>0</v>
      </c>
      <c r="AR38" s="451"/>
    </row>
    <row r="39" spans="1:44" ht="20.100000000000001" customHeight="1" x14ac:dyDescent="0.4">
      <c r="A39" s="226">
        <v>26</v>
      </c>
      <c r="B39" s="628" t="str">
        <f t="shared" si="3"/>
        <v/>
      </c>
      <c r="C39" s="645" t="str">
        <f t="shared" si="4"/>
        <v/>
      </c>
      <c r="D39" s="578"/>
      <c r="E39" s="556"/>
      <c r="F39" s="1618"/>
      <c r="G39" s="1619"/>
      <c r="H39" s="1620"/>
      <c r="I39" s="530"/>
      <c r="J39" s="530"/>
      <c r="K39" s="225"/>
      <c r="L39" s="530"/>
      <c r="M39" s="530"/>
      <c r="N39" s="530"/>
      <c r="O39" s="140">
        <f t="shared" si="0"/>
        <v>0</v>
      </c>
      <c r="P39" s="141">
        <f t="shared" si="1"/>
        <v>0</v>
      </c>
      <c r="Q39" s="141" t="str">
        <f t="shared" si="5"/>
        <v/>
      </c>
      <c r="R39" s="141" t="str">
        <f t="shared" si="6"/>
        <v/>
      </c>
      <c r="S39" s="227">
        <f t="shared" si="11"/>
        <v>0</v>
      </c>
      <c r="T39" s="142" t="str">
        <f xml:space="preserve">
IF(AND(AN39="◎",OR(テーブル!$B$3="交付申請",テーブル!$B$3="交付申請（２次以降）",テーブル!$B$3="変更申請")),"－",
IF(AND(AN39&lt;&gt;"◎",OR(テーブル!$B$3="交付申請",テーブル!$B$3="交付申請（２次以降）",テーブル!$B$3="変更申請")),"",
IF(AND(OR(テーブル!$B$3="実績報告",テーブル!$B$3="交付申請兼実績報告"),AN39="◎"),COUNTIF($AN$14:AN39,"◎"),"")))</f>
        <v/>
      </c>
      <c r="U39" s="142" t="str">
        <f t="shared" si="7"/>
        <v/>
      </c>
      <c r="W39" s="2087" t="str">
        <f t="shared" si="8"/>
        <v/>
      </c>
      <c r="AL39" s="444" t="s">
        <v>68</v>
      </c>
      <c r="AM39" s="450">
        <v>26</v>
      </c>
      <c r="AN39" s="572" t="str">
        <f t="shared" si="9"/>
        <v>○</v>
      </c>
      <c r="AO39" s="451" t="str">
        <f t="shared" si="10"/>
        <v>申請しない場合は入力不要です。</v>
      </c>
      <c r="AQ39" s="451">
        <f t="shared" si="2"/>
        <v>0</v>
      </c>
      <c r="AR39" s="451"/>
    </row>
    <row r="40" spans="1:44" ht="20.100000000000001" customHeight="1" x14ac:dyDescent="0.4">
      <c r="A40" s="226">
        <v>27</v>
      </c>
      <c r="B40" s="628" t="str">
        <f t="shared" si="3"/>
        <v/>
      </c>
      <c r="C40" s="645" t="str">
        <f t="shared" si="4"/>
        <v/>
      </c>
      <c r="D40" s="578"/>
      <c r="E40" s="556"/>
      <c r="F40" s="1618"/>
      <c r="G40" s="1619"/>
      <c r="H40" s="1620"/>
      <c r="I40" s="530"/>
      <c r="J40" s="530"/>
      <c r="K40" s="225"/>
      <c r="L40" s="530"/>
      <c r="M40" s="530"/>
      <c r="N40" s="530"/>
      <c r="O40" s="140">
        <f t="shared" si="0"/>
        <v>0</v>
      </c>
      <c r="P40" s="141">
        <f t="shared" si="1"/>
        <v>0</v>
      </c>
      <c r="Q40" s="141" t="str">
        <f t="shared" si="5"/>
        <v/>
      </c>
      <c r="R40" s="141" t="str">
        <f t="shared" si="6"/>
        <v/>
      </c>
      <c r="S40" s="227">
        <f t="shared" si="11"/>
        <v>0</v>
      </c>
      <c r="T40" s="142" t="str">
        <f xml:space="preserve">
IF(AND(AN40="◎",OR(テーブル!$B$3="交付申請",テーブル!$B$3="交付申請（２次以降）",テーブル!$B$3="変更申請")),"－",
IF(AND(AN40&lt;&gt;"◎",OR(テーブル!$B$3="交付申請",テーブル!$B$3="交付申請（２次以降）",テーブル!$B$3="変更申請")),"",
IF(AND(OR(テーブル!$B$3="実績報告",テーブル!$B$3="交付申請兼実績報告"),AN40="◎"),COUNTIF($AN$14:AN40,"◎"),"")))</f>
        <v/>
      </c>
      <c r="U40" s="142" t="str">
        <f t="shared" si="7"/>
        <v/>
      </c>
      <c r="W40" s="2087" t="str">
        <f t="shared" si="8"/>
        <v/>
      </c>
      <c r="AL40" s="444" t="s">
        <v>68</v>
      </c>
      <c r="AM40" s="450">
        <v>27</v>
      </c>
      <c r="AN40" s="572" t="str">
        <f t="shared" si="9"/>
        <v>○</v>
      </c>
      <c r="AO40" s="451" t="str">
        <f t="shared" si="10"/>
        <v>申請しない場合は入力不要です。</v>
      </c>
      <c r="AQ40" s="451">
        <f t="shared" si="2"/>
        <v>0</v>
      </c>
      <c r="AR40" s="451"/>
    </row>
    <row r="41" spans="1:44" ht="20.100000000000001" customHeight="1" x14ac:dyDescent="0.4">
      <c r="A41" s="226">
        <v>28</v>
      </c>
      <c r="B41" s="628" t="str">
        <f t="shared" si="3"/>
        <v/>
      </c>
      <c r="C41" s="645" t="str">
        <f t="shared" si="4"/>
        <v/>
      </c>
      <c r="D41" s="578"/>
      <c r="E41" s="556"/>
      <c r="F41" s="1618"/>
      <c r="G41" s="1619"/>
      <c r="H41" s="1620"/>
      <c r="I41" s="530"/>
      <c r="J41" s="530"/>
      <c r="K41" s="225"/>
      <c r="L41" s="530"/>
      <c r="M41" s="530"/>
      <c r="N41" s="530"/>
      <c r="O41" s="140">
        <f t="shared" si="0"/>
        <v>0</v>
      </c>
      <c r="P41" s="141">
        <f t="shared" si="1"/>
        <v>0</v>
      </c>
      <c r="Q41" s="141" t="str">
        <f t="shared" si="5"/>
        <v/>
      </c>
      <c r="R41" s="141" t="str">
        <f t="shared" si="6"/>
        <v/>
      </c>
      <c r="S41" s="227">
        <f t="shared" si="11"/>
        <v>0</v>
      </c>
      <c r="T41" s="142" t="str">
        <f xml:space="preserve">
IF(AND(AN41="◎",OR(テーブル!$B$3="交付申請",テーブル!$B$3="交付申請（２次以降）",テーブル!$B$3="変更申請")),"－",
IF(AND(AN41&lt;&gt;"◎",OR(テーブル!$B$3="交付申請",テーブル!$B$3="交付申請（２次以降）",テーブル!$B$3="変更申請")),"",
IF(AND(OR(テーブル!$B$3="実績報告",テーブル!$B$3="交付申請兼実績報告"),AN41="◎"),COUNTIF($AN$14:AN41,"◎"),"")))</f>
        <v/>
      </c>
      <c r="U41" s="142" t="str">
        <f t="shared" si="7"/>
        <v/>
      </c>
      <c r="W41" s="2087" t="str">
        <f t="shared" si="8"/>
        <v/>
      </c>
      <c r="AL41" s="444" t="s">
        <v>68</v>
      </c>
      <c r="AM41" s="450">
        <v>28</v>
      </c>
      <c r="AN41" s="572" t="str">
        <f t="shared" si="9"/>
        <v>○</v>
      </c>
      <c r="AO41" s="451" t="str">
        <f t="shared" si="10"/>
        <v>申請しない場合は入力不要です。</v>
      </c>
      <c r="AQ41" s="451">
        <f t="shared" si="2"/>
        <v>0</v>
      </c>
      <c r="AR41" s="451"/>
    </row>
    <row r="42" spans="1:44" ht="20.100000000000001" customHeight="1" x14ac:dyDescent="0.4">
      <c r="A42" s="226">
        <v>29</v>
      </c>
      <c r="B42" s="628" t="str">
        <f t="shared" si="3"/>
        <v/>
      </c>
      <c r="C42" s="645" t="str">
        <f t="shared" si="4"/>
        <v/>
      </c>
      <c r="D42" s="578"/>
      <c r="E42" s="556"/>
      <c r="F42" s="1618"/>
      <c r="G42" s="1619"/>
      <c r="H42" s="1620"/>
      <c r="I42" s="530"/>
      <c r="J42" s="530"/>
      <c r="K42" s="225"/>
      <c r="L42" s="530"/>
      <c r="M42" s="530"/>
      <c r="N42" s="530"/>
      <c r="O42" s="140">
        <f t="shared" si="0"/>
        <v>0</v>
      </c>
      <c r="P42" s="141">
        <f t="shared" si="1"/>
        <v>0</v>
      </c>
      <c r="Q42" s="141" t="str">
        <f t="shared" si="5"/>
        <v/>
      </c>
      <c r="R42" s="141" t="str">
        <f t="shared" si="6"/>
        <v/>
      </c>
      <c r="S42" s="227">
        <f t="shared" si="11"/>
        <v>0</v>
      </c>
      <c r="T42" s="142" t="str">
        <f xml:space="preserve">
IF(AND(AN42="◎",OR(テーブル!$B$3="交付申請",テーブル!$B$3="交付申請（２次以降）",テーブル!$B$3="変更申請")),"－",
IF(AND(AN42&lt;&gt;"◎",OR(テーブル!$B$3="交付申請",テーブル!$B$3="交付申請（２次以降）",テーブル!$B$3="変更申請")),"",
IF(AND(OR(テーブル!$B$3="実績報告",テーブル!$B$3="交付申請兼実績報告"),AN42="◎"),COUNTIF($AN$14:AN42,"◎"),"")))</f>
        <v/>
      </c>
      <c r="U42" s="142" t="str">
        <f t="shared" si="7"/>
        <v/>
      </c>
      <c r="W42" s="2087" t="str">
        <f t="shared" si="8"/>
        <v/>
      </c>
      <c r="AL42" s="444" t="s">
        <v>68</v>
      </c>
      <c r="AM42" s="450">
        <v>29</v>
      </c>
      <c r="AN42" s="572" t="str">
        <f t="shared" si="9"/>
        <v>○</v>
      </c>
      <c r="AO42" s="451" t="str">
        <f t="shared" si="10"/>
        <v>申請しない場合は入力不要です。</v>
      </c>
      <c r="AQ42" s="451">
        <f t="shared" si="2"/>
        <v>0</v>
      </c>
      <c r="AR42" s="451"/>
    </row>
    <row r="43" spans="1:44" ht="20.100000000000001" customHeight="1" x14ac:dyDescent="0.4">
      <c r="A43" s="226">
        <v>30</v>
      </c>
      <c r="B43" s="628" t="str">
        <f t="shared" si="3"/>
        <v/>
      </c>
      <c r="C43" s="645" t="str">
        <f t="shared" si="4"/>
        <v/>
      </c>
      <c r="D43" s="578"/>
      <c r="E43" s="556"/>
      <c r="F43" s="1618"/>
      <c r="G43" s="1619"/>
      <c r="H43" s="1620"/>
      <c r="I43" s="530"/>
      <c r="J43" s="530"/>
      <c r="K43" s="225"/>
      <c r="L43" s="530"/>
      <c r="M43" s="530"/>
      <c r="N43" s="530"/>
      <c r="O43" s="140">
        <f t="shared" si="0"/>
        <v>0</v>
      </c>
      <c r="P43" s="141">
        <f t="shared" si="1"/>
        <v>0</v>
      </c>
      <c r="Q43" s="141" t="str">
        <f t="shared" si="5"/>
        <v/>
      </c>
      <c r="R43" s="141" t="str">
        <f t="shared" si="6"/>
        <v/>
      </c>
      <c r="S43" s="227">
        <f t="shared" si="11"/>
        <v>0</v>
      </c>
      <c r="T43" s="142" t="str">
        <f xml:space="preserve">
IF(AND(AN43="◎",OR(テーブル!$B$3="交付申請",テーブル!$B$3="交付申請（２次以降）",テーブル!$B$3="変更申請")),"－",
IF(AND(AN43&lt;&gt;"◎",OR(テーブル!$B$3="交付申請",テーブル!$B$3="交付申請（２次以降）",テーブル!$B$3="変更申請")),"",
IF(AND(OR(テーブル!$B$3="実績報告",テーブル!$B$3="交付申請兼実績報告"),AN43="◎"),COUNTIF($AN$14:AN43,"◎"),"")))</f>
        <v/>
      </c>
      <c r="U43" s="142" t="str">
        <f t="shared" si="7"/>
        <v/>
      </c>
      <c r="W43" s="2087" t="str">
        <f t="shared" si="8"/>
        <v/>
      </c>
      <c r="AL43" s="444" t="s">
        <v>68</v>
      </c>
      <c r="AM43" s="450">
        <v>30</v>
      </c>
      <c r="AN43" s="572" t="str">
        <f t="shared" si="9"/>
        <v>○</v>
      </c>
      <c r="AO43" s="451" t="str">
        <f t="shared" si="10"/>
        <v>申請しない場合は入力不要です。</v>
      </c>
      <c r="AQ43" s="451">
        <f t="shared" si="2"/>
        <v>0</v>
      </c>
      <c r="AR43" s="451"/>
    </row>
    <row r="44" spans="1:44" ht="20.100000000000001" customHeight="1" x14ac:dyDescent="0.4">
      <c r="A44" s="226">
        <v>31</v>
      </c>
      <c r="B44" s="628" t="str">
        <f t="shared" si="3"/>
        <v/>
      </c>
      <c r="C44" s="645" t="str">
        <f t="shared" si="4"/>
        <v/>
      </c>
      <c r="D44" s="578"/>
      <c r="E44" s="556"/>
      <c r="F44" s="1618"/>
      <c r="G44" s="1619"/>
      <c r="H44" s="1620"/>
      <c r="I44" s="530"/>
      <c r="J44" s="530"/>
      <c r="K44" s="225"/>
      <c r="L44" s="530"/>
      <c r="M44" s="530"/>
      <c r="N44" s="530"/>
      <c r="O44" s="140">
        <f t="shared" si="0"/>
        <v>0</v>
      </c>
      <c r="P44" s="141">
        <f t="shared" si="1"/>
        <v>0</v>
      </c>
      <c r="Q44" s="141" t="str">
        <f t="shared" si="5"/>
        <v/>
      </c>
      <c r="R44" s="141" t="str">
        <f t="shared" si="6"/>
        <v/>
      </c>
      <c r="S44" s="227">
        <f t="shared" si="11"/>
        <v>0</v>
      </c>
      <c r="T44" s="142" t="str">
        <f xml:space="preserve">
IF(AND(AN44="◎",OR(テーブル!$B$3="交付申請",テーブル!$B$3="交付申請（２次以降）",テーブル!$B$3="変更申請")),"－",
IF(AND(AN44&lt;&gt;"◎",OR(テーブル!$B$3="交付申請",テーブル!$B$3="交付申請（２次以降）",テーブル!$B$3="変更申請")),"",
IF(AND(OR(テーブル!$B$3="実績報告",テーブル!$B$3="交付申請兼実績報告"),AN44="◎"),COUNTIF($AN$14:AN44,"◎"),"")))</f>
        <v/>
      </c>
      <c r="U44" s="142" t="str">
        <f t="shared" si="7"/>
        <v/>
      </c>
      <c r="W44" s="2087" t="str">
        <f t="shared" si="8"/>
        <v/>
      </c>
      <c r="AL44" s="444" t="s">
        <v>68</v>
      </c>
      <c r="AM44" s="450">
        <v>31</v>
      </c>
      <c r="AN44" s="572" t="str">
        <f t="shared" si="9"/>
        <v>○</v>
      </c>
      <c r="AO44" s="451" t="str">
        <f t="shared" si="10"/>
        <v>申請しない場合は入力不要です。</v>
      </c>
      <c r="AQ44" s="451">
        <f t="shared" si="2"/>
        <v>0</v>
      </c>
      <c r="AR44" s="451"/>
    </row>
    <row r="45" spans="1:44" ht="20.100000000000001" customHeight="1" x14ac:dyDescent="0.4">
      <c r="A45" s="226">
        <v>32</v>
      </c>
      <c r="B45" s="628" t="str">
        <f t="shared" si="3"/>
        <v/>
      </c>
      <c r="C45" s="645" t="str">
        <f t="shared" si="4"/>
        <v/>
      </c>
      <c r="D45" s="578"/>
      <c r="E45" s="556"/>
      <c r="F45" s="1618"/>
      <c r="G45" s="1619"/>
      <c r="H45" s="1620"/>
      <c r="I45" s="530"/>
      <c r="J45" s="530"/>
      <c r="K45" s="225"/>
      <c r="L45" s="530"/>
      <c r="M45" s="530"/>
      <c r="N45" s="530"/>
      <c r="O45" s="140">
        <f t="shared" si="0"/>
        <v>0</v>
      </c>
      <c r="P45" s="141">
        <f t="shared" si="1"/>
        <v>0</v>
      </c>
      <c r="Q45" s="141" t="str">
        <f t="shared" si="5"/>
        <v/>
      </c>
      <c r="R45" s="141" t="str">
        <f t="shared" si="6"/>
        <v/>
      </c>
      <c r="S45" s="227">
        <f t="shared" si="11"/>
        <v>0</v>
      </c>
      <c r="T45" s="142" t="str">
        <f xml:space="preserve">
IF(AND(AN45="◎",OR(テーブル!$B$3="交付申請",テーブル!$B$3="交付申請（２次以降）",テーブル!$B$3="変更申請")),"－",
IF(AND(AN45&lt;&gt;"◎",OR(テーブル!$B$3="交付申請",テーブル!$B$3="交付申請（２次以降）",テーブル!$B$3="変更申請")),"",
IF(AND(OR(テーブル!$B$3="実績報告",テーブル!$B$3="交付申請兼実績報告"),AN45="◎"),COUNTIF($AN$14:AN45,"◎"),"")))</f>
        <v/>
      </c>
      <c r="U45" s="142" t="str">
        <f t="shared" si="7"/>
        <v/>
      </c>
      <c r="W45" s="2087" t="str">
        <f t="shared" si="8"/>
        <v/>
      </c>
      <c r="AL45" s="444" t="s">
        <v>68</v>
      </c>
      <c r="AM45" s="450">
        <v>32</v>
      </c>
      <c r="AN45" s="572" t="str">
        <f t="shared" si="9"/>
        <v>○</v>
      </c>
      <c r="AO45" s="451" t="str">
        <f t="shared" si="10"/>
        <v>申請しない場合は入力不要です。</v>
      </c>
      <c r="AQ45" s="451">
        <f t="shared" si="2"/>
        <v>0</v>
      </c>
      <c r="AR45" s="451"/>
    </row>
    <row r="46" spans="1:44" ht="20.100000000000001" customHeight="1" x14ac:dyDescent="0.4">
      <c r="A46" s="226">
        <v>33</v>
      </c>
      <c r="B46" s="628" t="str">
        <f t="shared" si="3"/>
        <v/>
      </c>
      <c r="C46" s="645" t="str">
        <f t="shared" si="4"/>
        <v/>
      </c>
      <c r="D46" s="578"/>
      <c r="E46" s="556"/>
      <c r="F46" s="1618"/>
      <c r="G46" s="1619"/>
      <c r="H46" s="1620"/>
      <c r="I46" s="530"/>
      <c r="J46" s="530"/>
      <c r="K46" s="225"/>
      <c r="L46" s="530"/>
      <c r="M46" s="530"/>
      <c r="N46" s="530"/>
      <c r="O46" s="140">
        <f t="shared" ref="O46:O77" si="12">ROUNDDOWN(K46*1.1,0)</f>
        <v>0</v>
      </c>
      <c r="P46" s="141">
        <f t="shared" ref="P46:P77" si="13">ROUNDDOWN(J46*O46,0)</f>
        <v>0</v>
      </c>
      <c r="Q46" s="141" t="str">
        <f t="shared" si="5"/>
        <v/>
      </c>
      <c r="R46" s="141" t="str">
        <f t="shared" si="6"/>
        <v/>
      </c>
      <c r="S46" s="227">
        <f t="shared" si="11"/>
        <v>0</v>
      </c>
      <c r="T46" s="142" t="str">
        <f xml:space="preserve">
IF(AND(AN46="◎",OR(テーブル!$B$3="交付申請",テーブル!$B$3="交付申請（２次以降）",テーブル!$B$3="変更申請")),"－",
IF(AND(AN46&lt;&gt;"◎",OR(テーブル!$B$3="交付申請",テーブル!$B$3="交付申請（２次以降）",テーブル!$B$3="変更申請")),"",
IF(AND(OR(テーブル!$B$3="実績報告",テーブル!$B$3="交付申請兼実績報告"),AN46="◎"),COUNTIF($AN$14:AN46,"◎"),"")))</f>
        <v/>
      </c>
      <c r="U46" s="142" t="str">
        <f t="shared" si="7"/>
        <v/>
      </c>
      <c r="W46" s="2087" t="str">
        <f t="shared" si="8"/>
        <v/>
      </c>
      <c r="AK46" s="444" t="str">
        <f>IF(E8=0,"×","○")</f>
        <v>×</v>
      </c>
      <c r="AL46" s="444" t="s">
        <v>68</v>
      </c>
      <c r="AM46" s="450">
        <v>33</v>
      </c>
      <c r="AN46" s="572" t="str">
        <f t="shared" si="9"/>
        <v>○</v>
      </c>
      <c r="AO46" s="451" t="str">
        <f t="shared" si="10"/>
        <v>申請しない場合は入力不要です。</v>
      </c>
      <c r="AQ46" s="451">
        <f t="shared" ref="AQ46:AQ77" si="14">I46*J46</f>
        <v>0</v>
      </c>
      <c r="AR46" s="451"/>
    </row>
    <row r="47" spans="1:44" ht="20.100000000000001" customHeight="1" x14ac:dyDescent="0.4">
      <c r="A47" s="226">
        <v>34</v>
      </c>
      <c r="B47" s="628" t="str">
        <f t="shared" si="3"/>
        <v/>
      </c>
      <c r="C47" s="645" t="str">
        <f t="shared" si="4"/>
        <v/>
      </c>
      <c r="D47" s="578"/>
      <c r="E47" s="556"/>
      <c r="F47" s="1618"/>
      <c r="G47" s="1619"/>
      <c r="H47" s="1620"/>
      <c r="I47" s="530"/>
      <c r="J47" s="530"/>
      <c r="K47" s="225"/>
      <c r="L47" s="530"/>
      <c r="M47" s="530"/>
      <c r="N47" s="530"/>
      <c r="O47" s="140">
        <f t="shared" si="12"/>
        <v>0</v>
      </c>
      <c r="P47" s="141">
        <f t="shared" si="13"/>
        <v>0</v>
      </c>
      <c r="Q47" s="141" t="str">
        <f t="shared" si="5"/>
        <v/>
      </c>
      <c r="R47" s="141" t="str">
        <f t="shared" si="6"/>
        <v/>
      </c>
      <c r="S47" s="227">
        <f t="shared" si="11"/>
        <v>0</v>
      </c>
      <c r="T47" s="142" t="str">
        <f xml:space="preserve">
IF(AND(AN47="◎",OR(テーブル!$B$3="交付申請",テーブル!$B$3="交付申請（２次以降）",テーブル!$B$3="変更申請")),"－",
IF(AND(AN47&lt;&gt;"◎",OR(テーブル!$B$3="交付申請",テーブル!$B$3="交付申請（２次以降）",テーブル!$B$3="変更申請")),"",
IF(AND(OR(テーブル!$B$3="実績報告",テーブル!$B$3="交付申請兼実績報告"),AN47="◎"),COUNTIF($AN$14:AN47,"◎"),"")))</f>
        <v/>
      </c>
      <c r="U47" s="142" t="str">
        <f t="shared" si="7"/>
        <v/>
      </c>
      <c r="W47" s="2087" t="str">
        <f t="shared" si="8"/>
        <v/>
      </c>
      <c r="AL47" s="444" t="s">
        <v>68</v>
      </c>
      <c r="AM47" s="450">
        <v>34</v>
      </c>
      <c r="AN47" s="572" t="str">
        <f t="shared" si="9"/>
        <v>○</v>
      </c>
      <c r="AO47" s="451" t="str">
        <f t="shared" si="10"/>
        <v>申請しない場合は入力不要です。</v>
      </c>
      <c r="AQ47" s="451">
        <f t="shared" si="14"/>
        <v>0</v>
      </c>
      <c r="AR47" s="451"/>
    </row>
    <row r="48" spans="1:44" ht="20.100000000000001" customHeight="1" x14ac:dyDescent="0.4">
      <c r="A48" s="226">
        <v>35</v>
      </c>
      <c r="B48" s="628" t="str">
        <f t="shared" si="3"/>
        <v/>
      </c>
      <c r="C48" s="645" t="str">
        <f t="shared" si="4"/>
        <v/>
      </c>
      <c r="D48" s="578"/>
      <c r="E48" s="556"/>
      <c r="F48" s="1618"/>
      <c r="G48" s="1619"/>
      <c r="H48" s="1620"/>
      <c r="I48" s="530"/>
      <c r="J48" s="530"/>
      <c r="K48" s="225"/>
      <c r="L48" s="530"/>
      <c r="M48" s="530"/>
      <c r="N48" s="530"/>
      <c r="O48" s="140">
        <f t="shared" si="12"/>
        <v>0</v>
      </c>
      <c r="P48" s="141">
        <f t="shared" si="13"/>
        <v>0</v>
      </c>
      <c r="Q48" s="141" t="str">
        <f t="shared" si="5"/>
        <v/>
      </c>
      <c r="R48" s="141" t="str">
        <f t="shared" si="6"/>
        <v/>
      </c>
      <c r="S48" s="227">
        <f t="shared" si="11"/>
        <v>0</v>
      </c>
      <c r="T48" s="142" t="str">
        <f xml:space="preserve">
IF(AND(AN48="◎",OR(テーブル!$B$3="交付申請",テーブル!$B$3="交付申請（２次以降）",テーブル!$B$3="変更申請")),"－",
IF(AND(AN48&lt;&gt;"◎",OR(テーブル!$B$3="交付申請",テーブル!$B$3="交付申請（２次以降）",テーブル!$B$3="変更申請")),"",
IF(AND(OR(テーブル!$B$3="実績報告",テーブル!$B$3="交付申請兼実績報告"),AN48="◎"),COUNTIF($AN$14:AN48,"◎"),"")))</f>
        <v/>
      </c>
      <c r="U48" s="142" t="str">
        <f t="shared" si="7"/>
        <v/>
      </c>
      <c r="W48" s="2087" t="str">
        <f t="shared" si="8"/>
        <v/>
      </c>
      <c r="AL48" s="444" t="s">
        <v>68</v>
      </c>
      <c r="AM48" s="450">
        <v>35</v>
      </c>
      <c r="AN48" s="572" t="str">
        <f t="shared" si="9"/>
        <v>○</v>
      </c>
      <c r="AO48" s="451" t="str">
        <f t="shared" si="10"/>
        <v>申請しない場合は入力不要です。</v>
      </c>
      <c r="AQ48" s="451">
        <f t="shared" si="14"/>
        <v>0</v>
      </c>
      <c r="AR48" s="451"/>
    </row>
    <row r="49" spans="1:44" ht="20.100000000000001" customHeight="1" x14ac:dyDescent="0.4">
      <c r="A49" s="226">
        <v>36</v>
      </c>
      <c r="B49" s="628" t="str">
        <f t="shared" si="3"/>
        <v/>
      </c>
      <c r="C49" s="645" t="str">
        <f t="shared" si="4"/>
        <v/>
      </c>
      <c r="D49" s="578"/>
      <c r="E49" s="556"/>
      <c r="F49" s="1618"/>
      <c r="G49" s="1619"/>
      <c r="H49" s="1620"/>
      <c r="I49" s="530"/>
      <c r="J49" s="530"/>
      <c r="K49" s="225"/>
      <c r="L49" s="530"/>
      <c r="M49" s="530"/>
      <c r="N49" s="530"/>
      <c r="O49" s="140">
        <f t="shared" si="12"/>
        <v>0</v>
      </c>
      <c r="P49" s="141">
        <f t="shared" si="13"/>
        <v>0</v>
      </c>
      <c r="Q49" s="141" t="str">
        <f t="shared" si="5"/>
        <v/>
      </c>
      <c r="R49" s="141" t="str">
        <f t="shared" si="6"/>
        <v/>
      </c>
      <c r="S49" s="227">
        <f t="shared" si="11"/>
        <v>0</v>
      </c>
      <c r="T49" s="142" t="str">
        <f xml:space="preserve">
IF(AND(AN49="◎",OR(テーブル!$B$3="交付申請",テーブル!$B$3="交付申請（２次以降）",テーブル!$B$3="変更申請")),"－",
IF(AND(AN49&lt;&gt;"◎",OR(テーブル!$B$3="交付申請",テーブル!$B$3="交付申請（２次以降）",テーブル!$B$3="変更申請")),"",
IF(AND(OR(テーブル!$B$3="実績報告",テーブル!$B$3="交付申請兼実績報告"),AN49="◎"),COUNTIF($AN$14:AN49,"◎"),"")))</f>
        <v/>
      </c>
      <c r="U49" s="142" t="str">
        <f t="shared" si="7"/>
        <v/>
      </c>
      <c r="W49" s="2087" t="str">
        <f t="shared" si="8"/>
        <v/>
      </c>
      <c r="AL49" s="444" t="s">
        <v>68</v>
      </c>
      <c r="AM49" s="450">
        <v>36</v>
      </c>
      <c r="AN49" s="572" t="str">
        <f t="shared" si="9"/>
        <v>○</v>
      </c>
      <c r="AO49" s="451" t="str">
        <f t="shared" si="10"/>
        <v>申請しない場合は入力不要です。</v>
      </c>
      <c r="AQ49" s="451">
        <f t="shared" si="14"/>
        <v>0</v>
      </c>
      <c r="AR49" s="451"/>
    </row>
    <row r="50" spans="1:44" ht="20.100000000000001" customHeight="1" x14ac:dyDescent="0.4">
      <c r="A50" s="226">
        <v>37</v>
      </c>
      <c r="B50" s="628" t="str">
        <f t="shared" si="3"/>
        <v/>
      </c>
      <c r="C50" s="645" t="str">
        <f t="shared" si="4"/>
        <v/>
      </c>
      <c r="D50" s="578"/>
      <c r="E50" s="556"/>
      <c r="F50" s="1618"/>
      <c r="G50" s="1619"/>
      <c r="H50" s="1620"/>
      <c r="I50" s="530"/>
      <c r="J50" s="530"/>
      <c r="K50" s="225"/>
      <c r="L50" s="530"/>
      <c r="M50" s="530"/>
      <c r="N50" s="530"/>
      <c r="O50" s="140">
        <f t="shared" si="12"/>
        <v>0</v>
      </c>
      <c r="P50" s="141">
        <f t="shared" si="13"/>
        <v>0</v>
      </c>
      <c r="Q50" s="141" t="str">
        <f t="shared" si="5"/>
        <v/>
      </c>
      <c r="R50" s="141" t="str">
        <f t="shared" si="6"/>
        <v/>
      </c>
      <c r="S50" s="227">
        <f t="shared" si="11"/>
        <v>0</v>
      </c>
      <c r="T50" s="142" t="str">
        <f xml:space="preserve">
IF(AND(AN50="◎",OR(テーブル!$B$3="交付申請",テーブル!$B$3="交付申請（２次以降）",テーブル!$B$3="変更申請")),"－",
IF(AND(AN50&lt;&gt;"◎",OR(テーブル!$B$3="交付申請",テーブル!$B$3="交付申請（２次以降）",テーブル!$B$3="変更申請")),"",
IF(AND(OR(テーブル!$B$3="実績報告",テーブル!$B$3="交付申請兼実績報告"),AN50="◎"),COUNTIF($AN$14:AN50,"◎"),"")))</f>
        <v/>
      </c>
      <c r="U50" s="142" t="str">
        <f t="shared" si="7"/>
        <v/>
      </c>
      <c r="W50" s="2087" t="str">
        <f t="shared" si="8"/>
        <v/>
      </c>
      <c r="AL50" s="444" t="s">
        <v>68</v>
      </c>
      <c r="AM50" s="450">
        <v>37</v>
      </c>
      <c r="AN50" s="572" t="str">
        <f t="shared" si="9"/>
        <v>○</v>
      </c>
      <c r="AO50" s="451" t="str">
        <f t="shared" si="10"/>
        <v>申請しない場合は入力不要です。</v>
      </c>
      <c r="AQ50" s="451">
        <f t="shared" si="14"/>
        <v>0</v>
      </c>
      <c r="AR50" s="451"/>
    </row>
    <row r="51" spans="1:44" ht="20.100000000000001" customHeight="1" x14ac:dyDescent="0.4">
      <c r="A51" s="226">
        <v>38</v>
      </c>
      <c r="B51" s="628" t="str">
        <f t="shared" si="3"/>
        <v/>
      </c>
      <c r="C51" s="645" t="str">
        <f t="shared" si="4"/>
        <v/>
      </c>
      <c r="D51" s="578"/>
      <c r="E51" s="556"/>
      <c r="F51" s="1618"/>
      <c r="G51" s="1619"/>
      <c r="H51" s="1620"/>
      <c r="I51" s="530"/>
      <c r="J51" s="530"/>
      <c r="K51" s="225"/>
      <c r="L51" s="530"/>
      <c r="M51" s="530"/>
      <c r="N51" s="530"/>
      <c r="O51" s="140">
        <f t="shared" si="12"/>
        <v>0</v>
      </c>
      <c r="P51" s="141">
        <f t="shared" si="13"/>
        <v>0</v>
      </c>
      <c r="Q51" s="141" t="str">
        <f t="shared" si="5"/>
        <v/>
      </c>
      <c r="R51" s="141" t="str">
        <f t="shared" si="6"/>
        <v/>
      </c>
      <c r="S51" s="227">
        <f t="shared" si="11"/>
        <v>0</v>
      </c>
      <c r="T51" s="142" t="str">
        <f xml:space="preserve">
IF(AND(AN51="◎",OR(テーブル!$B$3="交付申請",テーブル!$B$3="交付申請（２次以降）",テーブル!$B$3="変更申請")),"－",
IF(AND(AN51&lt;&gt;"◎",OR(テーブル!$B$3="交付申請",テーブル!$B$3="交付申請（２次以降）",テーブル!$B$3="変更申請")),"",
IF(AND(OR(テーブル!$B$3="実績報告",テーブル!$B$3="交付申請兼実績報告"),AN51="◎"),COUNTIF($AN$14:AN51,"◎"),"")))</f>
        <v/>
      </c>
      <c r="U51" s="142" t="str">
        <f t="shared" si="7"/>
        <v/>
      </c>
      <c r="W51" s="2087" t="str">
        <f t="shared" si="8"/>
        <v/>
      </c>
      <c r="AL51" s="444" t="s">
        <v>68</v>
      </c>
      <c r="AM51" s="450">
        <v>38</v>
      </c>
      <c r="AN51" s="572" t="str">
        <f t="shared" si="9"/>
        <v>○</v>
      </c>
      <c r="AO51" s="451" t="str">
        <f t="shared" si="10"/>
        <v>申請しない場合は入力不要です。</v>
      </c>
      <c r="AQ51" s="451">
        <f t="shared" si="14"/>
        <v>0</v>
      </c>
      <c r="AR51" s="451"/>
    </row>
    <row r="52" spans="1:44" ht="20.100000000000001" customHeight="1" x14ac:dyDescent="0.4">
      <c r="A52" s="226">
        <v>39</v>
      </c>
      <c r="B52" s="628" t="str">
        <f t="shared" si="3"/>
        <v/>
      </c>
      <c r="C52" s="645" t="str">
        <f t="shared" si="4"/>
        <v/>
      </c>
      <c r="D52" s="578"/>
      <c r="E52" s="556"/>
      <c r="F52" s="1618"/>
      <c r="G52" s="1619"/>
      <c r="H52" s="1620"/>
      <c r="I52" s="530"/>
      <c r="J52" s="530"/>
      <c r="K52" s="225"/>
      <c r="L52" s="530"/>
      <c r="M52" s="530"/>
      <c r="N52" s="530"/>
      <c r="O52" s="140">
        <f t="shared" si="12"/>
        <v>0</v>
      </c>
      <c r="P52" s="141">
        <f t="shared" si="13"/>
        <v>0</v>
      </c>
      <c r="Q52" s="141" t="str">
        <f t="shared" si="5"/>
        <v/>
      </c>
      <c r="R52" s="141" t="str">
        <f t="shared" si="6"/>
        <v/>
      </c>
      <c r="S52" s="227">
        <f t="shared" si="11"/>
        <v>0</v>
      </c>
      <c r="T52" s="142" t="str">
        <f xml:space="preserve">
IF(AND(AN52="◎",OR(テーブル!$B$3="交付申請",テーブル!$B$3="交付申請（２次以降）",テーブル!$B$3="変更申請")),"－",
IF(AND(AN52&lt;&gt;"◎",OR(テーブル!$B$3="交付申請",テーブル!$B$3="交付申請（２次以降）",テーブル!$B$3="変更申請")),"",
IF(AND(OR(テーブル!$B$3="実績報告",テーブル!$B$3="交付申請兼実績報告"),AN52="◎"),COUNTIF($AN$14:AN52,"◎"),"")))</f>
        <v/>
      </c>
      <c r="U52" s="142" t="str">
        <f t="shared" si="7"/>
        <v/>
      </c>
      <c r="W52" s="2087" t="str">
        <f t="shared" si="8"/>
        <v/>
      </c>
      <c r="AL52" s="444" t="s">
        <v>68</v>
      </c>
      <c r="AM52" s="450">
        <v>39</v>
      </c>
      <c r="AN52" s="572" t="str">
        <f t="shared" si="9"/>
        <v>○</v>
      </c>
      <c r="AO52" s="451" t="str">
        <f t="shared" si="10"/>
        <v>申請しない場合は入力不要です。</v>
      </c>
      <c r="AQ52" s="451">
        <f t="shared" si="14"/>
        <v>0</v>
      </c>
      <c r="AR52" s="451"/>
    </row>
    <row r="53" spans="1:44" ht="20.100000000000001" customHeight="1" x14ac:dyDescent="0.4">
      <c r="A53" s="226">
        <v>40</v>
      </c>
      <c r="B53" s="628" t="str">
        <f t="shared" si="3"/>
        <v/>
      </c>
      <c r="C53" s="645" t="str">
        <f t="shared" si="4"/>
        <v/>
      </c>
      <c r="D53" s="578"/>
      <c r="E53" s="556"/>
      <c r="F53" s="1618"/>
      <c r="G53" s="1619"/>
      <c r="H53" s="1620"/>
      <c r="I53" s="530"/>
      <c r="J53" s="530"/>
      <c r="K53" s="225"/>
      <c r="L53" s="530"/>
      <c r="M53" s="530"/>
      <c r="N53" s="530"/>
      <c r="O53" s="140">
        <f t="shared" si="12"/>
        <v>0</v>
      </c>
      <c r="P53" s="141">
        <f t="shared" si="13"/>
        <v>0</v>
      </c>
      <c r="Q53" s="141" t="str">
        <f t="shared" si="5"/>
        <v/>
      </c>
      <c r="R53" s="141" t="str">
        <f t="shared" si="6"/>
        <v/>
      </c>
      <c r="S53" s="227">
        <f t="shared" si="11"/>
        <v>0</v>
      </c>
      <c r="T53" s="142" t="str">
        <f xml:space="preserve">
IF(AND(AN53="◎",OR(テーブル!$B$3="交付申請",テーブル!$B$3="交付申請（２次以降）",テーブル!$B$3="変更申請")),"－",
IF(AND(AN53&lt;&gt;"◎",OR(テーブル!$B$3="交付申請",テーブル!$B$3="交付申請（２次以降）",テーブル!$B$3="変更申請")),"",
IF(AND(OR(テーブル!$B$3="実績報告",テーブル!$B$3="交付申請兼実績報告"),AN53="◎"),COUNTIF($AN$14:AN53,"◎"),"")))</f>
        <v/>
      </c>
      <c r="U53" s="142" t="str">
        <f t="shared" si="7"/>
        <v/>
      </c>
      <c r="W53" s="2087" t="str">
        <f t="shared" si="8"/>
        <v/>
      </c>
      <c r="AL53" s="444" t="s">
        <v>68</v>
      </c>
      <c r="AM53" s="450">
        <v>40</v>
      </c>
      <c r="AN53" s="572" t="str">
        <f t="shared" si="9"/>
        <v>○</v>
      </c>
      <c r="AO53" s="451" t="str">
        <f t="shared" si="10"/>
        <v>申請しない場合は入力不要です。</v>
      </c>
      <c r="AQ53" s="451">
        <f t="shared" si="14"/>
        <v>0</v>
      </c>
      <c r="AR53" s="451"/>
    </row>
    <row r="54" spans="1:44" ht="20.100000000000001" customHeight="1" x14ac:dyDescent="0.4">
      <c r="A54" s="226">
        <v>41</v>
      </c>
      <c r="B54" s="628" t="str">
        <f t="shared" si="3"/>
        <v/>
      </c>
      <c r="C54" s="645" t="str">
        <f t="shared" si="4"/>
        <v/>
      </c>
      <c r="D54" s="578"/>
      <c r="E54" s="556"/>
      <c r="F54" s="1618"/>
      <c r="G54" s="1619"/>
      <c r="H54" s="1620"/>
      <c r="I54" s="530"/>
      <c r="J54" s="530"/>
      <c r="K54" s="225"/>
      <c r="L54" s="530"/>
      <c r="M54" s="530"/>
      <c r="N54" s="530"/>
      <c r="O54" s="140">
        <f t="shared" si="12"/>
        <v>0</v>
      </c>
      <c r="P54" s="141">
        <f t="shared" si="13"/>
        <v>0</v>
      </c>
      <c r="Q54" s="141" t="str">
        <f t="shared" si="5"/>
        <v/>
      </c>
      <c r="R54" s="141" t="str">
        <f t="shared" si="6"/>
        <v/>
      </c>
      <c r="S54" s="227">
        <f t="shared" si="11"/>
        <v>0</v>
      </c>
      <c r="T54" s="142" t="str">
        <f xml:space="preserve">
IF(AND(AN54="◎",OR(テーブル!$B$3="交付申請",テーブル!$B$3="交付申請（２次以降）",テーブル!$B$3="変更申請")),"－",
IF(AND(AN54&lt;&gt;"◎",OR(テーブル!$B$3="交付申請",テーブル!$B$3="交付申請（２次以降）",テーブル!$B$3="変更申請")),"",
IF(AND(OR(テーブル!$B$3="実績報告",テーブル!$B$3="交付申請兼実績報告"),AN54="◎"),COUNTIF($AN$14:AN54,"◎"),"")))</f>
        <v/>
      </c>
      <c r="U54" s="142" t="str">
        <f t="shared" si="7"/>
        <v/>
      </c>
      <c r="W54" s="2087" t="str">
        <f t="shared" si="8"/>
        <v/>
      </c>
      <c r="AL54" s="444" t="s">
        <v>68</v>
      </c>
      <c r="AM54" s="450">
        <v>41</v>
      </c>
      <c r="AN54" s="572" t="str">
        <f t="shared" si="9"/>
        <v>○</v>
      </c>
      <c r="AO54" s="451" t="str">
        <f t="shared" si="10"/>
        <v>申請しない場合は入力不要です。</v>
      </c>
      <c r="AQ54" s="451">
        <f t="shared" si="14"/>
        <v>0</v>
      </c>
      <c r="AR54" s="451"/>
    </row>
    <row r="55" spans="1:44" ht="20.100000000000001" customHeight="1" x14ac:dyDescent="0.4">
      <c r="A55" s="226">
        <v>42</v>
      </c>
      <c r="B55" s="628" t="str">
        <f t="shared" si="3"/>
        <v/>
      </c>
      <c r="C55" s="645" t="str">
        <f t="shared" si="4"/>
        <v/>
      </c>
      <c r="D55" s="578"/>
      <c r="E55" s="556"/>
      <c r="F55" s="1618"/>
      <c r="G55" s="1619"/>
      <c r="H55" s="1620"/>
      <c r="I55" s="530"/>
      <c r="J55" s="530"/>
      <c r="K55" s="225"/>
      <c r="L55" s="530"/>
      <c r="M55" s="530"/>
      <c r="N55" s="530"/>
      <c r="O55" s="140">
        <f t="shared" si="12"/>
        <v>0</v>
      </c>
      <c r="P55" s="141">
        <f t="shared" si="13"/>
        <v>0</v>
      </c>
      <c r="Q55" s="141" t="str">
        <f t="shared" si="5"/>
        <v/>
      </c>
      <c r="R55" s="141" t="str">
        <f t="shared" si="6"/>
        <v/>
      </c>
      <c r="S55" s="227">
        <f t="shared" si="11"/>
        <v>0</v>
      </c>
      <c r="T55" s="142" t="str">
        <f xml:space="preserve">
IF(AND(AN55="◎",OR(テーブル!$B$3="交付申請",テーブル!$B$3="交付申請（２次以降）",テーブル!$B$3="変更申請")),"－",
IF(AND(AN55&lt;&gt;"◎",OR(テーブル!$B$3="交付申請",テーブル!$B$3="交付申請（２次以降）",テーブル!$B$3="変更申請")),"",
IF(AND(OR(テーブル!$B$3="実績報告",テーブル!$B$3="交付申請兼実績報告"),AN55="◎"),COUNTIF($AN$14:AN55,"◎"),"")))</f>
        <v/>
      </c>
      <c r="U55" s="142" t="str">
        <f t="shared" si="7"/>
        <v/>
      </c>
      <c r="W55" s="2087" t="str">
        <f t="shared" si="8"/>
        <v/>
      </c>
      <c r="AL55" s="444" t="s">
        <v>68</v>
      </c>
      <c r="AM55" s="450">
        <v>42</v>
      </c>
      <c r="AN55" s="572" t="str">
        <f t="shared" si="9"/>
        <v>○</v>
      </c>
      <c r="AO55" s="451" t="str">
        <f t="shared" si="10"/>
        <v>申請しない場合は入力不要です。</v>
      </c>
      <c r="AQ55" s="451">
        <f t="shared" si="14"/>
        <v>0</v>
      </c>
      <c r="AR55" s="451"/>
    </row>
    <row r="56" spans="1:44" ht="20.100000000000001" customHeight="1" x14ac:dyDescent="0.4">
      <c r="A56" s="226">
        <v>43</v>
      </c>
      <c r="B56" s="628" t="str">
        <f t="shared" si="3"/>
        <v/>
      </c>
      <c r="C56" s="645" t="str">
        <f t="shared" si="4"/>
        <v/>
      </c>
      <c r="D56" s="578"/>
      <c r="E56" s="556"/>
      <c r="F56" s="1618"/>
      <c r="G56" s="1619"/>
      <c r="H56" s="1620"/>
      <c r="I56" s="530"/>
      <c r="J56" s="530"/>
      <c r="K56" s="225"/>
      <c r="L56" s="530"/>
      <c r="M56" s="530"/>
      <c r="N56" s="530"/>
      <c r="O56" s="140">
        <f t="shared" si="12"/>
        <v>0</v>
      </c>
      <c r="P56" s="141">
        <f t="shared" si="13"/>
        <v>0</v>
      </c>
      <c r="Q56" s="141" t="str">
        <f t="shared" si="5"/>
        <v/>
      </c>
      <c r="R56" s="141" t="str">
        <f t="shared" si="6"/>
        <v/>
      </c>
      <c r="S56" s="227">
        <f t="shared" si="11"/>
        <v>0</v>
      </c>
      <c r="T56" s="142" t="str">
        <f xml:space="preserve">
IF(AND(AN56="◎",OR(テーブル!$B$3="交付申請",テーブル!$B$3="交付申請（２次以降）",テーブル!$B$3="変更申請")),"－",
IF(AND(AN56&lt;&gt;"◎",OR(テーブル!$B$3="交付申請",テーブル!$B$3="交付申請（２次以降）",テーブル!$B$3="変更申請")),"",
IF(AND(OR(テーブル!$B$3="実績報告",テーブル!$B$3="交付申請兼実績報告"),AN56="◎"),COUNTIF($AN$14:AN56,"◎"),"")))</f>
        <v/>
      </c>
      <c r="U56" s="142" t="str">
        <f t="shared" si="7"/>
        <v/>
      </c>
      <c r="W56" s="2087" t="str">
        <f t="shared" si="8"/>
        <v/>
      </c>
      <c r="AL56" s="444" t="s">
        <v>68</v>
      </c>
      <c r="AM56" s="450">
        <v>43</v>
      </c>
      <c r="AN56" s="572" t="str">
        <f t="shared" si="9"/>
        <v>○</v>
      </c>
      <c r="AO56" s="451" t="str">
        <f t="shared" si="10"/>
        <v>申請しない場合は入力不要です。</v>
      </c>
      <c r="AQ56" s="451">
        <f t="shared" si="14"/>
        <v>0</v>
      </c>
      <c r="AR56" s="451"/>
    </row>
    <row r="57" spans="1:44" ht="20.100000000000001" customHeight="1" x14ac:dyDescent="0.4">
      <c r="A57" s="226">
        <v>44</v>
      </c>
      <c r="B57" s="628" t="str">
        <f t="shared" si="3"/>
        <v/>
      </c>
      <c r="C57" s="645" t="str">
        <f t="shared" si="4"/>
        <v/>
      </c>
      <c r="D57" s="578"/>
      <c r="E57" s="556"/>
      <c r="F57" s="1618"/>
      <c r="G57" s="1619"/>
      <c r="H57" s="1620"/>
      <c r="I57" s="530"/>
      <c r="J57" s="530"/>
      <c r="K57" s="225"/>
      <c r="L57" s="530"/>
      <c r="M57" s="530"/>
      <c r="N57" s="530"/>
      <c r="O57" s="140">
        <f t="shared" si="12"/>
        <v>0</v>
      </c>
      <c r="P57" s="141">
        <f t="shared" si="13"/>
        <v>0</v>
      </c>
      <c r="Q57" s="141" t="str">
        <f t="shared" si="5"/>
        <v/>
      </c>
      <c r="R57" s="141" t="str">
        <f t="shared" si="6"/>
        <v/>
      </c>
      <c r="S57" s="227">
        <f t="shared" si="11"/>
        <v>0</v>
      </c>
      <c r="T57" s="142" t="str">
        <f xml:space="preserve">
IF(AND(AN57="◎",OR(テーブル!$B$3="交付申請",テーブル!$B$3="交付申請（２次以降）",テーブル!$B$3="変更申請")),"－",
IF(AND(AN57&lt;&gt;"◎",OR(テーブル!$B$3="交付申請",テーブル!$B$3="交付申請（２次以降）",テーブル!$B$3="変更申請")),"",
IF(AND(OR(テーブル!$B$3="実績報告",テーブル!$B$3="交付申請兼実績報告"),AN57="◎"),COUNTIF($AN$14:AN57,"◎"),"")))</f>
        <v/>
      </c>
      <c r="U57" s="142" t="str">
        <f t="shared" si="7"/>
        <v/>
      </c>
      <c r="W57" s="2087" t="str">
        <f t="shared" si="8"/>
        <v/>
      </c>
      <c r="AL57" s="444" t="s">
        <v>68</v>
      </c>
      <c r="AM57" s="450">
        <v>44</v>
      </c>
      <c r="AN57" s="572" t="str">
        <f t="shared" si="9"/>
        <v>○</v>
      </c>
      <c r="AO57" s="451" t="str">
        <f t="shared" si="10"/>
        <v>申請しない場合は入力不要です。</v>
      </c>
      <c r="AQ57" s="451">
        <f t="shared" si="14"/>
        <v>0</v>
      </c>
      <c r="AR57" s="451"/>
    </row>
    <row r="58" spans="1:44" ht="20.100000000000001" customHeight="1" x14ac:dyDescent="0.4">
      <c r="A58" s="226">
        <v>45</v>
      </c>
      <c r="B58" s="628" t="str">
        <f t="shared" si="3"/>
        <v/>
      </c>
      <c r="C58" s="645" t="str">
        <f t="shared" si="4"/>
        <v/>
      </c>
      <c r="D58" s="578"/>
      <c r="E58" s="556"/>
      <c r="F58" s="1618"/>
      <c r="G58" s="1619"/>
      <c r="H58" s="1620"/>
      <c r="I58" s="530"/>
      <c r="J58" s="530"/>
      <c r="K58" s="225"/>
      <c r="L58" s="530"/>
      <c r="M58" s="530"/>
      <c r="N58" s="530"/>
      <c r="O58" s="140">
        <f t="shared" si="12"/>
        <v>0</v>
      </c>
      <c r="P58" s="141">
        <f t="shared" si="13"/>
        <v>0</v>
      </c>
      <c r="Q58" s="141" t="str">
        <f t="shared" si="5"/>
        <v/>
      </c>
      <c r="R58" s="141" t="str">
        <f t="shared" si="6"/>
        <v/>
      </c>
      <c r="S58" s="227">
        <f t="shared" si="11"/>
        <v>0</v>
      </c>
      <c r="T58" s="142" t="str">
        <f xml:space="preserve">
IF(AND(AN58="◎",OR(テーブル!$B$3="交付申請",テーブル!$B$3="交付申請（２次以降）",テーブル!$B$3="変更申請")),"－",
IF(AND(AN58&lt;&gt;"◎",OR(テーブル!$B$3="交付申請",テーブル!$B$3="交付申請（２次以降）",テーブル!$B$3="変更申請")),"",
IF(AND(OR(テーブル!$B$3="実績報告",テーブル!$B$3="交付申請兼実績報告"),AN58="◎"),COUNTIF($AN$14:AN58,"◎"),"")))</f>
        <v/>
      </c>
      <c r="U58" s="142" t="str">
        <f t="shared" si="7"/>
        <v/>
      </c>
      <c r="W58" s="2087" t="str">
        <f t="shared" si="8"/>
        <v/>
      </c>
      <c r="AL58" s="444" t="s">
        <v>68</v>
      </c>
      <c r="AM58" s="450">
        <v>45</v>
      </c>
      <c r="AN58" s="572" t="str">
        <f t="shared" si="9"/>
        <v>○</v>
      </c>
      <c r="AO58" s="451" t="str">
        <f t="shared" si="10"/>
        <v>申請しない場合は入力不要です。</v>
      </c>
      <c r="AQ58" s="451">
        <f t="shared" si="14"/>
        <v>0</v>
      </c>
      <c r="AR58" s="451"/>
    </row>
    <row r="59" spans="1:44" ht="20.100000000000001" customHeight="1" x14ac:dyDescent="0.4">
      <c r="A59" s="226">
        <v>46</v>
      </c>
      <c r="B59" s="628" t="str">
        <f t="shared" si="3"/>
        <v/>
      </c>
      <c r="C59" s="645" t="str">
        <f t="shared" si="4"/>
        <v/>
      </c>
      <c r="D59" s="578"/>
      <c r="E59" s="556"/>
      <c r="F59" s="1618"/>
      <c r="G59" s="1619"/>
      <c r="H59" s="1620"/>
      <c r="I59" s="530"/>
      <c r="J59" s="530"/>
      <c r="K59" s="225"/>
      <c r="L59" s="530"/>
      <c r="M59" s="530"/>
      <c r="N59" s="530"/>
      <c r="O59" s="140">
        <f t="shared" si="12"/>
        <v>0</v>
      </c>
      <c r="P59" s="141">
        <f t="shared" si="13"/>
        <v>0</v>
      </c>
      <c r="Q59" s="141" t="str">
        <f t="shared" si="5"/>
        <v/>
      </c>
      <c r="R59" s="141" t="str">
        <f t="shared" si="6"/>
        <v/>
      </c>
      <c r="S59" s="227">
        <f t="shared" si="11"/>
        <v>0</v>
      </c>
      <c r="T59" s="142" t="str">
        <f xml:space="preserve">
IF(AND(AN59="◎",OR(テーブル!$B$3="交付申請",テーブル!$B$3="交付申請（２次以降）",テーブル!$B$3="変更申請")),"－",
IF(AND(AN59&lt;&gt;"◎",OR(テーブル!$B$3="交付申請",テーブル!$B$3="交付申請（２次以降）",テーブル!$B$3="変更申請")),"",
IF(AND(OR(テーブル!$B$3="実績報告",テーブル!$B$3="交付申請兼実績報告"),AN59="◎"),COUNTIF($AN$14:AN59,"◎"),"")))</f>
        <v/>
      </c>
      <c r="U59" s="142" t="str">
        <f t="shared" si="7"/>
        <v/>
      </c>
      <c r="W59" s="2087" t="str">
        <f t="shared" si="8"/>
        <v/>
      </c>
      <c r="AL59" s="444" t="s">
        <v>68</v>
      </c>
      <c r="AM59" s="450">
        <v>46</v>
      </c>
      <c r="AN59" s="572" t="str">
        <f t="shared" si="9"/>
        <v>○</v>
      </c>
      <c r="AO59" s="451" t="str">
        <f t="shared" si="10"/>
        <v>申請しない場合は入力不要です。</v>
      </c>
      <c r="AQ59" s="451">
        <f t="shared" si="14"/>
        <v>0</v>
      </c>
      <c r="AR59" s="451"/>
    </row>
    <row r="60" spans="1:44" ht="20.100000000000001" customHeight="1" x14ac:dyDescent="0.4">
      <c r="A60" s="226">
        <v>47</v>
      </c>
      <c r="B60" s="628" t="str">
        <f t="shared" si="3"/>
        <v/>
      </c>
      <c r="C60" s="645" t="str">
        <f t="shared" si="4"/>
        <v/>
      </c>
      <c r="D60" s="578"/>
      <c r="E60" s="556"/>
      <c r="F60" s="1618"/>
      <c r="G60" s="1619"/>
      <c r="H60" s="1620"/>
      <c r="I60" s="530"/>
      <c r="J60" s="530"/>
      <c r="K60" s="225"/>
      <c r="L60" s="530"/>
      <c r="M60" s="530"/>
      <c r="N60" s="530"/>
      <c r="O60" s="140">
        <f t="shared" si="12"/>
        <v>0</v>
      </c>
      <c r="P60" s="141">
        <f t="shared" si="13"/>
        <v>0</v>
      </c>
      <c r="Q60" s="141" t="str">
        <f t="shared" si="5"/>
        <v/>
      </c>
      <c r="R60" s="141" t="str">
        <f t="shared" si="6"/>
        <v/>
      </c>
      <c r="S60" s="227">
        <f t="shared" si="11"/>
        <v>0</v>
      </c>
      <c r="T60" s="142" t="str">
        <f xml:space="preserve">
IF(AND(AN60="◎",OR(テーブル!$B$3="交付申請",テーブル!$B$3="交付申請（２次以降）",テーブル!$B$3="変更申請")),"－",
IF(AND(AN60&lt;&gt;"◎",OR(テーブル!$B$3="交付申請",テーブル!$B$3="交付申請（２次以降）",テーブル!$B$3="変更申請")),"",
IF(AND(OR(テーブル!$B$3="実績報告",テーブル!$B$3="交付申請兼実績報告"),AN60="◎"),COUNTIF($AN$14:AN60,"◎"),"")))</f>
        <v/>
      </c>
      <c r="U60" s="142" t="str">
        <f t="shared" si="7"/>
        <v/>
      </c>
      <c r="W60" s="2087" t="str">
        <f t="shared" si="8"/>
        <v/>
      </c>
      <c r="AL60" s="444" t="s">
        <v>68</v>
      </c>
      <c r="AM60" s="450">
        <v>47</v>
      </c>
      <c r="AN60" s="572" t="str">
        <f t="shared" si="9"/>
        <v>○</v>
      </c>
      <c r="AO60" s="451" t="str">
        <f t="shared" si="10"/>
        <v>申請しない場合は入力不要です。</v>
      </c>
      <c r="AQ60" s="451">
        <f t="shared" si="14"/>
        <v>0</v>
      </c>
      <c r="AR60" s="451"/>
    </row>
    <row r="61" spans="1:44" ht="20.100000000000001" customHeight="1" x14ac:dyDescent="0.4">
      <c r="A61" s="226">
        <v>48</v>
      </c>
      <c r="B61" s="628" t="str">
        <f t="shared" si="3"/>
        <v/>
      </c>
      <c r="C61" s="645" t="str">
        <f t="shared" si="4"/>
        <v/>
      </c>
      <c r="D61" s="578"/>
      <c r="E61" s="556"/>
      <c r="F61" s="1618"/>
      <c r="G61" s="1619"/>
      <c r="H61" s="1620"/>
      <c r="I61" s="530"/>
      <c r="J61" s="530"/>
      <c r="K61" s="225"/>
      <c r="L61" s="530"/>
      <c r="M61" s="530"/>
      <c r="N61" s="530"/>
      <c r="O61" s="140">
        <f t="shared" si="12"/>
        <v>0</v>
      </c>
      <c r="P61" s="141">
        <f t="shared" si="13"/>
        <v>0</v>
      </c>
      <c r="Q61" s="141" t="str">
        <f t="shared" si="5"/>
        <v/>
      </c>
      <c r="R61" s="141" t="str">
        <f t="shared" si="6"/>
        <v/>
      </c>
      <c r="S61" s="227">
        <f t="shared" si="11"/>
        <v>0</v>
      </c>
      <c r="T61" s="142" t="str">
        <f xml:space="preserve">
IF(AND(AN61="◎",OR(テーブル!$B$3="交付申請",テーブル!$B$3="交付申請（２次以降）",テーブル!$B$3="変更申請")),"－",
IF(AND(AN61&lt;&gt;"◎",OR(テーブル!$B$3="交付申請",テーブル!$B$3="交付申請（２次以降）",テーブル!$B$3="変更申請")),"",
IF(AND(OR(テーブル!$B$3="実績報告",テーブル!$B$3="交付申請兼実績報告"),AN61="◎"),COUNTIF($AN$14:AN61,"◎"),"")))</f>
        <v/>
      </c>
      <c r="U61" s="142" t="str">
        <f t="shared" si="7"/>
        <v/>
      </c>
      <c r="W61" s="2087" t="str">
        <f t="shared" si="8"/>
        <v/>
      </c>
      <c r="AL61" s="444" t="s">
        <v>68</v>
      </c>
      <c r="AM61" s="450">
        <v>48</v>
      </c>
      <c r="AN61" s="572" t="str">
        <f t="shared" si="9"/>
        <v>○</v>
      </c>
      <c r="AO61" s="451" t="str">
        <f t="shared" si="10"/>
        <v>申請しない場合は入力不要です。</v>
      </c>
      <c r="AQ61" s="451">
        <f t="shared" si="14"/>
        <v>0</v>
      </c>
      <c r="AR61" s="451"/>
    </row>
    <row r="62" spans="1:44" ht="20.100000000000001" customHeight="1" x14ac:dyDescent="0.4">
      <c r="A62" s="226">
        <v>49</v>
      </c>
      <c r="B62" s="628" t="str">
        <f t="shared" si="3"/>
        <v/>
      </c>
      <c r="C62" s="645" t="str">
        <f t="shared" si="4"/>
        <v/>
      </c>
      <c r="D62" s="578"/>
      <c r="E62" s="556"/>
      <c r="F62" s="1618"/>
      <c r="G62" s="1619"/>
      <c r="H62" s="1620"/>
      <c r="I62" s="530"/>
      <c r="J62" s="530"/>
      <c r="K62" s="225"/>
      <c r="L62" s="530"/>
      <c r="M62" s="530"/>
      <c r="N62" s="530"/>
      <c r="O62" s="140">
        <f t="shared" si="12"/>
        <v>0</v>
      </c>
      <c r="P62" s="141">
        <f t="shared" si="13"/>
        <v>0</v>
      </c>
      <c r="Q62" s="141" t="str">
        <f t="shared" si="5"/>
        <v/>
      </c>
      <c r="R62" s="141" t="str">
        <f t="shared" si="6"/>
        <v/>
      </c>
      <c r="S62" s="227">
        <f t="shared" si="11"/>
        <v>0</v>
      </c>
      <c r="T62" s="142" t="str">
        <f xml:space="preserve">
IF(AND(AN62="◎",OR(テーブル!$B$3="交付申請",テーブル!$B$3="交付申請（２次以降）",テーブル!$B$3="変更申請")),"－",
IF(AND(AN62&lt;&gt;"◎",OR(テーブル!$B$3="交付申請",テーブル!$B$3="交付申請（２次以降）",テーブル!$B$3="変更申請")),"",
IF(AND(OR(テーブル!$B$3="実績報告",テーブル!$B$3="交付申請兼実績報告"),AN62="◎"),COUNTIF($AN$14:AN62,"◎"),"")))</f>
        <v/>
      </c>
      <c r="U62" s="142" t="str">
        <f t="shared" si="7"/>
        <v/>
      </c>
      <c r="W62" s="2087" t="str">
        <f t="shared" si="8"/>
        <v/>
      </c>
      <c r="AL62" s="444" t="s">
        <v>68</v>
      </c>
      <c r="AM62" s="450">
        <v>49</v>
      </c>
      <c r="AN62" s="572" t="str">
        <f t="shared" si="9"/>
        <v>○</v>
      </c>
      <c r="AO62" s="451" t="str">
        <f t="shared" si="10"/>
        <v>申請しない場合は入力不要です。</v>
      </c>
      <c r="AQ62" s="451">
        <f t="shared" si="14"/>
        <v>0</v>
      </c>
      <c r="AR62" s="451"/>
    </row>
    <row r="63" spans="1:44" ht="20.100000000000001" customHeight="1" x14ac:dyDescent="0.4">
      <c r="A63" s="226">
        <v>50</v>
      </c>
      <c r="B63" s="628" t="str">
        <f t="shared" si="3"/>
        <v/>
      </c>
      <c r="C63" s="645" t="str">
        <f t="shared" si="4"/>
        <v/>
      </c>
      <c r="D63" s="578"/>
      <c r="E63" s="556"/>
      <c r="F63" s="1618"/>
      <c r="G63" s="1619"/>
      <c r="H63" s="1620"/>
      <c r="I63" s="530"/>
      <c r="J63" s="530"/>
      <c r="K63" s="225"/>
      <c r="L63" s="530"/>
      <c r="M63" s="530"/>
      <c r="N63" s="530"/>
      <c r="O63" s="140">
        <f t="shared" si="12"/>
        <v>0</v>
      </c>
      <c r="P63" s="141">
        <f t="shared" si="13"/>
        <v>0</v>
      </c>
      <c r="Q63" s="141" t="str">
        <f t="shared" si="5"/>
        <v/>
      </c>
      <c r="R63" s="141" t="str">
        <f t="shared" si="6"/>
        <v/>
      </c>
      <c r="S63" s="227">
        <f t="shared" si="11"/>
        <v>0</v>
      </c>
      <c r="T63" s="142" t="str">
        <f xml:space="preserve">
IF(AND(AN63="◎",OR(テーブル!$B$3="交付申請",テーブル!$B$3="交付申請（２次以降）",テーブル!$B$3="変更申請")),"－",
IF(AND(AN63&lt;&gt;"◎",OR(テーブル!$B$3="交付申請",テーブル!$B$3="交付申請（２次以降）",テーブル!$B$3="変更申請")),"",
IF(AND(OR(テーブル!$B$3="実績報告",テーブル!$B$3="交付申請兼実績報告"),AN63="◎"),COUNTIF($AN$14:AN63,"◎"),"")))</f>
        <v/>
      </c>
      <c r="U63" s="142" t="str">
        <f t="shared" si="7"/>
        <v/>
      </c>
      <c r="W63" s="2087" t="str">
        <f t="shared" si="8"/>
        <v/>
      </c>
      <c r="AL63" s="444" t="s">
        <v>68</v>
      </c>
      <c r="AM63" s="450">
        <v>50</v>
      </c>
      <c r="AN63" s="572" t="str">
        <f t="shared" si="9"/>
        <v>○</v>
      </c>
      <c r="AO63" s="451" t="str">
        <f t="shared" si="10"/>
        <v>申請しない場合は入力不要です。</v>
      </c>
      <c r="AQ63" s="451">
        <f t="shared" si="14"/>
        <v>0</v>
      </c>
      <c r="AR63" s="451"/>
    </row>
    <row r="64" spans="1:44" ht="20.100000000000001" customHeight="1" x14ac:dyDescent="0.4">
      <c r="A64" s="226">
        <v>51</v>
      </c>
      <c r="B64" s="628" t="str">
        <f t="shared" si="3"/>
        <v/>
      </c>
      <c r="C64" s="645" t="str">
        <f t="shared" si="4"/>
        <v/>
      </c>
      <c r="D64" s="578"/>
      <c r="E64" s="556"/>
      <c r="F64" s="1618"/>
      <c r="G64" s="1619"/>
      <c r="H64" s="1620"/>
      <c r="I64" s="530"/>
      <c r="J64" s="530"/>
      <c r="K64" s="225"/>
      <c r="L64" s="530"/>
      <c r="M64" s="530"/>
      <c r="N64" s="530"/>
      <c r="O64" s="140">
        <f t="shared" si="12"/>
        <v>0</v>
      </c>
      <c r="P64" s="141">
        <f t="shared" si="13"/>
        <v>0</v>
      </c>
      <c r="Q64" s="141" t="str">
        <f t="shared" si="5"/>
        <v/>
      </c>
      <c r="R64" s="141" t="str">
        <f t="shared" si="6"/>
        <v/>
      </c>
      <c r="S64" s="227">
        <f t="shared" si="11"/>
        <v>0</v>
      </c>
      <c r="T64" s="142" t="str">
        <f xml:space="preserve">
IF(AND(AN64="◎",OR(テーブル!$B$3="交付申請",テーブル!$B$3="交付申請（２次以降）",テーブル!$B$3="変更申請")),"－",
IF(AND(AN64&lt;&gt;"◎",OR(テーブル!$B$3="交付申請",テーブル!$B$3="交付申請（２次以降）",テーブル!$B$3="変更申請")),"",
IF(AND(OR(テーブル!$B$3="実績報告",テーブル!$B$3="交付申請兼実績報告"),AN64="◎"),COUNTIF($AN$14:AN64,"◎"),"")))</f>
        <v/>
      </c>
      <c r="U64" s="142" t="str">
        <f t="shared" si="7"/>
        <v/>
      </c>
      <c r="W64" s="2087" t="str">
        <f t="shared" si="8"/>
        <v/>
      </c>
      <c r="AL64" s="444" t="s">
        <v>68</v>
      </c>
      <c r="AM64" s="450">
        <v>51</v>
      </c>
      <c r="AN64" s="572" t="str">
        <f t="shared" si="9"/>
        <v>○</v>
      </c>
      <c r="AO64" s="451" t="str">
        <f t="shared" si="10"/>
        <v>申請しない場合は入力不要です。</v>
      </c>
      <c r="AQ64" s="451">
        <f t="shared" si="14"/>
        <v>0</v>
      </c>
      <c r="AR64" s="451"/>
    </row>
    <row r="65" spans="1:44" ht="20.100000000000001" customHeight="1" x14ac:dyDescent="0.4">
      <c r="A65" s="226">
        <v>52</v>
      </c>
      <c r="B65" s="628" t="str">
        <f t="shared" si="3"/>
        <v/>
      </c>
      <c r="C65" s="645" t="str">
        <f t="shared" si="4"/>
        <v/>
      </c>
      <c r="D65" s="578"/>
      <c r="E65" s="556"/>
      <c r="F65" s="1618"/>
      <c r="G65" s="1619"/>
      <c r="H65" s="1620"/>
      <c r="I65" s="530"/>
      <c r="J65" s="530"/>
      <c r="K65" s="225"/>
      <c r="L65" s="530"/>
      <c r="M65" s="530"/>
      <c r="N65" s="530"/>
      <c r="O65" s="140">
        <f t="shared" si="12"/>
        <v>0</v>
      </c>
      <c r="P65" s="141">
        <f t="shared" si="13"/>
        <v>0</v>
      </c>
      <c r="Q65" s="141" t="str">
        <f t="shared" si="5"/>
        <v/>
      </c>
      <c r="R65" s="141" t="str">
        <f t="shared" si="6"/>
        <v/>
      </c>
      <c r="S65" s="227">
        <f t="shared" si="11"/>
        <v>0</v>
      </c>
      <c r="T65" s="142" t="str">
        <f xml:space="preserve">
IF(AND(AN65="◎",OR(テーブル!$B$3="交付申請",テーブル!$B$3="交付申請（２次以降）",テーブル!$B$3="変更申請")),"－",
IF(AND(AN65&lt;&gt;"◎",OR(テーブル!$B$3="交付申請",テーブル!$B$3="交付申請（２次以降）",テーブル!$B$3="変更申請")),"",
IF(AND(OR(テーブル!$B$3="実績報告",テーブル!$B$3="交付申請兼実績報告"),AN65="◎"),COUNTIF($AN$14:AN65,"◎"),"")))</f>
        <v/>
      </c>
      <c r="U65" s="142" t="str">
        <f t="shared" si="7"/>
        <v/>
      </c>
      <c r="W65" s="2087" t="str">
        <f t="shared" si="8"/>
        <v/>
      </c>
      <c r="AL65" s="444" t="s">
        <v>68</v>
      </c>
      <c r="AM65" s="450">
        <v>52</v>
      </c>
      <c r="AN65" s="572" t="str">
        <f t="shared" si="9"/>
        <v>○</v>
      </c>
      <c r="AO65" s="451" t="str">
        <f t="shared" si="10"/>
        <v>申請しない場合は入力不要です。</v>
      </c>
      <c r="AQ65" s="451">
        <f t="shared" si="14"/>
        <v>0</v>
      </c>
      <c r="AR65" s="451"/>
    </row>
    <row r="66" spans="1:44" ht="20.100000000000001" customHeight="1" x14ac:dyDescent="0.4">
      <c r="A66" s="226">
        <v>53</v>
      </c>
      <c r="B66" s="628" t="str">
        <f t="shared" si="3"/>
        <v/>
      </c>
      <c r="C66" s="645" t="str">
        <f t="shared" si="4"/>
        <v/>
      </c>
      <c r="D66" s="578"/>
      <c r="E66" s="556"/>
      <c r="F66" s="1618"/>
      <c r="G66" s="1619"/>
      <c r="H66" s="1620"/>
      <c r="I66" s="530"/>
      <c r="J66" s="530"/>
      <c r="K66" s="225"/>
      <c r="L66" s="530"/>
      <c r="M66" s="530"/>
      <c r="N66" s="530"/>
      <c r="O66" s="140">
        <f t="shared" si="12"/>
        <v>0</v>
      </c>
      <c r="P66" s="141">
        <f t="shared" si="13"/>
        <v>0</v>
      </c>
      <c r="Q66" s="141" t="str">
        <f t="shared" si="5"/>
        <v/>
      </c>
      <c r="R66" s="141" t="str">
        <f t="shared" si="6"/>
        <v/>
      </c>
      <c r="S66" s="227">
        <f t="shared" si="11"/>
        <v>0</v>
      </c>
      <c r="T66" s="142" t="str">
        <f xml:space="preserve">
IF(AND(AN66="◎",OR(テーブル!$B$3="交付申請",テーブル!$B$3="交付申請（２次以降）",テーブル!$B$3="変更申請")),"－",
IF(AND(AN66&lt;&gt;"◎",OR(テーブル!$B$3="交付申請",テーブル!$B$3="交付申請（２次以降）",テーブル!$B$3="変更申請")),"",
IF(AND(OR(テーブル!$B$3="実績報告",テーブル!$B$3="交付申請兼実績報告"),AN66="◎"),COUNTIF($AN$14:AN66,"◎"),"")))</f>
        <v/>
      </c>
      <c r="U66" s="142" t="str">
        <f t="shared" si="7"/>
        <v/>
      </c>
      <c r="W66" s="2087" t="str">
        <f t="shared" si="8"/>
        <v/>
      </c>
      <c r="AL66" s="444" t="s">
        <v>68</v>
      </c>
      <c r="AM66" s="450">
        <v>53</v>
      </c>
      <c r="AN66" s="572" t="str">
        <f t="shared" si="9"/>
        <v>○</v>
      </c>
      <c r="AO66" s="451" t="str">
        <f t="shared" si="10"/>
        <v>申請しない場合は入力不要です。</v>
      </c>
      <c r="AQ66" s="451">
        <f t="shared" si="14"/>
        <v>0</v>
      </c>
      <c r="AR66" s="451"/>
    </row>
    <row r="67" spans="1:44" ht="20.100000000000001" customHeight="1" x14ac:dyDescent="0.4">
      <c r="A67" s="226">
        <v>54</v>
      </c>
      <c r="B67" s="628" t="str">
        <f t="shared" si="3"/>
        <v/>
      </c>
      <c r="C67" s="645" t="str">
        <f t="shared" si="4"/>
        <v/>
      </c>
      <c r="D67" s="578"/>
      <c r="E67" s="556"/>
      <c r="F67" s="1618"/>
      <c r="G67" s="1619"/>
      <c r="H67" s="1620"/>
      <c r="I67" s="530"/>
      <c r="J67" s="530"/>
      <c r="K67" s="225"/>
      <c r="L67" s="530"/>
      <c r="M67" s="530"/>
      <c r="N67" s="530"/>
      <c r="O67" s="140">
        <f t="shared" si="12"/>
        <v>0</v>
      </c>
      <c r="P67" s="141">
        <f t="shared" si="13"/>
        <v>0</v>
      </c>
      <c r="Q67" s="141" t="str">
        <f t="shared" si="5"/>
        <v/>
      </c>
      <c r="R67" s="141" t="str">
        <f t="shared" si="6"/>
        <v/>
      </c>
      <c r="S67" s="227">
        <f t="shared" si="11"/>
        <v>0</v>
      </c>
      <c r="T67" s="142" t="str">
        <f xml:space="preserve">
IF(AND(AN67="◎",OR(テーブル!$B$3="交付申請",テーブル!$B$3="交付申請（２次以降）",テーブル!$B$3="変更申請")),"－",
IF(AND(AN67&lt;&gt;"◎",OR(テーブル!$B$3="交付申請",テーブル!$B$3="交付申請（２次以降）",テーブル!$B$3="変更申請")),"",
IF(AND(OR(テーブル!$B$3="実績報告",テーブル!$B$3="交付申請兼実績報告"),AN67="◎"),COUNTIF($AN$14:AN67,"◎"),"")))</f>
        <v/>
      </c>
      <c r="U67" s="142" t="str">
        <f t="shared" si="7"/>
        <v/>
      </c>
      <c r="W67" s="2087" t="str">
        <f t="shared" si="8"/>
        <v/>
      </c>
      <c r="AL67" s="444" t="s">
        <v>68</v>
      </c>
      <c r="AM67" s="450">
        <v>54</v>
      </c>
      <c r="AN67" s="572" t="str">
        <f t="shared" si="9"/>
        <v>○</v>
      </c>
      <c r="AO67" s="451" t="str">
        <f t="shared" si="10"/>
        <v>申請しない場合は入力不要です。</v>
      </c>
      <c r="AQ67" s="451">
        <f t="shared" si="14"/>
        <v>0</v>
      </c>
      <c r="AR67" s="451"/>
    </row>
    <row r="68" spans="1:44" ht="20.100000000000001" customHeight="1" x14ac:dyDescent="0.4">
      <c r="A68" s="226">
        <v>55</v>
      </c>
      <c r="B68" s="628" t="str">
        <f t="shared" si="3"/>
        <v/>
      </c>
      <c r="C68" s="645" t="str">
        <f t="shared" si="4"/>
        <v/>
      </c>
      <c r="D68" s="578"/>
      <c r="E68" s="556"/>
      <c r="F68" s="1618"/>
      <c r="G68" s="1619"/>
      <c r="H68" s="1620"/>
      <c r="I68" s="530"/>
      <c r="J68" s="530"/>
      <c r="K68" s="225"/>
      <c r="L68" s="530"/>
      <c r="M68" s="530"/>
      <c r="N68" s="530"/>
      <c r="O68" s="140">
        <f t="shared" si="12"/>
        <v>0</v>
      </c>
      <c r="P68" s="141">
        <f t="shared" si="13"/>
        <v>0</v>
      </c>
      <c r="Q68" s="141" t="str">
        <f t="shared" si="5"/>
        <v/>
      </c>
      <c r="R68" s="141" t="str">
        <f t="shared" si="6"/>
        <v/>
      </c>
      <c r="S68" s="227">
        <f t="shared" si="11"/>
        <v>0</v>
      </c>
      <c r="T68" s="142" t="str">
        <f xml:space="preserve">
IF(AND(AN68="◎",OR(テーブル!$B$3="交付申請",テーブル!$B$3="交付申請（２次以降）",テーブル!$B$3="変更申請")),"－",
IF(AND(AN68&lt;&gt;"◎",OR(テーブル!$B$3="交付申請",テーブル!$B$3="交付申請（２次以降）",テーブル!$B$3="変更申請")),"",
IF(AND(OR(テーブル!$B$3="実績報告",テーブル!$B$3="交付申請兼実績報告"),AN68="◎"),COUNTIF($AN$14:AN68,"◎"),"")))</f>
        <v/>
      </c>
      <c r="U68" s="142" t="str">
        <f t="shared" si="7"/>
        <v/>
      </c>
      <c r="W68" s="2087" t="str">
        <f t="shared" si="8"/>
        <v/>
      </c>
      <c r="AL68" s="444" t="s">
        <v>68</v>
      </c>
      <c r="AM68" s="450">
        <v>55</v>
      </c>
      <c r="AN68" s="572" t="str">
        <f t="shared" si="9"/>
        <v>○</v>
      </c>
      <c r="AO68" s="451" t="str">
        <f t="shared" si="10"/>
        <v>申請しない場合は入力不要です。</v>
      </c>
      <c r="AQ68" s="451">
        <f t="shared" si="14"/>
        <v>0</v>
      </c>
      <c r="AR68" s="451"/>
    </row>
    <row r="69" spans="1:44" ht="20.100000000000001" customHeight="1" x14ac:dyDescent="0.4">
      <c r="A69" s="226">
        <v>56</v>
      </c>
      <c r="B69" s="628" t="str">
        <f t="shared" si="3"/>
        <v/>
      </c>
      <c r="C69" s="645" t="str">
        <f t="shared" si="4"/>
        <v/>
      </c>
      <c r="D69" s="578"/>
      <c r="E69" s="556"/>
      <c r="F69" s="1618"/>
      <c r="G69" s="1619"/>
      <c r="H69" s="1620"/>
      <c r="I69" s="530"/>
      <c r="J69" s="530"/>
      <c r="K69" s="225"/>
      <c r="L69" s="530"/>
      <c r="M69" s="530"/>
      <c r="N69" s="530"/>
      <c r="O69" s="140">
        <f t="shared" si="12"/>
        <v>0</v>
      </c>
      <c r="P69" s="141">
        <f t="shared" si="13"/>
        <v>0</v>
      </c>
      <c r="Q69" s="141" t="str">
        <f t="shared" si="5"/>
        <v/>
      </c>
      <c r="R69" s="141" t="str">
        <f t="shared" si="6"/>
        <v/>
      </c>
      <c r="S69" s="227">
        <f t="shared" si="11"/>
        <v>0</v>
      </c>
      <c r="T69" s="142" t="str">
        <f xml:space="preserve">
IF(AND(AN69="◎",OR(テーブル!$B$3="交付申請",テーブル!$B$3="交付申請（２次以降）",テーブル!$B$3="変更申請")),"－",
IF(AND(AN69&lt;&gt;"◎",OR(テーブル!$B$3="交付申請",テーブル!$B$3="交付申請（２次以降）",テーブル!$B$3="変更申請")),"",
IF(AND(OR(テーブル!$B$3="実績報告",テーブル!$B$3="交付申請兼実績報告"),AN69="◎"),COUNTIF($AN$14:AN69,"◎"),"")))</f>
        <v/>
      </c>
      <c r="U69" s="142" t="str">
        <f t="shared" si="7"/>
        <v/>
      </c>
      <c r="W69" s="2087" t="str">
        <f t="shared" si="8"/>
        <v/>
      </c>
      <c r="AL69" s="444" t="s">
        <v>68</v>
      </c>
      <c r="AM69" s="450">
        <v>56</v>
      </c>
      <c r="AN69" s="572" t="str">
        <f t="shared" si="9"/>
        <v>○</v>
      </c>
      <c r="AO69" s="451" t="str">
        <f t="shared" si="10"/>
        <v>申請しない場合は入力不要です。</v>
      </c>
      <c r="AQ69" s="451">
        <f t="shared" si="14"/>
        <v>0</v>
      </c>
      <c r="AR69" s="451"/>
    </row>
    <row r="70" spans="1:44" ht="20.100000000000001" customHeight="1" x14ac:dyDescent="0.4">
      <c r="A70" s="226">
        <v>57</v>
      </c>
      <c r="B70" s="628" t="str">
        <f t="shared" si="3"/>
        <v/>
      </c>
      <c r="C70" s="645" t="str">
        <f t="shared" si="4"/>
        <v/>
      </c>
      <c r="D70" s="578"/>
      <c r="E70" s="556"/>
      <c r="F70" s="1618"/>
      <c r="G70" s="1619"/>
      <c r="H70" s="1620"/>
      <c r="I70" s="530"/>
      <c r="J70" s="530"/>
      <c r="K70" s="225"/>
      <c r="L70" s="530"/>
      <c r="M70" s="530"/>
      <c r="N70" s="530"/>
      <c r="O70" s="140">
        <f t="shared" si="12"/>
        <v>0</v>
      </c>
      <c r="P70" s="141">
        <f t="shared" si="13"/>
        <v>0</v>
      </c>
      <c r="Q70" s="141" t="str">
        <f t="shared" si="5"/>
        <v/>
      </c>
      <c r="R70" s="141" t="str">
        <f t="shared" si="6"/>
        <v/>
      </c>
      <c r="S70" s="227">
        <f t="shared" si="11"/>
        <v>0</v>
      </c>
      <c r="T70" s="142" t="str">
        <f xml:space="preserve">
IF(AND(AN70="◎",OR(テーブル!$B$3="交付申請",テーブル!$B$3="交付申請（２次以降）",テーブル!$B$3="変更申請")),"－",
IF(AND(AN70&lt;&gt;"◎",OR(テーブル!$B$3="交付申請",テーブル!$B$3="交付申請（２次以降）",テーブル!$B$3="変更申請")),"",
IF(AND(OR(テーブル!$B$3="実績報告",テーブル!$B$3="交付申請兼実績報告"),AN70="◎"),COUNTIF($AN$14:AN70,"◎"),"")))</f>
        <v/>
      </c>
      <c r="U70" s="142" t="str">
        <f t="shared" si="7"/>
        <v/>
      </c>
      <c r="W70" s="2087" t="str">
        <f t="shared" si="8"/>
        <v/>
      </c>
      <c r="AL70" s="444" t="s">
        <v>68</v>
      </c>
      <c r="AM70" s="450">
        <v>57</v>
      </c>
      <c r="AN70" s="572" t="str">
        <f t="shared" si="9"/>
        <v>○</v>
      </c>
      <c r="AO70" s="451" t="str">
        <f t="shared" si="10"/>
        <v>申請しない場合は入力不要です。</v>
      </c>
      <c r="AQ70" s="451">
        <f t="shared" si="14"/>
        <v>0</v>
      </c>
      <c r="AR70" s="451"/>
    </row>
    <row r="71" spans="1:44" ht="20.100000000000001" customHeight="1" x14ac:dyDescent="0.4">
      <c r="A71" s="226">
        <v>58</v>
      </c>
      <c r="B71" s="628" t="str">
        <f t="shared" si="3"/>
        <v/>
      </c>
      <c r="C71" s="645" t="str">
        <f t="shared" si="4"/>
        <v/>
      </c>
      <c r="D71" s="578"/>
      <c r="E71" s="556"/>
      <c r="F71" s="1618"/>
      <c r="G71" s="1619"/>
      <c r="H71" s="1620"/>
      <c r="I71" s="530"/>
      <c r="J71" s="530"/>
      <c r="K71" s="225"/>
      <c r="L71" s="530"/>
      <c r="M71" s="530"/>
      <c r="N71" s="530"/>
      <c r="O71" s="140">
        <f t="shared" si="12"/>
        <v>0</v>
      </c>
      <c r="P71" s="141">
        <f t="shared" si="13"/>
        <v>0</v>
      </c>
      <c r="Q71" s="141" t="str">
        <f t="shared" si="5"/>
        <v/>
      </c>
      <c r="R71" s="141" t="str">
        <f t="shared" si="6"/>
        <v/>
      </c>
      <c r="S71" s="227">
        <f t="shared" si="11"/>
        <v>0</v>
      </c>
      <c r="T71" s="142" t="str">
        <f xml:space="preserve">
IF(AND(AN71="◎",OR(テーブル!$B$3="交付申請",テーブル!$B$3="交付申請（２次以降）",テーブル!$B$3="変更申請")),"－",
IF(AND(AN71&lt;&gt;"◎",OR(テーブル!$B$3="交付申請",テーブル!$B$3="交付申請（２次以降）",テーブル!$B$3="変更申請")),"",
IF(AND(OR(テーブル!$B$3="実績報告",テーブル!$B$3="交付申請兼実績報告"),AN71="◎"),COUNTIF($AN$14:AN71,"◎"),"")))</f>
        <v/>
      </c>
      <c r="U71" s="142" t="str">
        <f t="shared" si="7"/>
        <v/>
      </c>
      <c r="W71" s="2087" t="str">
        <f t="shared" si="8"/>
        <v/>
      </c>
      <c r="AL71" s="444" t="s">
        <v>68</v>
      </c>
      <c r="AM71" s="450">
        <v>58</v>
      </c>
      <c r="AN71" s="572" t="str">
        <f t="shared" si="9"/>
        <v>○</v>
      </c>
      <c r="AO71" s="451" t="str">
        <f t="shared" si="10"/>
        <v>申請しない場合は入力不要です。</v>
      </c>
      <c r="AQ71" s="451">
        <f t="shared" si="14"/>
        <v>0</v>
      </c>
      <c r="AR71" s="451"/>
    </row>
    <row r="72" spans="1:44" ht="20.100000000000001" customHeight="1" x14ac:dyDescent="0.4">
      <c r="A72" s="226">
        <v>59</v>
      </c>
      <c r="B72" s="628" t="str">
        <f t="shared" si="3"/>
        <v/>
      </c>
      <c r="C72" s="645" t="str">
        <f t="shared" si="4"/>
        <v/>
      </c>
      <c r="D72" s="578"/>
      <c r="E72" s="556"/>
      <c r="F72" s="1618"/>
      <c r="G72" s="1619"/>
      <c r="H72" s="1620"/>
      <c r="I72" s="530"/>
      <c r="J72" s="530"/>
      <c r="K72" s="225"/>
      <c r="L72" s="530"/>
      <c r="M72" s="530"/>
      <c r="N72" s="530"/>
      <c r="O72" s="140">
        <f t="shared" si="12"/>
        <v>0</v>
      </c>
      <c r="P72" s="141">
        <f t="shared" si="13"/>
        <v>0</v>
      </c>
      <c r="Q72" s="141" t="str">
        <f t="shared" si="5"/>
        <v/>
      </c>
      <c r="R72" s="141" t="str">
        <f t="shared" si="6"/>
        <v/>
      </c>
      <c r="S72" s="227">
        <f t="shared" si="11"/>
        <v>0</v>
      </c>
      <c r="T72" s="142" t="str">
        <f xml:space="preserve">
IF(AND(AN72="◎",OR(テーブル!$B$3="交付申請",テーブル!$B$3="交付申請（２次以降）",テーブル!$B$3="変更申請")),"－",
IF(AND(AN72&lt;&gt;"◎",OR(テーブル!$B$3="交付申請",テーブル!$B$3="交付申請（２次以降）",テーブル!$B$3="変更申請")),"",
IF(AND(OR(テーブル!$B$3="実績報告",テーブル!$B$3="交付申請兼実績報告"),AN72="◎"),COUNTIF($AN$14:AN72,"◎"),"")))</f>
        <v/>
      </c>
      <c r="U72" s="142" t="str">
        <f t="shared" si="7"/>
        <v/>
      </c>
      <c r="W72" s="2087" t="str">
        <f t="shared" si="8"/>
        <v/>
      </c>
      <c r="AL72" s="444" t="s">
        <v>68</v>
      </c>
      <c r="AM72" s="450">
        <v>59</v>
      </c>
      <c r="AN72" s="572" t="str">
        <f t="shared" si="9"/>
        <v>○</v>
      </c>
      <c r="AO72" s="451" t="str">
        <f t="shared" si="10"/>
        <v>申請しない場合は入力不要です。</v>
      </c>
      <c r="AQ72" s="451">
        <f t="shared" si="14"/>
        <v>0</v>
      </c>
      <c r="AR72" s="451"/>
    </row>
    <row r="73" spans="1:44" ht="20.100000000000001" customHeight="1" x14ac:dyDescent="0.4">
      <c r="A73" s="226">
        <v>60</v>
      </c>
      <c r="B73" s="628" t="str">
        <f t="shared" si="3"/>
        <v/>
      </c>
      <c r="C73" s="645" t="str">
        <f t="shared" si="4"/>
        <v/>
      </c>
      <c r="D73" s="578"/>
      <c r="E73" s="556"/>
      <c r="F73" s="1618"/>
      <c r="G73" s="1619"/>
      <c r="H73" s="1620"/>
      <c r="I73" s="530"/>
      <c r="J73" s="530"/>
      <c r="K73" s="225"/>
      <c r="L73" s="530"/>
      <c r="M73" s="530"/>
      <c r="N73" s="530"/>
      <c r="O73" s="140">
        <f t="shared" si="12"/>
        <v>0</v>
      </c>
      <c r="P73" s="141">
        <f t="shared" si="13"/>
        <v>0</v>
      </c>
      <c r="Q73" s="141" t="str">
        <f t="shared" si="5"/>
        <v/>
      </c>
      <c r="R73" s="141" t="str">
        <f t="shared" si="6"/>
        <v/>
      </c>
      <c r="S73" s="227">
        <f t="shared" si="11"/>
        <v>0</v>
      </c>
      <c r="T73" s="142" t="str">
        <f xml:space="preserve">
IF(AND(AN73="◎",OR(テーブル!$B$3="交付申請",テーブル!$B$3="交付申請（２次以降）",テーブル!$B$3="変更申請")),"－",
IF(AND(AN73&lt;&gt;"◎",OR(テーブル!$B$3="交付申請",テーブル!$B$3="交付申請（２次以降）",テーブル!$B$3="変更申請")),"",
IF(AND(OR(テーブル!$B$3="実績報告",テーブル!$B$3="交付申請兼実績報告"),AN73="◎"),COUNTIF($AN$14:AN73,"◎"),"")))</f>
        <v/>
      </c>
      <c r="U73" s="142" t="str">
        <f t="shared" si="7"/>
        <v/>
      </c>
      <c r="W73" s="2087" t="str">
        <f t="shared" si="8"/>
        <v/>
      </c>
      <c r="AL73" s="444" t="s">
        <v>68</v>
      </c>
      <c r="AM73" s="450">
        <v>60</v>
      </c>
      <c r="AN73" s="572" t="str">
        <f t="shared" si="9"/>
        <v>○</v>
      </c>
      <c r="AO73" s="451" t="str">
        <f t="shared" si="10"/>
        <v>申請しない場合は入力不要です。</v>
      </c>
      <c r="AQ73" s="451">
        <f t="shared" si="14"/>
        <v>0</v>
      </c>
      <c r="AR73" s="451"/>
    </row>
    <row r="74" spans="1:44" ht="20.100000000000001" customHeight="1" x14ac:dyDescent="0.4">
      <c r="A74" s="226">
        <v>61</v>
      </c>
      <c r="B74" s="628" t="str">
        <f t="shared" si="3"/>
        <v/>
      </c>
      <c r="C74" s="645" t="str">
        <f t="shared" si="4"/>
        <v/>
      </c>
      <c r="D74" s="578"/>
      <c r="E74" s="556"/>
      <c r="F74" s="1618"/>
      <c r="G74" s="1619"/>
      <c r="H74" s="1620"/>
      <c r="I74" s="530"/>
      <c r="J74" s="530"/>
      <c r="K74" s="225"/>
      <c r="L74" s="530"/>
      <c r="M74" s="530"/>
      <c r="N74" s="530"/>
      <c r="O74" s="140">
        <f t="shared" si="12"/>
        <v>0</v>
      </c>
      <c r="P74" s="141">
        <f t="shared" si="13"/>
        <v>0</v>
      </c>
      <c r="Q74" s="141" t="str">
        <f t="shared" si="5"/>
        <v/>
      </c>
      <c r="R74" s="141" t="str">
        <f t="shared" si="6"/>
        <v/>
      </c>
      <c r="S74" s="227">
        <f t="shared" si="11"/>
        <v>0</v>
      </c>
      <c r="T74" s="142" t="str">
        <f xml:space="preserve">
IF(AND(AN74="◎",OR(テーブル!$B$3="交付申請",テーブル!$B$3="交付申請（２次以降）",テーブル!$B$3="変更申請")),"－",
IF(AND(AN74&lt;&gt;"◎",OR(テーブル!$B$3="交付申請",テーブル!$B$3="交付申請（２次以降）",テーブル!$B$3="変更申請")),"",
IF(AND(OR(テーブル!$B$3="実績報告",テーブル!$B$3="交付申請兼実績報告"),AN74="◎"),COUNTIF($AN$14:AN74,"◎"),"")))</f>
        <v/>
      </c>
      <c r="U74" s="142" t="str">
        <f t="shared" si="7"/>
        <v/>
      </c>
      <c r="W74" s="2087" t="str">
        <f t="shared" si="8"/>
        <v/>
      </c>
      <c r="AL74" s="444" t="s">
        <v>68</v>
      </c>
      <c r="AM74" s="450">
        <v>61</v>
      </c>
      <c r="AN74" s="572" t="str">
        <f t="shared" si="9"/>
        <v>○</v>
      </c>
      <c r="AO74" s="451" t="str">
        <f t="shared" si="10"/>
        <v>申請しない場合は入力不要です。</v>
      </c>
      <c r="AQ74" s="451">
        <f t="shared" si="14"/>
        <v>0</v>
      </c>
      <c r="AR74" s="451"/>
    </row>
    <row r="75" spans="1:44" ht="20.100000000000001" customHeight="1" x14ac:dyDescent="0.4">
      <c r="A75" s="226">
        <v>62</v>
      </c>
      <c r="B75" s="628" t="str">
        <f t="shared" si="3"/>
        <v/>
      </c>
      <c r="C75" s="645" t="str">
        <f t="shared" si="4"/>
        <v/>
      </c>
      <c r="D75" s="578"/>
      <c r="E75" s="556"/>
      <c r="F75" s="1618"/>
      <c r="G75" s="1619"/>
      <c r="H75" s="1620"/>
      <c r="I75" s="530"/>
      <c r="J75" s="530"/>
      <c r="K75" s="225"/>
      <c r="L75" s="530"/>
      <c r="M75" s="530"/>
      <c r="N75" s="530"/>
      <c r="O75" s="140">
        <f t="shared" si="12"/>
        <v>0</v>
      </c>
      <c r="P75" s="141">
        <f t="shared" si="13"/>
        <v>0</v>
      </c>
      <c r="Q75" s="141" t="str">
        <f t="shared" si="5"/>
        <v/>
      </c>
      <c r="R75" s="141" t="str">
        <f t="shared" si="6"/>
        <v/>
      </c>
      <c r="S75" s="227">
        <f t="shared" si="11"/>
        <v>0</v>
      </c>
      <c r="T75" s="142" t="str">
        <f xml:space="preserve">
IF(AND(AN75="◎",OR(テーブル!$B$3="交付申請",テーブル!$B$3="交付申請（２次以降）",テーブル!$B$3="変更申請")),"－",
IF(AND(AN75&lt;&gt;"◎",OR(テーブル!$B$3="交付申請",テーブル!$B$3="交付申請（２次以降）",テーブル!$B$3="変更申請")),"",
IF(AND(OR(テーブル!$B$3="実績報告",テーブル!$B$3="交付申請兼実績報告"),AN75="◎"),COUNTIF($AN$14:AN75,"◎"),"")))</f>
        <v/>
      </c>
      <c r="U75" s="142" t="str">
        <f t="shared" si="7"/>
        <v/>
      </c>
      <c r="W75" s="2087" t="str">
        <f t="shared" si="8"/>
        <v/>
      </c>
      <c r="AL75" s="444" t="s">
        <v>68</v>
      </c>
      <c r="AM75" s="450">
        <v>62</v>
      </c>
      <c r="AN75" s="572" t="str">
        <f t="shared" si="9"/>
        <v>○</v>
      </c>
      <c r="AO75" s="451" t="str">
        <f t="shared" si="10"/>
        <v>申請しない場合は入力不要です。</v>
      </c>
      <c r="AQ75" s="451">
        <f t="shared" si="14"/>
        <v>0</v>
      </c>
      <c r="AR75" s="451"/>
    </row>
    <row r="76" spans="1:44" ht="20.100000000000001" customHeight="1" x14ac:dyDescent="0.4">
      <c r="A76" s="226">
        <v>63</v>
      </c>
      <c r="B76" s="628" t="str">
        <f t="shared" si="3"/>
        <v/>
      </c>
      <c r="C76" s="645" t="str">
        <f t="shared" si="4"/>
        <v/>
      </c>
      <c r="D76" s="578"/>
      <c r="E76" s="556"/>
      <c r="F76" s="1618"/>
      <c r="G76" s="1619"/>
      <c r="H76" s="1620"/>
      <c r="I76" s="530"/>
      <c r="J76" s="530"/>
      <c r="K76" s="225"/>
      <c r="L76" s="530"/>
      <c r="M76" s="530"/>
      <c r="N76" s="530"/>
      <c r="O76" s="140">
        <f t="shared" si="12"/>
        <v>0</v>
      </c>
      <c r="P76" s="141">
        <f t="shared" si="13"/>
        <v>0</v>
      </c>
      <c r="Q76" s="141" t="str">
        <f t="shared" si="5"/>
        <v/>
      </c>
      <c r="R76" s="141" t="str">
        <f t="shared" si="6"/>
        <v/>
      </c>
      <c r="S76" s="227">
        <f t="shared" si="11"/>
        <v>0</v>
      </c>
      <c r="T76" s="142" t="str">
        <f xml:space="preserve">
IF(AND(AN76="◎",OR(テーブル!$B$3="交付申請",テーブル!$B$3="交付申請（２次以降）",テーブル!$B$3="変更申請")),"－",
IF(AND(AN76&lt;&gt;"◎",OR(テーブル!$B$3="交付申請",テーブル!$B$3="交付申請（２次以降）",テーブル!$B$3="変更申請")),"",
IF(AND(OR(テーブル!$B$3="実績報告",テーブル!$B$3="交付申請兼実績報告"),AN76="◎"),COUNTIF($AN$14:AN76,"◎"),"")))</f>
        <v/>
      </c>
      <c r="U76" s="142" t="str">
        <f t="shared" si="7"/>
        <v/>
      </c>
      <c r="W76" s="2087" t="str">
        <f t="shared" si="8"/>
        <v/>
      </c>
      <c r="AL76" s="444" t="s">
        <v>68</v>
      </c>
      <c r="AM76" s="450">
        <v>63</v>
      </c>
      <c r="AN76" s="572" t="str">
        <f t="shared" si="9"/>
        <v>○</v>
      </c>
      <c r="AO76" s="451" t="str">
        <f t="shared" si="10"/>
        <v>申請しない場合は入力不要です。</v>
      </c>
      <c r="AQ76" s="451">
        <f t="shared" si="14"/>
        <v>0</v>
      </c>
      <c r="AR76" s="451"/>
    </row>
    <row r="77" spans="1:44" ht="20.100000000000001" customHeight="1" x14ac:dyDescent="0.4">
      <c r="A77" s="226">
        <v>64</v>
      </c>
      <c r="B77" s="628" t="str">
        <f t="shared" si="3"/>
        <v/>
      </c>
      <c r="C77" s="645" t="str">
        <f t="shared" si="4"/>
        <v/>
      </c>
      <c r="D77" s="578"/>
      <c r="E77" s="556"/>
      <c r="F77" s="1618"/>
      <c r="G77" s="1619"/>
      <c r="H77" s="1620"/>
      <c r="I77" s="530"/>
      <c r="J77" s="530"/>
      <c r="K77" s="225"/>
      <c r="L77" s="530"/>
      <c r="M77" s="530"/>
      <c r="N77" s="530"/>
      <c r="O77" s="140">
        <f t="shared" si="12"/>
        <v>0</v>
      </c>
      <c r="P77" s="141">
        <f t="shared" si="13"/>
        <v>0</v>
      </c>
      <c r="Q77" s="141" t="str">
        <f t="shared" si="5"/>
        <v/>
      </c>
      <c r="R77" s="141" t="str">
        <f t="shared" si="6"/>
        <v/>
      </c>
      <c r="S77" s="227">
        <f t="shared" si="11"/>
        <v>0</v>
      </c>
      <c r="T77" s="142" t="str">
        <f xml:space="preserve">
IF(AND(AN77="◎",OR(テーブル!$B$3="交付申請",テーブル!$B$3="交付申請（２次以降）",テーブル!$B$3="変更申請")),"－",
IF(AND(AN77&lt;&gt;"◎",OR(テーブル!$B$3="交付申請",テーブル!$B$3="交付申請（２次以降）",テーブル!$B$3="変更申請")),"",
IF(AND(OR(テーブル!$B$3="実績報告",テーブル!$B$3="交付申請兼実績報告"),AN77="◎"),COUNTIF($AN$14:AN77,"◎"),"")))</f>
        <v/>
      </c>
      <c r="U77" s="142" t="str">
        <f t="shared" si="7"/>
        <v/>
      </c>
      <c r="W77" s="2087" t="str">
        <f t="shared" si="8"/>
        <v/>
      </c>
      <c r="AL77" s="444" t="s">
        <v>68</v>
      </c>
      <c r="AM77" s="450">
        <v>64</v>
      </c>
      <c r="AN77" s="572" t="str">
        <f t="shared" si="9"/>
        <v>○</v>
      </c>
      <c r="AO77" s="451" t="str">
        <f t="shared" si="10"/>
        <v>申請しない場合は入力不要です。</v>
      </c>
      <c r="AQ77" s="451">
        <f t="shared" si="14"/>
        <v>0</v>
      </c>
      <c r="AR77" s="451"/>
    </row>
    <row r="78" spans="1:44" ht="20.100000000000001" customHeight="1" x14ac:dyDescent="0.4">
      <c r="A78" s="226">
        <v>65</v>
      </c>
      <c r="B78" s="628" t="str">
        <f t="shared" si="3"/>
        <v/>
      </c>
      <c r="C78" s="645" t="str">
        <f t="shared" si="4"/>
        <v/>
      </c>
      <c r="D78" s="578"/>
      <c r="E78" s="556"/>
      <c r="F78" s="1618"/>
      <c r="G78" s="1619"/>
      <c r="H78" s="1620"/>
      <c r="I78" s="530"/>
      <c r="J78" s="530"/>
      <c r="K78" s="225"/>
      <c r="L78" s="530"/>
      <c r="M78" s="530"/>
      <c r="N78" s="530"/>
      <c r="O78" s="140">
        <f t="shared" ref="O78:O113" si="15">ROUNDDOWN(K78*1.1,0)</f>
        <v>0</v>
      </c>
      <c r="P78" s="141">
        <f t="shared" ref="P78:P109" si="16">ROUNDDOWN(J78*O78,0)</f>
        <v>0</v>
      </c>
      <c r="Q78" s="141" t="str">
        <f t="shared" si="5"/>
        <v/>
      </c>
      <c r="R78" s="141" t="str">
        <f t="shared" si="6"/>
        <v/>
      </c>
      <c r="S78" s="227">
        <f t="shared" si="11"/>
        <v>0</v>
      </c>
      <c r="T78" s="142" t="str">
        <f xml:space="preserve">
IF(AND(AN78="◎",OR(テーブル!$B$3="交付申請",テーブル!$B$3="交付申請（２次以降）",テーブル!$B$3="変更申請")),"－",
IF(AND(AN78&lt;&gt;"◎",OR(テーブル!$B$3="交付申請",テーブル!$B$3="交付申請（２次以降）",テーブル!$B$3="変更申請")),"",
IF(AND(OR(テーブル!$B$3="実績報告",テーブル!$B$3="交付申請兼実績報告"),AN78="◎"),COUNTIF($AN$14:AN78,"◎"),"")))</f>
        <v/>
      </c>
      <c r="U78" s="142" t="str">
        <f t="shared" si="7"/>
        <v/>
      </c>
      <c r="W78" s="2087" t="str">
        <f t="shared" si="8"/>
        <v/>
      </c>
      <c r="AL78" s="444" t="s">
        <v>68</v>
      </c>
      <c r="AM78" s="450">
        <v>65</v>
      </c>
      <c r="AN78" s="572" t="str">
        <f t="shared" si="9"/>
        <v>○</v>
      </c>
      <c r="AO78" s="451" t="str">
        <f t="shared" si="10"/>
        <v>申請しない場合は入力不要です。</v>
      </c>
      <c r="AQ78" s="451">
        <f t="shared" ref="AQ78:AQ113" si="17">I78*J78</f>
        <v>0</v>
      </c>
      <c r="AR78" s="451"/>
    </row>
    <row r="79" spans="1:44" ht="20.100000000000001" customHeight="1" x14ac:dyDescent="0.4">
      <c r="A79" s="226">
        <v>66</v>
      </c>
      <c r="B79" s="628" t="str">
        <f t="shared" ref="B79:B113" si="18">IFERROR(DATE(IF(L79=5,2023,IF(L79=6,2024)),M79,N79)&amp;E79,"")</f>
        <v/>
      </c>
      <c r="C79" s="645" t="str">
        <f t="shared" ref="C79:C142" si="19">IFERROR(DATE(IF(L79=5,2023,IF(L79=6,2024)),M79,N79),"")</f>
        <v/>
      </c>
      <c r="D79" s="578"/>
      <c r="E79" s="556"/>
      <c r="F79" s="1618"/>
      <c r="G79" s="1619"/>
      <c r="H79" s="1620"/>
      <c r="I79" s="530"/>
      <c r="J79" s="530"/>
      <c r="K79" s="225"/>
      <c r="L79" s="530"/>
      <c r="M79" s="530"/>
      <c r="N79" s="530"/>
      <c r="O79" s="140">
        <f t="shared" si="15"/>
        <v>0</v>
      </c>
      <c r="P79" s="141">
        <f t="shared" si="16"/>
        <v>0</v>
      </c>
      <c r="Q79" s="141" t="str">
        <f t="shared" ref="Q79:Q142" si="20">IFERROR(I79*J79*VLOOKUP(E79,$BA$124:$BC$140,3,FALSE),"")</f>
        <v/>
      </c>
      <c r="R79" s="141" t="str">
        <f t="shared" ref="R79:R113" si="21">IF(Q79="","",MIN(P79,Q79))</f>
        <v/>
      </c>
      <c r="S79" s="227">
        <f t="shared" si="11"/>
        <v>0</v>
      </c>
      <c r="T79" s="142" t="str">
        <f xml:space="preserve">
IF(AND(AN79="◎",OR(テーブル!$B$3="交付申請",テーブル!$B$3="交付申請（２次以降）",テーブル!$B$3="変更申請")),"－",
IF(AND(AN79&lt;&gt;"◎",OR(テーブル!$B$3="交付申請",テーブル!$B$3="交付申請（２次以降）",テーブル!$B$3="変更申請")),"",
IF(AND(OR(テーブル!$B$3="実績報告",テーブル!$B$3="交付申請兼実績報告"),AN79="◎"),COUNTIF($AN$14:AN79,"◎"),"")))</f>
        <v/>
      </c>
      <c r="U79" s="142" t="str">
        <f t="shared" ref="U79:U142" si="22">IFERROR(
"@"&amp;TEXT(ROUNDUP(O79/I79,0),"#,###円")&amp;
IF(ROUNDUP(O79/I79,0)&lt;VLOOKUP(E79,$BA$124:$BC$140,3,FALSE),"&lt;",
IF(ROUNDUP(O79/I79,0)=VLOOKUP(E79,$BA$124:$BC$140,3,FALSE),"=",
IF(ROUNDUP(O79/I79,0)&gt;VLOOKUP(E79,$BA$124:$BC$140,3,FALSE),"&gt;")))&amp;
"上限@"&amp;TEXT(VLOOKUP(E79,$BA$124:$BC$140,3,FALSE),"#,###円"),"")</f>
        <v/>
      </c>
      <c r="W79" s="2087" t="str">
        <f t="shared" ref="W79:W142" si="23" xml:space="preserve">
IF(AN79&lt;&gt;"◎","",
DATE(IF(L79=5,2023,IF(L79=6,2024)),M79,N79))</f>
        <v/>
      </c>
      <c r="AL79" s="444" t="s">
        <v>68</v>
      </c>
      <c r="AM79" s="450">
        <v>66</v>
      </c>
      <c r="AN79" s="572" t="str">
        <f t="shared" ref="AN79:AN142" si="24" xml:space="preserve">
IF(COUNTA(D79:N79)=0,"○",
IF(AND(COUNTA(D79:N79)&gt;=1,COUNTA(D79:N79)&lt;9),"×",
IF(COUNTA(D79:N79)=9,"◎")))</f>
        <v>○</v>
      </c>
      <c r="AO79" s="451" t="str">
        <f t="shared" ref="AO79:AO142" si="25" xml:space="preserve">
IF(COUNTA(D79:N79)=0,"申請しない場合は入力不要です。",
IF(AND(COUNTA(D79:N79)&gt;=1,COUNTA(D79:N79)&lt;9),"【要修正】未入力の箇所があります。",
IF(COUNTA(D79:N79)=9,"適切に入力がされました。")))</f>
        <v>申請しない場合は入力不要です。</v>
      </c>
      <c r="AQ79" s="451">
        <f t="shared" si="17"/>
        <v>0</v>
      </c>
      <c r="AR79" s="451"/>
    </row>
    <row r="80" spans="1:44" ht="20.100000000000001" customHeight="1" x14ac:dyDescent="0.4">
      <c r="A80" s="226">
        <v>67</v>
      </c>
      <c r="B80" s="628" t="str">
        <f t="shared" si="18"/>
        <v/>
      </c>
      <c r="C80" s="645" t="str">
        <f t="shared" si="19"/>
        <v/>
      </c>
      <c r="D80" s="578"/>
      <c r="E80" s="556"/>
      <c r="F80" s="1618"/>
      <c r="G80" s="1619"/>
      <c r="H80" s="1620"/>
      <c r="I80" s="530"/>
      <c r="J80" s="530"/>
      <c r="K80" s="225"/>
      <c r="L80" s="530"/>
      <c r="M80" s="530"/>
      <c r="N80" s="530"/>
      <c r="O80" s="140">
        <f t="shared" si="15"/>
        <v>0</v>
      </c>
      <c r="P80" s="141">
        <f t="shared" si="16"/>
        <v>0</v>
      </c>
      <c r="Q80" s="141" t="str">
        <f t="shared" si="20"/>
        <v/>
      </c>
      <c r="R80" s="141" t="str">
        <f>IF(Q80="","",MIN(P80,Q80))</f>
        <v/>
      </c>
      <c r="S80" s="227">
        <f t="shared" ref="S80:S143" si="26" xml:space="preserve">
IF(AN80="◎",I80*J80,0)</f>
        <v>0</v>
      </c>
      <c r="T80" s="142" t="str">
        <f xml:space="preserve">
IF(AND(AN80="◎",OR(テーブル!$B$3="交付申請",テーブル!$B$3="交付申請（２次以降）",テーブル!$B$3="変更申請")),"－",
IF(AND(AN80&lt;&gt;"◎",OR(テーブル!$B$3="交付申請",テーブル!$B$3="交付申請（２次以降）",テーブル!$B$3="変更申請")),"",
IF(AND(OR(テーブル!$B$3="実績報告",テーブル!$B$3="交付申請兼実績報告"),AN80="◎"),COUNTIF($AN$14:AN80,"◎"),"")))</f>
        <v/>
      </c>
      <c r="U80" s="142" t="str">
        <f t="shared" si="22"/>
        <v/>
      </c>
      <c r="W80" s="2087" t="str">
        <f t="shared" si="23"/>
        <v/>
      </c>
      <c r="AL80" s="444" t="s">
        <v>68</v>
      </c>
      <c r="AM80" s="450">
        <v>67</v>
      </c>
      <c r="AN80" s="572" t="str">
        <f t="shared" si="24"/>
        <v>○</v>
      </c>
      <c r="AO80" s="451" t="str">
        <f t="shared" si="25"/>
        <v>申請しない場合は入力不要です。</v>
      </c>
      <c r="AQ80" s="451">
        <f t="shared" si="17"/>
        <v>0</v>
      </c>
      <c r="AR80" s="451"/>
    </row>
    <row r="81" spans="1:44" ht="20.100000000000001" customHeight="1" x14ac:dyDescent="0.4">
      <c r="A81" s="226">
        <v>68</v>
      </c>
      <c r="B81" s="628" t="str">
        <f t="shared" si="18"/>
        <v/>
      </c>
      <c r="C81" s="645" t="str">
        <f t="shared" si="19"/>
        <v/>
      </c>
      <c r="D81" s="578"/>
      <c r="E81" s="556"/>
      <c r="F81" s="1618"/>
      <c r="G81" s="1619"/>
      <c r="H81" s="1620"/>
      <c r="I81" s="530"/>
      <c r="J81" s="530"/>
      <c r="K81" s="225"/>
      <c r="L81" s="530"/>
      <c r="M81" s="530"/>
      <c r="N81" s="530"/>
      <c r="O81" s="140">
        <f t="shared" si="15"/>
        <v>0</v>
      </c>
      <c r="P81" s="141">
        <f t="shared" si="16"/>
        <v>0</v>
      </c>
      <c r="Q81" s="141" t="str">
        <f t="shared" si="20"/>
        <v/>
      </c>
      <c r="R81" s="141" t="str">
        <f t="shared" si="21"/>
        <v/>
      </c>
      <c r="S81" s="227">
        <f t="shared" si="26"/>
        <v>0</v>
      </c>
      <c r="T81" s="142" t="str">
        <f xml:space="preserve">
IF(AND(AN81="◎",OR(テーブル!$B$3="交付申請",テーブル!$B$3="交付申請（２次以降）",テーブル!$B$3="変更申請")),"－",
IF(AND(AN81&lt;&gt;"◎",OR(テーブル!$B$3="交付申請",テーブル!$B$3="交付申請（２次以降）",テーブル!$B$3="変更申請")),"",
IF(AND(OR(テーブル!$B$3="実績報告",テーブル!$B$3="交付申請兼実績報告"),AN81="◎"),COUNTIF($AN$14:AN81,"◎"),"")))</f>
        <v/>
      </c>
      <c r="U81" s="142" t="str">
        <f t="shared" si="22"/>
        <v/>
      </c>
      <c r="W81" s="2087" t="str">
        <f t="shared" si="23"/>
        <v/>
      </c>
      <c r="AL81" s="444" t="s">
        <v>68</v>
      </c>
      <c r="AM81" s="450">
        <v>68</v>
      </c>
      <c r="AN81" s="572" t="str">
        <f t="shared" si="24"/>
        <v>○</v>
      </c>
      <c r="AO81" s="451" t="str">
        <f t="shared" si="25"/>
        <v>申請しない場合は入力不要です。</v>
      </c>
      <c r="AQ81" s="451">
        <f t="shared" si="17"/>
        <v>0</v>
      </c>
      <c r="AR81" s="451"/>
    </row>
    <row r="82" spans="1:44" ht="20.100000000000001" customHeight="1" x14ac:dyDescent="0.4">
      <c r="A82" s="226">
        <v>69</v>
      </c>
      <c r="B82" s="628" t="str">
        <f t="shared" si="18"/>
        <v/>
      </c>
      <c r="C82" s="645" t="str">
        <f t="shared" si="19"/>
        <v/>
      </c>
      <c r="D82" s="578"/>
      <c r="E82" s="556"/>
      <c r="F82" s="1618"/>
      <c r="G82" s="1619"/>
      <c r="H82" s="1620"/>
      <c r="I82" s="530"/>
      <c r="J82" s="530"/>
      <c r="K82" s="225"/>
      <c r="L82" s="530"/>
      <c r="M82" s="530"/>
      <c r="N82" s="530"/>
      <c r="O82" s="140">
        <f t="shared" si="15"/>
        <v>0</v>
      </c>
      <c r="P82" s="141">
        <f t="shared" si="16"/>
        <v>0</v>
      </c>
      <c r="Q82" s="141" t="str">
        <f t="shared" si="20"/>
        <v/>
      </c>
      <c r="R82" s="141" t="str">
        <f t="shared" si="21"/>
        <v/>
      </c>
      <c r="S82" s="227">
        <f t="shared" si="26"/>
        <v>0</v>
      </c>
      <c r="T82" s="142" t="str">
        <f xml:space="preserve">
IF(AND(AN82="◎",OR(テーブル!$B$3="交付申請",テーブル!$B$3="交付申請（２次以降）",テーブル!$B$3="変更申請")),"－",
IF(AND(AN82&lt;&gt;"◎",OR(テーブル!$B$3="交付申請",テーブル!$B$3="交付申請（２次以降）",テーブル!$B$3="変更申請")),"",
IF(AND(OR(テーブル!$B$3="実績報告",テーブル!$B$3="交付申請兼実績報告"),AN82="◎"),COUNTIF($AN$14:AN82,"◎"),"")))</f>
        <v/>
      </c>
      <c r="U82" s="142" t="str">
        <f t="shared" si="22"/>
        <v/>
      </c>
      <c r="W82" s="2087" t="str">
        <f t="shared" si="23"/>
        <v/>
      </c>
      <c r="AL82" s="444" t="s">
        <v>68</v>
      </c>
      <c r="AM82" s="450">
        <v>69</v>
      </c>
      <c r="AN82" s="572" t="str">
        <f t="shared" si="24"/>
        <v>○</v>
      </c>
      <c r="AO82" s="451" t="str">
        <f t="shared" si="25"/>
        <v>申請しない場合は入力不要です。</v>
      </c>
      <c r="AQ82" s="451">
        <f t="shared" si="17"/>
        <v>0</v>
      </c>
      <c r="AR82" s="451"/>
    </row>
    <row r="83" spans="1:44" ht="20.100000000000001" customHeight="1" x14ac:dyDescent="0.4">
      <c r="A83" s="226">
        <v>70</v>
      </c>
      <c r="B83" s="628" t="str">
        <f t="shared" si="18"/>
        <v/>
      </c>
      <c r="C83" s="645" t="str">
        <f t="shared" si="19"/>
        <v/>
      </c>
      <c r="D83" s="578"/>
      <c r="E83" s="556"/>
      <c r="F83" s="1618"/>
      <c r="G83" s="1619"/>
      <c r="H83" s="1620"/>
      <c r="I83" s="530"/>
      <c r="J83" s="530"/>
      <c r="K83" s="225"/>
      <c r="L83" s="530"/>
      <c r="M83" s="530"/>
      <c r="N83" s="530"/>
      <c r="O83" s="140">
        <f t="shared" si="15"/>
        <v>0</v>
      </c>
      <c r="P83" s="141">
        <f t="shared" si="16"/>
        <v>0</v>
      </c>
      <c r="Q83" s="141" t="str">
        <f t="shared" si="20"/>
        <v/>
      </c>
      <c r="R83" s="141" t="str">
        <f t="shared" si="21"/>
        <v/>
      </c>
      <c r="S83" s="227">
        <f t="shared" si="26"/>
        <v>0</v>
      </c>
      <c r="T83" s="142" t="str">
        <f xml:space="preserve">
IF(AND(AN83="◎",OR(テーブル!$B$3="交付申請",テーブル!$B$3="交付申請（２次以降）",テーブル!$B$3="変更申請")),"－",
IF(AND(AN83&lt;&gt;"◎",OR(テーブル!$B$3="交付申請",テーブル!$B$3="交付申請（２次以降）",テーブル!$B$3="変更申請")),"",
IF(AND(OR(テーブル!$B$3="実績報告",テーブル!$B$3="交付申請兼実績報告"),AN83="◎"),COUNTIF($AN$14:AN83,"◎"),"")))</f>
        <v/>
      </c>
      <c r="U83" s="142" t="str">
        <f t="shared" si="22"/>
        <v/>
      </c>
      <c r="W83" s="2087" t="str">
        <f t="shared" si="23"/>
        <v/>
      </c>
      <c r="AL83" s="444" t="s">
        <v>68</v>
      </c>
      <c r="AM83" s="450">
        <v>70</v>
      </c>
      <c r="AN83" s="572" t="str">
        <f t="shared" si="24"/>
        <v>○</v>
      </c>
      <c r="AO83" s="451" t="str">
        <f t="shared" si="25"/>
        <v>申請しない場合は入力不要です。</v>
      </c>
      <c r="AQ83" s="451">
        <f t="shared" si="17"/>
        <v>0</v>
      </c>
      <c r="AR83" s="451"/>
    </row>
    <row r="84" spans="1:44" ht="20.100000000000001" customHeight="1" x14ac:dyDescent="0.4">
      <c r="A84" s="226">
        <v>71</v>
      </c>
      <c r="B84" s="628" t="str">
        <f t="shared" si="18"/>
        <v/>
      </c>
      <c r="C84" s="645" t="str">
        <f t="shared" si="19"/>
        <v/>
      </c>
      <c r="D84" s="578"/>
      <c r="E84" s="556"/>
      <c r="F84" s="1618"/>
      <c r="G84" s="1619"/>
      <c r="H84" s="1620"/>
      <c r="I84" s="530"/>
      <c r="J84" s="530"/>
      <c r="K84" s="225"/>
      <c r="L84" s="530"/>
      <c r="M84" s="530"/>
      <c r="N84" s="530"/>
      <c r="O84" s="140">
        <f t="shared" si="15"/>
        <v>0</v>
      </c>
      <c r="P84" s="141">
        <f t="shared" si="16"/>
        <v>0</v>
      </c>
      <c r="Q84" s="141" t="str">
        <f t="shared" si="20"/>
        <v/>
      </c>
      <c r="R84" s="141" t="str">
        <f t="shared" si="21"/>
        <v/>
      </c>
      <c r="S84" s="227">
        <f t="shared" si="26"/>
        <v>0</v>
      </c>
      <c r="T84" s="142" t="str">
        <f xml:space="preserve">
IF(AND(AN84="◎",OR(テーブル!$B$3="交付申請",テーブル!$B$3="交付申請（２次以降）",テーブル!$B$3="変更申請")),"－",
IF(AND(AN84&lt;&gt;"◎",OR(テーブル!$B$3="交付申請",テーブル!$B$3="交付申請（２次以降）",テーブル!$B$3="変更申請")),"",
IF(AND(OR(テーブル!$B$3="実績報告",テーブル!$B$3="交付申請兼実績報告"),AN84="◎"),COUNTIF($AN$14:AN84,"◎"),"")))</f>
        <v/>
      </c>
      <c r="U84" s="142" t="str">
        <f t="shared" si="22"/>
        <v/>
      </c>
      <c r="W84" s="2087" t="str">
        <f t="shared" si="23"/>
        <v/>
      </c>
      <c r="AL84" s="444" t="s">
        <v>68</v>
      </c>
      <c r="AM84" s="450">
        <v>71</v>
      </c>
      <c r="AN84" s="572" t="str">
        <f t="shared" si="24"/>
        <v>○</v>
      </c>
      <c r="AO84" s="451" t="str">
        <f t="shared" si="25"/>
        <v>申請しない場合は入力不要です。</v>
      </c>
      <c r="AQ84" s="451">
        <f t="shared" si="17"/>
        <v>0</v>
      </c>
      <c r="AR84" s="451"/>
    </row>
    <row r="85" spans="1:44" ht="20.100000000000001" customHeight="1" x14ac:dyDescent="0.4">
      <c r="A85" s="226">
        <v>72</v>
      </c>
      <c r="B85" s="628" t="str">
        <f t="shared" si="18"/>
        <v/>
      </c>
      <c r="C85" s="645" t="str">
        <f t="shared" si="19"/>
        <v/>
      </c>
      <c r="D85" s="578"/>
      <c r="E85" s="556"/>
      <c r="F85" s="1618"/>
      <c r="G85" s="1619"/>
      <c r="H85" s="1620"/>
      <c r="I85" s="530"/>
      <c r="J85" s="530"/>
      <c r="K85" s="225"/>
      <c r="L85" s="530"/>
      <c r="M85" s="530"/>
      <c r="N85" s="530"/>
      <c r="O85" s="140">
        <f t="shared" si="15"/>
        <v>0</v>
      </c>
      <c r="P85" s="141">
        <f t="shared" si="16"/>
        <v>0</v>
      </c>
      <c r="Q85" s="141" t="str">
        <f t="shared" si="20"/>
        <v/>
      </c>
      <c r="R85" s="141" t="str">
        <f t="shared" si="21"/>
        <v/>
      </c>
      <c r="S85" s="227">
        <f t="shared" si="26"/>
        <v>0</v>
      </c>
      <c r="T85" s="142" t="str">
        <f xml:space="preserve">
IF(AND(AN85="◎",OR(テーブル!$B$3="交付申請",テーブル!$B$3="交付申請（２次以降）",テーブル!$B$3="変更申請")),"－",
IF(AND(AN85&lt;&gt;"◎",OR(テーブル!$B$3="交付申請",テーブル!$B$3="交付申請（２次以降）",テーブル!$B$3="変更申請")),"",
IF(AND(OR(テーブル!$B$3="実績報告",テーブル!$B$3="交付申請兼実績報告"),AN85="◎"),COUNTIF($AN$14:AN85,"◎"),"")))</f>
        <v/>
      </c>
      <c r="U85" s="142" t="str">
        <f t="shared" si="22"/>
        <v/>
      </c>
      <c r="W85" s="2087" t="str">
        <f t="shared" si="23"/>
        <v/>
      </c>
      <c r="AL85" s="444" t="s">
        <v>68</v>
      </c>
      <c r="AM85" s="450">
        <v>72</v>
      </c>
      <c r="AN85" s="572" t="str">
        <f t="shared" si="24"/>
        <v>○</v>
      </c>
      <c r="AO85" s="451" t="str">
        <f t="shared" si="25"/>
        <v>申請しない場合は入力不要です。</v>
      </c>
      <c r="AQ85" s="451">
        <f t="shared" si="17"/>
        <v>0</v>
      </c>
      <c r="AR85" s="451"/>
    </row>
    <row r="86" spans="1:44" ht="20.100000000000001" customHeight="1" x14ac:dyDescent="0.4">
      <c r="A86" s="226">
        <v>73</v>
      </c>
      <c r="B86" s="628" t="str">
        <f t="shared" si="18"/>
        <v/>
      </c>
      <c r="C86" s="645" t="str">
        <f t="shared" si="19"/>
        <v/>
      </c>
      <c r="D86" s="578"/>
      <c r="E86" s="556"/>
      <c r="F86" s="1618"/>
      <c r="G86" s="1619"/>
      <c r="H86" s="1620"/>
      <c r="I86" s="530"/>
      <c r="J86" s="530"/>
      <c r="K86" s="225"/>
      <c r="L86" s="530"/>
      <c r="M86" s="530"/>
      <c r="N86" s="530"/>
      <c r="O86" s="140">
        <f t="shared" si="15"/>
        <v>0</v>
      </c>
      <c r="P86" s="141">
        <f t="shared" si="16"/>
        <v>0</v>
      </c>
      <c r="Q86" s="141" t="str">
        <f t="shared" si="20"/>
        <v/>
      </c>
      <c r="R86" s="141" t="str">
        <f t="shared" si="21"/>
        <v/>
      </c>
      <c r="S86" s="227">
        <f t="shared" si="26"/>
        <v>0</v>
      </c>
      <c r="T86" s="142" t="str">
        <f xml:space="preserve">
IF(AND(AN86="◎",OR(テーブル!$B$3="交付申請",テーブル!$B$3="交付申請（２次以降）",テーブル!$B$3="変更申請")),"－",
IF(AND(AN86&lt;&gt;"◎",OR(テーブル!$B$3="交付申請",テーブル!$B$3="交付申請（２次以降）",テーブル!$B$3="変更申請")),"",
IF(AND(OR(テーブル!$B$3="実績報告",テーブル!$B$3="交付申請兼実績報告"),AN86="◎"),COUNTIF($AN$14:AN86,"◎"),"")))</f>
        <v/>
      </c>
      <c r="U86" s="142" t="str">
        <f t="shared" si="22"/>
        <v/>
      </c>
      <c r="W86" s="2087" t="str">
        <f t="shared" si="23"/>
        <v/>
      </c>
      <c r="AL86" s="444" t="s">
        <v>68</v>
      </c>
      <c r="AM86" s="450">
        <v>73</v>
      </c>
      <c r="AN86" s="572" t="str">
        <f t="shared" si="24"/>
        <v>○</v>
      </c>
      <c r="AO86" s="451" t="str">
        <f t="shared" si="25"/>
        <v>申請しない場合は入力不要です。</v>
      </c>
      <c r="AQ86" s="451">
        <f t="shared" si="17"/>
        <v>0</v>
      </c>
      <c r="AR86" s="451"/>
    </row>
    <row r="87" spans="1:44" ht="20.100000000000001" customHeight="1" x14ac:dyDescent="0.4">
      <c r="A87" s="226">
        <v>74</v>
      </c>
      <c r="B87" s="628" t="str">
        <f t="shared" si="18"/>
        <v/>
      </c>
      <c r="C87" s="645" t="str">
        <f t="shared" si="19"/>
        <v/>
      </c>
      <c r="D87" s="578"/>
      <c r="E87" s="556"/>
      <c r="F87" s="1618"/>
      <c r="G87" s="1619"/>
      <c r="H87" s="1620"/>
      <c r="I87" s="530"/>
      <c r="J87" s="530"/>
      <c r="K87" s="225"/>
      <c r="L87" s="530"/>
      <c r="M87" s="530"/>
      <c r="N87" s="530"/>
      <c r="O87" s="140">
        <f t="shared" si="15"/>
        <v>0</v>
      </c>
      <c r="P87" s="141">
        <f t="shared" si="16"/>
        <v>0</v>
      </c>
      <c r="Q87" s="141" t="str">
        <f t="shared" si="20"/>
        <v/>
      </c>
      <c r="R87" s="141" t="str">
        <f t="shared" si="21"/>
        <v/>
      </c>
      <c r="S87" s="227">
        <f t="shared" si="26"/>
        <v>0</v>
      </c>
      <c r="T87" s="142" t="str">
        <f xml:space="preserve">
IF(AND(AN87="◎",OR(テーブル!$B$3="交付申請",テーブル!$B$3="交付申請（２次以降）",テーブル!$B$3="変更申請")),"－",
IF(AND(AN87&lt;&gt;"◎",OR(テーブル!$B$3="交付申請",テーブル!$B$3="交付申請（２次以降）",テーブル!$B$3="変更申請")),"",
IF(AND(OR(テーブル!$B$3="実績報告",テーブル!$B$3="交付申請兼実績報告"),AN87="◎"),COUNTIF($AN$14:AN87,"◎"),"")))</f>
        <v/>
      </c>
      <c r="U87" s="142" t="str">
        <f t="shared" si="22"/>
        <v/>
      </c>
      <c r="W87" s="2087" t="str">
        <f t="shared" si="23"/>
        <v/>
      </c>
      <c r="AL87" s="444" t="s">
        <v>68</v>
      </c>
      <c r="AM87" s="450">
        <v>74</v>
      </c>
      <c r="AN87" s="572" t="str">
        <f t="shared" si="24"/>
        <v>○</v>
      </c>
      <c r="AO87" s="451" t="str">
        <f t="shared" si="25"/>
        <v>申請しない場合は入力不要です。</v>
      </c>
      <c r="AQ87" s="451">
        <f t="shared" si="17"/>
        <v>0</v>
      </c>
      <c r="AR87" s="451"/>
    </row>
    <row r="88" spans="1:44" ht="20.100000000000001" customHeight="1" x14ac:dyDescent="0.4">
      <c r="A88" s="226">
        <v>75</v>
      </c>
      <c r="B88" s="628" t="str">
        <f t="shared" si="18"/>
        <v/>
      </c>
      <c r="C88" s="645" t="str">
        <f t="shared" si="19"/>
        <v/>
      </c>
      <c r="D88" s="578"/>
      <c r="E88" s="556"/>
      <c r="F88" s="1618"/>
      <c r="G88" s="1619"/>
      <c r="H88" s="1620"/>
      <c r="I88" s="530"/>
      <c r="J88" s="530"/>
      <c r="K88" s="225"/>
      <c r="L88" s="530"/>
      <c r="M88" s="530"/>
      <c r="N88" s="530"/>
      <c r="O88" s="140">
        <f t="shared" si="15"/>
        <v>0</v>
      </c>
      <c r="P88" s="141">
        <f t="shared" si="16"/>
        <v>0</v>
      </c>
      <c r="Q88" s="141" t="str">
        <f t="shared" si="20"/>
        <v/>
      </c>
      <c r="R88" s="141" t="str">
        <f t="shared" si="21"/>
        <v/>
      </c>
      <c r="S88" s="227">
        <f t="shared" si="26"/>
        <v>0</v>
      </c>
      <c r="T88" s="142" t="str">
        <f xml:space="preserve">
IF(AND(AN88="◎",OR(テーブル!$B$3="交付申請",テーブル!$B$3="交付申請（２次以降）",テーブル!$B$3="変更申請")),"－",
IF(AND(AN88&lt;&gt;"◎",OR(テーブル!$B$3="交付申請",テーブル!$B$3="交付申請（２次以降）",テーブル!$B$3="変更申請")),"",
IF(AND(OR(テーブル!$B$3="実績報告",テーブル!$B$3="交付申請兼実績報告"),AN88="◎"),COUNTIF($AN$14:AN88,"◎"),"")))</f>
        <v/>
      </c>
      <c r="U88" s="142" t="str">
        <f t="shared" si="22"/>
        <v/>
      </c>
      <c r="W88" s="2087" t="str">
        <f t="shared" si="23"/>
        <v/>
      </c>
      <c r="AL88" s="444" t="s">
        <v>68</v>
      </c>
      <c r="AM88" s="450">
        <v>75</v>
      </c>
      <c r="AN88" s="572" t="str">
        <f t="shared" si="24"/>
        <v>○</v>
      </c>
      <c r="AO88" s="451" t="str">
        <f t="shared" si="25"/>
        <v>申請しない場合は入力不要です。</v>
      </c>
      <c r="AQ88" s="451">
        <f t="shared" si="17"/>
        <v>0</v>
      </c>
      <c r="AR88" s="451"/>
    </row>
    <row r="89" spans="1:44" ht="20.100000000000001" customHeight="1" x14ac:dyDescent="0.4">
      <c r="A89" s="226">
        <v>76</v>
      </c>
      <c r="B89" s="628" t="str">
        <f t="shared" si="18"/>
        <v/>
      </c>
      <c r="C89" s="645" t="str">
        <f t="shared" si="19"/>
        <v/>
      </c>
      <c r="D89" s="578"/>
      <c r="E89" s="556"/>
      <c r="F89" s="1618"/>
      <c r="G89" s="1619"/>
      <c r="H89" s="1620"/>
      <c r="I89" s="530"/>
      <c r="J89" s="530"/>
      <c r="K89" s="225"/>
      <c r="L89" s="530"/>
      <c r="M89" s="530"/>
      <c r="N89" s="530"/>
      <c r="O89" s="140">
        <f t="shared" si="15"/>
        <v>0</v>
      </c>
      <c r="P89" s="141">
        <f t="shared" si="16"/>
        <v>0</v>
      </c>
      <c r="Q89" s="141" t="str">
        <f t="shared" si="20"/>
        <v/>
      </c>
      <c r="R89" s="141" t="str">
        <f t="shared" si="21"/>
        <v/>
      </c>
      <c r="S89" s="227">
        <f t="shared" si="26"/>
        <v>0</v>
      </c>
      <c r="T89" s="142" t="str">
        <f xml:space="preserve">
IF(AND(AN89="◎",OR(テーブル!$B$3="交付申請",テーブル!$B$3="交付申請（２次以降）",テーブル!$B$3="変更申請")),"－",
IF(AND(AN89&lt;&gt;"◎",OR(テーブル!$B$3="交付申請",テーブル!$B$3="交付申請（２次以降）",テーブル!$B$3="変更申請")),"",
IF(AND(OR(テーブル!$B$3="実績報告",テーブル!$B$3="交付申請兼実績報告"),AN89="◎"),COUNTIF($AN$14:AN89,"◎"),"")))</f>
        <v/>
      </c>
      <c r="U89" s="142" t="str">
        <f t="shared" si="22"/>
        <v/>
      </c>
      <c r="W89" s="2087" t="str">
        <f t="shared" si="23"/>
        <v/>
      </c>
      <c r="AL89" s="444" t="s">
        <v>68</v>
      </c>
      <c r="AM89" s="450">
        <v>76</v>
      </c>
      <c r="AN89" s="572" t="str">
        <f t="shared" si="24"/>
        <v>○</v>
      </c>
      <c r="AO89" s="451" t="str">
        <f t="shared" si="25"/>
        <v>申請しない場合は入力不要です。</v>
      </c>
      <c r="AQ89" s="451">
        <f t="shared" si="17"/>
        <v>0</v>
      </c>
      <c r="AR89" s="451"/>
    </row>
    <row r="90" spans="1:44" ht="20.100000000000001" customHeight="1" x14ac:dyDescent="0.4">
      <c r="A90" s="226">
        <v>77</v>
      </c>
      <c r="B90" s="628" t="str">
        <f t="shared" si="18"/>
        <v/>
      </c>
      <c r="C90" s="645" t="str">
        <f t="shared" si="19"/>
        <v/>
      </c>
      <c r="D90" s="578"/>
      <c r="E90" s="556"/>
      <c r="F90" s="1618"/>
      <c r="G90" s="1619"/>
      <c r="H90" s="1620"/>
      <c r="I90" s="530"/>
      <c r="J90" s="530"/>
      <c r="K90" s="225"/>
      <c r="L90" s="530"/>
      <c r="M90" s="530"/>
      <c r="N90" s="530"/>
      <c r="O90" s="140">
        <f t="shared" si="15"/>
        <v>0</v>
      </c>
      <c r="P90" s="141">
        <f t="shared" si="16"/>
        <v>0</v>
      </c>
      <c r="Q90" s="141" t="str">
        <f t="shared" si="20"/>
        <v/>
      </c>
      <c r="R90" s="141" t="str">
        <f t="shared" si="21"/>
        <v/>
      </c>
      <c r="S90" s="227">
        <f t="shared" si="26"/>
        <v>0</v>
      </c>
      <c r="T90" s="142" t="str">
        <f xml:space="preserve">
IF(AND(AN90="◎",OR(テーブル!$B$3="交付申請",テーブル!$B$3="交付申請（２次以降）",テーブル!$B$3="変更申請")),"－",
IF(AND(AN90&lt;&gt;"◎",OR(テーブル!$B$3="交付申請",テーブル!$B$3="交付申請（２次以降）",テーブル!$B$3="変更申請")),"",
IF(AND(OR(テーブル!$B$3="実績報告",テーブル!$B$3="交付申請兼実績報告"),AN90="◎"),COUNTIF($AN$14:AN90,"◎"),"")))</f>
        <v/>
      </c>
      <c r="U90" s="142" t="str">
        <f t="shared" si="22"/>
        <v/>
      </c>
      <c r="W90" s="2087" t="str">
        <f t="shared" si="23"/>
        <v/>
      </c>
      <c r="AL90" s="444" t="s">
        <v>68</v>
      </c>
      <c r="AM90" s="450">
        <v>77</v>
      </c>
      <c r="AN90" s="572" t="str">
        <f t="shared" si="24"/>
        <v>○</v>
      </c>
      <c r="AO90" s="451" t="str">
        <f t="shared" si="25"/>
        <v>申請しない場合は入力不要です。</v>
      </c>
      <c r="AQ90" s="451">
        <f t="shared" si="17"/>
        <v>0</v>
      </c>
      <c r="AR90" s="451"/>
    </row>
    <row r="91" spans="1:44" ht="20.100000000000001" customHeight="1" x14ac:dyDescent="0.4">
      <c r="A91" s="226">
        <v>78</v>
      </c>
      <c r="B91" s="628" t="str">
        <f t="shared" si="18"/>
        <v/>
      </c>
      <c r="C91" s="645" t="str">
        <f t="shared" si="19"/>
        <v/>
      </c>
      <c r="D91" s="578"/>
      <c r="E91" s="556"/>
      <c r="F91" s="1618"/>
      <c r="G91" s="1619"/>
      <c r="H91" s="1620"/>
      <c r="I91" s="530"/>
      <c r="J91" s="530"/>
      <c r="K91" s="225"/>
      <c r="L91" s="530"/>
      <c r="M91" s="530"/>
      <c r="N91" s="530"/>
      <c r="O91" s="140">
        <f t="shared" si="15"/>
        <v>0</v>
      </c>
      <c r="P91" s="141">
        <f t="shared" si="16"/>
        <v>0</v>
      </c>
      <c r="Q91" s="141" t="str">
        <f t="shared" si="20"/>
        <v/>
      </c>
      <c r="R91" s="141" t="str">
        <f t="shared" si="21"/>
        <v/>
      </c>
      <c r="S91" s="227">
        <f t="shared" si="26"/>
        <v>0</v>
      </c>
      <c r="T91" s="142" t="str">
        <f xml:space="preserve">
IF(AND(AN91="◎",OR(テーブル!$B$3="交付申請",テーブル!$B$3="交付申請（２次以降）",テーブル!$B$3="変更申請")),"－",
IF(AND(AN91&lt;&gt;"◎",OR(テーブル!$B$3="交付申請",テーブル!$B$3="交付申請（２次以降）",テーブル!$B$3="変更申請")),"",
IF(AND(OR(テーブル!$B$3="実績報告",テーブル!$B$3="交付申請兼実績報告"),AN91="◎"),COUNTIF($AN$14:AN91,"◎"),"")))</f>
        <v/>
      </c>
      <c r="U91" s="142" t="str">
        <f t="shared" si="22"/>
        <v/>
      </c>
      <c r="W91" s="2087" t="str">
        <f t="shared" si="23"/>
        <v/>
      </c>
      <c r="AL91" s="444" t="s">
        <v>68</v>
      </c>
      <c r="AM91" s="450">
        <v>78</v>
      </c>
      <c r="AN91" s="572" t="str">
        <f t="shared" si="24"/>
        <v>○</v>
      </c>
      <c r="AO91" s="451" t="str">
        <f t="shared" si="25"/>
        <v>申請しない場合は入力不要です。</v>
      </c>
      <c r="AQ91" s="451">
        <f t="shared" si="17"/>
        <v>0</v>
      </c>
      <c r="AR91" s="451"/>
    </row>
    <row r="92" spans="1:44" ht="20.100000000000001" customHeight="1" x14ac:dyDescent="0.4">
      <c r="A92" s="226">
        <v>79</v>
      </c>
      <c r="B92" s="628" t="str">
        <f t="shared" si="18"/>
        <v/>
      </c>
      <c r="C92" s="645" t="str">
        <f t="shared" si="19"/>
        <v/>
      </c>
      <c r="D92" s="578"/>
      <c r="E92" s="556"/>
      <c r="F92" s="1618"/>
      <c r="G92" s="1619"/>
      <c r="H92" s="1620"/>
      <c r="I92" s="530"/>
      <c r="J92" s="530"/>
      <c r="K92" s="225"/>
      <c r="L92" s="530"/>
      <c r="M92" s="530"/>
      <c r="N92" s="530"/>
      <c r="O92" s="140">
        <f t="shared" si="15"/>
        <v>0</v>
      </c>
      <c r="P92" s="141">
        <f t="shared" si="16"/>
        <v>0</v>
      </c>
      <c r="Q92" s="141" t="str">
        <f t="shared" si="20"/>
        <v/>
      </c>
      <c r="R92" s="141" t="str">
        <f t="shared" si="21"/>
        <v/>
      </c>
      <c r="S92" s="227">
        <f t="shared" si="26"/>
        <v>0</v>
      </c>
      <c r="T92" s="142" t="str">
        <f xml:space="preserve">
IF(AND(AN92="◎",OR(テーブル!$B$3="交付申請",テーブル!$B$3="交付申請（２次以降）",テーブル!$B$3="変更申請")),"－",
IF(AND(AN92&lt;&gt;"◎",OR(テーブル!$B$3="交付申請",テーブル!$B$3="交付申請（２次以降）",テーブル!$B$3="変更申請")),"",
IF(AND(OR(テーブル!$B$3="実績報告",テーブル!$B$3="交付申請兼実績報告"),AN92="◎"),COUNTIF($AN$14:AN92,"◎"),"")))</f>
        <v/>
      </c>
      <c r="U92" s="142" t="str">
        <f t="shared" si="22"/>
        <v/>
      </c>
      <c r="W92" s="2087" t="str">
        <f t="shared" si="23"/>
        <v/>
      </c>
      <c r="AL92" s="444" t="s">
        <v>68</v>
      </c>
      <c r="AM92" s="450">
        <v>79</v>
      </c>
      <c r="AN92" s="572" t="str">
        <f t="shared" si="24"/>
        <v>○</v>
      </c>
      <c r="AO92" s="451" t="str">
        <f t="shared" si="25"/>
        <v>申請しない場合は入力不要です。</v>
      </c>
      <c r="AQ92" s="451">
        <f t="shared" si="17"/>
        <v>0</v>
      </c>
      <c r="AR92" s="451"/>
    </row>
    <row r="93" spans="1:44" ht="20.100000000000001" customHeight="1" x14ac:dyDescent="0.4">
      <c r="A93" s="226">
        <v>80</v>
      </c>
      <c r="B93" s="628" t="str">
        <f t="shared" si="18"/>
        <v/>
      </c>
      <c r="C93" s="645" t="str">
        <f t="shared" si="19"/>
        <v/>
      </c>
      <c r="D93" s="578"/>
      <c r="E93" s="556"/>
      <c r="F93" s="1618"/>
      <c r="G93" s="1619"/>
      <c r="H93" s="1620"/>
      <c r="I93" s="530"/>
      <c r="J93" s="530"/>
      <c r="K93" s="225"/>
      <c r="L93" s="530"/>
      <c r="M93" s="530"/>
      <c r="N93" s="530"/>
      <c r="O93" s="140">
        <f t="shared" si="15"/>
        <v>0</v>
      </c>
      <c r="P93" s="141">
        <f t="shared" si="16"/>
        <v>0</v>
      </c>
      <c r="Q93" s="141" t="str">
        <f t="shared" si="20"/>
        <v/>
      </c>
      <c r="R93" s="141" t="str">
        <f t="shared" si="21"/>
        <v/>
      </c>
      <c r="S93" s="227">
        <f t="shared" si="26"/>
        <v>0</v>
      </c>
      <c r="T93" s="142" t="str">
        <f xml:space="preserve">
IF(AND(AN93="◎",OR(テーブル!$B$3="交付申請",テーブル!$B$3="交付申請（２次以降）",テーブル!$B$3="変更申請")),"－",
IF(AND(AN93&lt;&gt;"◎",OR(テーブル!$B$3="交付申請",テーブル!$B$3="交付申請（２次以降）",テーブル!$B$3="変更申請")),"",
IF(AND(OR(テーブル!$B$3="実績報告",テーブル!$B$3="交付申請兼実績報告"),AN93="◎"),COUNTIF($AN$14:AN93,"◎"),"")))</f>
        <v/>
      </c>
      <c r="U93" s="142" t="str">
        <f t="shared" si="22"/>
        <v/>
      </c>
      <c r="W93" s="2087" t="str">
        <f t="shared" si="23"/>
        <v/>
      </c>
      <c r="AL93" s="444" t="s">
        <v>68</v>
      </c>
      <c r="AM93" s="450">
        <v>80</v>
      </c>
      <c r="AN93" s="572" t="str">
        <f t="shared" si="24"/>
        <v>○</v>
      </c>
      <c r="AO93" s="451" t="str">
        <f t="shared" si="25"/>
        <v>申請しない場合は入力不要です。</v>
      </c>
      <c r="AQ93" s="451">
        <f t="shared" si="17"/>
        <v>0</v>
      </c>
      <c r="AR93" s="451"/>
    </row>
    <row r="94" spans="1:44" ht="20.100000000000001" customHeight="1" x14ac:dyDescent="0.4">
      <c r="A94" s="226">
        <v>81</v>
      </c>
      <c r="B94" s="628" t="str">
        <f t="shared" si="18"/>
        <v/>
      </c>
      <c r="C94" s="645" t="str">
        <f t="shared" si="19"/>
        <v/>
      </c>
      <c r="D94" s="578"/>
      <c r="E94" s="556"/>
      <c r="F94" s="1618"/>
      <c r="G94" s="1619"/>
      <c r="H94" s="1620"/>
      <c r="I94" s="530"/>
      <c r="J94" s="530"/>
      <c r="K94" s="225"/>
      <c r="L94" s="530"/>
      <c r="M94" s="530"/>
      <c r="N94" s="530"/>
      <c r="O94" s="140">
        <f t="shared" si="15"/>
        <v>0</v>
      </c>
      <c r="P94" s="141">
        <f t="shared" si="16"/>
        <v>0</v>
      </c>
      <c r="Q94" s="141" t="str">
        <f t="shared" si="20"/>
        <v/>
      </c>
      <c r="R94" s="141" t="str">
        <f t="shared" si="21"/>
        <v/>
      </c>
      <c r="S94" s="227">
        <f t="shared" si="26"/>
        <v>0</v>
      </c>
      <c r="T94" s="142" t="str">
        <f xml:space="preserve">
IF(AND(AN94="◎",OR(テーブル!$B$3="交付申請",テーブル!$B$3="交付申請（２次以降）",テーブル!$B$3="変更申請")),"－",
IF(AND(AN94&lt;&gt;"◎",OR(テーブル!$B$3="交付申請",テーブル!$B$3="交付申請（２次以降）",テーブル!$B$3="変更申請")),"",
IF(AND(OR(テーブル!$B$3="実績報告",テーブル!$B$3="交付申請兼実績報告"),AN94="◎"),COUNTIF($AN$14:AN94,"◎"),"")))</f>
        <v/>
      </c>
      <c r="U94" s="142" t="str">
        <f t="shared" si="22"/>
        <v/>
      </c>
      <c r="W94" s="2087" t="str">
        <f t="shared" si="23"/>
        <v/>
      </c>
      <c r="AL94" s="444" t="s">
        <v>68</v>
      </c>
      <c r="AM94" s="450">
        <v>81</v>
      </c>
      <c r="AN94" s="572" t="str">
        <f t="shared" si="24"/>
        <v>○</v>
      </c>
      <c r="AO94" s="451" t="str">
        <f t="shared" si="25"/>
        <v>申請しない場合は入力不要です。</v>
      </c>
      <c r="AQ94" s="451">
        <f t="shared" si="17"/>
        <v>0</v>
      </c>
      <c r="AR94" s="451"/>
    </row>
    <row r="95" spans="1:44" ht="20.100000000000001" customHeight="1" x14ac:dyDescent="0.4">
      <c r="A95" s="226">
        <v>82</v>
      </c>
      <c r="B95" s="628" t="str">
        <f t="shared" si="18"/>
        <v/>
      </c>
      <c r="C95" s="645" t="str">
        <f t="shared" si="19"/>
        <v/>
      </c>
      <c r="D95" s="578"/>
      <c r="E95" s="556"/>
      <c r="F95" s="1618"/>
      <c r="G95" s="1619"/>
      <c r="H95" s="1620"/>
      <c r="I95" s="530"/>
      <c r="J95" s="530"/>
      <c r="K95" s="225"/>
      <c r="L95" s="530"/>
      <c r="M95" s="530"/>
      <c r="N95" s="530"/>
      <c r="O95" s="140">
        <f t="shared" si="15"/>
        <v>0</v>
      </c>
      <c r="P95" s="141">
        <f t="shared" si="16"/>
        <v>0</v>
      </c>
      <c r="Q95" s="141" t="str">
        <f t="shared" si="20"/>
        <v/>
      </c>
      <c r="R95" s="141" t="str">
        <f t="shared" si="21"/>
        <v/>
      </c>
      <c r="S95" s="227">
        <f t="shared" si="26"/>
        <v>0</v>
      </c>
      <c r="T95" s="142" t="str">
        <f xml:space="preserve">
IF(AND(AN95="◎",OR(テーブル!$B$3="交付申請",テーブル!$B$3="交付申請（２次以降）",テーブル!$B$3="変更申請")),"－",
IF(AND(AN95&lt;&gt;"◎",OR(テーブル!$B$3="交付申請",テーブル!$B$3="交付申請（２次以降）",テーブル!$B$3="変更申請")),"",
IF(AND(OR(テーブル!$B$3="実績報告",テーブル!$B$3="交付申請兼実績報告"),AN95="◎"),COUNTIF($AN$14:AN95,"◎"),"")))</f>
        <v/>
      </c>
      <c r="U95" s="142" t="str">
        <f t="shared" si="22"/>
        <v/>
      </c>
      <c r="W95" s="2087" t="str">
        <f t="shared" si="23"/>
        <v/>
      </c>
      <c r="AL95" s="444" t="s">
        <v>68</v>
      </c>
      <c r="AM95" s="450">
        <v>82</v>
      </c>
      <c r="AN95" s="572" t="str">
        <f t="shared" si="24"/>
        <v>○</v>
      </c>
      <c r="AO95" s="451" t="str">
        <f t="shared" si="25"/>
        <v>申請しない場合は入力不要です。</v>
      </c>
      <c r="AQ95" s="451">
        <f t="shared" si="17"/>
        <v>0</v>
      </c>
      <c r="AR95" s="451"/>
    </row>
    <row r="96" spans="1:44" ht="20.100000000000001" customHeight="1" x14ac:dyDescent="0.4">
      <c r="A96" s="226">
        <v>83</v>
      </c>
      <c r="B96" s="628" t="str">
        <f t="shared" si="18"/>
        <v/>
      </c>
      <c r="C96" s="645" t="str">
        <f t="shared" si="19"/>
        <v/>
      </c>
      <c r="D96" s="578"/>
      <c r="E96" s="556"/>
      <c r="F96" s="1618"/>
      <c r="G96" s="1619"/>
      <c r="H96" s="1620"/>
      <c r="I96" s="530"/>
      <c r="J96" s="530"/>
      <c r="K96" s="225"/>
      <c r="L96" s="530"/>
      <c r="M96" s="530"/>
      <c r="N96" s="530"/>
      <c r="O96" s="140">
        <f t="shared" si="15"/>
        <v>0</v>
      </c>
      <c r="P96" s="141">
        <f t="shared" si="16"/>
        <v>0</v>
      </c>
      <c r="Q96" s="141" t="str">
        <f t="shared" si="20"/>
        <v/>
      </c>
      <c r="R96" s="141" t="str">
        <f t="shared" si="21"/>
        <v/>
      </c>
      <c r="S96" s="227">
        <f t="shared" si="26"/>
        <v>0</v>
      </c>
      <c r="T96" s="142" t="str">
        <f xml:space="preserve">
IF(AND(AN96="◎",OR(テーブル!$B$3="交付申請",テーブル!$B$3="交付申請（２次以降）",テーブル!$B$3="変更申請")),"－",
IF(AND(AN96&lt;&gt;"◎",OR(テーブル!$B$3="交付申請",テーブル!$B$3="交付申請（２次以降）",テーブル!$B$3="変更申請")),"",
IF(AND(OR(テーブル!$B$3="実績報告",テーブル!$B$3="交付申請兼実績報告"),AN96="◎"),COUNTIF($AN$14:AN96,"◎"),"")))</f>
        <v/>
      </c>
      <c r="U96" s="142" t="str">
        <f t="shared" si="22"/>
        <v/>
      </c>
      <c r="W96" s="2087" t="str">
        <f t="shared" si="23"/>
        <v/>
      </c>
      <c r="AL96" s="444" t="s">
        <v>68</v>
      </c>
      <c r="AM96" s="450">
        <v>83</v>
      </c>
      <c r="AN96" s="572" t="str">
        <f t="shared" si="24"/>
        <v>○</v>
      </c>
      <c r="AO96" s="451" t="str">
        <f t="shared" si="25"/>
        <v>申請しない場合は入力不要です。</v>
      </c>
      <c r="AQ96" s="451">
        <f t="shared" si="17"/>
        <v>0</v>
      </c>
      <c r="AR96" s="451"/>
    </row>
    <row r="97" spans="1:44" ht="20.100000000000001" customHeight="1" x14ac:dyDescent="0.4">
      <c r="A97" s="226">
        <v>84</v>
      </c>
      <c r="B97" s="628" t="str">
        <f t="shared" si="18"/>
        <v/>
      </c>
      <c r="C97" s="645" t="str">
        <f t="shared" si="19"/>
        <v/>
      </c>
      <c r="D97" s="578"/>
      <c r="E97" s="556"/>
      <c r="F97" s="1618"/>
      <c r="G97" s="1619"/>
      <c r="H97" s="1620"/>
      <c r="I97" s="530"/>
      <c r="J97" s="530"/>
      <c r="K97" s="225"/>
      <c r="L97" s="530"/>
      <c r="M97" s="530"/>
      <c r="N97" s="530"/>
      <c r="O97" s="140">
        <f t="shared" si="15"/>
        <v>0</v>
      </c>
      <c r="P97" s="141">
        <f t="shared" si="16"/>
        <v>0</v>
      </c>
      <c r="Q97" s="141" t="str">
        <f t="shared" si="20"/>
        <v/>
      </c>
      <c r="R97" s="141" t="str">
        <f t="shared" si="21"/>
        <v/>
      </c>
      <c r="S97" s="227">
        <f t="shared" si="26"/>
        <v>0</v>
      </c>
      <c r="T97" s="142" t="str">
        <f xml:space="preserve">
IF(AND(AN97="◎",OR(テーブル!$B$3="交付申請",テーブル!$B$3="交付申請（２次以降）",テーブル!$B$3="変更申請")),"－",
IF(AND(AN97&lt;&gt;"◎",OR(テーブル!$B$3="交付申請",テーブル!$B$3="交付申請（２次以降）",テーブル!$B$3="変更申請")),"",
IF(AND(OR(テーブル!$B$3="実績報告",テーブル!$B$3="交付申請兼実績報告"),AN97="◎"),COUNTIF($AN$14:AN97,"◎"),"")))</f>
        <v/>
      </c>
      <c r="U97" s="142" t="str">
        <f t="shared" si="22"/>
        <v/>
      </c>
      <c r="W97" s="2087" t="str">
        <f t="shared" si="23"/>
        <v/>
      </c>
      <c r="AL97" s="444" t="s">
        <v>68</v>
      </c>
      <c r="AM97" s="450">
        <v>84</v>
      </c>
      <c r="AN97" s="572" t="str">
        <f t="shared" si="24"/>
        <v>○</v>
      </c>
      <c r="AO97" s="451" t="str">
        <f t="shared" si="25"/>
        <v>申請しない場合は入力不要です。</v>
      </c>
      <c r="AQ97" s="451">
        <f t="shared" si="17"/>
        <v>0</v>
      </c>
      <c r="AR97" s="451"/>
    </row>
    <row r="98" spans="1:44" ht="20.100000000000001" customHeight="1" x14ac:dyDescent="0.4">
      <c r="A98" s="226">
        <v>85</v>
      </c>
      <c r="B98" s="628" t="str">
        <f t="shared" si="18"/>
        <v/>
      </c>
      <c r="C98" s="645" t="str">
        <f t="shared" si="19"/>
        <v/>
      </c>
      <c r="D98" s="578"/>
      <c r="E98" s="556"/>
      <c r="F98" s="1618"/>
      <c r="G98" s="1619"/>
      <c r="H98" s="1620"/>
      <c r="I98" s="530"/>
      <c r="J98" s="530"/>
      <c r="K98" s="225"/>
      <c r="L98" s="530"/>
      <c r="M98" s="530"/>
      <c r="N98" s="530"/>
      <c r="O98" s="140">
        <f t="shared" si="15"/>
        <v>0</v>
      </c>
      <c r="P98" s="141">
        <f t="shared" si="16"/>
        <v>0</v>
      </c>
      <c r="Q98" s="141" t="str">
        <f t="shared" si="20"/>
        <v/>
      </c>
      <c r="R98" s="141" t="str">
        <f t="shared" si="21"/>
        <v/>
      </c>
      <c r="S98" s="227">
        <f t="shared" si="26"/>
        <v>0</v>
      </c>
      <c r="T98" s="142" t="str">
        <f xml:space="preserve">
IF(AND(AN98="◎",OR(テーブル!$B$3="交付申請",テーブル!$B$3="交付申請（２次以降）",テーブル!$B$3="変更申請")),"－",
IF(AND(AN98&lt;&gt;"◎",OR(テーブル!$B$3="交付申請",テーブル!$B$3="交付申請（２次以降）",テーブル!$B$3="変更申請")),"",
IF(AND(OR(テーブル!$B$3="実績報告",テーブル!$B$3="交付申請兼実績報告"),AN98="◎"),COUNTIF($AN$14:AN98,"◎"),"")))</f>
        <v/>
      </c>
      <c r="U98" s="142" t="str">
        <f t="shared" si="22"/>
        <v/>
      </c>
      <c r="W98" s="2087" t="str">
        <f t="shared" si="23"/>
        <v/>
      </c>
      <c r="AL98" s="444" t="s">
        <v>68</v>
      </c>
      <c r="AM98" s="450">
        <v>85</v>
      </c>
      <c r="AN98" s="572" t="str">
        <f t="shared" si="24"/>
        <v>○</v>
      </c>
      <c r="AO98" s="451" t="str">
        <f t="shared" si="25"/>
        <v>申請しない場合は入力不要です。</v>
      </c>
      <c r="AQ98" s="451">
        <f t="shared" si="17"/>
        <v>0</v>
      </c>
      <c r="AR98" s="451"/>
    </row>
    <row r="99" spans="1:44" ht="20.100000000000001" customHeight="1" x14ac:dyDescent="0.4">
      <c r="A99" s="226">
        <v>86</v>
      </c>
      <c r="B99" s="628" t="str">
        <f t="shared" si="18"/>
        <v/>
      </c>
      <c r="C99" s="645" t="str">
        <f t="shared" si="19"/>
        <v/>
      </c>
      <c r="D99" s="578"/>
      <c r="E99" s="556"/>
      <c r="F99" s="1618"/>
      <c r="G99" s="1619"/>
      <c r="H99" s="1620"/>
      <c r="I99" s="530"/>
      <c r="J99" s="530"/>
      <c r="K99" s="225"/>
      <c r="L99" s="530"/>
      <c r="M99" s="530"/>
      <c r="N99" s="530"/>
      <c r="O99" s="140">
        <f t="shared" si="15"/>
        <v>0</v>
      </c>
      <c r="P99" s="141">
        <f t="shared" si="16"/>
        <v>0</v>
      </c>
      <c r="Q99" s="141" t="str">
        <f t="shared" si="20"/>
        <v/>
      </c>
      <c r="R99" s="141" t="str">
        <f t="shared" si="21"/>
        <v/>
      </c>
      <c r="S99" s="227">
        <f t="shared" si="26"/>
        <v>0</v>
      </c>
      <c r="T99" s="142" t="str">
        <f xml:space="preserve">
IF(AND(AN99="◎",OR(テーブル!$B$3="交付申請",テーブル!$B$3="交付申請（２次以降）",テーブル!$B$3="変更申請")),"－",
IF(AND(AN99&lt;&gt;"◎",OR(テーブル!$B$3="交付申請",テーブル!$B$3="交付申請（２次以降）",テーブル!$B$3="変更申請")),"",
IF(AND(OR(テーブル!$B$3="実績報告",テーブル!$B$3="交付申請兼実績報告"),AN99="◎"),COUNTIF($AN$14:AN99,"◎"),"")))</f>
        <v/>
      </c>
      <c r="U99" s="142" t="str">
        <f t="shared" si="22"/>
        <v/>
      </c>
      <c r="W99" s="2087" t="str">
        <f t="shared" si="23"/>
        <v/>
      </c>
      <c r="AL99" s="444" t="s">
        <v>68</v>
      </c>
      <c r="AM99" s="450">
        <v>86</v>
      </c>
      <c r="AN99" s="572" t="str">
        <f t="shared" si="24"/>
        <v>○</v>
      </c>
      <c r="AO99" s="451" t="str">
        <f t="shared" si="25"/>
        <v>申請しない場合は入力不要です。</v>
      </c>
      <c r="AQ99" s="451">
        <f t="shared" si="17"/>
        <v>0</v>
      </c>
      <c r="AR99" s="451"/>
    </row>
    <row r="100" spans="1:44" ht="20.100000000000001" customHeight="1" x14ac:dyDescent="0.4">
      <c r="A100" s="226">
        <v>87</v>
      </c>
      <c r="B100" s="628" t="str">
        <f t="shared" si="18"/>
        <v/>
      </c>
      <c r="C100" s="645" t="str">
        <f t="shared" si="19"/>
        <v/>
      </c>
      <c r="D100" s="578"/>
      <c r="E100" s="556"/>
      <c r="F100" s="1618"/>
      <c r="G100" s="1619"/>
      <c r="H100" s="1620"/>
      <c r="I100" s="530"/>
      <c r="J100" s="530"/>
      <c r="K100" s="225"/>
      <c r="L100" s="530"/>
      <c r="M100" s="530"/>
      <c r="N100" s="530"/>
      <c r="O100" s="140">
        <f t="shared" si="15"/>
        <v>0</v>
      </c>
      <c r="P100" s="141">
        <f t="shared" si="16"/>
        <v>0</v>
      </c>
      <c r="Q100" s="141" t="str">
        <f t="shared" si="20"/>
        <v/>
      </c>
      <c r="R100" s="141" t="str">
        <f t="shared" si="21"/>
        <v/>
      </c>
      <c r="S100" s="227">
        <f t="shared" si="26"/>
        <v>0</v>
      </c>
      <c r="T100" s="142" t="str">
        <f xml:space="preserve">
IF(AND(AN100="◎",OR(テーブル!$B$3="交付申請",テーブル!$B$3="交付申請（２次以降）",テーブル!$B$3="変更申請")),"－",
IF(AND(AN100&lt;&gt;"◎",OR(テーブル!$B$3="交付申請",テーブル!$B$3="交付申請（２次以降）",テーブル!$B$3="変更申請")),"",
IF(AND(OR(テーブル!$B$3="実績報告",テーブル!$B$3="交付申請兼実績報告"),AN100="◎"),COUNTIF($AN$14:AN100,"◎"),"")))</f>
        <v/>
      </c>
      <c r="U100" s="142" t="str">
        <f t="shared" si="22"/>
        <v/>
      </c>
      <c r="W100" s="2087" t="str">
        <f t="shared" si="23"/>
        <v/>
      </c>
      <c r="AL100" s="444" t="s">
        <v>68</v>
      </c>
      <c r="AM100" s="450">
        <v>87</v>
      </c>
      <c r="AN100" s="572" t="str">
        <f t="shared" si="24"/>
        <v>○</v>
      </c>
      <c r="AO100" s="451" t="str">
        <f t="shared" si="25"/>
        <v>申請しない場合は入力不要です。</v>
      </c>
      <c r="AQ100" s="451">
        <f t="shared" si="17"/>
        <v>0</v>
      </c>
      <c r="AR100" s="451"/>
    </row>
    <row r="101" spans="1:44" ht="20.100000000000001" customHeight="1" x14ac:dyDescent="0.4">
      <c r="A101" s="226">
        <v>88</v>
      </c>
      <c r="B101" s="628" t="str">
        <f t="shared" si="18"/>
        <v/>
      </c>
      <c r="C101" s="645" t="str">
        <f t="shared" si="19"/>
        <v/>
      </c>
      <c r="D101" s="578"/>
      <c r="E101" s="556"/>
      <c r="F101" s="1618"/>
      <c r="G101" s="1619"/>
      <c r="H101" s="1620"/>
      <c r="I101" s="530"/>
      <c r="J101" s="530"/>
      <c r="K101" s="225"/>
      <c r="L101" s="530"/>
      <c r="M101" s="530"/>
      <c r="N101" s="530"/>
      <c r="O101" s="140">
        <f t="shared" si="15"/>
        <v>0</v>
      </c>
      <c r="P101" s="141">
        <f t="shared" si="16"/>
        <v>0</v>
      </c>
      <c r="Q101" s="141" t="str">
        <f t="shared" si="20"/>
        <v/>
      </c>
      <c r="R101" s="141" t="str">
        <f t="shared" si="21"/>
        <v/>
      </c>
      <c r="S101" s="227">
        <f t="shared" si="26"/>
        <v>0</v>
      </c>
      <c r="T101" s="142" t="str">
        <f xml:space="preserve">
IF(AND(AN101="◎",OR(テーブル!$B$3="交付申請",テーブル!$B$3="交付申請（２次以降）",テーブル!$B$3="変更申請")),"－",
IF(AND(AN101&lt;&gt;"◎",OR(テーブル!$B$3="交付申請",テーブル!$B$3="交付申請（２次以降）",テーブル!$B$3="変更申請")),"",
IF(AND(OR(テーブル!$B$3="実績報告",テーブル!$B$3="交付申請兼実績報告"),AN101="◎"),COUNTIF($AN$14:AN101,"◎"),"")))</f>
        <v/>
      </c>
      <c r="U101" s="142" t="str">
        <f t="shared" si="22"/>
        <v/>
      </c>
      <c r="W101" s="2087" t="str">
        <f t="shared" si="23"/>
        <v/>
      </c>
      <c r="AL101" s="444" t="s">
        <v>68</v>
      </c>
      <c r="AM101" s="450">
        <v>88</v>
      </c>
      <c r="AN101" s="572" t="str">
        <f t="shared" si="24"/>
        <v>○</v>
      </c>
      <c r="AO101" s="451" t="str">
        <f t="shared" si="25"/>
        <v>申請しない場合は入力不要です。</v>
      </c>
      <c r="AQ101" s="451">
        <f t="shared" si="17"/>
        <v>0</v>
      </c>
      <c r="AR101" s="451"/>
    </row>
    <row r="102" spans="1:44" ht="20.100000000000001" customHeight="1" x14ac:dyDescent="0.4">
      <c r="A102" s="226">
        <v>89</v>
      </c>
      <c r="B102" s="628" t="str">
        <f t="shared" si="18"/>
        <v/>
      </c>
      <c r="C102" s="645" t="str">
        <f t="shared" si="19"/>
        <v/>
      </c>
      <c r="D102" s="578"/>
      <c r="E102" s="556"/>
      <c r="F102" s="1618"/>
      <c r="G102" s="1619"/>
      <c r="H102" s="1620"/>
      <c r="I102" s="530"/>
      <c r="J102" s="530"/>
      <c r="K102" s="225"/>
      <c r="L102" s="530"/>
      <c r="M102" s="530"/>
      <c r="N102" s="530"/>
      <c r="O102" s="140">
        <f t="shared" si="15"/>
        <v>0</v>
      </c>
      <c r="P102" s="141">
        <f t="shared" si="16"/>
        <v>0</v>
      </c>
      <c r="Q102" s="141" t="str">
        <f t="shared" si="20"/>
        <v/>
      </c>
      <c r="R102" s="141" t="str">
        <f t="shared" si="21"/>
        <v/>
      </c>
      <c r="S102" s="227">
        <f t="shared" si="26"/>
        <v>0</v>
      </c>
      <c r="T102" s="142" t="str">
        <f xml:space="preserve">
IF(AND(AN102="◎",OR(テーブル!$B$3="交付申請",テーブル!$B$3="交付申請（２次以降）",テーブル!$B$3="変更申請")),"－",
IF(AND(AN102&lt;&gt;"◎",OR(テーブル!$B$3="交付申請",テーブル!$B$3="交付申請（２次以降）",テーブル!$B$3="変更申請")),"",
IF(AND(OR(テーブル!$B$3="実績報告",テーブル!$B$3="交付申請兼実績報告"),AN102="◎"),COUNTIF($AN$14:AN102,"◎"),"")))</f>
        <v/>
      </c>
      <c r="U102" s="142" t="str">
        <f t="shared" si="22"/>
        <v/>
      </c>
      <c r="W102" s="2087" t="str">
        <f t="shared" si="23"/>
        <v/>
      </c>
      <c r="AL102" s="444" t="s">
        <v>68</v>
      </c>
      <c r="AM102" s="450">
        <v>89</v>
      </c>
      <c r="AN102" s="572" t="str">
        <f t="shared" si="24"/>
        <v>○</v>
      </c>
      <c r="AO102" s="451" t="str">
        <f t="shared" si="25"/>
        <v>申請しない場合は入力不要です。</v>
      </c>
      <c r="AQ102" s="451">
        <f t="shared" si="17"/>
        <v>0</v>
      </c>
      <c r="AR102" s="451"/>
    </row>
    <row r="103" spans="1:44" ht="20.100000000000001" customHeight="1" x14ac:dyDescent="0.4">
      <c r="A103" s="226">
        <v>90</v>
      </c>
      <c r="B103" s="628" t="str">
        <f t="shared" si="18"/>
        <v/>
      </c>
      <c r="C103" s="645" t="str">
        <f t="shared" si="19"/>
        <v/>
      </c>
      <c r="D103" s="578"/>
      <c r="E103" s="556"/>
      <c r="F103" s="1618"/>
      <c r="G103" s="1619"/>
      <c r="H103" s="1620"/>
      <c r="I103" s="530"/>
      <c r="J103" s="530"/>
      <c r="K103" s="225"/>
      <c r="L103" s="530"/>
      <c r="M103" s="530"/>
      <c r="N103" s="530"/>
      <c r="O103" s="140">
        <f t="shared" si="15"/>
        <v>0</v>
      </c>
      <c r="P103" s="141">
        <f t="shared" si="16"/>
        <v>0</v>
      </c>
      <c r="Q103" s="141" t="str">
        <f t="shared" si="20"/>
        <v/>
      </c>
      <c r="R103" s="141" t="str">
        <f t="shared" si="21"/>
        <v/>
      </c>
      <c r="S103" s="227">
        <f t="shared" si="26"/>
        <v>0</v>
      </c>
      <c r="T103" s="142" t="str">
        <f xml:space="preserve">
IF(AND(AN103="◎",OR(テーブル!$B$3="交付申請",テーブル!$B$3="交付申請（２次以降）",テーブル!$B$3="変更申請")),"－",
IF(AND(AN103&lt;&gt;"◎",OR(テーブル!$B$3="交付申請",テーブル!$B$3="交付申請（２次以降）",テーブル!$B$3="変更申請")),"",
IF(AND(OR(テーブル!$B$3="実績報告",テーブル!$B$3="交付申請兼実績報告"),AN103="◎"),COUNTIF($AN$14:AN103,"◎"),"")))</f>
        <v/>
      </c>
      <c r="U103" s="142" t="str">
        <f t="shared" si="22"/>
        <v/>
      </c>
      <c r="W103" s="2087" t="str">
        <f t="shared" si="23"/>
        <v/>
      </c>
      <c r="AL103" s="444" t="s">
        <v>68</v>
      </c>
      <c r="AM103" s="450">
        <v>90</v>
      </c>
      <c r="AN103" s="572" t="str">
        <f t="shared" si="24"/>
        <v>○</v>
      </c>
      <c r="AO103" s="451" t="str">
        <f t="shared" si="25"/>
        <v>申請しない場合は入力不要です。</v>
      </c>
      <c r="AQ103" s="451">
        <f t="shared" si="17"/>
        <v>0</v>
      </c>
      <c r="AR103" s="451"/>
    </row>
    <row r="104" spans="1:44" ht="20.100000000000001" customHeight="1" x14ac:dyDescent="0.4">
      <c r="A104" s="226">
        <v>91</v>
      </c>
      <c r="B104" s="628" t="str">
        <f t="shared" si="18"/>
        <v/>
      </c>
      <c r="C104" s="645" t="str">
        <f t="shared" si="19"/>
        <v/>
      </c>
      <c r="D104" s="578"/>
      <c r="E104" s="556"/>
      <c r="F104" s="1618"/>
      <c r="G104" s="1619"/>
      <c r="H104" s="1620"/>
      <c r="I104" s="530"/>
      <c r="J104" s="530"/>
      <c r="K104" s="225"/>
      <c r="L104" s="530"/>
      <c r="M104" s="530"/>
      <c r="N104" s="530"/>
      <c r="O104" s="140">
        <f t="shared" si="15"/>
        <v>0</v>
      </c>
      <c r="P104" s="141">
        <f t="shared" si="16"/>
        <v>0</v>
      </c>
      <c r="Q104" s="141" t="str">
        <f t="shared" si="20"/>
        <v/>
      </c>
      <c r="R104" s="141" t="str">
        <f t="shared" si="21"/>
        <v/>
      </c>
      <c r="S104" s="227">
        <f t="shared" si="26"/>
        <v>0</v>
      </c>
      <c r="T104" s="142" t="str">
        <f xml:space="preserve">
IF(AND(AN104="◎",OR(テーブル!$B$3="交付申請",テーブル!$B$3="交付申請（２次以降）",テーブル!$B$3="変更申請")),"－",
IF(AND(AN104&lt;&gt;"◎",OR(テーブル!$B$3="交付申請",テーブル!$B$3="交付申請（２次以降）",テーブル!$B$3="変更申請")),"",
IF(AND(OR(テーブル!$B$3="実績報告",テーブル!$B$3="交付申請兼実績報告"),AN104="◎"),COUNTIF($AN$14:AN104,"◎"),"")))</f>
        <v/>
      </c>
      <c r="U104" s="142" t="str">
        <f t="shared" si="22"/>
        <v/>
      </c>
      <c r="W104" s="2087" t="str">
        <f t="shared" si="23"/>
        <v/>
      </c>
      <c r="AL104" s="444" t="s">
        <v>68</v>
      </c>
      <c r="AM104" s="450">
        <v>91</v>
      </c>
      <c r="AN104" s="572" t="str">
        <f t="shared" si="24"/>
        <v>○</v>
      </c>
      <c r="AO104" s="451" t="str">
        <f t="shared" si="25"/>
        <v>申請しない場合は入力不要です。</v>
      </c>
      <c r="AQ104" s="451">
        <f t="shared" si="17"/>
        <v>0</v>
      </c>
      <c r="AR104" s="451"/>
    </row>
    <row r="105" spans="1:44" ht="20.100000000000001" customHeight="1" x14ac:dyDescent="0.4">
      <c r="A105" s="226">
        <v>92</v>
      </c>
      <c r="B105" s="628" t="str">
        <f t="shared" si="18"/>
        <v/>
      </c>
      <c r="C105" s="645" t="str">
        <f t="shared" si="19"/>
        <v/>
      </c>
      <c r="D105" s="578"/>
      <c r="E105" s="556"/>
      <c r="F105" s="1618"/>
      <c r="G105" s="1619"/>
      <c r="H105" s="1620"/>
      <c r="I105" s="530"/>
      <c r="J105" s="530"/>
      <c r="K105" s="225"/>
      <c r="L105" s="530"/>
      <c r="M105" s="530"/>
      <c r="N105" s="530"/>
      <c r="O105" s="140">
        <f t="shared" si="15"/>
        <v>0</v>
      </c>
      <c r="P105" s="141">
        <f t="shared" si="16"/>
        <v>0</v>
      </c>
      <c r="Q105" s="141" t="str">
        <f t="shared" si="20"/>
        <v/>
      </c>
      <c r="R105" s="141" t="str">
        <f t="shared" si="21"/>
        <v/>
      </c>
      <c r="S105" s="227">
        <f t="shared" si="26"/>
        <v>0</v>
      </c>
      <c r="T105" s="142" t="str">
        <f xml:space="preserve">
IF(AND(AN105="◎",OR(テーブル!$B$3="交付申請",テーブル!$B$3="交付申請（２次以降）",テーブル!$B$3="変更申請")),"－",
IF(AND(AN105&lt;&gt;"◎",OR(テーブル!$B$3="交付申請",テーブル!$B$3="交付申請（２次以降）",テーブル!$B$3="変更申請")),"",
IF(AND(OR(テーブル!$B$3="実績報告",テーブル!$B$3="交付申請兼実績報告"),AN105="◎"),COUNTIF($AN$14:AN105,"◎"),"")))</f>
        <v/>
      </c>
      <c r="U105" s="142" t="str">
        <f t="shared" si="22"/>
        <v/>
      </c>
      <c r="W105" s="2087" t="str">
        <f t="shared" si="23"/>
        <v/>
      </c>
      <c r="AL105" s="444" t="s">
        <v>68</v>
      </c>
      <c r="AM105" s="450">
        <v>92</v>
      </c>
      <c r="AN105" s="572" t="str">
        <f t="shared" si="24"/>
        <v>○</v>
      </c>
      <c r="AO105" s="451" t="str">
        <f t="shared" si="25"/>
        <v>申請しない場合は入力不要です。</v>
      </c>
      <c r="AQ105" s="451">
        <f t="shared" si="17"/>
        <v>0</v>
      </c>
      <c r="AR105" s="451"/>
    </row>
    <row r="106" spans="1:44" ht="20.100000000000001" customHeight="1" x14ac:dyDescent="0.4">
      <c r="A106" s="226">
        <v>93</v>
      </c>
      <c r="B106" s="628" t="str">
        <f t="shared" si="18"/>
        <v/>
      </c>
      <c r="C106" s="645" t="str">
        <f t="shared" si="19"/>
        <v/>
      </c>
      <c r="D106" s="578"/>
      <c r="E106" s="556"/>
      <c r="F106" s="1618"/>
      <c r="G106" s="1619"/>
      <c r="H106" s="1620"/>
      <c r="I106" s="530"/>
      <c r="J106" s="530"/>
      <c r="K106" s="225"/>
      <c r="L106" s="530"/>
      <c r="M106" s="530"/>
      <c r="N106" s="530"/>
      <c r="O106" s="140">
        <f t="shared" si="15"/>
        <v>0</v>
      </c>
      <c r="P106" s="141">
        <f t="shared" si="16"/>
        <v>0</v>
      </c>
      <c r="Q106" s="141" t="str">
        <f t="shared" si="20"/>
        <v/>
      </c>
      <c r="R106" s="141" t="str">
        <f t="shared" si="21"/>
        <v/>
      </c>
      <c r="S106" s="227">
        <f t="shared" si="26"/>
        <v>0</v>
      </c>
      <c r="T106" s="142" t="str">
        <f xml:space="preserve">
IF(AND(AN106="◎",OR(テーブル!$B$3="交付申請",テーブル!$B$3="交付申請（２次以降）",テーブル!$B$3="変更申請")),"－",
IF(AND(AN106&lt;&gt;"◎",OR(テーブル!$B$3="交付申請",テーブル!$B$3="交付申請（２次以降）",テーブル!$B$3="変更申請")),"",
IF(AND(OR(テーブル!$B$3="実績報告",テーブル!$B$3="交付申請兼実績報告"),AN106="◎"),COUNTIF($AN$14:AN106,"◎"),"")))</f>
        <v/>
      </c>
      <c r="U106" s="142" t="str">
        <f t="shared" si="22"/>
        <v/>
      </c>
      <c r="W106" s="2087" t="str">
        <f t="shared" si="23"/>
        <v/>
      </c>
      <c r="AL106" s="444" t="s">
        <v>68</v>
      </c>
      <c r="AM106" s="450">
        <v>93</v>
      </c>
      <c r="AN106" s="572" t="str">
        <f t="shared" si="24"/>
        <v>○</v>
      </c>
      <c r="AO106" s="451" t="str">
        <f t="shared" si="25"/>
        <v>申請しない場合は入力不要です。</v>
      </c>
      <c r="AQ106" s="451">
        <f t="shared" si="17"/>
        <v>0</v>
      </c>
      <c r="AR106" s="451"/>
    </row>
    <row r="107" spans="1:44" ht="20.100000000000001" customHeight="1" x14ac:dyDescent="0.4">
      <c r="A107" s="226">
        <v>94</v>
      </c>
      <c r="B107" s="628" t="str">
        <f t="shared" si="18"/>
        <v/>
      </c>
      <c r="C107" s="645" t="str">
        <f t="shared" si="19"/>
        <v/>
      </c>
      <c r="D107" s="578"/>
      <c r="E107" s="556"/>
      <c r="F107" s="1618"/>
      <c r="G107" s="1619"/>
      <c r="H107" s="1620"/>
      <c r="I107" s="530"/>
      <c r="J107" s="530"/>
      <c r="K107" s="225"/>
      <c r="L107" s="530"/>
      <c r="M107" s="530"/>
      <c r="N107" s="530"/>
      <c r="O107" s="140">
        <f t="shared" si="15"/>
        <v>0</v>
      </c>
      <c r="P107" s="141">
        <f t="shared" si="16"/>
        <v>0</v>
      </c>
      <c r="Q107" s="141" t="str">
        <f t="shared" si="20"/>
        <v/>
      </c>
      <c r="R107" s="141" t="str">
        <f t="shared" si="21"/>
        <v/>
      </c>
      <c r="S107" s="227">
        <f t="shared" si="26"/>
        <v>0</v>
      </c>
      <c r="T107" s="142" t="str">
        <f xml:space="preserve">
IF(AND(AN107="◎",OR(テーブル!$B$3="交付申請",テーブル!$B$3="交付申請（２次以降）",テーブル!$B$3="変更申請")),"－",
IF(AND(AN107&lt;&gt;"◎",OR(テーブル!$B$3="交付申請",テーブル!$B$3="交付申請（２次以降）",テーブル!$B$3="変更申請")),"",
IF(AND(OR(テーブル!$B$3="実績報告",テーブル!$B$3="交付申請兼実績報告"),AN107="◎"),COUNTIF($AN$14:AN107,"◎"),"")))</f>
        <v/>
      </c>
      <c r="U107" s="142" t="str">
        <f t="shared" si="22"/>
        <v/>
      </c>
      <c r="W107" s="2087" t="str">
        <f t="shared" si="23"/>
        <v/>
      </c>
      <c r="AL107" s="444" t="s">
        <v>68</v>
      </c>
      <c r="AM107" s="450">
        <v>94</v>
      </c>
      <c r="AN107" s="572" t="str">
        <f t="shared" si="24"/>
        <v>○</v>
      </c>
      <c r="AO107" s="451" t="str">
        <f t="shared" si="25"/>
        <v>申請しない場合は入力不要です。</v>
      </c>
      <c r="AQ107" s="451">
        <f t="shared" si="17"/>
        <v>0</v>
      </c>
      <c r="AR107" s="451"/>
    </row>
    <row r="108" spans="1:44" ht="20.100000000000001" customHeight="1" x14ac:dyDescent="0.4">
      <c r="A108" s="226">
        <v>95</v>
      </c>
      <c r="B108" s="628" t="str">
        <f t="shared" si="18"/>
        <v/>
      </c>
      <c r="C108" s="645" t="str">
        <f t="shared" si="19"/>
        <v/>
      </c>
      <c r="D108" s="578"/>
      <c r="E108" s="556"/>
      <c r="F108" s="1618"/>
      <c r="G108" s="1619"/>
      <c r="H108" s="1620"/>
      <c r="I108" s="530"/>
      <c r="J108" s="530"/>
      <c r="K108" s="225"/>
      <c r="L108" s="530"/>
      <c r="M108" s="530"/>
      <c r="N108" s="530"/>
      <c r="O108" s="140">
        <f t="shared" si="15"/>
        <v>0</v>
      </c>
      <c r="P108" s="141">
        <f t="shared" si="16"/>
        <v>0</v>
      </c>
      <c r="Q108" s="141" t="str">
        <f t="shared" si="20"/>
        <v/>
      </c>
      <c r="R108" s="141" t="str">
        <f t="shared" si="21"/>
        <v/>
      </c>
      <c r="S108" s="227">
        <f t="shared" si="26"/>
        <v>0</v>
      </c>
      <c r="T108" s="142" t="str">
        <f xml:space="preserve">
IF(AND(AN108="◎",OR(テーブル!$B$3="交付申請",テーブル!$B$3="交付申請（２次以降）",テーブル!$B$3="変更申請")),"－",
IF(AND(AN108&lt;&gt;"◎",OR(テーブル!$B$3="交付申請",テーブル!$B$3="交付申請（２次以降）",テーブル!$B$3="変更申請")),"",
IF(AND(OR(テーブル!$B$3="実績報告",テーブル!$B$3="交付申請兼実績報告"),AN108="◎"),COUNTIF($AN$14:AN108,"◎"),"")))</f>
        <v/>
      </c>
      <c r="U108" s="142" t="str">
        <f t="shared" si="22"/>
        <v/>
      </c>
      <c r="W108" s="2087" t="str">
        <f t="shared" si="23"/>
        <v/>
      </c>
      <c r="AL108" s="444" t="s">
        <v>68</v>
      </c>
      <c r="AM108" s="450">
        <v>95</v>
      </c>
      <c r="AN108" s="572" t="str">
        <f t="shared" si="24"/>
        <v>○</v>
      </c>
      <c r="AO108" s="451" t="str">
        <f t="shared" si="25"/>
        <v>申請しない場合は入力不要です。</v>
      </c>
      <c r="AQ108" s="451">
        <f t="shared" si="17"/>
        <v>0</v>
      </c>
      <c r="AR108" s="451"/>
    </row>
    <row r="109" spans="1:44" ht="20.100000000000001" customHeight="1" x14ac:dyDescent="0.4">
      <c r="A109" s="226">
        <v>96</v>
      </c>
      <c r="B109" s="628" t="str">
        <f t="shared" si="18"/>
        <v/>
      </c>
      <c r="C109" s="645" t="str">
        <f t="shared" si="19"/>
        <v/>
      </c>
      <c r="D109" s="578"/>
      <c r="E109" s="556"/>
      <c r="F109" s="1618"/>
      <c r="G109" s="1619"/>
      <c r="H109" s="1620"/>
      <c r="I109" s="530"/>
      <c r="J109" s="530"/>
      <c r="K109" s="225"/>
      <c r="L109" s="530"/>
      <c r="M109" s="530"/>
      <c r="N109" s="530"/>
      <c r="O109" s="140">
        <f t="shared" si="15"/>
        <v>0</v>
      </c>
      <c r="P109" s="141">
        <f t="shared" si="16"/>
        <v>0</v>
      </c>
      <c r="Q109" s="141" t="str">
        <f t="shared" si="20"/>
        <v/>
      </c>
      <c r="R109" s="141" t="str">
        <f t="shared" si="21"/>
        <v/>
      </c>
      <c r="S109" s="227">
        <f t="shared" si="26"/>
        <v>0</v>
      </c>
      <c r="T109" s="142" t="str">
        <f xml:space="preserve">
IF(AND(AN109="◎",OR(テーブル!$B$3="交付申請",テーブル!$B$3="交付申請（２次以降）",テーブル!$B$3="変更申請")),"－",
IF(AND(AN109&lt;&gt;"◎",OR(テーブル!$B$3="交付申請",テーブル!$B$3="交付申請（２次以降）",テーブル!$B$3="変更申請")),"",
IF(AND(OR(テーブル!$B$3="実績報告",テーブル!$B$3="交付申請兼実績報告"),AN109="◎"),COUNTIF($AN$14:AN109,"◎"),"")))</f>
        <v/>
      </c>
      <c r="U109" s="142" t="str">
        <f t="shared" si="22"/>
        <v/>
      </c>
      <c r="W109" s="2087" t="str">
        <f t="shared" si="23"/>
        <v/>
      </c>
      <c r="AL109" s="444" t="s">
        <v>68</v>
      </c>
      <c r="AM109" s="450">
        <v>96</v>
      </c>
      <c r="AN109" s="572" t="str">
        <f t="shared" si="24"/>
        <v>○</v>
      </c>
      <c r="AO109" s="451" t="str">
        <f t="shared" si="25"/>
        <v>申請しない場合は入力不要です。</v>
      </c>
      <c r="AQ109" s="451">
        <f t="shared" si="17"/>
        <v>0</v>
      </c>
      <c r="AR109" s="451"/>
    </row>
    <row r="110" spans="1:44" ht="20.100000000000001" customHeight="1" x14ac:dyDescent="0.4">
      <c r="A110" s="226">
        <v>97</v>
      </c>
      <c r="B110" s="628" t="str">
        <f t="shared" si="18"/>
        <v/>
      </c>
      <c r="C110" s="645" t="str">
        <f t="shared" si="19"/>
        <v/>
      </c>
      <c r="D110" s="578"/>
      <c r="E110" s="556"/>
      <c r="F110" s="1618"/>
      <c r="G110" s="1619"/>
      <c r="H110" s="1620"/>
      <c r="I110" s="530"/>
      <c r="J110" s="530"/>
      <c r="K110" s="225"/>
      <c r="L110" s="530"/>
      <c r="M110" s="530"/>
      <c r="N110" s="530"/>
      <c r="O110" s="140">
        <f t="shared" si="15"/>
        <v>0</v>
      </c>
      <c r="P110" s="141">
        <f t="shared" ref="P110:P113" si="27">ROUNDDOWN(J110*O110,0)</f>
        <v>0</v>
      </c>
      <c r="Q110" s="141" t="str">
        <f t="shared" si="20"/>
        <v/>
      </c>
      <c r="R110" s="141" t="str">
        <f t="shared" si="21"/>
        <v/>
      </c>
      <c r="S110" s="227">
        <f t="shared" si="26"/>
        <v>0</v>
      </c>
      <c r="T110" s="142" t="str">
        <f xml:space="preserve">
IF(AND(AN110="◎",OR(テーブル!$B$3="交付申請",テーブル!$B$3="交付申請（２次以降）",テーブル!$B$3="変更申請")),"－",
IF(AND(AN110&lt;&gt;"◎",OR(テーブル!$B$3="交付申請",テーブル!$B$3="交付申請（２次以降）",テーブル!$B$3="変更申請")),"",
IF(AND(OR(テーブル!$B$3="実績報告",テーブル!$B$3="交付申請兼実績報告"),AN110="◎"),COUNTIF($AN$14:AN110,"◎"),"")))</f>
        <v/>
      </c>
      <c r="U110" s="142" t="str">
        <f t="shared" si="22"/>
        <v/>
      </c>
      <c r="W110" s="2087" t="str">
        <f t="shared" si="23"/>
        <v/>
      </c>
      <c r="AL110" s="444" t="s">
        <v>68</v>
      </c>
      <c r="AM110" s="450">
        <v>97</v>
      </c>
      <c r="AN110" s="572" t="str">
        <f t="shared" si="24"/>
        <v>○</v>
      </c>
      <c r="AO110" s="451" t="str">
        <f t="shared" si="25"/>
        <v>申請しない場合は入力不要です。</v>
      </c>
      <c r="AQ110" s="451">
        <f t="shared" si="17"/>
        <v>0</v>
      </c>
      <c r="AR110" s="451"/>
    </row>
    <row r="111" spans="1:44" ht="20.100000000000001" customHeight="1" x14ac:dyDescent="0.4">
      <c r="A111" s="226">
        <v>98</v>
      </c>
      <c r="B111" s="628" t="str">
        <f t="shared" si="18"/>
        <v/>
      </c>
      <c r="C111" s="645" t="str">
        <f t="shared" si="19"/>
        <v/>
      </c>
      <c r="D111" s="578"/>
      <c r="E111" s="556"/>
      <c r="F111" s="1618"/>
      <c r="G111" s="1619"/>
      <c r="H111" s="1620"/>
      <c r="I111" s="530"/>
      <c r="J111" s="530"/>
      <c r="K111" s="225"/>
      <c r="L111" s="530"/>
      <c r="M111" s="530"/>
      <c r="N111" s="530"/>
      <c r="O111" s="140">
        <f t="shared" si="15"/>
        <v>0</v>
      </c>
      <c r="P111" s="141">
        <f t="shared" si="27"/>
        <v>0</v>
      </c>
      <c r="Q111" s="141" t="str">
        <f t="shared" si="20"/>
        <v/>
      </c>
      <c r="R111" s="141" t="str">
        <f t="shared" si="21"/>
        <v/>
      </c>
      <c r="S111" s="227">
        <f t="shared" si="26"/>
        <v>0</v>
      </c>
      <c r="T111" s="142" t="str">
        <f xml:space="preserve">
IF(AND(AN111="◎",OR(テーブル!$B$3="交付申請",テーブル!$B$3="交付申請（２次以降）",テーブル!$B$3="変更申請")),"－",
IF(AND(AN111&lt;&gt;"◎",OR(テーブル!$B$3="交付申請",テーブル!$B$3="交付申請（２次以降）",テーブル!$B$3="変更申請")),"",
IF(AND(OR(テーブル!$B$3="実績報告",テーブル!$B$3="交付申請兼実績報告"),AN111="◎"),COUNTIF($AN$14:AN111,"◎"),"")))</f>
        <v/>
      </c>
      <c r="U111" s="142" t="str">
        <f t="shared" si="22"/>
        <v/>
      </c>
      <c r="W111" s="2087" t="str">
        <f t="shared" si="23"/>
        <v/>
      </c>
      <c r="AL111" s="444" t="s">
        <v>68</v>
      </c>
      <c r="AM111" s="450">
        <v>98</v>
      </c>
      <c r="AN111" s="572" t="str">
        <f t="shared" si="24"/>
        <v>○</v>
      </c>
      <c r="AO111" s="451" t="str">
        <f t="shared" si="25"/>
        <v>申請しない場合は入力不要です。</v>
      </c>
      <c r="AQ111" s="451">
        <f t="shared" si="17"/>
        <v>0</v>
      </c>
      <c r="AR111" s="451"/>
    </row>
    <row r="112" spans="1:44" ht="20.100000000000001" customHeight="1" x14ac:dyDescent="0.4">
      <c r="A112" s="226">
        <v>99</v>
      </c>
      <c r="B112" s="628" t="str">
        <f t="shared" si="18"/>
        <v/>
      </c>
      <c r="C112" s="645" t="str">
        <f t="shared" si="19"/>
        <v/>
      </c>
      <c r="D112" s="578"/>
      <c r="E112" s="556"/>
      <c r="F112" s="1618"/>
      <c r="G112" s="1619"/>
      <c r="H112" s="1620"/>
      <c r="I112" s="530"/>
      <c r="J112" s="530"/>
      <c r="K112" s="225"/>
      <c r="L112" s="530"/>
      <c r="M112" s="530"/>
      <c r="N112" s="530"/>
      <c r="O112" s="140">
        <f t="shared" si="15"/>
        <v>0</v>
      </c>
      <c r="P112" s="141">
        <f t="shared" si="27"/>
        <v>0</v>
      </c>
      <c r="Q112" s="141" t="str">
        <f t="shared" si="20"/>
        <v/>
      </c>
      <c r="R112" s="141" t="str">
        <f t="shared" si="21"/>
        <v/>
      </c>
      <c r="S112" s="227">
        <f t="shared" si="26"/>
        <v>0</v>
      </c>
      <c r="T112" s="142" t="str">
        <f xml:space="preserve">
IF(AND(AN112="◎",OR(テーブル!$B$3="交付申請",テーブル!$B$3="交付申請（２次以降）",テーブル!$B$3="変更申請")),"－",
IF(AND(AN112&lt;&gt;"◎",OR(テーブル!$B$3="交付申請",テーブル!$B$3="交付申請（２次以降）",テーブル!$B$3="変更申請")),"",
IF(AND(OR(テーブル!$B$3="実績報告",テーブル!$B$3="交付申請兼実績報告"),AN112="◎"),COUNTIF($AN$14:AN112,"◎"),"")))</f>
        <v/>
      </c>
      <c r="U112" s="142" t="str">
        <f t="shared" si="22"/>
        <v/>
      </c>
      <c r="W112" s="2087" t="str">
        <f t="shared" si="23"/>
        <v/>
      </c>
      <c r="AL112" s="444" t="s">
        <v>68</v>
      </c>
      <c r="AM112" s="450">
        <v>99</v>
      </c>
      <c r="AN112" s="572" t="str">
        <f t="shared" si="24"/>
        <v>○</v>
      </c>
      <c r="AO112" s="451" t="str">
        <f t="shared" si="25"/>
        <v>申請しない場合は入力不要です。</v>
      </c>
      <c r="AQ112" s="451">
        <f t="shared" si="17"/>
        <v>0</v>
      </c>
      <c r="AR112" s="451"/>
    </row>
    <row r="113" spans="1:59" ht="20.100000000000001" customHeight="1" x14ac:dyDescent="0.4">
      <c r="A113" s="226">
        <v>100</v>
      </c>
      <c r="B113" s="628" t="str">
        <f t="shared" si="18"/>
        <v/>
      </c>
      <c r="C113" s="645" t="str">
        <f t="shared" si="19"/>
        <v/>
      </c>
      <c r="D113" s="578"/>
      <c r="E113" s="556"/>
      <c r="F113" s="1618"/>
      <c r="G113" s="1619"/>
      <c r="H113" s="1620"/>
      <c r="I113" s="530"/>
      <c r="J113" s="530"/>
      <c r="K113" s="225"/>
      <c r="L113" s="530"/>
      <c r="M113" s="530"/>
      <c r="N113" s="530"/>
      <c r="O113" s="140">
        <f t="shared" si="15"/>
        <v>0</v>
      </c>
      <c r="P113" s="141">
        <f t="shared" si="27"/>
        <v>0</v>
      </c>
      <c r="Q113" s="141" t="str">
        <f t="shared" si="20"/>
        <v/>
      </c>
      <c r="R113" s="141" t="str">
        <f t="shared" si="21"/>
        <v/>
      </c>
      <c r="S113" s="227">
        <f t="shared" si="26"/>
        <v>0</v>
      </c>
      <c r="T113" s="142" t="str">
        <f xml:space="preserve">
IF(AND(AN113="◎",OR(テーブル!$B$3="交付申請",テーブル!$B$3="交付申請（２次以降）",テーブル!$B$3="変更申請")),"－",
IF(AND(AN113&lt;&gt;"◎",OR(テーブル!$B$3="交付申請",テーブル!$B$3="交付申請（２次以降）",テーブル!$B$3="変更申請")),"",
IF(AND(OR(テーブル!$B$3="実績報告",テーブル!$B$3="交付申請兼実績報告"),AN113="◎"),COUNTIF($AN$14:AN113,"◎"),"")))</f>
        <v/>
      </c>
      <c r="U113" s="142" t="str">
        <f t="shared" si="22"/>
        <v/>
      </c>
      <c r="W113" s="2087" t="str">
        <f t="shared" si="23"/>
        <v/>
      </c>
      <c r="AL113" s="444" t="s">
        <v>68</v>
      </c>
      <c r="AM113" s="450">
        <v>100</v>
      </c>
      <c r="AN113" s="572" t="str">
        <f t="shared" si="24"/>
        <v>○</v>
      </c>
      <c r="AO113" s="451" t="str">
        <f t="shared" si="25"/>
        <v>申請しない場合は入力不要です。</v>
      </c>
      <c r="AQ113" s="451">
        <f t="shared" si="17"/>
        <v>0</v>
      </c>
      <c r="AR113" s="451"/>
    </row>
    <row r="114" spans="1:59" ht="20.100000000000001" customHeight="1" x14ac:dyDescent="0.4">
      <c r="A114" s="226">
        <v>101</v>
      </c>
      <c r="B114" s="628" t="str">
        <f t="shared" ref="B114:B137" si="28">IFERROR(DATE(IF(L114=5,2023,IF(L114=6,2024)),M114,N114)&amp;E114,"")</f>
        <v/>
      </c>
      <c r="C114" s="645" t="str">
        <f t="shared" si="19"/>
        <v/>
      </c>
      <c r="D114" s="578"/>
      <c r="E114" s="556"/>
      <c r="F114" s="1618"/>
      <c r="G114" s="1619"/>
      <c r="H114" s="1620"/>
      <c r="I114" s="530"/>
      <c r="J114" s="530"/>
      <c r="K114" s="225"/>
      <c r="L114" s="530"/>
      <c r="M114" s="530"/>
      <c r="N114" s="530"/>
      <c r="O114" s="140">
        <f t="shared" ref="O114:O135" si="29">ROUNDDOWN(K114*1.1,0)</f>
        <v>0</v>
      </c>
      <c r="P114" s="141">
        <f t="shared" ref="P114:P135" si="30">ROUNDDOWN(J114*O114,0)</f>
        <v>0</v>
      </c>
      <c r="Q114" s="141" t="str">
        <f t="shared" si="20"/>
        <v/>
      </c>
      <c r="R114" s="141" t="str">
        <f t="shared" ref="R114:R137" si="31">IF(Q114="","",MIN(P114,Q114))</f>
        <v/>
      </c>
      <c r="S114" s="227">
        <f t="shared" si="26"/>
        <v>0</v>
      </c>
      <c r="T114" s="142" t="str">
        <f xml:space="preserve">
IF(AND(AN114="◎",OR(テーブル!$B$3="交付申請",テーブル!$B$3="交付申請（２次以降）",テーブル!$B$3="変更申請")),"－",
IF(AND(AN114&lt;&gt;"◎",OR(テーブル!$B$3="交付申請",テーブル!$B$3="交付申請（２次以降）",テーブル!$B$3="変更申請")),"",
IF(AND(OR(テーブル!$B$3="実績報告",テーブル!$B$3="交付申請兼実績報告"),AN114="◎"),COUNTIF($AN$14:AN114,"◎"),"")))</f>
        <v/>
      </c>
      <c r="U114" s="142" t="str">
        <f t="shared" si="22"/>
        <v/>
      </c>
      <c r="W114" s="2087" t="str">
        <f t="shared" si="23"/>
        <v/>
      </c>
      <c r="AL114" s="444" t="s">
        <v>68</v>
      </c>
      <c r="AM114" s="450">
        <v>101</v>
      </c>
      <c r="AN114" s="572" t="str">
        <f t="shared" si="24"/>
        <v>○</v>
      </c>
      <c r="AO114" s="451" t="str">
        <f t="shared" si="25"/>
        <v>申請しない場合は入力不要です。</v>
      </c>
      <c r="AQ114" s="451">
        <f t="shared" ref="AQ114:AQ135" si="32">I114*J114</f>
        <v>0</v>
      </c>
      <c r="AR114" s="451"/>
    </row>
    <row r="115" spans="1:59" ht="20.100000000000001" customHeight="1" x14ac:dyDescent="0.4">
      <c r="A115" s="226">
        <v>102</v>
      </c>
      <c r="B115" s="628" t="str">
        <f t="shared" si="28"/>
        <v/>
      </c>
      <c r="C115" s="645" t="str">
        <f t="shared" si="19"/>
        <v/>
      </c>
      <c r="D115" s="578"/>
      <c r="E115" s="556"/>
      <c r="F115" s="1618"/>
      <c r="G115" s="1619"/>
      <c r="H115" s="1620"/>
      <c r="I115" s="530"/>
      <c r="J115" s="530"/>
      <c r="K115" s="225"/>
      <c r="L115" s="530"/>
      <c r="M115" s="530"/>
      <c r="N115" s="530"/>
      <c r="O115" s="140">
        <f t="shared" si="29"/>
        <v>0</v>
      </c>
      <c r="P115" s="141">
        <f t="shared" si="30"/>
        <v>0</v>
      </c>
      <c r="Q115" s="141" t="str">
        <f t="shared" si="20"/>
        <v/>
      </c>
      <c r="R115" s="141" t="str">
        <f t="shared" si="31"/>
        <v/>
      </c>
      <c r="S115" s="227">
        <f t="shared" si="26"/>
        <v>0</v>
      </c>
      <c r="T115" s="142" t="str">
        <f xml:space="preserve">
IF(AND(AN115="◎",OR(テーブル!$B$3="交付申請",テーブル!$B$3="交付申請（２次以降）",テーブル!$B$3="変更申請")),"－",
IF(AND(AN115&lt;&gt;"◎",OR(テーブル!$B$3="交付申請",テーブル!$B$3="交付申請（２次以降）",テーブル!$B$3="変更申請")),"",
IF(AND(OR(テーブル!$B$3="実績報告",テーブル!$B$3="交付申請兼実績報告"),AN115="◎"),COUNTIF($AN$14:AN115,"◎"),"")))</f>
        <v/>
      </c>
      <c r="U115" s="142" t="str">
        <f t="shared" si="22"/>
        <v/>
      </c>
      <c r="W115" s="2087" t="str">
        <f t="shared" si="23"/>
        <v/>
      </c>
      <c r="AL115" s="444" t="s">
        <v>68</v>
      </c>
      <c r="AM115" s="450">
        <v>102</v>
      </c>
      <c r="AN115" s="572" t="str">
        <f t="shared" si="24"/>
        <v>○</v>
      </c>
      <c r="AO115" s="451" t="str">
        <f t="shared" si="25"/>
        <v>申請しない場合は入力不要です。</v>
      </c>
      <c r="AQ115" s="451">
        <f t="shared" si="32"/>
        <v>0</v>
      </c>
      <c r="AR115" s="451"/>
    </row>
    <row r="116" spans="1:59" ht="20.100000000000001" customHeight="1" x14ac:dyDescent="0.4">
      <c r="A116" s="226">
        <v>103</v>
      </c>
      <c r="B116" s="628" t="str">
        <f t="shared" si="28"/>
        <v/>
      </c>
      <c r="C116" s="645" t="str">
        <f t="shared" si="19"/>
        <v/>
      </c>
      <c r="D116" s="578"/>
      <c r="E116" s="556"/>
      <c r="F116" s="1618"/>
      <c r="G116" s="1619"/>
      <c r="H116" s="1620"/>
      <c r="I116" s="530"/>
      <c r="J116" s="530"/>
      <c r="K116" s="225"/>
      <c r="L116" s="530"/>
      <c r="M116" s="530"/>
      <c r="N116" s="530"/>
      <c r="O116" s="140">
        <f t="shared" si="29"/>
        <v>0</v>
      </c>
      <c r="P116" s="141">
        <f t="shared" si="30"/>
        <v>0</v>
      </c>
      <c r="Q116" s="141" t="str">
        <f t="shared" si="20"/>
        <v/>
      </c>
      <c r="R116" s="141" t="str">
        <f t="shared" si="31"/>
        <v/>
      </c>
      <c r="S116" s="227">
        <f t="shared" si="26"/>
        <v>0</v>
      </c>
      <c r="T116" s="142" t="str">
        <f xml:space="preserve">
IF(AND(AN116="◎",OR(テーブル!$B$3="交付申請",テーブル!$B$3="交付申請（２次以降）",テーブル!$B$3="変更申請")),"－",
IF(AND(AN116&lt;&gt;"◎",OR(テーブル!$B$3="交付申請",テーブル!$B$3="交付申請（２次以降）",テーブル!$B$3="変更申請")),"",
IF(AND(OR(テーブル!$B$3="実績報告",テーブル!$B$3="交付申請兼実績報告"),AN116="◎"),COUNTIF($AN$14:AN116,"◎"),"")))</f>
        <v/>
      </c>
      <c r="U116" s="142" t="str">
        <f t="shared" si="22"/>
        <v/>
      </c>
      <c r="W116" s="2087" t="str">
        <f t="shared" si="23"/>
        <v/>
      </c>
      <c r="AL116" s="444" t="s">
        <v>68</v>
      </c>
      <c r="AM116" s="450">
        <v>103</v>
      </c>
      <c r="AN116" s="572" t="str">
        <f t="shared" si="24"/>
        <v>○</v>
      </c>
      <c r="AO116" s="451" t="str">
        <f t="shared" si="25"/>
        <v>申請しない場合は入力不要です。</v>
      </c>
      <c r="AQ116" s="451">
        <f t="shared" si="32"/>
        <v>0</v>
      </c>
      <c r="AR116" s="451"/>
    </row>
    <row r="117" spans="1:59" ht="20.100000000000001" customHeight="1" x14ac:dyDescent="0.4">
      <c r="A117" s="226">
        <v>104</v>
      </c>
      <c r="B117" s="628" t="str">
        <f t="shared" si="28"/>
        <v/>
      </c>
      <c r="C117" s="645" t="str">
        <f t="shared" si="19"/>
        <v/>
      </c>
      <c r="D117" s="578"/>
      <c r="E117" s="556"/>
      <c r="F117" s="1618"/>
      <c r="G117" s="1619"/>
      <c r="H117" s="1620"/>
      <c r="I117" s="530"/>
      <c r="J117" s="530"/>
      <c r="K117" s="225"/>
      <c r="L117" s="530"/>
      <c r="M117" s="530"/>
      <c r="N117" s="530"/>
      <c r="O117" s="140">
        <f t="shared" si="29"/>
        <v>0</v>
      </c>
      <c r="P117" s="141">
        <f t="shared" si="30"/>
        <v>0</v>
      </c>
      <c r="Q117" s="141" t="str">
        <f t="shared" si="20"/>
        <v/>
      </c>
      <c r="R117" s="141" t="str">
        <f t="shared" si="31"/>
        <v/>
      </c>
      <c r="S117" s="227">
        <f t="shared" si="26"/>
        <v>0</v>
      </c>
      <c r="T117" s="142" t="str">
        <f xml:space="preserve">
IF(AND(AN117="◎",OR(テーブル!$B$3="交付申請",テーブル!$B$3="交付申請（２次以降）",テーブル!$B$3="変更申請")),"－",
IF(AND(AN117&lt;&gt;"◎",OR(テーブル!$B$3="交付申請",テーブル!$B$3="交付申請（２次以降）",テーブル!$B$3="変更申請")),"",
IF(AND(OR(テーブル!$B$3="実績報告",テーブル!$B$3="交付申請兼実績報告"),AN117="◎"),COUNTIF($AN$14:AN117,"◎"),"")))</f>
        <v/>
      </c>
      <c r="U117" s="142" t="str">
        <f t="shared" si="22"/>
        <v/>
      </c>
      <c r="W117" s="2087" t="str">
        <f t="shared" si="23"/>
        <v/>
      </c>
      <c r="AL117" s="444" t="s">
        <v>68</v>
      </c>
      <c r="AM117" s="450">
        <v>104</v>
      </c>
      <c r="AN117" s="572" t="str">
        <f t="shared" si="24"/>
        <v>○</v>
      </c>
      <c r="AO117" s="451" t="str">
        <f t="shared" si="25"/>
        <v>申請しない場合は入力不要です。</v>
      </c>
      <c r="AQ117" s="451">
        <f t="shared" si="32"/>
        <v>0</v>
      </c>
      <c r="AR117" s="451"/>
    </row>
    <row r="118" spans="1:59" ht="20.100000000000001" customHeight="1" x14ac:dyDescent="0.4">
      <c r="A118" s="226">
        <v>105</v>
      </c>
      <c r="B118" s="628" t="str">
        <f t="shared" si="28"/>
        <v/>
      </c>
      <c r="C118" s="645" t="str">
        <f t="shared" si="19"/>
        <v/>
      </c>
      <c r="D118" s="578"/>
      <c r="E118" s="556"/>
      <c r="F118" s="1618"/>
      <c r="G118" s="1619"/>
      <c r="H118" s="1620"/>
      <c r="I118" s="530"/>
      <c r="J118" s="530"/>
      <c r="K118" s="225"/>
      <c r="L118" s="530"/>
      <c r="M118" s="530"/>
      <c r="N118" s="530"/>
      <c r="O118" s="140">
        <f t="shared" si="29"/>
        <v>0</v>
      </c>
      <c r="P118" s="141">
        <f t="shared" si="30"/>
        <v>0</v>
      </c>
      <c r="Q118" s="141" t="str">
        <f t="shared" si="20"/>
        <v/>
      </c>
      <c r="R118" s="141" t="str">
        <f t="shared" si="31"/>
        <v/>
      </c>
      <c r="S118" s="227">
        <f t="shared" si="26"/>
        <v>0</v>
      </c>
      <c r="T118" s="142" t="str">
        <f xml:space="preserve">
IF(AND(AN118="◎",OR(テーブル!$B$3="交付申請",テーブル!$B$3="交付申請（２次以降）",テーブル!$B$3="変更申請")),"－",
IF(AND(AN118&lt;&gt;"◎",OR(テーブル!$B$3="交付申請",テーブル!$B$3="交付申請（２次以降）",テーブル!$B$3="変更申請")),"",
IF(AND(OR(テーブル!$B$3="実績報告",テーブル!$B$3="交付申請兼実績報告"),AN118="◎"),COUNTIF($AN$14:AN118,"◎"),"")))</f>
        <v/>
      </c>
      <c r="U118" s="142" t="str">
        <f t="shared" si="22"/>
        <v/>
      </c>
      <c r="W118" s="2087" t="str">
        <f t="shared" si="23"/>
        <v/>
      </c>
      <c r="AL118" s="444" t="s">
        <v>68</v>
      </c>
      <c r="AM118" s="450">
        <v>105</v>
      </c>
      <c r="AN118" s="572" t="str">
        <f t="shared" si="24"/>
        <v>○</v>
      </c>
      <c r="AO118" s="451" t="str">
        <f t="shared" si="25"/>
        <v>申請しない場合は入力不要です。</v>
      </c>
      <c r="AQ118" s="451">
        <f t="shared" si="32"/>
        <v>0</v>
      </c>
      <c r="AR118" s="451"/>
    </row>
    <row r="119" spans="1:59" ht="20.100000000000001" customHeight="1" x14ac:dyDescent="0.4">
      <c r="A119" s="226">
        <v>106</v>
      </c>
      <c r="B119" s="628" t="str">
        <f t="shared" si="28"/>
        <v/>
      </c>
      <c r="C119" s="645" t="str">
        <f t="shared" si="19"/>
        <v/>
      </c>
      <c r="D119" s="578"/>
      <c r="E119" s="556"/>
      <c r="F119" s="1618"/>
      <c r="G119" s="1619"/>
      <c r="H119" s="1620"/>
      <c r="I119" s="530"/>
      <c r="J119" s="530"/>
      <c r="K119" s="225"/>
      <c r="L119" s="530"/>
      <c r="M119" s="530"/>
      <c r="N119" s="530"/>
      <c r="O119" s="140">
        <f t="shared" si="29"/>
        <v>0</v>
      </c>
      <c r="P119" s="141">
        <f t="shared" si="30"/>
        <v>0</v>
      </c>
      <c r="Q119" s="141" t="str">
        <f t="shared" si="20"/>
        <v/>
      </c>
      <c r="R119" s="141" t="str">
        <f t="shared" si="31"/>
        <v/>
      </c>
      <c r="S119" s="227">
        <f t="shared" si="26"/>
        <v>0</v>
      </c>
      <c r="T119" s="142" t="str">
        <f xml:space="preserve">
IF(AND(AN119="◎",OR(テーブル!$B$3="交付申請",テーブル!$B$3="交付申請（２次以降）",テーブル!$B$3="変更申請")),"－",
IF(AND(AN119&lt;&gt;"◎",OR(テーブル!$B$3="交付申請",テーブル!$B$3="交付申請（２次以降）",テーブル!$B$3="変更申請")),"",
IF(AND(OR(テーブル!$B$3="実績報告",テーブル!$B$3="交付申請兼実績報告"),AN119="◎"),COUNTIF($AN$14:AN119,"◎"),"")))</f>
        <v/>
      </c>
      <c r="U119" s="142" t="str">
        <f t="shared" si="22"/>
        <v/>
      </c>
      <c r="W119" s="2087" t="str">
        <f t="shared" si="23"/>
        <v/>
      </c>
      <c r="AL119" s="444" t="s">
        <v>68</v>
      </c>
      <c r="AM119" s="450">
        <v>106</v>
      </c>
      <c r="AN119" s="572" t="str">
        <f t="shared" si="24"/>
        <v>○</v>
      </c>
      <c r="AO119" s="451" t="str">
        <f t="shared" si="25"/>
        <v>申請しない場合は入力不要です。</v>
      </c>
      <c r="AQ119" s="451">
        <f t="shared" si="32"/>
        <v>0</v>
      </c>
      <c r="AR119" s="451"/>
    </row>
    <row r="120" spans="1:59" ht="20.100000000000001" customHeight="1" x14ac:dyDescent="0.4">
      <c r="A120" s="226">
        <v>107</v>
      </c>
      <c r="B120" s="628" t="str">
        <f t="shared" si="28"/>
        <v/>
      </c>
      <c r="C120" s="645" t="str">
        <f t="shared" si="19"/>
        <v/>
      </c>
      <c r="D120" s="578"/>
      <c r="E120" s="556"/>
      <c r="F120" s="1618"/>
      <c r="G120" s="1619"/>
      <c r="H120" s="1620"/>
      <c r="I120" s="530"/>
      <c r="J120" s="530"/>
      <c r="K120" s="225"/>
      <c r="L120" s="530"/>
      <c r="M120" s="530"/>
      <c r="N120" s="530"/>
      <c r="O120" s="140">
        <f t="shared" si="29"/>
        <v>0</v>
      </c>
      <c r="P120" s="141">
        <f t="shared" si="30"/>
        <v>0</v>
      </c>
      <c r="Q120" s="141" t="str">
        <f t="shared" si="20"/>
        <v/>
      </c>
      <c r="R120" s="141" t="str">
        <f t="shared" si="31"/>
        <v/>
      </c>
      <c r="S120" s="227">
        <f t="shared" si="26"/>
        <v>0</v>
      </c>
      <c r="T120" s="142" t="str">
        <f xml:space="preserve">
IF(AND(AN120="◎",OR(テーブル!$B$3="交付申請",テーブル!$B$3="交付申請（２次以降）",テーブル!$B$3="変更申請")),"－",
IF(AND(AN120&lt;&gt;"◎",OR(テーブル!$B$3="交付申請",テーブル!$B$3="交付申請（２次以降）",テーブル!$B$3="変更申請")),"",
IF(AND(OR(テーブル!$B$3="実績報告",テーブル!$B$3="交付申請兼実績報告"),AN120="◎"),COUNTIF($AN$14:AN120,"◎"),"")))</f>
        <v/>
      </c>
      <c r="U120" s="142" t="str">
        <f t="shared" si="22"/>
        <v/>
      </c>
      <c r="W120" s="2087" t="str">
        <f t="shared" si="23"/>
        <v/>
      </c>
      <c r="AL120" s="444" t="s">
        <v>68</v>
      </c>
      <c r="AM120" s="450">
        <v>107</v>
      </c>
      <c r="AN120" s="572" t="str">
        <f t="shared" si="24"/>
        <v>○</v>
      </c>
      <c r="AO120" s="451" t="str">
        <f t="shared" si="25"/>
        <v>申請しない場合は入力不要です。</v>
      </c>
      <c r="AQ120" s="451">
        <f t="shared" si="32"/>
        <v>0</v>
      </c>
      <c r="AR120" s="451"/>
    </row>
    <row r="121" spans="1:59" ht="20.100000000000001" customHeight="1" x14ac:dyDescent="0.4">
      <c r="A121" s="226">
        <v>108</v>
      </c>
      <c r="B121" s="628" t="str">
        <f t="shared" si="28"/>
        <v/>
      </c>
      <c r="C121" s="645" t="str">
        <f t="shared" si="19"/>
        <v/>
      </c>
      <c r="D121" s="578"/>
      <c r="E121" s="556"/>
      <c r="F121" s="1618"/>
      <c r="G121" s="1619"/>
      <c r="H121" s="1620"/>
      <c r="I121" s="530"/>
      <c r="J121" s="530"/>
      <c r="K121" s="225"/>
      <c r="L121" s="530"/>
      <c r="M121" s="530"/>
      <c r="N121" s="530"/>
      <c r="O121" s="140">
        <f t="shared" si="29"/>
        <v>0</v>
      </c>
      <c r="P121" s="141">
        <f t="shared" si="30"/>
        <v>0</v>
      </c>
      <c r="Q121" s="141" t="str">
        <f t="shared" si="20"/>
        <v/>
      </c>
      <c r="R121" s="141" t="str">
        <f t="shared" si="31"/>
        <v/>
      </c>
      <c r="S121" s="227">
        <f t="shared" si="26"/>
        <v>0</v>
      </c>
      <c r="T121" s="142" t="str">
        <f xml:space="preserve">
IF(AND(AN121="◎",OR(テーブル!$B$3="交付申請",テーブル!$B$3="交付申請（２次以降）",テーブル!$B$3="変更申請")),"－",
IF(AND(AN121&lt;&gt;"◎",OR(テーブル!$B$3="交付申請",テーブル!$B$3="交付申請（２次以降）",テーブル!$B$3="変更申請")),"",
IF(AND(OR(テーブル!$B$3="実績報告",テーブル!$B$3="交付申請兼実績報告"),AN121="◎"),COUNTIF($AN$14:AN121,"◎"),"")))</f>
        <v/>
      </c>
      <c r="U121" s="142" t="str">
        <f t="shared" si="22"/>
        <v/>
      </c>
      <c r="W121" s="2087" t="str">
        <f t="shared" si="23"/>
        <v/>
      </c>
      <c r="AL121" s="444" t="s">
        <v>68</v>
      </c>
      <c r="AM121" s="450">
        <v>108</v>
      </c>
      <c r="AN121" s="572" t="str">
        <f t="shared" si="24"/>
        <v>○</v>
      </c>
      <c r="AO121" s="451" t="str">
        <f t="shared" si="25"/>
        <v>申請しない場合は入力不要です。</v>
      </c>
      <c r="AQ121" s="451">
        <f t="shared" si="32"/>
        <v>0</v>
      </c>
      <c r="AR121" s="451"/>
    </row>
    <row r="122" spans="1:59" ht="20.100000000000001" customHeight="1" x14ac:dyDescent="0.4">
      <c r="A122" s="226">
        <v>109</v>
      </c>
      <c r="B122" s="628" t="str">
        <f t="shared" si="28"/>
        <v/>
      </c>
      <c r="C122" s="645" t="str">
        <f t="shared" si="19"/>
        <v/>
      </c>
      <c r="D122" s="578"/>
      <c r="E122" s="556"/>
      <c r="F122" s="1618"/>
      <c r="G122" s="1619"/>
      <c r="H122" s="1620"/>
      <c r="I122" s="530"/>
      <c r="J122" s="530"/>
      <c r="K122" s="225"/>
      <c r="L122" s="530"/>
      <c r="M122" s="530"/>
      <c r="N122" s="530"/>
      <c r="O122" s="140">
        <f t="shared" si="29"/>
        <v>0</v>
      </c>
      <c r="P122" s="141">
        <f t="shared" si="30"/>
        <v>0</v>
      </c>
      <c r="Q122" s="141" t="str">
        <f t="shared" si="20"/>
        <v/>
      </c>
      <c r="R122" s="141" t="str">
        <f t="shared" si="31"/>
        <v/>
      </c>
      <c r="S122" s="227">
        <f t="shared" si="26"/>
        <v>0</v>
      </c>
      <c r="T122" s="142" t="str">
        <f xml:space="preserve">
IF(AND(AN122="◎",OR(テーブル!$B$3="交付申請",テーブル!$B$3="交付申請（２次以降）",テーブル!$B$3="変更申請")),"－",
IF(AND(AN122&lt;&gt;"◎",OR(テーブル!$B$3="交付申請",テーブル!$B$3="交付申請（２次以降）",テーブル!$B$3="変更申請")),"",
IF(AND(OR(テーブル!$B$3="実績報告",テーブル!$B$3="交付申請兼実績報告"),AN122="◎"),COUNTIF($AN$14:AN122,"◎"),"")))</f>
        <v/>
      </c>
      <c r="U122" s="142" t="str">
        <f t="shared" si="22"/>
        <v/>
      </c>
      <c r="W122" s="2087" t="str">
        <f t="shared" si="23"/>
        <v/>
      </c>
      <c r="AL122" s="444" t="s">
        <v>68</v>
      </c>
      <c r="AM122" s="450">
        <v>109</v>
      </c>
      <c r="AN122" s="572" t="str">
        <f t="shared" si="24"/>
        <v>○</v>
      </c>
      <c r="AO122" s="451" t="str">
        <f t="shared" si="25"/>
        <v>申請しない場合は入力不要です。</v>
      </c>
      <c r="AQ122" s="451">
        <f t="shared" si="32"/>
        <v>0</v>
      </c>
      <c r="AR122" s="451"/>
      <c r="AZ122" s="655" t="str">
        <f>"外来患者数："&amp;基礎情報!X75&amp;"人、"&amp;"１外来対応あたり医師："&amp;基礎情報!H75&amp;"人、"&amp;"看護師："&amp;基礎情報!L75&amp;"人"</f>
        <v>外来患者数：0人、１外来対応あたり医師：人、看護師：人</v>
      </c>
    </row>
    <row r="123" spans="1:59" ht="20.100000000000001" customHeight="1" x14ac:dyDescent="0.4">
      <c r="A123" s="226">
        <v>110</v>
      </c>
      <c r="B123" s="628" t="str">
        <f t="shared" si="28"/>
        <v/>
      </c>
      <c r="C123" s="645" t="str">
        <f t="shared" si="19"/>
        <v/>
      </c>
      <c r="D123" s="578"/>
      <c r="E123" s="556"/>
      <c r="F123" s="1618"/>
      <c r="G123" s="1619"/>
      <c r="H123" s="1620"/>
      <c r="I123" s="530"/>
      <c r="J123" s="530"/>
      <c r="K123" s="225"/>
      <c r="L123" s="530"/>
      <c r="M123" s="530"/>
      <c r="N123" s="530"/>
      <c r="O123" s="140">
        <f t="shared" si="29"/>
        <v>0</v>
      </c>
      <c r="P123" s="141">
        <f t="shared" si="30"/>
        <v>0</v>
      </c>
      <c r="Q123" s="141" t="str">
        <f t="shared" si="20"/>
        <v/>
      </c>
      <c r="R123" s="141" t="str">
        <f t="shared" si="31"/>
        <v/>
      </c>
      <c r="S123" s="227">
        <f t="shared" si="26"/>
        <v>0</v>
      </c>
      <c r="T123" s="142" t="str">
        <f xml:space="preserve">
IF(AND(AN123="◎",OR(テーブル!$B$3="交付申請",テーブル!$B$3="交付申請（２次以降）",テーブル!$B$3="変更申請")),"－",
IF(AND(AN123&lt;&gt;"◎",OR(テーブル!$B$3="交付申請",テーブル!$B$3="交付申請（２次以降）",テーブル!$B$3="変更申請")),"",
IF(AND(OR(テーブル!$B$3="実績報告",テーブル!$B$3="交付申請兼実績報告"),AN123="◎"),COUNTIF($AN$14:AN123,"◎"),"")))</f>
        <v/>
      </c>
      <c r="U123" s="142" t="str">
        <f t="shared" si="22"/>
        <v/>
      </c>
      <c r="W123" s="2087" t="str">
        <f t="shared" si="23"/>
        <v/>
      </c>
      <c r="AL123" s="444" t="s">
        <v>68</v>
      </c>
      <c r="AM123" s="450">
        <v>110</v>
      </c>
      <c r="AN123" s="572" t="str">
        <f t="shared" si="24"/>
        <v>○</v>
      </c>
      <c r="AO123" s="451" t="str">
        <f t="shared" si="25"/>
        <v>申請しない場合は入力不要です。</v>
      </c>
      <c r="AQ123" s="451">
        <f t="shared" si="32"/>
        <v>0</v>
      </c>
      <c r="AR123" s="451"/>
      <c r="AZ123" s="142" t="s">
        <v>1024</v>
      </c>
      <c r="BA123" s="142" t="s">
        <v>1025</v>
      </c>
      <c r="BB123" s="142" t="s">
        <v>1365</v>
      </c>
      <c r="BC123" s="454" t="s">
        <v>1203</v>
      </c>
      <c r="BD123" s="142" t="s">
        <v>1026</v>
      </c>
      <c r="BE123" s="142" t="s">
        <v>1046</v>
      </c>
      <c r="BF123" s="142" t="s">
        <v>1044</v>
      </c>
      <c r="BG123" s="142" t="s">
        <v>1045</v>
      </c>
    </row>
    <row r="124" spans="1:59" ht="20.100000000000001" customHeight="1" x14ac:dyDescent="0.4">
      <c r="A124" s="226">
        <v>111</v>
      </c>
      <c r="B124" s="628" t="str">
        <f t="shared" si="28"/>
        <v/>
      </c>
      <c r="C124" s="645" t="str">
        <f t="shared" si="19"/>
        <v/>
      </c>
      <c r="D124" s="578"/>
      <c r="E124" s="556"/>
      <c r="F124" s="1618"/>
      <c r="G124" s="1619"/>
      <c r="H124" s="1620"/>
      <c r="I124" s="530"/>
      <c r="J124" s="530"/>
      <c r="K124" s="225"/>
      <c r="L124" s="530"/>
      <c r="M124" s="530"/>
      <c r="N124" s="530"/>
      <c r="O124" s="140">
        <f t="shared" si="29"/>
        <v>0</v>
      </c>
      <c r="P124" s="141">
        <f t="shared" si="30"/>
        <v>0</v>
      </c>
      <c r="Q124" s="141" t="str">
        <f t="shared" si="20"/>
        <v/>
      </c>
      <c r="R124" s="141" t="str">
        <f t="shared" si="31"/>
        <v/>
      </c>
      <c r="S124" s="227">
        <f t="shared" si="26"/>
        <v>0</v>
      </c>
      <c r="T124" s="142" t="str">
        <f xml:space="preserve">
IF(AND(AN124="◎",OR(テーブル!$B$3="交付申請",テーブル!$B$3="交付申請（２次以降）",テーブル!$B$3="変更申請")),"－",
IF(AND(AN124&lt;&gt;"◎",OR(テーブル!$B$3="交付申請",テーブル!$B$3="交付申請（２次以降）",テーブル!$B$3="変更申請")),"",
IF(AND(OR(テーブル!$B$3="実績報告",テーブル!$B$3="交付申請兼実績報告"),AN124="◎"),COUNTIF($AN$14:AN124,"◎"),"")))</f>
        <v/>
      </c>
      <c r="U124" s="142" t="str">
        <f t="shared" si="22"/>
        <v/>
      </c>
      <c r="W124" s="2087" t="str">
        <f t="shared" si="23"/>
        <v/>
      </c>
      <c r="AL124" s="444" t="s">
        <v>68</v>
      </c>
      <c r="AM124" s="450">
        <v>111</v>
      </c>
      <c r="AN124" s="572" t="str">
        <f t="shared" si="24"/>
        <v>○</v>
      </c>
      <c r="AO124" s="451" t="str">
        <f t="shared" si="25"/>
        <v>申請しない場合は入力不要です。</v>
      </c>
      <c r="AQ124" s="451">
        <f t="shared" si="32"/>
        <v>0</v>
      </c>
      <c r="AR124" s="451"/>
      <c r="AZ124" s="1635" t="s">
        <v>230</v>
      </c>
      <c r="BA124" s="283" t="s">
        <v>1001</v>
      </c>
      <c r="BB124" s="456">
        <f>基礎情報!V82</f>
        <v>0</v>
      </c>
      <c r="BC124" s="455">
        <v>14</v>
      </c>
      <c r="BD124" s="456">
        <f t="shared" ref="BD124:BD140" si="33">SUMIF($E$14:$E$113,BA124,$S$14:$S$113)</f>
        <v>0</v>
      </c>
      <c r="BE124" s="456">
        <f>BD124</f>
        <v>0</v>
      </c>
      <c r="BF124" s="457">
        <f>増減推移!C29</f>
        <v>0</v>
      </c>
      <c r="BG124" s="458">
        <f>BF124-BE124</f>
        <v>0</v>
      </c>
    </row>
    <row r="125" spans="1:59" ht="20.100000000000001" customHeight="1" x14ac:dyDescent="0.4">
      <c r="A125" s="226">
        <v>112</v>
      </c>
      <c r="B125" s="628" t="str">
        <f t="shared" si="28"/>
        <v/>
      </c>
      <c r="C125" s="645" t="str">
        <f t="shared" si="19"/>
        <v/>
      </c>
      <c r="D125" s="578"/>
      <c r="E125" s="556"/>
      <c r="F125" s="1618"/>
      <c r="G125" s="1619"/>
      <c r="H125" s="1620"/>
      <c r="I125" s="530"/>
      <c r="J125" s="530"/>
      <c r="K125" s="225"/>
      <c r="L125" s="530"/>
      <c r="M125" s="530"/>
      <c r="N125" s="530"/>
      <c r="O125" s="140">
        <f t="shared" si="29"/>
        <v>0</v>
      </c>
      <c r="P125" s="141">
        <f t="shared" si="30"/>
        <v>0</v>
      </c>
      <c r="Q125" s="141" t="str">
        <f t="shared" si="20"/>
        <v/>
      </c>
      <c r="R125" s="141" t="str">
        <f t="shared" si="31"/>
        <v/>
      </c>
      <c r="S125" s="227">
        <f t="shared" si="26"/>
        <v>0</v>
      </c>
      <c r="T125" s="142" t="str">
        <f xml:space="preserve">
IF(AND(AN125="◎",OR(テーブル!$B$3="交付申請",テーブル!$B$3="交付申請（２次以降）",テーブル!$B$3="変更申請")),"－",
IF(AND(AN125&lt;&gt;"◎",OR(テーブル!$B$3="交付申請",テーブル!$B$3="交付申請（２次以降）",テーブル!$B$3="変更申請")),"",
IF(AND(OR(テーブル!$B$3="実績報告",テーブル!$B$3="交付申請兼実績報告"),AN125="◎"),COUNTIF($AN$14:AN125,"◎"),"")))</f>
        <v/>
      </c>
      <c r="U125" s="142" t="str">
        <f t="shared" si="22"/>
        <v/>
      </c>
      <c r="W125" s="2087" t="str">
        <f t="shared" si="23"/>
        <v/>
      </c>
      <c r="AL125" s="444" t="s">
        <v>68</v>
      </c>
      <c r="AM125" s="450">
        <v>112</v>
      </c>
      <c r="AN125" s="572" t="str">
        <f t="shared" si="24"/>
        <v>○</v>
      </c>
      <c r="AO125" s="451" t="str">
        <f t="shared" si="25"/>
        <v>申請しない場合は入力不要です。</v>
      </c>
      <c r="AQ125" s="451">
        <f t="shared" si="32"/>
        <v>0</v>
      </c>
      <c r="AR125" s="451"/>
      <c r="AZ125" s="1636"/>
      <c r="BA125" s="283" t="s">
        <v>1002</v>
      </c>
      <c r="BB125" s="456">
        <f>基礎情報!V85</f>
        <v>0</v>
      </c>
      <c r="BC125" s="455">
        <v>82</v>
      </c>
      <c r="BD125" s="456">
        <f t="shared" si="33"/>
        <v>0</v>
      </c>
      <c r="BE125" s="456">
        <f>BD125</f>
        <v>0</v>
      </c>
      <c r="BF125" s="457">
        <f>増減推移!C30</f>
        <v>0</v>
      </c>
      <c r="BG125" s="458">
        <f>BF125-BE125</f>
        <v>0</v>
      </c>
    </row>
    <row r="126" spans="1:59" ht="20.100000000000001" customHeight="1" x14ac:dyDescent="0.4">
      <c r="A126" s="226">
        <v>113</v>
      </c>
      <c r="B126" s="628" t="str">
        <f t="shared" si="28"/>
        <v/>
      </c>
      <c r="C126" s="645" t="str">
        <f t="shared" si="19"/>
        <v/>
      </c>
      <c r="D126" s="578"/>
      <c r="E126" s="556"/>
      <c r="F126" s="1618"/>
      <c r="G126" s="1619"/>
      <c r="H126" s="1620"/>
      <c r="I126" s="530"/>
      <c r="J126" s="530"/>
      <c r="K126" s="225"/>
      <c r="L126" s="530"/>
      <c r="M126" s="530"/>
      <c r="N126" s="530"/>
      <c r="O126" s="140">
        <f t="shared" si="29"/>
        <v>0</v>
      </c>
      <c r="P126" s="141">
        <f t="shared" si="30"/>
        <v>0</v>
      </c>
      <c r="Q126" s="141" t="str">
        <f t="shared" si="20"/>
        <v/>
      </c>
      <c r="R126" s="141" t="str">
        <f t="shared" si="31"/>
        <v/>
      </c>
      <c r="S126" s="227">
        <f t="shared" si="26"/>
        <v>0</v>
      </c>
      <c r="T126" s="142" t="str">
        <f xml:space="preserve">
IF(AND(AN126="◎",OR(テーブル!$B$3="交付申請",テーブル!$B$3="交付申請（２次以降）",テーブル!$B$3="変更申請")),"－",
IF(AND(AN126&lt;&gt;"◎",OR(テーブル!$B$3="交付申請",テーブル!$B$3="交付申請（２次以降）",テーブル!$B$3="変更申請")),"",
IF(AND(OR(テーブル!$B$3="実績報告",テーブル!$B$3="交付申請兼実績報告"),AN126="◎"),COUNTIF($AN$14:AN126,"◎"),"")))</f>
        <v/>
      </c>
      <c r="U126" s="142" t="str">
        <f t="shared" si="22"/>
        <v/>
      </c>
      <c r="W126" s="2087" t="str">
        <f t="shared" si="23"/>
        <v/>
      </c>
      <c r="AL126" s="444" t="s">
        <v>68</v>
      </c>
      <c r="AM126" s="450">
        <v>113</v>
      </c>
      <c r="AN126" s="572" t="str">
        <f t="shared" si="24"/>
        <v>○</v>
      </c>
      <c r="AO126" s="451" t="str">
        <f t="shared" si="25"/>
        <v>申請しない場合は入力不要です。</v>
      </c>
      <c r="AQ126" s="451">
        <f t="shared" si="32"/>
        <v>0</v>
      </c>
      <c r="AR126" s="451"/>
      <c r="AZ126" s="1636"/>
      <c r="BA126" s="283" t="s">
        <v>1003</v>
      </c>
      <c r="BB126" s="1602">
        <f>基礎情報!V88</f>
        <v>0</v>
      </c>
      <c r="BC126" s="459">
        <v>155</v>
      </c>
      <c r="BD126" s="524">
        <f t="shared" si="33"/>
        <v>0</v>
      </c>
      <c r="BE126" s="1602">
        <f>SUM(BD126:BD127)</f>
        <v>0</v>
      </c>
      <c r="BF126" s="1646">
        <f>増減推移!C31</f>
        <v>0</v>
      </c>
      <c r="BG126" s="1630">
        <f>BF126-BE126</f>
        <v>0</v>
      </c>
    </row>
    <row r="127" spans="1:59" ht="20.100000000000001" customHeight="1" x14ac:dyDescent="0.4">
      <c r="A127" s="226">
        <v>114</v>
      </c>
      <c r="B127" s="628" t="str">
        <f t="shared" si="28"/>
        <v/>
      </c>
      <c r="C127" s="645" t="str">
        <f t="shared" si="19"/>
        <v/>
      </c>
      <c r="D127" s="578"/>
      <c r="E127" s="556"/>
      <c r="F127" s="1618"/>
      <c r="G127" s="1619"/>
      <c r="H127" s="1620"/>
      <c r="I127" s="530"/>
      <c r="J127" s="530"/>
      <c r="K127" s="225"/>
      <c r="L127" s="530"/>
      <c r="M127" s="530"/>
      <c r="N127" s="530"/>
      <c r="O127" s="140">
        <f t="shared" si="29"/>
        <v>0</v>
      </c>
      <c r="P127" s="141">
        <f t="shared" si="30"/>
        <v>0</v>
      </c>
      <c r="Q127" s="141" t="str">
        <f t="shared" si="20"/>
        <v/>
      </c>
      <c r="R127" s="141" t="str">
        <f t="shared" si="31"/>
        <v/>
      </c>
      <c r="S127" s="227">
        <f t="shared" si="26"/>
        <v>0</v>
      </c>
      <c r="T127" s="142" t="str">
        <f xml:space="preserve">
IF(AND(AN127="◎",OR(テーブル!$B$3="交付申請",テーブル!$B$3="交付申請（２次以降）",テーブル!$B$3="変更申請")),"－",
IF(AND(AN127&lt;&gt;"◎",OR(テーブル!$B$3="交付申請",テーブル!$B$3="交付申請（２次以降）",テーブル!$B$3="変更申請")),"",
IF(AND(OR(テーブル!$B$3="実績報告",テーブル!$B$3="交付申請兼実績報告"),AN127="◎"),COUNTIF($AN$14:AN127,"◎"),"")))</f>
        <v/>
      </c>
      <c r="U127" s="142" t="str">
        <f t="shared" si="22"/>
        <v/>
      </c>
      <c r="W127" s="2087" t="str">
        <f t="shared" si="23"/>
        <v/>
      </c>
      <c r="AL127" s="444" t="s">
        <v>68</v>
      </c>
      <c r="AM127" s="450">
        <v>114</v>
      </c>
      <c r="AN127" s="572" t="str">
        <f t="shared" si="24"/>
        <v>○</v>
      </c>
      <c r="AO127" s="451" t="str">
        <f t="shared" si="25"/>
        <v>申請しない場合は入力不要です。</v>
      </c>
      <c r="AQ127" s="451">
        <f t="shared" si="32"/>
        <v>0</v>
      </c>
      <c r="AR127" s="451"/>
      <c r="AZ127" s="1637"/>
      <c r="BA127" s="283" t="s">
        <v>1005</v>
      </c>
      <c r="BB127" s="1603"/>
      <c r="BC127" s="459">
        <v>192</v>
      </c>
      <c r="BD127" s="524">
        <f t="shared" si="33"/>
        <v>0</v>
      </c>
      <c r="BE127" s="1643"/>
      <c r="BF127" s="1647"/>
      <c r="BG127" s="1631"/>
    </row>
    <row r="128" spans="1:59" ht="20.100000000000001" customHeight="1" x14ac:dyDescent="0.4">
      <c r="A128" s="226">
        <v>115</v>
      </c>
      <c r="B128" s="628" t="str">
        <f t="shared" si="28"/>
        <v/>
      </c>
      <c r="C128" s="645" t="str">
        <f t="shared" si="19"/>
        <v/>
      </c>
      <c r="D128" s="578"/>
      <c r="E128" s="556"/>
      <c r="F128" s="1618"/>
      <c r="G128" s="1619"/>
      <c r="H128" s="1620"/>
      <c r="I128" s="530"/>
      <c r="J128" s="530"/>
      <c r="K128" s="225"/>
      <c r="L128" s="530"/>
      <c r="M128" s="530"/>
      <c r="N128" s="530"/>
      <c r="O128" s="140">
        <f t="shared" si="29"/>
        <v>0</v>
      </c>
      <c r="P128" s="141">
        <f t="shared" si="30"/>
        <v>0</v>
      </c>
      <c r="Q128" s="141" t="str">
        <f t="shared" si="20"/>
        <v/>
      </c>
      <c r="R128" s="141" t="str">
        <f t="shared" si="31"/>
        <v/>
      </c>
      <c r="S128" s="227">
        <f t="shared" si="26"/>
        <v>0</v>
      </c>
      <c r="T128" s="142" t="str">
        <f xml:space="preserve">
IF(AND(AN128="◎",OR(テーブル!$B$3="交付申請",テーブル!$B$3="交付申請（２次以降）",テーブル!$B$3="変更申請")),"－",
IF(AND(AN128&lt;&gt;"◎",OR(テーブル!$B$3="交付申請",テーブル!$B$3="交付申請（２次以降）",テーブル!$B$3="変更申請")),"",
IF(AND(OR(テーブル!$B$3="実績報告",テーブル!$B$3="交付申請兼実績報告"),AN128="◎"),COUNTIF($AN$14:AN128,"◎"),"")))</f>
        <v/>
      </c>
      <c r="U128" s="142" t="str">
        <f t="shared" si="22"/>
        <v/>
      </c>
      <c r="W128" s="2087" t="str">
        <f t="shared" si="23"/>
        <v/>
      </c>
      <c r="AL128" s="444" t="s">
        <v>68</v>
      </c>
      <c r="AM128" s="450">
        <v>115</v>
      </c>
      <c r="AN128" s="572" t="str">
        <f t="shared" si="24"/>
        <v>○</v>
      </c>
      <c r="AO128" s="451" t="str">
        <f t="shared" si="25"/>
        <v>申請しない場合は入力不要です。</v>
      </c>
      <c r="AQ128" s="451">
        <f t="shared" si="32"/>
        <v>0</v>
      </c>
      <c r="AR128" s="451"/>
      <c r="AZ128" s="1635" t="s">
        <v>231</v>
      </c>
      <c r="BA128" s="283" t="s">
        <v>1206</v>
      </c>
      <c r="BB128" s="460">
        <f>基礎情報!V97</f>
        <v>0</v>
      </c>
      <c r="BC128" s="455">
        <v>2107</v>
      </c>
      <c r="BD128" s="460">
        <f t="shared" si="33"/>
        <v>0</v>
      </c>
      <c r="BE128" s="460">
        <f>BD128</f>
        <v>0</v>
      </c>
      <c r="BF128" s="461">
        <f>増減推移!C32</f>
        <v>0</v>
      </c>
      <c r="BG128" s="462">
        <f>BF128-BE128</f>
        <v>0</v>
      </c>
    </row>
    <row r="129" spans="1:59" ht="20.100000000000001" customHeight="1" x14ac:dyDescent="0.4">
      <c r="A129" s="226">
        <v>116</v>
      </c>
      <c r="B129" s="628" t="str">
        <f t="shared" si="28"/>
        <v/>
      </c>
      <c r="C129" s="645" t="str">
        <f t="shared" si="19"/>
        <v/>
      </c>
      <c r="D129" s="578"/>
      <c r="E129" s="556"/>
      <c r="F129" s="1618"/>
      <c r="G129" s="1619"/>
      <c r="H129" s="1620"/>
      <c r="I129" s="530"/>
      <c r="J129" s="530"/>
      <c r="K129" s="225"/>
      <c r="L129" s="530"/>
      <c r="M129" s="530"/>
      <c r="N129" s="530"/>
      <c r="O129" s="140">
        <f t="shared" si="29"/>
        <v>0</v>
      </c>
      <c r="P129" s="141">
        <f t="shared" si="30"/>
        <v>0</v>
      </c>
      <c r="Q129" s="141" t="str">
        <f t="shared" si="20"/>
        <v/>
      </c>
      <c r="R129" s="141" t="str">
        <f t="shared" si="31"/>
        <v/>
      </c>
      <c r="S129" s="227">
        <f t="shared" si="26"/>
        <v>0</v>
      </c>
      <c r="T129" s="142" t="str">
        <f xml:space="preserve">
IF(AND(AN129="◎",OR(テーブル!$B$3="交付申請",テーブル!$B$3="交付申請（２次以降）",テーブル!$B$3="変更申請")),"－",
IF(AND(AN129&lt;&gt;"◎",OR(テーブル!$B$3="交付申請",テーブル!$B$3="交付申請（２次以降）",テーブル!$B$3="変更申請")),"",
IF(AND(OR(テーブル!$B$3="実績報告",テーブル!$B$3="交付申請兼実績報告"),AN129="◎"),COUNTIF($AN$14:AN129,"◎"),"")))</f>
        <v/>
      </c>
      <c r="U129" s="142" t="str">
        <f t="shared" si="22"/>
        <v/>
      </c>
      <c r="W129" s="2087" t="str">
        <f t="shared" si="23"/>
        <v/>
      </c>
      <c r="AL129" s="444" t="s">
        <v>68</v>
      </c>
      <c r="AM129" s="450">
        <v>116</v>
      </c>
      <c r="AN129" s="572" t="str">
        <f t="shared" si="24"/>
        <v>○</v>
      </c>
      <c r="AO129" s="451" t="str">
        <f t="shared" si="25"/>
        <v>申請しない場合は入力不要です。</v>
      </c>
      <c r="AQ129" s="451">
        <f t="shared" si="32"/>
        <v>0</v>
      </c>
      <c r="AR129" s="451"/>
      <c r="AZ129" s="1636"/>
      <c r="BA129" s="283" t="s">
        <v>1013</v>
      </c>
      <c r="BB129" s="460">
        <f>基礎情報!V100</f>
        <v>0</v>
      </c>
      <c r="BC129" s="455">
        <v>955</v>
      </c>
      <c r="BD129" s="460">
        <f t="shared" si="33"/>
        <v>0</v>
      </c>
      <c r="BE129" s="460">
        <f>BD129</f>
        <v>0</v>
      </c>
      <c r="BF129" s="461">
        <f>増減推移!C33</f>
        <v>0</v>
      </c>
      <c r="BG129" s="462">
        <f t="shared" ref="BG129:BG130" si="34">BF129-BE129</f>
        <v>0</v>
      </c>
    </row>
    <row r="130" spans="1:59" ht="20.100000000000001" customHeight="1" x14ac:dyDescent="0.4">
      <c r="A130" s="226">
        <v>117</v>
      </c>
      <c r="B130" s="628" t="str">
        <f t="shared" si="28"/>
        <v/>
      </c>
      <c r="C130" s="645" t="str">
        <f t="shared" si="19"/>
        <v/>
      </c>
      <c r="D130" s="578"/>
      <c r="E130" s="556"/>
      <c r="F130" s="1618"/>
      <c r="G130" s="1619"/>
      <c r="H130" s="1620"/>
      <c r="I130" s="530"/>
      <c r="J130" s="530"/>
      <c r="K130" s="225"/>
      <c r="L130" s="530"/>
      <c r="M130" s="530"/>
      <c r="N130" s="530"/>
      <c r="O130" s="140">
        <f t="shared" si="29"/>
        <v>0</v>
      </c>
      <c r="P130" s="141">
        <f t="shared" si="30"/>
        <v>0</v>
      </c>
      <c r="Q130" s="141" t="str">
        <f t="shared" si="20"/>
        <v/>
      </c>
      <c r="R130" s="141" t="str">
        <f t="shared" si="31"/>
        <v/>
      </c>
      <c r="S130" s="227">
        <f t="shared" si="26"/>
        <v>0</v>
      </c>
      <c r="T130" s="142" t="str">
        <f xml:space="preserve">
IF(AND(AN130="◎",OR(テーブル!$B$3="交付申請",テーブル!$B$3="交付申請（２次以降）",テーブル!$B$3="変更申請")),"－",
IF(AND(AN130&lt;&gt;"◎",OR(テーブル!$B$3="交付申請",テーブル!$B$3="交付申請（２次以降）",テーブル!$B$3="変更申請")),"",
IF(AND(OR(テーブル!$B$3="実績報告",テーブル!$B$3="交付申請兼実績報告"),AN130="◎"),COUNTIF($AN$14:AN130,"◎"),"")))</f>
        <v/>
      </c>
      <c r="U130" s="142" t="str">
        <f t="shared" si="22"/>
        <v/>
      </c>
      <c r="W130" s="2087" t="str">
        <f t="shared" si="23"/>
        <v/>
      </c>
      <c r="AL130" s="444" t="s">
        <v>68</v>
      </c>
      <c r="AM130" s="450">
        <v>117</v>
      </c>
      <c r="AN130" s="572" t="str">
        <f t="shared" si="24"/>
        <v>○</v>
      </c>
      <c r="AO130" s="451" t="str">
        <f t="shared" si="25"/>
        <v>申請しない場合は入力不要です。</v>
      </c>
      <c r="AQ130" s="451">
        <f t="shared" si="32"/>
        <v>0</v>
      </c>
      <c r="AR130" s="451"/>
      <c r="AZ130" s="1637"/>
      <c r="BA130" s="283" t="s">
        <v>1014</v>
      </c>
      <c r="BB130" s="456">
        <f>基礎情報!V103</f>
        <v>0</v>
      </c>
      <c r="BC130" s="455">
        <v>86</v>
      </c>
      <c r="BD130" s="460">
        <f t="shared" si="33"/>
        <v>0</v>
      </c>
      <c r="BE130" s="460">
        <f>BD130</f>
        <v>0</v>
      </c>
      <c r="BF130" s="457">
        <f>増減推移!C34</f>
        <v>0</v>
      </c>
      <c r="BG130" s="462">
        <f t="shared" si="34"/>
        <v>0</v>
      </c>
    </row>
    <row r="131" spans="1:59" ht="20.100000000000001" customHeight="1" x14ac:dyDescent="0.4">
      <c r="A131" s="226">
        <v>118</v>
      </c>
      <c r="B131" s="628" t="str">
        <f t="shared" si="28"/>
        <v/>
      </c>
      <c r="C131" s="645" t="str">
        <f t="shared" si="19"/>
        <v/>
      </c>
      <c r="D131" s="578"/>
      <c r="E131" s="556"/>
      <c r="F131" s="1618"/>
      <c r="G131" s="1619"/>
      <c r="H131" s="1620"/>
      <c r="I131" s="530"/>
      <c r="J131" s="530"/>
      <c r="K131" s="225"/>
      <c r="L131" s="530"/>
      <c r="M131" s="530"/>
      <c r="N131" s="530"/>
      <c r="O131" s="140">
        <f t="shared" si="29"/>
        <v>0</v>
      </c>
      <c r="P131" s="141">
        <f t="shared" si="30"/>
        <v>0</v>
      </c>
      <c r="Q131" s="141" t="str">
        <f t="shared" si="20"/>
        <v/>
      </c>
      <c r="R131" s="141" t="str">
        <f t="shared" si="31"/>
        <v/>
      </c>
      <c r="S131" s="227">
        <f t="shared" si="26"/>
        <v>0</v>
      </c>
      <c r="T131" s="142" t="str">
        <f xml:space="preserve">
IF(AND(AN131="◎",OR(テーブル!$B$3="交付申請",テーブル!$B$3="交付申請（２次以降）",テーブル!$B$3="変更申請")),"－",
IF(AND(AN131&lt;&gt;"◎",OR(テーブル!$B$3="交付申請",テーブル!$B$3="交付申請（２次以降）",テーブル!$B$3="変更申請")),"",
IF(AND(OR(テーブル!$B$3="実績報告",テーブル!$B$3="交付申請兼実績報告"),AN131="◎"),COUNTIF($AN$14:AN131,"◎"),"")))</f>
        <v/>
      </c>
      <c r="U131" s="142" t="str">
        <f t="shared" si="22"/>
        <v/>
      </c>
      <c r="W131" s="2087" t="str">
        <f t="shared" si="23"/>
        <v/>
      </c>
      <c r="AL131" s="444" t="s">
        <v>68</v>
      </c>
      <c r="AM131" s="450">
        <v>118</v>
      </c>
      <c r="AN131" s="572" t="str">
        <f t="shared" si="24"/>
        <v>○</v>
      </c>
      <c r="AO131" s="451" t="str">
        <f t="shared" si="25"/>
        <v>申請しない場合は入力不要です。</v>
      </c>
      <c r="AQ131" s="451">
        <f t="shared" si="32"/>
        <v>0</v>
      </c>
      <c r="AR131" s="451"/>
      <c r="AZ131" s="1635" t="s">
        <v>232</v>
      </c>
      <c r="BA131" s="283" t="s">
        <v>1007</v>
      </c>
      <c r="BB131" s="1604">
        <f>基礎情報!V91</f>
        <v>0</v>
      </c>
      <c r="BC131" s="455">
        <v>141</v>
      </c>
      <c r="BD131" s="531">
        <f t="shared" si="33"/>
        <v>0</v>
      </c>
      <c r="BE131" s="1604">
        <f>SUM(BD131:BD133)</f>
        <v>0</v>
      </c>
      <c r="BF131" s="1648">
        <f>増減推移!C35</f>
        <v>0</v>
      </c>
      <c r="BG131" s="1632">
        <f>BF131-BE131</f>
        <v>0</v>
      </c>
    </row>
    <row r="132" spans="1:59" ht="20.100000000000001" customHeight="1" x14ac:dyDescent="0.4">
      <c r="A132" s="226">
        <v>119</v>
      </c>
      <c r="B132" s="628" t="str">
        <f t="shared" si="28"/>
        <v/>
      </c>
      <c r="C132" s="645" t="str">
        <f t="shared" si="19"/>
        <v/>
      </c>
      <c r="D132" s="578"/>
      <c r="E132" s="556"/>
      <c r="F132" s="1618"/>
      <c r="G132" s="1619"/>
      <c r="H132" s="1620"/>
      <c r="I132" s="530"/>
      <c r="J132" s="530"/>
      <c r="K132" s="225"/>
      <c r="L132" s="530"/>
      <c r="M132" s="530"/>
      <c r="N132" s="530"/>
      <c r="O132" s="140">
        <f t="shared" si="29"/>
        <v>0</v>
      </c>
      <c r="P132" s="141">
        <f t="shared" si="30"/>
        <v>0</v>
      </c>
      <c r="Q132" s="141" t="str">
        <f t="shared" si="20"/>
        <v/>
      </c>
      <c r="R132" s="141" t="str">
        <f t="shared" si="31"/>
        <v/>
      </c>
      <c r="S132" s="227">
        <f t="shared" si="26"/>
        <v>0</v>
      </c>
      <c r="T132" s="142" t="str">
        <f xml:space="preserve">
IF(AND(AN132="◎",OR(テーブル!$B$3="交付申請",テーブル!$B$3="交付申請（２次以降）",テーブル!$B$3="変更申請")),"－",
IF(AND(AN132&lt;&gt;"◎",OR(テーブル!$B$3="交付申請",テーブル!$B$3="交付申請（２次以降）",テーブル!$B$3="変更申請")),"",
IF(AND(OR(テーブル!$B$3="実績報告",テーブル!$B$3="交付申請兼実績報告"),AN132="◎"),COUNTIF($AN$14:AN132,"◎"),"")))</f>
        <v/>
      </c>
      <c r="U132" s="142" t="str">
        <f t="shared" si="22"/>
        <v/>
      </c>
      <c r="W132" s="2087" t="str">
        <f t="shared" si="23"/>
        <v/>
      </c>
      <c r="AL132" s="444" t="s">
        <v>68</v>
      </c>
      <c r="AM132" s="450">
        <v>119</v>
      </c>
      <c r="AN132" s="572" t="str">
        <f t="shared" si="24"/>
        <v>○</v>
      </c>
      <c r="AO132" s="451" t="str">
        <f t="shared" si="25"/>
        <v>申請しない場合は入力不要です。</v>
      </c>
      <c r="AQ132" s="451">
        <f t="shared" si="32"/>
        <v>0</v>
      </c>
      <c r="AR132" s="451"/>
      <c r="AZ132" s="1636"/>
      <c r="BA132" s="283" t="s">
        <v>1009</v>
      </c>
      <c r="BB132" s="1605"/>
      <c r="BC132" s="455">
        <v>55</v>
      </c>
      <c r="BD132" s="531">
        <f t="shared" si="33"/>
        <v>0</v>
      </c>
      <c r="BE132" s="1644"/>
      <c r="BF132" s="1649"/>
      <c r="BG132" s="1633"/>
    </row>
    <row r="133" spans="1:59" ht="20.100000000000001" customHeight="1" x14ac:dyDescent="0.4">
      <c r="A133" s="226">
        <v>120</v>
      </c>
      <c r="B133" s="628" t="str">
        <f t="shared" si="28"/>
        <v/>
      </c>
      <c r="C133" s="645" t="str">
        <f t="shared" si="19"/>
        <v/>
      </c>
      <c r="D133" s="578"/>
      <c r="E133" s="556"/>
      <c r="F133" s="1618"/>
      <c r="G133" s="1619"/>
      <c r="H133" s="1620"/>
      <c r="I133" s="530"/>
      <c r="J133" s="530"/>
      <c r="K133" s="225"/>
      <c r="L133" s="530"/>
      <c r="M133" s="530"/>
      <c r="N133" s="530"/>
      <c r="O133" s="140">
        <f t="shared" si="29"/>
        <v>0</v>
      </c>
      <c r="P133" s="141">
        <f t="shared" si="30"/>
        <v>0</v>
      </c>
      <c r="Q133" s="141" t="str">
        <f t="shared" si="20"/>
        <v/>
      </c>
      <c r="R133" s="141" t="str">
        <f t="shared" si="31"/>
        <v/>
      </c>
      <c r="S133" s="227">
        <f t="shared" si="26"/>
        <v>0</v>
      </c>
      <c r="T133" s="142" t="str">
        <f xml:space="preserve">
IF(AND(AN133="◎",OR(テーブル!$B$3="交付申請",テーブル!$B$3="交付申請（２次以降）",テーブル!$B$3="変更申請")),"－",
IF(AND(AN133&lt;&gt;"◎",OR(テーブル!$B$3="交付申請",テーブル!$B$3="交付申請（２次以降）",テーブル!$B$3="変更申請")),"",
IF(AND(OR(テーブル!$B$3="実績報告",テーブル!$B$3="交付申請兼実績報告"),AN133="◎"),COUNTIF($AN$14:AN133,"◎"),"")))</f>
        <v/>
      </c>
      <c r="U133" s="142" t="str">
        <f t="shared" si="22"/>
        <v/>
      </c>
      <c r="W133" s="2087" t="str">
        <f t="shared" si="23"/>
        <v/>
      </c>
      <c r="AL133" s="444" t="s">
        <v>68</v>
      </c>
      <c r="AM133" s="450">
        <v>120</v>
      </c>
      <c r="AN133" s="572" t="str">
        <f t="shared" si="24"/>
        <v>○</v>
      </c>
      <c r="AO133" s="451" t="str">
        <f t="shared" si="25"/>
        <v>申請しない場合は入力不要です。</v>
      </c>
      <c r="AQ133" s="451">
        <f t="shared" si="32"/>
        <v>0</v>
      </c>
      <c r="AR133" s="451"/>
      <c r="AZ133" s="1637"/>
      <c r="BA133" s="283" t="s">
        <v>1011</v>
      </c>
      <c r="BB133" s="1606"/>
      <c r="BC133" s="455">
        <v>56</v>
      </c>
      <c r="BD133" s="531">
        <f t="shared" si="33"/>
        <v>0</v>
      </c>
      <c r="BE133" s="1645"/>
      <c r="BF133" s="1650"/>
      <c r="BG133" s="1634"/>
    </row>
    <row r="134" spans="1:59" ht="20.100000000000001" customHeight="1" x14ac:dyDescent="0.4">
      <c r="A134" s="226">
        <v>121</v>
      </c>
      <c r="B134" s="628" t="str">
        <f t="shared" si="28"/>
        <v/>
      </c>
      <c r="C134" s="645" t="str">
        <f t="shared" si="19"/>
        <v/>
      </c>
      <c r="D134" s="578"/>
      <c r="E134" s="556"/>
      <c r="F134" s="1618"/>
      <c r="G134" s="1619"/>
      <c r="H134" s="1620"/>
      <c r="I134" s="530"/>
      <c r="J134" s="530"/>
      <c r="K134" s="225"/>
      <c r="L134" s="530"/>
      <c r="M134" s="530"/>
      <c r="N134" s="530"/>
      <c r="O134" s="140">
        <f t="shared" si="29"/>
        <v>0</v>
      </c>
      <c r="P134" s="141">
        <f t="shared" si="30"/>
        <v>0</v>
      </c>
      <c r="Q134" s="141" t="str">
        <f t="shared" si="20"/>
        <v/>
      </c>
      <c r="R134" s="141" t="str">
        <f t="shared" si="31"/>
        <v/>
      </c>
      <c r="S134" s="227">
        <f t="shared" si="26"/>
        <v>0</v>
      </c>
      <c r="T134" s="142" t="str">
        <f xml:space="preserve">
IF(AND(AN134="◎",OR(テーブル!$B$3="交付申請",テーブル!$B$3="交付申請（２次以降）",テーブル!$B$3="変更申請")),"－",
IF(AND(AN134&lt;&gt;"◎",OR(テーブル!$B$3="交付申請",テーブル!$B$3="交付申請（２次以降）",テーブル!$B$3="変更申請")),"",
IF(AND(OR(テーブル!$B$3="実績報告",テーブル!$B$3="交付申請兼実績報告"),AN134="◎"),COUNTIF($AN$14:AN134,"◎"),"")))</f>
        <v/>
      </c>
      <c r="U134" s="142" t="str">
        <f t="shared" si="22"/>
        <v/>
      </c>
      <c r="W134" s="2087" t="str">
        <f t="shared" si="23"/>
        <v/>
      </c>
      <c r="AL134" s="444" t="s">
        <v>68</v>
      </c>
      <c r="AM134" s="450">
        <v>121</v>
      </c>
      <c r="AN134" s="572" t="str">
        <f t="shared" si="24"/>
        <v>○</v>
      </c>
      <c r="AO134" s="451" t="str">
        <f t="shared" si="25"/>
        <v>申請しない場合は入力不要です。</v>
      </c>
      <c r="AQ134" s="451">
        <f t="shared" si="32"/>
        <v>0</v>
      </c>
      <c r="AR134" s="451"/>
      <c r="AZ134" s="1635" t="s">
        <v>233</v>
      </c>
      <c r="BA134" s="457" t="s">
        <v>1016</v>
      </c>
      <c r="BB134" s="1602">
        <f>基礎情報!V94</f>
        <v>0</v>
      </c>
      <c r="BC134" s="455">
        <v>9</v>
      </c>
      <c r="BD134" s="456">
        <f t="shared" si="33"/>
        <v>0</v>
      </c>
      <c r="BE134" s="1602">
        <f>SUM(BD134:BD135)</f>
        <v>0</v>
      </c>
      <c r="BF134" s="1646">
        <f>増減推移!C36</f>
        <v>0</v>
      </c>
      <c r="BG134" s="1630">
        <f>BF134-BE134</f>
        <v>0</v>
      </c>
    </row>
    <row r="135" spans="1:59" ht="20.100000000000001" customHeight="1" x14ac:dyDescent="0.4">
      <c r="A135" s="226">
        <v>122</v>
      </c>
      <c r="B135" s="628" t="str">
        <f t="shared" si="28"/>
        <v/>
      </c>
      <c r="C135" s="645" t="str">
        <f t="shared" si="19"/>
        <v/>
      </c>
      <c r="D135" s="578"/>
      <c r="E135" s="556"/>
      <c r="F135" s="1618"/>
      <c r="G135" s="1619"/>
      <c r="H135" s="1620"/>
      <c r="I135" s="530"/>
      <c r="J135" s="530"/>
      <c r="K135" s="225"/>
      <c r="L135" s="530"/>
      <c r="M135" s="530"/>
      <c r="N135" s="530"/>
      <c r="O135" s="140">
        <f t="shared" si="29"/>
        <v>0</v>
      </c>
      <c r="P135" s="141">
        <f t="shared" si="30"/>
        <v>0</v>
      </c>
      <c r="Q135" s="141" t="str">
        <f t="shared" si="20"/>
        <v/>
      </c>
      <c r="R135" s="141" t="str">
        <f t="shared" si="31"/>
        <v/>
      </c>
      <c r="S135" s="227">
        <f t="shared" si="26"/>
        <v>0</v>
      </c>
      <c r="T135" s="142" t="str">
        <f xml:space="preserve">
IF(AND(AN135="◎",OR(テーブル!$B$3="交付申請",テーブル!$B$3="交付申請（２次以降）",テーブル!$B$3="変更申請")),"－",
IF(AND(AN135&lt;&gt;"◎",OR(テーブル!$B$3="交付申請",テーブル!$B$3="交付申請（２次以降）",テーブル!$B$3="変更申請")),"",
IF(AND(OR(テーブル!$B$3="実績報告",テーブル!$B$3="交付申請兼実績報告"),AN135="◎"),COUNTIF($AN$14:AN135,"◎"),"")))</f>
        <v/>
      </c>
      <c r="U135" s="142" t="str">
        <f t="shared" si="22"/>
        <v/>
      </c>
      <c r="W135" s="2087" t="str">
        <f t="shared" si="23"/>
        <v/>
      </c>
      <c r="AL135" s="444" t="s">
        <v>68</v>
      </c>
      <c r="AM135" s="450">
        <v>122</v>
      </c>
      <c r="AN135" s="572" t="str">
        <f t="shared" si="24"/>
        <v>○</v>
      </c>
      <c r="AO135" s="451" t="str">
        <f t="shared" si="25"/>
        <v>申請しない場合は入力不要です。</v>
      </c>
      <c r="AQ135" s="451">
        <f t="shared" si="32"/>
        <v>0</v>
      </c>
      <c r="AR135" s="451"/>
      <c r="AZ135" s="1637"/>
      <c r="BA135" s="457" t="s">
        <v>1018</v>
      </c>
      <c r="BB135" s="1603"/>
      <c r="BC135" s="455">
        <v>4</v>
      </c>
      <c r="BD135" s="456">
        <f t="shared" si="33"/>
        <v>0</v>
      </c>
      <c r="BE135" s="1643"/>
      <c r="BF135" s="1651"/>
      <c r="BG135" s="1631"/>
    </row>
    <row r="136" spans="1:59" ht="20.100000000000001" customHeight="1" x14ac:dyDescent="0.4">
      <c r="A136" s="226">
        <v>123</v>
      </c>
      <c r="B136" s="628" t="str">
        <f t="shared" si="28"/>
        <v/>
      </c>
      <c r="C136" s="645" t="str">
        <f t="shared" si="19"/>
        <v/>
      </c>
      <c r="D136" s="578"/>
      <c r="E136" s="556"/>
      <c r="F136" s="1618"/>
      <c r="G136" s="1619"/>
      <c r="H136" s="1620"/>
      <c r="I136" s="530"/>
      <c r="J136" s="530"/>
      <c r="K136" s="225"/>
      <c r="L136" s="530"/>
      <c r="M136" s="530"/>
      <c r="N136" s="530"/>
      <c r="O136" s="140">
        <f>ROUNDDOWN(K136*1.1,0)</f>
        <v>0</v>
      </c>
      <c r="P136" s="141">
        <f>ROUNDDOWN(J136*O136,0)</f>
        <v>0</v>
      </c>
      <c r="Q136" s="141" t="str">
        <f t="shared" si="20"/>
        <v/>
      </c>
      <c r="R136" s="141" t="str">
        <f t="shared" si="31"/>
        <v/>
      </c>
      <c r="S136" s="227">
        <f t="shared" si="26"/>
        <v>0</v>
      </c>
      <c r="T136" s="142" t="str">
        <f xml:space="preserve">
IF(AND(AN136="◎",OR(テーブル!$B$3="交付申請",テーブル!$B$3="交付申請（２次以降）",テーブル!$B$3="変更申請")),"－",
IF(AND(AN136&lt;&gt;"◎",OR(テーブル!$B$3="交付申請",テーブル!$B$3="交付申請（２次以降）",テーブル!$B$3="変更申請")),"",
IF(AND(OR(テーブル!$B$3="実績報告",テーブル!$B$3="交付申請兼実績報告"),AN136="◎"),COUNTIF($AN$14:AN136,"◎"),"")))</f>
        <v/>
      </c>
      <c r="U136" s="142" t="str">
        <f t="shared" si="22"/>
        <v/>
      </c>
      <c r="W136" s="2087" t="str">
        <f t="shared" si="23"/>
        <v/>
      </c>
      <c r="AL136" s="444" t="s">
        <v>68</v>
      </c>
      <c r="AM136" s="450">
        <v>123</v>
      </c>
      <c r="AN136" s="572" t="str">
        <f t="shared" si="24"/>
        <v>○</v>
      </c>
      <c r="AO136" s="451" t="str">
        <f t="shared" si="25"/>
        <v>申請しない場合は入力不要です。</v>
      </c>
      <c r="AQ136" s="451">
        <f>I136*J136</f>
        <v>0</v>
      </c>
      <c r="AR136" s="451"/>
      <c r="AZ136" s="283" t="s">
        <v>234</v>
      </c>
      <c r="BA136" s="457" t="s">
        <v>234</v>
      </c>
      <c r="BB136" s="456">
        <f>基礎情報!V109</f>
        <v>0</v>
      </c>
      <c r="BC136" s="455">
        <v>11</v>
      </c>
      <c r="BD136" s="456">
        <f t="shared" si="33"/>
        <v>0</v>
      </c>
      <c r="BE136" s="456">
        <f>BD136</f>
        <v>0</v>
      </c>
      <c r="BF136" s="457">
        <f>増減推移!C37</f>
        <v>0</v>
      </c>
      <c r="BG136" s="458">
        <f>BF136-BE136</f>
        <v>0</v>
      </c>
    </row>
    <row r="137" spans="1:59" ht="20.100000000000001" customHeight="1" x14ac:dyDescent="0.4">
      <c r="A137" s="226">
        <v>124</v>
      </c>
      <c r="B137" s="628" t="str">
        <f t="shared" si="28"/>
        <v/>
      </c>
      <c r="C137" s="645" t="str">
        <f t="shared" si="19"/>
        <v/>
      </c>
      <c r="D137" s="578"/>
      <c r="E137" s="556"/>
      <c r="F137" s="1618"/>
      <c r="G137" s="1619"/>
      <c r="H137" s="1620"/>
      <c r="I137" s="530"/>
      <c r="J137" s="530"/>
      <c r="K137" s="225"/>
      <c r="L137" s="530"/>
      <c r="M137" s="530"/>
      <c r="N137" s="530"/>
      <c r="O137" s="140">
        <f>ROUNDDOWN(K137*1.1,0)</f>
        <v>0</v>
      </c>
      <c r="P137" s="141">
        <f>ROUNDDOWN(J137*O137,0)</f>
        <v>0</v>
      </c>
      <c r="Q137" s="141" t="str">
        <f t="shared" si="20"/>
        <v/>
      </c>
      <c r="R137" s="141" t="str">
        <f t="shared" si="31"/>
        <v/>
      </c>
      <c r="S137" s="227">
        <f t="shared" si="26"/>
        <v>0</v>
      </c>
      <c r="T137" s="142" t="str">
        <f xml:space="preserve">
IF(AND(AN137="◎",OR(テーブル!$B$3="交付申請",テーブル!$B$3="交付申請（２次以降）",テーブル!$B$3="変更申請")),"－",
IF(AND(AN137&lt;&gt;"◎",OR(テーブル!$B$3="交付申請",テーブル!$B$3="交付申請（２次以降）",テーブル!$B$3="変更申請")),"",
IF(AND(OR(テーブル!$B$3="実績報告",テーブル!$B$3="交付申請兼実績報告"),AN137="◎"),COUNTIF($AN$14:AN137,"◎"),"")))</f>
        <v/>
      </c>
      <c r="U137" s="142" t="str">
        <f t="shared" si="22"/>
        <v/>
      </c>
      <c r="W137" s="2087" t="str">
        <f t="shared" si="23"/>
        <v/>
      </c>
      <c r="AL137" s="444" t="s">
        <v>68</v>
      </c>
      <c r="AM137" s="450">
        <v>124</v>
      </c>
      <c r="AN137" s="572" t="str">
        <f t="shared" si="24"/>
        <v>○</v>
      </c>
      <c r="AO137" s="451" t="str">
        <f t="shared" si="25"/>
        <v>申請しない場合は入力不要です。</v>
      </c>
      <c r="AQ137" s="451">
        <f>I137*J137</f>
        <v>0</v>
      </c>
      <c r="AR137" s="451"/>
      <c r="AZ137" s="1611" t="s">
        <v>1027</v>
      </c>
      <c r="BA137" s="457" t="s">
        <v>1019</v>
      </c>
      <c r="BB137" s="460">
        <f>基礎情報!V109</f>
        <v>0</v>
      </c>
      <c r="BC137" s="455">
        <v>133</v>
      </c>
      <c r="BD137" s="456">
        <f t="shared" si="33"/>
        <v>0</v>
      </c>
      <c r="BE137" s="456">
        <f>BD137</f>
        <v>0</v>
      </c>
      <c r="BF137" s="457">
        <f>増減推移!C38</f>
        <v>0</v>
      </c>
      <c r="BG137" s="458">
        <f t="shared" ref="BG137:BG140" si="35">BF137-BE137</f>
        <v>0</v>
      </c>
    </row>
    <row r="138" spans="1:59" ht="20.100000000000001" customHeight="1" x14ac:dyDescent="0.4">
      <c r="A138" s="226">
        <v>125</v>
      </c>
      <c r="B138" s="628" t="str">
        <f t="shared" ref="B138:B159" si="36">IFERROR(DATE(IF(L138=5,2023,IF(L138=6,2024)),M138,N138)&amp;E138,"")</f>
        <v/>
      </c>
      <c r="C138" s="645" t="str">
        <f t="shared" si="19"/>
        <v/>
      </c>
      <c r="D138" s="578"/>
      <c r="E138" s="556"/>
      <c r="F138" s="1618"/>
      <c r="G138" s="1619"/>
      <c r="H138" s="1620"/>
      <c r="I138" s="530"/>
      <c r="J138" s="530"/>
      <c r="K138" s="225"/>
      <c r="L138" s="530"/>
      <c r="M138" s="530"/>
      <c r="N138" s="530"/>
      <c r="O138" s="140">
        <f t="shared" ref="O138:O159" si="37">ROUNDDOWN(K138*1.1,0)</f>
        <v>0</v>
      </c>
      <c r="P138" s="141">
        <f t="shared" ref="P138:P159" si="38">ROUNDDOWN(J138*O138,0)</f>
        <v>0</v>
      </c>
      <c r="Q138" s="141" t="str">
        <f t="shared" si="20"/>
        <v/>
      </c>
      <c r="R138" s="141" t="str">
        <f t="shared" ref="R138:R159" si="39">IF(Q138="","",MIN(P138,Q138))</f>
        <v/>
      </c>
      <c r="S138" s="227">
        <f t="shared" si="26"/>
        <v>0</v>
      </c>
      <c r="T138" s="142" t="str">
        <f xml:space="preserve">
IF(AND(AN138="◎",OR(テーブル!$B$3="交付申請",テーブル!$B$3="交付申請（２次以降）",テーブル!$B$3="変更申請")),"－",
IF(AND(AN138&lt;&gt;"◎",OR(テーブル!$B$3="交付申請",テーブル!$B$3="交付申請（２次以降）",テーブル!$B$3="変更申請")),"",
IF(AND(OR(テーブル!$B$3="実績報告",テーブル!$B$3="交付申請兼実績報告"),AN138="◎"),COUNTIF($AN$14:AN138,"◎"),"")))</f>
        <v/>
      </c>
      <c r="U138" s="142" t="str">
        <f t="shared" si="22"/>
        <v/>
      </c>
      <c r="W138" s="2087" t="str">
        <f t="shared" si="23"/>
        <v/>
      </c>
      <c r="AL138" s="444" t="s">
        <v>68</v>
      </c>
      <c r="AM138" s="450">
        <v>125</v>
      </c>
      <c r="AN138" s="572" t="str">
        <f t="shared" si="24"/>
        <v>○</v>
      </c>
      <c r="AO138" s="451" t="str">
        <f t="shared" si="25"/>
        <v>申請しない場合は入力不要です。</v>
      </c>
      <c r="AQ138" s="451">
        <f t="shared" ref="AQ138:AQ159" si="40">I138*J138</f>
        <v>0</v>
      </c>
      <c r="AR138" s="451"/>
      <c r="AZ138" s="1612"/>
      <c r="BA138" s="457" t="s">
        <v>1020</v>
      </c>
      <c r="BB138" s="460">
        <f>基礎情報!V112</f>
        <v>0</v>
      </c>
      <c r="BC138" s="455">
        <v>249</v>
      </c>
      <c r="BD138" s="456">
        <f t="shared" si="33"/>
        <v>0</v>
      </c>
      <c r="BE138" s="456">
        <f>BD138</f>
        <v>0</v>
      </c>
      <c r="BF138" s="457">
        <f>増減推移!C39</f>
        <v>0</v>
      </c>
      <c r="BG138" s="458">
        <f t="shared" si="35"/>
        <v>0</v>
      </c>
    </row>
    <row r="139" spans="1:59" ht="20.100000000000001" customHeight="1" x14ac:dyDescent="0.4">
      <c r="A139" s="226">
        <v>126</v>
      </c>
      <c r="B139" s="628" t="str">
        <f t="shared" si="36"/>
        <v/>
      </c>
      <c r="C139" s="645" t="str">
        <f t="shared" si="19"/>
        <v/>
      </c>
      <c r="D139" s="578"/>
      <c r="E139" s="556"/>
      <c r="F139" s="1618"/>
      <c r="G139" s="1619"/>
      <c r="H139" s="1620"/>
      <c r="I139" s="530"/>
      <c r="J139" s="530"/>
      <c r="K139" s="225"/>
      <c r="L139" s="530"/>
      <c r="M139" s="530"/>
      <c r="N139" s="530"/>
      <c r="O139" s="140">
        <f t="shared" si="37"/>
        <v>0</v>
      </c>
      <c r="P139" s="141">
        <f t="shared" si="38"/>
        <v>0</v>
      </c>
      <c r="Q139" s="141" t="str">
        <f t="shared" si="20"/>
        <v/>
      </c>
      <c r="R139" s="141" t="str">
        <f t="shared" si="39"/>
        <v/>
      </c>
      <c r="S139" s="227">
        <f t="shared" si="26"/>
        <v>0</v>
      </c>
      <c r="T139" s="142" t="str">
        <f xml:space="preserve">
IF(AND(AN139="◎",OR(テーブル!$B$3="交付申請",テーブル!$B$3="交付申請（２次以降）",テーブル!$B$3="変更申請")),"－",
IF(AND(AN139&lt;&gt;"◎",OR(テーブル!$B$3="交付申請",テーブル!$B$3="交付申請（２次以降）",テーブル!$B$3="変更申請")),"",
IF(AND(OR(テーブル!$B$3="実績報告",テーブル!$B$3="交付申請兼実績報告"),AN139="◎"),COUNTIF($AN$14:AN139,"◎"),"")))</f>
        <v/>
      </c>
      <c r="U139" s="142" t="str">
        <f t="shared" si="22"/>
        <v/>
      </c>
      <c r="W139" s="2087" t="str">
        <f t="shared" si="23"/>
        <v/>
      </c>
      <c r="AL139" s="444" t="s">
        <v>68</v>
      </c>
      <c r="AM139" s="450">
        <v>126</v>
      </c>
      <c r="AN139" s="572" t="str">
        <f t="shared" si="24"/>
        <v>○</v>
      </c>
      <c r="AO139" s="451" t="str">
        <f t="shared" si="25"/>
        <v>申請しない場合は入力不要です。</v>
      </c>
      <c r="AQ139" s="451">
        <f t="shared" si="40"/>
        <v>0</v>
      </c>
      <c r="AR139" s="451"/>
      <c r="AZ139" s="1612"/>
      <c r="BA139" s="457" t="s">
        <v>1022</v>
      </c>
      <c r="BB139" s="456">
        <f>基礎情報!V115</f>
        <v>0</v>
      </c>
      <c r="BC139" s="455">
        <v>104</v>
      </c>
      <c r="BD139" s="456">
        <f t="shared" si="33"/>
        <v>0</v>
      </c>
      <c r="BE139" s="456">
        <f>BD139</f>
        <v>0</v>
      </c>
      <c r="BF139" s="457">
        <f>増減推移!C40</f>
        <v>0</v>
      </c>
      <c r="BG139" s="458">
        <f>BF139-BE139</f>
        <v>0</v>
      </c>
    </row>
    <row r="140" spans="1:59" ht="20.100000000000001" customHeight="1" x14ac:dyDescent="0.4">
      <c r="A140" s="226">
        <v>127</v>
      </c>
      <c r="B140" s="628" t="str">
        <f t="shared" si="36"/>
        <v/>
      </c>
      <c r="C140" s="645" t="str">
        <f t="shared" si="19"/>
        <v/>
      </c>
      <c r="D140" s="578"/>
      <c r="E140" s="556"/>
      <c r="F140" s="1618"/>
      <c r="G140" s="1619"/>
      <c r="H140" s="1620"/>
      <c r="I140" s="530"/>
      <c r="J140" s="530"/>
      <c r="K140" s="225"/>
      <c r="L140" s="530"/>
      <c r="M140" s="530"/>
      <c r="N140" s="530"/>
      <c r="O140" s="140">
        <f t="shared" si="37"/>
        <v>0</v>
      </c>
      <c r="P140" s="141">
        <f t="shared" si="38"/>
        <v>0</v>
      </c>
      <c r="Q140" s="141" t="str">
        <f t="shared" si="20"/>
        <v/>
      </c>
      <c r="R140" s="141" t="str">
        <f t="shared" si="39"/>
        <v/>
      </c>
      <c r="S140" s="227">
        <f t="shared" si="26"/>
        <v>0</v>
      </c>
      <c r="T140" s="142" t="str">
        <f xml:space="preserve">
IF(AND(AN140="◎",OR(テーブル!$B$3="交付申請",テーブル!$B$3="交付申請（２次以降）",テーブル!$B$3="変更申請")),"－",
IF(AND(AN140&lt;&gt;"◎",OR(テーブル!$B$3="交付申請",テーブル!$B$3="交付申請（２次以降）",テーブル!$B$3="変更申請")),"",
IF(AND(OR(テーブル!$B$3="実績報告",テーブル!$B$3="交付申請兼実績報告"),AN140="◎"),COUNTIF($AN$14:AN140,"◎"),"")))</f>
        <v/>
      </c>
      <c r="U140" s="142" t="str">
        <f t="shared" si="22"/>
        <v/>
      </c>
      <c r="W140" s="2087" t="str">
        <f t="shared" si="23"/>
        <v/>
      </c>
      <c r="AL140" s="444" t="s">
        <v>68</v>
      </c>
      <c r="AM140" s="450">
        <v>127</v>
      </c>
      <c r="AN140" s="572" t="str">
        <f t="shared" si="24"/>
        <v>○</v>
      </c>
      <c r="AO140" s="451" t="str">
        <f t="shared" si="25"/>
        <v>申請しない場合は入力不要です。</v>
      </c>
      <c r="AQ140" s="451">
        <f t="shared" si="40"/>
        <v>0</v>
      </c>
      <c r="AR140" s="451"/>
      <c r="AZ140" s="1613"/>
      <c r="BA140" s="457" t="s">
        <v>1207</v>
      </c>
      <c r="BB140" s="456">
        <f>基礎情報!V118</f>
        <v>0</v>
      </c>
      <c r="BC140" s="455">
        <v>1614</v>
      </c>
      <c r="BD140" s="456">
        <f t="shared" si="33"/>
        <v>0</v>
      </c>
      <c r="BE140" s="456">
        <f>BD140</f>
        <v>0</v>
      </c>
      <c r="BF140" s="457">
        <f>増減推移!C41</f>
        <v>0</v>
      </c>
      <c r="BG140" s="458">
        <f t="shared" si="35"/>
        <v>0</v>
      </c>
    </row>
    <row r="141" spans="1:59" ht="20.100000000000001" customHeight="1" x14ac:dyDescent="0.4">
      <c r="A141" s="226">
        <v>128</v>
      </c>
      <c r="B141" s="628" t="str">
        <f t="shared" si="36"/>
        <v/>
      </c>
      <c r="C141" s="645" t="str">
        <f t="shared" si="19"/>
        <v/>
      </c>
      <c r="D141" s="578"/>
      <c r="E141" s="556"/>
      <c r="F141" s="1618"/>
      <c r="G141" s="1619"/>
      <c r="H141" s="1620"/>
      <c r="I141" s="530"/>
      <c r="J141" s="530"/>
      <c r="K141" s="225"/>
      <c r="L141" s="530"/>
      <c r="M141" s="530"/>
      <c r="N141" s="530"/>
      <c r="O141" s="140">
        <f t="shared" si="37"/>
        <v>0</v>
      </c>
      <c r="P141" s="141">
        <f t="shared" si="38"/>
        <v>0</v>
      </c>
      <c r="Q141" s="141" t="str">
        <f t="shared" si="20"/>
        <v/>
      </c>
      <c r="R141" s="141" t="str">
        <f t="shared" si="39"/>
        <v/>
      </c>
      <c r="S141" s="227">
        <f t="shared" si="26"/>
        <v>0</v>
      </c>
      <c r="T141" s="142" t="str">
        <f xml:space="preserve">
IF(AND(AN141="◎",OR(テーブル!$B$3="交付申請",テーブル!$B$3="交付申請（２次以降）",テーブル!$B$3="変更申請")),"－",
IF(AND(AN141&lt;&gt;"◎",OR(テーブル!$B$3="交付申請",テーブル!$B$3="交付申請（２次以降）",テーブル!$B$3="変更申請")),"",
IF(AND(OR(テーブル!$B$3="実績報告",テーブル!$B$3="交付申請兼実績報告"),AN141="◎"),COUNTIF($AN$14:AN141,"◎"),"")))</f>
        <v/>
      </c>
      <c r="U141" s="142" t="str">
        <f t="shared" si="22"/>
        <v/>
      </c>
      <c r="W141" s="2087" t="str">
        <f t="shared" si="23"/>
        <v/>
      </c>
      <c r="AL141" s="444" t="s">
        <v>68</v>
      </c>
      <c r="AM141" s="450">
        <v>128</v>
      </c>
      <c r="AN141" s="572" t="str">
        <f t="shared" si="24"/>
        <v>○</v>
      </c>
      <c r="AO141" s="451" t="str">
        <f t="shared" si="25"/>
        <v>申請しない場合は入力不要です。</v>
      </c>
      <c r="AQ141" s="451">
        <f t="shared" si="40"/>
        <v>0</v>
      </c>
      <c r="AR141" s="451"/>
    </row>
    <row r="142" spans="1:59" ht="20.100000000000001" customHeight="1" x14ac:dyDescent="0.4">
      <c r="A142" s="226">
        <v>129</v>
      </c>
      <c r="B142" s="628" t="str">
        <f t="shared" si="36"/>
        <v/>
      </c>
      <c r="C142" s="645" t="str">
        <f t="shared" si="19"/>
        <v/>
      </c>
      <c r="D142" s="578"/>
      <c r="E142" s="556"/>
      <c r="F142" s="1618"/>
      <c r="G142" s="1619"/>
      <c r="H142" s="1620"/>
      <c r="I142" s="530"/>
      <c r="J142" s="530"/>
      <c r="K142" s="225"/>
      <c r="L142" s="530"/>
      <c r="M142" s="530"/>
      <c r="N142" s="530"/>
      <c r="O142" s="140">
        <f t="shared" si="37"/>
        <v>0</v>
      </c>
      <c r="P142" s="141">
        <f t="shared" si="38"/>
        <v>0</v>
      </c>
      <c r="Q142" s="141" t="str">
        <f t="shared" si="20"/>
        <v/>
      </c>
      <c r="R142" s="141" t="str">
        <f t="shared" si="39"/>
        <v/>
      </c>
      <c r="S142" s="227">
        <f t="shared" si="26"/>
        <v>0</v>
      </c>
      <c r="T142" s="142" t="str">
        <f xml:space="preserve">
IF(AND(AN142="◎",OR(テーブル!$B$3="交付申請",テーブル!$B$3="交付申請（２次以降）",テーブル!$B$3="変更申請")),"－",
IF(AND(AN142&lt;&gt;"◎",OR(テーブル!$B$3="交付申請",テーブル!$B$3="交付申請（２次以降）",テーブル!$B$3="変更申請")),"",
IF(AND(OR(テーブル!$B$3="実績報告",テーブル!$B$3="交付申請兼実績報告"),AN142="◎"),COUNTIF($AN$14:AN142,"◎"),"")))</f>
        <v/>
      </c>
      <c r="U142" s="142" t="str">
        <f t="shared" si="22"/>
        <v/>
      </c>
      <c r="W142" s="2087" t="str">
        <f t="shared" si="23"/>
        <v/>
      </c>
      <c r="AL142" s="444" t="s">
        <v>68</v>
      </c>
      <c r="AM142" s="450">
        <v>129</v>
      </c>
      <c r="AN142" s="572" t="str">
        <f t="shared" si="24"/>
        <v>○</v>
      </c>
      <c r="AO142" s="451" t="str">
        <f t="shared" si="25"/>
        <v>申請しない場合は入力不要です。</v>
      </c>
      <c r="AQ142" s="451">
        <f t="shared" si="40"/>
        <v>0</v>
      </c>
      <c r="AR142" s="451"/>
      <c r="AZ142" s="277" t="s">
        <v>1191</v>
      </c>
    </row>
    <row r="143" spans="1:59" ht="20.100000000000001" customHeight="1" x14ac:dyDescent="0.4">
      <c r="A143" s="226">
        <v>130</v>
      </c>
      <c r="B143" s="628" t="str">
        <f t="shared" si="36"/>
        <v/>
      </c>
      <c r="C143" s="645" t="str">
        <f t="shared" ref="C143:C163" si="41">IFERROR(DATE(IF(L143=5,2023,IF(L143=6,2024)),M143,N143),"")</f>
        <v/>
      </c>
      <c r="D143" s="578"/>
      <c r="E143" s="556"/>
      <c r="F143" s="1618"/>
      <c r="G143" s="1619"/>
      <c r="H143" s="1620"/>
      <c r="I143" s="530"/>
      <c r="J143" s="530"/>
      <c r="K143" s="225"/>
      <c r="L143" s="530"/>
      <c r="M143" s="530"/>
      <c r="N143" s="530"/>
      <c r="O143" s="140">
        <f t="shared" si="37"/>
        <v>0</v>
      </c>
      <c r="P143" s="141">
        <f t="shared" si="38"/>
        <v>0</v>
      </c>
      <c r="Q143" s="141" t="str">
        <f t="shared" ref="Q143:Q163" si="42">IFERROR(I143*J143*VLOOKUP(E143,$BA$124:$BC$140,3,FALSE),"")</f>
        <v/>
      </c>
      <c r="R143" s="141" t="str">
        <f t="shared" si="39"/>
        <v/>
      </c>
      <c r="S143" s="227">
        <f t="shared" si="26"/>
        <v>0</v>
      </c>
      <c r="T143" s="142" t="str">
        <f xml:space="preserve">
IF(AND(AN143="◎",OR(テーブル!$B$3="交付申請",テーブル!$B$3="交付申請（２次以降）",テーブル!$B$3="変更申請")),"－",
IF(AND(AN143&lt;&gt;"◎",OR(テーブル!$B$3="交付申請",テーブル!$B$3="交付申請（２次以降）",テーブル!$B$3="変更申請")),"",
IF(AND(OR(テーブル!$B$3="実績報告",テーブル!$B$3="交付申請兼実績報告"),AN143="◎"),COUNTIF($AN$14:AN143,"◎"),"")))</f>
        <v/>
      </c>
      <c r="U143" s="142" t="str">
        <f t="shared" ref="U143:U163" si="43">IFERROR(
"@"&amp;TEXT(ROUNDUP(O143/I143,0),"#,###円")&amp;
IF(ROUNDUP(O143/I143,0)&lt;VLOOKUP(E143,$BA$124:$BC$140,3,FALSE),"&lt;",
IF(ROUNDUP(O143/I143,0)=VLOOKUP(E143,$BA$124:$BC$140,3,FALSE),"=",
IF(ROUNDUP(O143/I143,0)&gt;VLOOKUP(E143,$BA$124:$BC$140,3,FALSE),"&gt;")))&amp;
"上限@"&amp;TEXT(VLOOKUP(E143,$BA$124:$BC$140,3,FALSE),"#,###円"),"")</f>
        <v/>
      </c>
      <c r="W143" s="2087" t="str">
        <f t="shared" ref="W143:W163" si="44" xml:space="preserve">
IF(AN143&lt;&gt;"◎","",
DATE(IF(L143=5,2023,IF(L143=6,2024)),M143,N143))</f>
        <v/>
      </c>
      <c r="AL143" s="444" t="s">
        <v>68</v>
      </c>
      <c r="AM143" s="450">
        <v>130</v>
      </c>
      <c r="AN143" s="572" t="str">
        <f t="shared" ref="AN143:AN163" si="45" xml:space="preserve">
IF(COUNTA(D143:N143)=0,"○",
IF(AND(COUNTA(D143:N143)&gt;=1,COUNTA(D143:N143)&lt;9),"×",
IF(COUNTA(D143:N143)=9,"◎")))</f>
        <v>○</v>
      </c>
      <c r="AO143" s="451" t="str">
        <f t="shared" ref="AO143:AO163" si="46" xml:space="preserve">
IF(COUNTA(D143:N143)=0,"申請しない場合は入力不要です。",
IF(AND(COUNTA(D143:N143)&gt;=1,COUNTA(D143:N143)&lt;9),"【要修正】未入力の箇所があります。",
IF(COUNTA(D143:N143)=9,"適切に入力がされました。")))</f>
        <v>申請しない場合は入力不要です。</v>
      </c>
      <c r="AQ143" s="451">
        <f t="shared" si="40"/>
        <v>0</v>
      </c>
      <c r="AR143" s="451"/>
      <c r="AZ143" s="277" t="s">
        <v>1204</v>
      </c>
    </row>
    <row r="144" spans="1:59" ht="20.100000000000001" customHeight="1" x14ac:dyDescent="0.4">
      <c r="A144" s="226">
        <v>131</v>
      </c>
      <c r="B144" s="628" t="str">
        <f t="shared" si="36"/>
        <v/>
      </c>
      <c r="C144" s="645" t="str">
        <f t="shared" si="41"/>
        <v/>
      </c>
      <c r="D144" s="578"/>
      <c r="E144" s="556"/>
      <c r="F144" s="1618"/>
      <c r="G144" s="1619"/>
      <c r="H144" s="1620"/>
      <c r="I144" s="530"/>
      <c r="J144" s="530"/>
      <c r="K144" s="225"/>
      <c r="L144" s="530"/>
      <c r="M144" s="530"/>
      <c r="N144" s="530"/>
      <c r="O144" s="140">
        <f t="shared" si="37"/>
        <v>0</v>
      </c>
      <c r="P144" s="141">
        <f t="shared" si="38"/>
        <v>0</v>
      </c>
      <c r="Q144" s="141" t="str">
        <f t="shared" si="42"/>
        <v/>
      </c>
      <c r="R144" s="141" t="str">
        <f t="shared" si="39"/>
        <v/>
      </c>
      <c r="S144" s="227">
        <f t="shared" ref="S144:S163" si="47" xml:space="preserve">
IF(AN144="◎",I144*J144,0)</f>
        <v>0</v>
      </c>
      <c r="T144" s="142" t="str">
        <f xml:space="preserve">
IF(AND(AN144="◎",OR(テーブル!$B$3="交付申請",テーブル!$B$3="交付申請（２次以降）",テーブル!$B$3="変更申請")),"－",
IF(AND(AN144&lt;&gt;"◎",OR(テーブル!$B$3="交付申請",テーブル!$B$3="交付申請（２次以降）",テーブル!$B$3="変更申請")),"",
IF(AND(OR(テーブル!$B$3="実績報告",テーブル!$B$3="交付申請兼実績報告"),AN144="◎"),COUNTIF($AN$14:AN144,"◎"),"")))</f>
        <v/>
      </c>
      <c r="U144" s="142" t="str">
        <f t="shared" si="43"/>
        <v/>
      </c>
      <c r="W144" s="2087" t="str">
        <f t="shared" si="44"/>
        <v/>
      </c>
      <c r="AL144" s="444" t="s">
        <v>68</v>
      </c>
      <c r="AM144" s="450">
        <v>131</v>
      </c>
      <c r="AN144" s="572" t="str">
        <f t="shared" si="45"/>
        <v>○</v>
      </c>
      <c r="AO144" s="451" t="str">
        <f t="shared" si="46"/>
        <v>申請しない場合は入力不要です。</v>
      </c>
      <c r="AQ144" s="451">
        <f t="shared" si="40"/>
        <v>0</v>
      </c>
      <c r="AR144" s="451"/>
      <c r="AZ144" s="277" t="s">
        <v>1208</v>
      </c>
    </row>
    <row r="145" spans="1:52" ht="20.100000000000001" customHeight="1" x14ac:dyDescent="0.4">
      <c r="A145" s="226">
        <v>132</v>
      </c>
      <c r="B145" s="628" t="str">
        <f t="shared" si="36"/>
        <v/>
      </c>
      <c r="C145" s="645" t="str">
        <f t="shared" si="41"/>
        <v/>
      </c>
      <c r="D145" s="578"/>
      <c r="E145" s="556"/>
      <c r="F145" s="1618"/>
      <c r="G145" s="1619"/>
      <c r="H145" s="1620"/>
      <c r="I145" s="530"/>
      <c r="J145" s="530"/>
      <c r="K145" s="225"/>
      <c r="L145" s="530"/>
      <c r="M145" s="530"/>
      <c r="N145" s="530"/>
      <c r="O145" s="140">
        <f t="shared" si="37"/>
        <v>0</v>
      </c>
      <c r="P145" s="141">
        <f t="shared" si="38"/>
        <v>0</v>
      </c>
      <c r="Q145" s="141" t="str">
        <f t="shared" si="42"/>
        <v/>
      </c>
      <c r="R145" s="141" t="str">
        <f t="shared" si="39"/>
        <v/>
      </c>
      <c r="S145" s="227">
        <f t="shared" si="47"/>
        <v>0</v>
      </c>
      <c r="T145" s="142" t="str">
        <f xml:space="preserve">
IF(AND(AN145="◎",OR(テーブル!$B$3="交付申請",テーブル!$B$3="交付申請（２次以降）",テーブル!$B$3="変更申請")),"－",
IF(AND(AN145&lt;&gt;"◎",OR(テーブル!$B$3="交付申請",テーブル!$B$3="交付申請（２次以降）",テーブル!$B$3="変更申請")),"",
IF(AND(OR(テーブル!$B$3="実績報告",テーブル!$B$3="交付申請兼実績報告"),AN145="◎"),COUNTIF($AN$14:AN145,"◎"),"")))</f>
        <v/>
      </c>
      <c r="U145" s="142" t="str">
        <f t="shared" si="43"/>
        <v/>
      </c>
      <c r="W145" s="2087" t="str">
        <f t="shared" si="44"/>
        <v/>
      </c>
      <c r="AL145" s="444" t="s">
        <v>68</v>
      </c>
      <c r="AM145" s="450">
        <v>132</v>
      </c>
      <c r="AN145" s="572" t="str">
        <f t="shared" si="45"/>
        <v>○</v>
      </c>
      <c r="AO145" s="451" t="str">
        <f t="shared" si="46"/>
        <v>申請しない場合は入力不要です。</v>
      </c>
      <c r="AQ145" s="451">
        <f t="shared" si="40"/>
        <v>0</v>
      </c>
      <c r="AR145" s="451"/>
      <c r="AZ145" s="277" t="s">
        <v>1209</v>
      </c>
    </row>
    <row r="146" spans="1:52" ht="20.100000000000001" customHeight="1" x14ac:dyDescent="0.4">
      <c r="A146" s="226">
        <v>133</v>
      </c>
      <c r="B146" s="628" t="str">
        <f t="shared" si="36"/>
        <v/>
      </c>
      <c r="C146" s="645" t="str">
        <f t="shared" si="41"/>
        <v/>
      </c>
      <c r="D146" s="578"/>
      <c r="E146" s="556"/>
      <c r="F146" s="1618"/>
      <c r="G146" s="1619"/>
      <c r="H146" s="1620"/>
      <c r="I146" s="530"/>
      <c r="J146" s="530"/>
      <c r="K146" s="225"/>
      <c r="L146" s="530"/>
      <c r="M146" s="530"/>
      <c r="N146" s="530"/>
      <c r="O146" s="140">
        <f t="shared" si="37"/>
        <v>0</v>
      </c>
      <c r="P146" s="141">
        <f t="shared" si="38"/>
        <v>0</v>
      </c>
      <c r="Q146" s="141" t="str">
        <f t="shared" si="42"/>
        <v/>
      </c>
      <c r="R146" s="141" t="str">
        <f t="shared" si="39"/>
        <v/>
      </c>
      <c r="S146" s="227">
        <f t="shared" si="47"/>
        <v>0</v>
      </c>
      <c r="T146" s="142" t="str">
        <f xml:space="preserve">
IF(AND(AN146="◎",OR(テーブル!$B$3="交付申請",テーブル!$B$3="交付申請（２次以降）",テーブル!$B$3="変更申請")),"－",
IF(AND(AN146&lt;&gt;"◎",OR(テーブル!$B$3="交付申請",テーブル!$B$3="交付申請（２次以降）",テーブル!$B$3="変更申請")),"",
IF(AND(OR(テーブル!$B$3="実績報告",テーブル!$B$3="交付申請兼実績報告"),AN146="◎"),COUNTIF($AN$14:AN146,"◎"),"")))</f>
        <v/>
      </c>
      <c r="U146" s="142" t="str">
        <f t="shared" si="43"/>
        <v/>
      </c>
      <c r="W146" s="2087" t="str">
        <f t="shared" si="44"/>
        <v/>
      </c>
      <c r="AL146" s="444" t="s">
        <v>68</v>
      </c>
      <c r="AM146" s="450">
        <v>133</v>
      </c>
      <c r="AN146" s="572" t="str">
        <f t="shared" si="45"/>
        <v>○</v>
      </c>
      <c r="AO146" s="451" t="str">
        <f t="shared" si="46"/>
        <v>申請しない場合は入力不要です。</v>
      </c>
      <c r="AQ146" s="451">
        <f t="shared" si="40"/>
        <v>0</v>
      </c>
      <c r="AR146" s="451"/>
      <c r="AZ146" s="277" t="s">
        <v>1210</v>
      </c>
    </row>
    <row r="147" spans="1:52" ht="20.100000000000001" customHeight="1" x14ac:dyDescent="0.4">
      <c r="A147" s="226">
        <v>134</v>
      </c>
      <c r="B147" s="628" t="str">
        <f t="shared" si="36"/>
        <v/>
      </c>
      <c r="C147" s="645" t="str">
        <f t="shared" si="41"/>
        <v/>
      </c>
      <c r="D147" s="578"/>
      <c r="E147" s="556"/>
      <c r="F147" s="1618"/>
      <c r="G147" s="1619"/>
      <c r="H147" s="1620"/>
      <c r="I147" s="530"/>
      <c r="J147" s="530"/>
      <c r="K147" s="225"/>
      <c r="L147" s="530"/>
      <c r="M147" s="530"/>
      <c r="N147" s="530"/>
      <c r="O147" s="140">
        <f t="shared" si="37"/>
        <v>0</v>
      </c>
      <c r="P147" s="141">
        <f t="shared" si="38"/>
        <v>0</v>
      </c>
      <c r="Q147" s="141" t="str">
        <f t="shared" si="42"/>
        <v/>
      </c>
      <c r="R147" s="141" t="str">
        <f t="shared" si="39"/>
        <v/>
      </c>
      <c r="S147" s="227">
        <f t="shared" si="47"/>
        <v>0</v>
      </c>
      <c r="T147" s="142" t="str">
        <f xml:space="preserve">
IF(AND(AN147="◎",OR(テーブル!$B$3="交付申請",テーブル!$B$3="交付申請（２次以降）",テーブル!$B$3="変更申請")),"－",
IF(AND(AN147&lt;&gt;"◎",OR(テーブル!$B$3="交付申請",テーブル!$B$3="交付申請（２次以降）",テーブル!$B$3="変更申請")),"",
IF(AND(OR(テーブル!$B$3="実績報告",テーブル!$B$3="交付申請兼実績報告"),AN147="◎"),COUNTIF($AN$14:AN147,"◎"),"")))</f>
        <v/>
      </c>
      <c r="U147" s="142" t="str">
        <f t="shared" si="43"/>
        <v/>
      </c>
      <c r="W147" s="2087" t="str">
        <f t="shared" si="44"/>
        <v/>
      </c>
      <c r="AL147" s="444" t="s">
        <v>68</v>
      </c>
      <c r="AM147" s="450">
        <v>134</v>
      </c>
      <c r="AN147" s="572" t="str">
        <f t="shared" si="45"/>
        <v>○</v>
      </c>
      <c r="AO147" s="451" t="str">
        <f t="shared" si="46"/>
        <v>申請しない場合は入力不要です。</v>
      </c>
      <c r="AQ147" s="451">
        <f t="shared" si="40"/>
        <v>0</v>
      </c>
      <c r="AR147" s="451"/>
      <c r="AZ147" s="277" t="s">
        <v>1211</v>
      </c>
    </row>
    <row r="148" spans="1:52" ht="20.100000000000001" customHeight="1" x14ac:dyDescent="0.4">
      <c r="A148" s="226">
        <v>135</v>
      </c>
      <c r="B148" s="628" t="str">
        <f t="shared" si="36"/>
        <v/>
      </c>
      <c r="C148" s="645" t="str">
        <f t="shared" si="41"/>
        <v/>
      </c>
      <c r="D148" s="578"/>
      <c r="E148" s="556"/>
      <c r="F148" s="1618"/>
      <c r="G148" s="1619"/>
      <c r="H148" s="1620"/>
      <c r="I148" s="530"/>
      <c r="J148" s="530"/>
      <c r="K148" s="225"/>
      <c r="L148" s="530"/>
      <c r="M148" s="530"/>
      <c r="N148" s="530"/>
      <c r="O148" s="140">
        <f t="shared" si="37"/>
        <v>0</v>
      </c>
      <c r="P148" s="141">
        <f t="shared" si="38"/>
        <v>0</v>
      </c>
      <c r="Q148" s="141" t="str">
        <f t="shared" si="42"/>
        <v/>
      </c>
      <c r="R148" s="141" t="str">
        <f t="shared" si="39"/>
        <v/>
      </c>
      <c r="S148" s="227">
        <f t="shared" si="47"/>
        <v>0</v>
      </c>
      <c r="T148" s="142" t="str">
        <f xml:space="preserve">
IF(AND(AN148="◎",OR(テーブル!$B$3="交付申請",テーブル!$B$3="交付申請（２次以降）",テーブル!$B$3="変更申請")),"－",
IF(AND(AN148&lt;&gt;"◎",OR(テーブル!$B$3="交付申請",テーブル!$B$3="交付申請（２次以降）",テーブル!$B$3="変更申請")),"",
IF(AND(OR(テーブル!$B$3="実績報告",テーブル!$B$3="交付申請兼実績報告"),AN148="◎"),COUNTIF($AN$14:AN148,"◎"),"")))</f>
        <v/>
      </c>
      <c r="U148" s="142" t="str">
        <f t="shared" si="43"/>
        <v/>
      </c>
      <c r="W148" s="2087" t="str">
        <f t="shared" si="44"/>
        <v/>
      </c>
      <c r="AL148" s="444" t="s">
        <v>68</v>
      </c>
      <c r="AM148" s="450">
        <v>135</v>
      </c>
      <c r="AN148" s="572" t="str">
        <f t="shared" si="45"/>
        <v>○</v>
      </c>
      <c r="AO148" s="451" t="str">
        <f t="shared" si="46"/>
        <v>申請しない場合は入力不要です。</v>
      </c>
      <c r="AQ148" s="451">
        <f t="shared" si="40"/>
        <v>0</v>
      </c>
      <c r="AR148" s="451"/>
    </row>
    <row r="149" spans="1:52" ht="20.100000000000001" customHeight="1" x14ac:dyDescent="0.4">
      <c r="A149" s="226">
        <v>136</v>
      </c>
      <c r="B149" s="628" t="str">
        <f t="shared" si="36"/>
        <v/>
      </c>
      <c r="C149" s="645" t="str">
        <f t="shared" si="41"/>
        <v/>
      </c>
      <c r="D149" s="578"/>
      <c r="E149" s="556"/>
      <c r="F149" s="1618"/>
      <c r="G149" s="1619"/>
      <c r="H149" s="1620"/>
      <c r="I149" s="530"/>
      <c r="J149" s="530"/>
      <c r="K149" s="225"/>
      <c r="L149" s="530"/>
      <c r="M149" s="530"/>
      <c r="N149" s="530"/>
      <c r="O149" s="140">
        <f t="shared" si="37"/>
        <v>0</v>
      </c>
      <c r="P149" s="141">
        <f t="shared" si="38"/>
        <v>0</v>
      </c>
      <c r="Q149" s="141" t="str">
        <f t="shared" si="42"/>
        <v/>
      </c>
      <c r="R149" s="141" t="str">
        <f t="shared" si="39"/>
        <v/>
      </c>
      <c r="S149" s="227">
        <f t="shared" si="47"/>
        <v>0</v>
      </c>
      <c r="T149" s="142" t="str">
        <f xml:space="preserve">
IF(AND(AN149="◎",OR(テーブル!$B$3="交付申請",テーブル!$B$3="交付申請（２次以降）",テーブル!$B$3="変更申請")),"－",
IF(AND(AN149&lt;&gt;"◎",OR(テーブル!$B$3="交付申請",テーブル!$B$3="交付申請（２次以降）",テーブル!$B$3="変更申請")),"",
IF(AND(OR(テーブル!$B$3="実績報告",テーブル!$B$3="交付申請兼実績報告"),AN149="◎"),COUNTIF($AN$14:AN149,"◎"),"")))</f>
        <v/>
      </c>
      <c r="U149" s="142" t="str">
        <f t="shared" si="43"/>
        <v/>
      </c>
      <c r="W149" s="2087" t="str">
        <f t="shared" si="44"/>
        <v/>
      </c>
      <c r="AL149" s="444" t="s">
        <v>68</v>
      </c>
      <c r="AM149" s="450">
        <v>136</v>
      </c>
      <c r="AN149" s="572" t="str">
        <f t="shared" si="45"/>
        <v>○</v>
      </c>
      <c r="AO149" s="451" t="str">
        <f t="shared" si="46"/>
        <v>申請しない場合は入力不要です。</v>
      </c>
      <c r="AQ149" s="451">
        <f t="shared" si="40"/>
        <v>0</v>
      </c>
      <c r="AR149" s="451"/>
    </row>
    <row r="150" spans="1:52" ht="20.100000000000001" customHeight="1" x14ac:dyDescent="0.4">
      <c r="A150" s="226">
        <v>137</v>
      </c>
      <c r="B150" s="628" t="str">
        <f t="shared" si="36"/>
        <v/>
      </c>
      <c r="C150" s="645" t="str">
        <f t="shared" si="41"/>
        <v/>
      </c>
      <c r="D150" s="578"/>
      <c r="E150" s="556"/>
      <c r="F150" s="1618"/>
      <c r="G150" s="1619"/>
      <c r="H150" s="1620"/>
      <c r="I150" s="530"/>
      <c r="J150" s="530"/>
      <c r="K150" s="225"/>
      <c r="L150" s="530"/>
      <c r="M150" s="530"/>
      <c r="N150" s="530"/>
      <c r="O150" s="140">
        <f t="shared" si="37"/>
        <v>0</v>
      </c>
      <c r="P150" s="141">
        <f t="shared" si="38"/>
        <v>0</v>
      </c>
      <c r="Q150" s="141" t="str">
        <f t="shared" si="42"/>
        <v/>
      </c>
      <c r="R150" s="141" t="str">
        <f t="shared" si="39"/>
        <v/>
      </c>
      <c r="S150" s="227">
        <f t="shared" si="47"/>
        <v>0</v>
      </c>
      <c r="T150" s="142" t="str">
        <f xml:space="preserve">
IF(AND(AN150="◎",OR(テーブル!$B$3="交付申請",テーブル!$B$3="交付申請（２次以降）",テーブル!$B$3="変更申請")),"－",
IF(AND(AN150&lt;&gt;"◎",OR(テーブル!$B$3="交付申請",テーブル!$B$3="交付申請（２次以降）",テーブル!$B$3="変更申請")),"",
IF(AND(OR(テーブル!$B$3="実績報告",テーブル!$B$3="交付申請兼実績報告"),AN150="◎"),COUNTIF($AN$14:AN150,"◎"),"")))</f>
        <v/>
      </c>
      <c r="U150" s="142" t="str">
        <f t="shared" si="43"/>
        <v/>
      </c>
      <c r="W150" s="2087" t="str">
        <f t="shared" si="44"/>
        <v/>
      </c>
      <c r="AL150" s="444" t="s">
        <v>68</v>
      </c>
      <c r="AM150" s="450">
        <v>137</v>
      </c>
      <c r="AN150" s="572" t="str">
        <f t="shared" si="45"/>
        <v>○</v>
      </c>
      <c r="AO150" s="451" t="str">
        <f t="shared" si="46"/>
        <v>申請しない場合は入力不要です。</v>
      </c>
      <c r="AQ150" s="451">
        <f t="shared" si="40"/>
        <v>0</v>
      </c>
      <c r="AR150" s="451"/>
    </row>
    <row r="151" spans="1:52" ht="20.100000000000001" customHeight="1" x14ac:dyDescent="0.4">
      <c r="A151" s="226">
        <v>138</v>
      </c>
      <c r="B151" s="628" t="str">
        <f t="shared" si="36"/>
        <v/>
      </c>
      <c r="C151" s="645" t="str">
        <f t="shared" si="41"/>
        <v/>
      </c>
      <c r="D151" s="578"/>
      <c r="E151" s="556"/>
      <c r="F151" s="1618"/>
      <c r="G151" s="1619"/>
      <c r="H151" s="1620"/>
      <c r="I151" s="530"/>
      <c r="J151" s="530"/>
      <c r="K151" s="225"/>
      <c r="L151" s="530"/>
      <c r="M151" s="530"/>
      <c r="N151" s="530"/>
      <c r="O151" s="140">
        <f t="shared" si="37"/>
        <v>0</v>
      </c>
      <c r="P151" s="141">
        <f t="shared" si="38"/>
        <v>0</v>
      </c>
      <c r="Q151" s="141" t="str">
        <f t="shared" si="42"/>
        <v/>
      </c>
      <c r="R151" s="141" t="str">
        <f t="shared" si="39"/>
        <v/>
      </c>
      <c r="S151" s="227">
        <f t="shared" si="47"/>
        <v>0</v>
      </c>
      <c r="T151" s="142" t="str">
        <f xml:space="preserve">
IF(AND(AN151="◎",OR(テーブル!$B$3="交付申請",テーブル!$B$3="交付申請（２次以降）",テーブル!$B$3="変更申請")),"－",
IF(AND(AN151&lt;&gt;"◎",OR(テーブル!$B$3="交付申請",テーブル!$B$3="交付申請（２次以降）",テーブル!$B$3="変更申請")),"",
IF(AND(OR(テーブル!$B$3="実績報告",テーブル!$B$3="交付申請兼実績報告"),AN151="◎"),COUNTIF($AN$14:AN151,"◎"),"")))</f>
        <v/>
      </c>
      <c r="U151" s="142" t="str">
        <f t="shared" si="43"/>
        <v/>
      </c>
      <c r="W151" s="2087" t="str">
        <f t="shared" si="44"/>
        <v/>
      </c>
      <c r="AL151" s="444" t="s">
        <v>68</v>
      </c>
      <c r="AM151" s="450">
        <v>138</v>
      </c>
      <c r="AN151" s="572" t="str">
        <f t="shared" si="45"/>
        <v>○</v>
      </c>
      <c r="AO151" s="451" t="str">
        <f t="shared" si="46"/>
        <v>申請しない場合は入力不要です。</v>
      </c>
      <c r="AQ151" s="451">
        <f t="shared" si="40"/>
        <v>0</v>
      </c>
      <c r="AR151" s="451"/>
    </row>
    <row r="152" spans="1:52" ht="20.100000000000001" customHeight="1" x14ac:dyDescent="0.4">
      <c r="A152" s="226">
        <v>139</v>
      </c>
      <c r="B152" s="628" t="str">
        <f t="shared" si="36"/>
        <v/>
      </c>
      <c r="C152" s="645" t="str">
        <f t="shared" si="41"/>
        <v/>
      </c>
      <c r="D152" s="578"/>
      <c r="E152" s="556"/>
      <c r="F152" s="1618"/>
      <c r="G152" s="1619"/>
      <c r="H152" s="1620"/>
      <c r="I152" s="530"/>
      <c r="J152" s="530"/>
      <c r="K152" s="225"/>
      <c r="L152" s="530"/>
      <c r="M152" s="530"/>
      <c r="N152" s="530"/>
      <c r="O152" s="140">
        <f t="shared" si="37"/>
        <v>0</v>
      </c>
      <c r="P152" s="141">
        <f t="shared" si="38"/>
        <v>0</v>
      </c>
      <c r="Q152" s="141" t="str">
        <f t="shared" si="42"/>
        <v/>
      </c>
      <c r="R152" s="141" t="str">
        <f t="shared" si="39"/>
        <v/>
      </c>
      <c r="S152" s="227">
        <f t="shared" si="47"/>
        <v>0</v>
      </c>
      <c r="T152" s="142" t="str">
        <f xml:space="preserve">
IF(AND(AN152="◎",OR(テーブル!$B$3="交付申請",テーブル!$B$3="交付申請（２次以降）",テーブル!$B$3="変更申請")),"－",
IF(AND(AN152&lt;&gt;"◎",OR(テーブル!$B$3="交付申請",テーブル!$B$3="交付申請（２次以降）",テーブル!$B$3="変更申請")),"",
IF(AND(OR(テーブル!$B$3="実績報告",テーブル!$B$3="交付申請兼実績報告"),AN152="◎"),COUNTIF($AN$14:AN152,"◎"),"")))</f>
        <v/>
      </c>
      <c r="U152" s="142" t="str">
        <f t="shared" si="43"/>
        <v/>
      </c>
      <c r="W152" s="2087" t="str">
        <f t="shared" si="44"/>
        <v/>
      </c>
      <c r="AL152" s="444" t="s">
        <v>68</v>
      </c>
      <c r="AM152" s="450">
        <v>139</v>
      </c>
      <c r="AN152" s="572" t="str">
        <f t="shared" si="45"/>
        <v>○</v>
      </c>
      <c r="AO152" s="451" t="str">
        <f t="shared" si="46"/>
        <v>申請しない場合は入力不要です。</v>
      </c>
      <c r="AQ152" s="451">
        <f t="shared" si="40"/>
        <v>0</v>
      </c>
      <c r="AR152" s="451"/>
    </row>
    <row r="153" spans="1:52" ht="20.100000000000001" customHeight="1" x14ac:dyDescent="0.4">
      <c r="A153" s="226">
        <v>140</v>
      </c>
      <c r="B153" s="628" t="str">
        <f t="shared" si="36"/>
        <v/>
      </c>
      <c r="C153" s="645" t="str">
        <f t="shared" si="41"/>
        <v/>
      </c>
      <c r="D153" s="578"/>
      <c r="E153" s="556"/>
      <c r="F153" s="1618"/>
      <c r="G153" s="1619"/>
      <c r="H153" s="1620"/>
      <c r="I153" s="530"/>
      <c r="J153" s="530"/>
      <c r="K153" s="225"/>
      <c r="L153" s="530"/>
      <c r="M153" s="530"/>
      <c r="N153" s="530"/>
      <c r="O153" s="140">
        <f t="shared" si="37"/>
        <v>0</v>
      </c>
      <c r="P153" s="141">
        <f t="shared" si="38"/>
        <v>0</v>
      </c>
      <c r="Q153" s="141" t="str">
        <f t="shared" si="42"/>
        <v/>
      </c>
      <c r="R153" s="141" t="str">
        <f t="shared" si="39"/>
        <v/>
      </c>
      <c r="S153" s="227">
        <f t="shared" si="47"/>
        <v>0</v>
      </c>
      <c r="T153" s="142" t="str">
        <f xml:space="preserve">
IF(AND(AN153="◎",OR(テーブル!$B$3="交付申請",テーブル!$B$3="交付申請（２次以降）",テーブル!$B$3="変更申請")),"－",
IF(AND(AN153&lt;&gt;"◎",OR(テーブル!$B$3="交付申請",テーブル!$B$3="交付申請（２次以降）",テーブル!$B$3="変更申請")),"",
IF(AND(OR(テーブル!$B$3="実績報告",テーブル!$B$3="交付申請兼実績報告"),AN153="◎"),COUNTIF($AN$14:AN153,"◎"),"")))</f>
        <v/>
      </c>
      <c r="U153" s="142" t="str">
        <f t="shared" si="43"/>
        <v/>
      </c>
      <c r="W153" s="2087" t="str">
        <f t="shared" si="44"/>
        <v/>
      </c>
      <c r="AL153" s="444" t="s">
        <v>68</v>
      </c>
      <c r="AM153" s="450">
        <v>140</v>
      </c>
      <c r="AN153" s="572" t="str">
        <f t="shared" si="45"/>
        <v>○</v>
      </c>
      <c r="AO153" s="451" t="str">
        <f t="shared" si="46"/>
        <v>申請しない場合は入力不要です。</v>
      </c>
      <c r="AQ153" s="451">
        <f t="shared" si="40"/>
        <v>0</v>
      </c>
      <c r="AR153" s="451"/>
    </row>
    <row r="154" spans="1:52" ht="20.100000000000001" customHeight="1" x14ac:dyDescent="0.4">
      <c r="A154" s="226">
        <v>141</v>
      </c>
      <c r="B154" s="628" t="str">
        <f t="shared" si="36"/>
        <v/>
      </c>
      <c r="C154" s="645" t="str">
        <f t="shared" si="41"/>
        <v/>
      </c>
      <c r="D154" s="578"/>
      <c r="E154" s="556"/>
      <c r="F154" s="1618"/>
      <c r="G154" s="1619"/>
      <c r="H154" s="1620"/>
      <c r="I154" s="530"/>
      <c r="J154" s="530"/>
      <c r="K154" s="225"/>
      <c r="L154" s="530"/>
      <c r="M154" s="530"/>
      <c r="N154" s="530"/>
      <c r="O154" s="140">
        <f t="shared" si="37"/>
        <v>0</v>
      </c>
      <c r="P154" s="141">
        <f t="shared" si="38"/>
        <v>0</v>
      </c>
      <c r="Q154" s="141" t="str">
        <f t="shared" si="42"/>
        <v/>
      </c>
      <c r="R154" s="141" t="str">
        <f t="shared" si="39"/>
        <v/>
      </c>
      <c r="S154" s="227">
        <f t="shared" si="47"/>
        <v>0</v>
      </c>
      <c r="T154" s="142" t="str">
        <f xml:space="preserve">
IF(AND(AN154="◎",OR(テーブル!$B$3="交付申請",テーブル!$B$3="交付申請（２次以降）",テーブル!$B$3="変更申請")),"－",
IF(AND(AN154&lt;&gt;"◎",OR(テーブル!$B$3="交付申請",テーブル!$B$3="交付申請（２次以降）",テーブル!$B$3="変更申請")),"",
IF(AND(OR(テーブル!$B$3="実績報告",テーブル!$B$3="交付申請兼実績報告"),AN154="◎"),COUNTIF($AN$14:AN154,"◎"),"")))</f>
        <v/>
      </c>
      <c r="U154" s="142" t="str">
        <f t="shared" si="43"/>
        <v/>
      </c>
      <c r="W154" s="2087" t="str">
        <f t="shared" si="44"/>
        <v/>
      </c>
      <c r="AL154" s="444" t="s">
        <v>68</v>
      </c>
      <c r="AM154" s="450">
        <v>141</v>
      </c>
      <c r="AN154" s="572" t="str">
        <f t="shared" si="45"/>
        <v>○</v>
      </c>
      <c r="AO154" s="451" t="str">
        <f t="shared" si="46"/>
        <v>申請しない場合は入力不要です。</v>
      </c>
      <c r="AQ154" s="451">
        <f t="shared" si="40"/>
        <v>0</v>
      </c>
      <c r="AR154" s="451"/>
    </row>
    <row r="155" spans="1:52" ht="20.100000000000001" customHeight="1" x14ac:dyDescent="0.4">
      <c r="A155" s="226">
        <v>142</v>
      </c>
      <c r="B155" s="628" t="str">
        <f t="shared" si="36"/>
        <v/>
      </c>
      <c r="C155" s="645" t="str">
        <f t="shared" si="41"/>
        <v/>
      </c>
      <c r="D155" s="578"/>
      <c r="E155" s="556"/>
      <c r="F155" s="1618"/>
      <c r="G155" s="1619"/>
      <c r="H155" s="1620"/>
      <c r="I155" s="530"/>
      <c r="J155" s="530"/>
      <c r="K155" s="225"/>
      <c r="L155" s="530"/>
      <c r="M155" s="530"/>
      <c r="N155" s="530"/>
      <c r="O155" s="140">
        <f t="shared" si="37"/>
        <v>0</v>
      </c>
      <c r="P155" s="141">
        <f t="shared" si="38"/>
        <v>0</v>
      </c>
      <c r="Q155" s="141" t="str">
        <f t="shared" si="42"/>
        <v/>
      </c>
      <c r="R155" s="141" t="str">
        <f t="shared" si="39"/>
        <v/>
      </c>
      <c r="S155" s="227">
        <f t="shared" si="47"/>
        <v>0</v>
      </c>
      <c r="T155" s="142" t="str">
        <f xml:space="preserve">
IF(AND(AN155="◎",OR(テーブル!$B$3="交付申請",テーブル!$B$3="交付申請（２次以降）",テーブル!$B$3="変更申請")),"－",
IF(AND(AN155&lt;&gt;"◎",OR(テーブル!$B$3="交付申請",テーブル!$B$3="交付申請（２次以降）",テーブル!$B$3="変更申請")),"",
IF(AND(OR(テーブル!$B$3="実績報告",テーブル!$B$3="交付申請兼実績報告"),AN155="◎"),COUNTIF($AN$14:AN155,"◎"),"")))</f>
        <v/>
      </c>
      <c r="U155" s="142" t="str">
        <f t="shared" si="43"/>
        <v/>
      </c>
      <c r="W155" s="2087" t="str">
        <f t="shared" si="44"/>
        <v/>
      </c>
      <c r="AL155" s="444" t="s">
        <v>68</v>
      </c>
      <c r="AM155" s="450">
        <v>142</v>
      </c>
      <c r="AN155" s="572" t="str">
        <f t="shared" si="45"/>
        <v>○</v>
      </c>
      <c r="AO155" s="451" t="str">
        <f t="shared" si="46"/>
        <v>申請しない場合は入力不要です。</v>
      </c>
      <c r="AQ155" s="451">
        <f t="shared" si="40"/>
        <v>0</v>
      </c>
      <c r="AR155" s="451"/>
    </row>
    <row r="156" spans="1:52" ht="20.100000000000001" customHeight="1" x14ac:dyDescent="0.4">
      <c r="A156" s="226">
        <v>143</v>
      </c>
      <c r="B156" s="628" t="str">
        <f t="shared" si="36"/>
        <v/>
      </c>
      <c r="C156" s="645" t="str">
        <f t="shared" si="41"/>
        <v/>
      </c>
      <c r="D156" s="578"/>
      <c r="E156" s="556"/>
      <c r="F156" s="1618"/>
      <c r="G156" s="1619"/>
      <c r="H156" s="1620"/>
      <c r="I156" s="530"/>
      <c r="J156" s="530"/>
      <c r="K156" s="225"/>
      <c r="L156" s="530"/>
      <c r="M156" s="530"/>
      <c r="N156" s="530"/>
      <c r="O156" s="140">
        <f t="shared" si="37"/>
        <v>0</v>
      </c>
      <c r="P156" s="141">
        <f t="shared" si="38"/>
        <v>0</v>
      </c>
      <c r="Q156" s="141" t="str">
        <f t="shared" si="42"/>
        <v/>
      </c>
      <c r="R156" s="141" t="str">
        <f t="shared" si="39"/>
        <v/>
      </c>
      <c r="S156" s="227">
        <f t="shared" si="47"/>
        <v>0</v>
      </c>
      <c r="T156" s="142" t="str">
        <f xml:space="preserve">
IF(AND(AN156="◎",OR(テーブル!$B$3="交付申請",テーブル!$B$3="交付申請（２次以降）",テーブル!$B$3="変更申請")),"－",
IF(AND(AN156&lt;&gt;"◎",OR(テーブル!$B$3="交付申請",テーブル!$B$3="交付申請（２次以降）",テーブル!$B$3="変更申請")),"",
IF(AND(OR(テーブル!$B$3="実績報告",テーブル!$B$3="交付申請兼実績報告"),AN156="◎"),COUNTIF($AN$14:AN156,"◎"),"")))</f>
        <v/>
      </c>
      <c r="U156" s="142" t="str">
        <f t="shared" si="43"/>
        <v/>
      </c>
      <c r="W156" s="2087" t="str">
        <f t="shared" si="44"/>
        <v/>
      </c>
      <c r="AL156" s="444" t="s">
        <v>68</v>
      </c>
      <c r="AM156" s="450">
        <v>143</v>
      </c>
      <c r="AN156" s="572" t="str">
        <f t="shared" si="45"/>
        <v>○</v>
      </c>
      <c r="AO156" s="451" t="str">
        <f t="shared" si="46"/>
        <v>申請しない場合は入力不要です。</v>
      </c>
      <c r="AQ156" s="451">
        <f t="shared" si="40"/>
        <v>0</v>
      </c>
      <c r="AR156" s="451"/>
    </row>
    <row r="157" spans="1:52" ht="20.100000000000001" customHeight="1" x14ac:dyDescent="0.4">
      <c r="A157" s="226">
        <v>144</v>
      </c>
      <c r="B157" s="628" t="str">
        <f t="shared" si="36"/>
        <v/>
      </c>
      <c r="C157" s="645" t="str">
        <f t="shared" si="41"/>
        <v/>
      </c>
      <c r="D157" s="578"/>
      <c r="E157" s="556"/>
      <c r="F157" s="1618"/>
      <c r="G157" s="1619"/>
      <c r="H157" s="1620"/>
      <c r="I157" s="530"/>
      <c r="J157" s="530"/>
      <c r="K157" s="225"/>
      <c r="L157" s="530"/>
      <c r="M157" s="530"/>
      <c r="N157" s="530"/>
      <c r="O157" s="140">
        <f t="shared" si="37"/>
        <v>0</v>
      </c>
      <c r="P157" s="141">
        <f t="shared" si="38"/>
        <v>0</v>
      </c>
      <c r="Q157" s="141" t="str">
        <f t="shared" si="42"/>
        <v/>
      </c>
      <c r="R157" s="141" t="str">
        <f t="shared" si="39"/>
        <v/>
      </c>
      <c r="S157" s="227">
        <f t="shared" si="47"/>
        <v>0</v>
      </c>
      <c r="T157" s="142" t="str">
        <f xml:space="preserve">
IF(AND(AN157="◎",OR(テーブル!$B$3="交付申請",テーブル!$B$3="交付申請（２次以降）",テーブル!$B$3="変更申請")),"－",
IF(AND(AN157&lt;&gt;"◎",OR(テーブル!$B$3="交付申請",テーブル!$B$3="交付申請（２次以降）",テーブル!$B$3="変更申請")),"",
IF(AND(OR(テーブル!$B$3="実績報告",テーブル!$B$3="交付申請兼実績報告"),AN157="◎"),COUNTIF($AN$14:AN157,"◎"),"")))</f>
        <v/>
      </c>
      <c r="U157" s="142" t="str">
        <f t="shared" si="43"/>
        <v/>
      </c>
      <c r="W157" s="2087" t="str">
        <f t="shared" si="44"/>
        <v/>
      </c>
      <c r="AL157" s="444" t="s">
        <v>68</v>
      </c>
      <c r="AM157" s="450">
        <v>144</v>
      </c>
      <c r="AN157" s="572" t="str">
        <f t="shared" si="45"/>
        <v>○</v>
      </c>
      <c r="AO157" s="451" t="str">
        <f t="shared" si="46"/>
        <v>申請しない場合は入力不要です。</v>
      </c>
      <c r="AQ157" s="451">
        <f t="shared" si="40"/>
        <v>0</v>
      </c>
      <c r="AR157" s="451"/>
    </row>
    <row r="158" spans="1:52" ht="20.100000000000001" customHeight="1" x14ac:dyDescent="0.4">
      <c r="A158" s="226">
        <v>145</v>
      </c>
      <c r="B158" s="628" t="str">
        <f t="shared" si="36"/>
        <v/>
      </c>
      <c r="C158" s="645" t="str">
        <f t="shared" si="41"/>
        <v/>
      </c>
      <c r="D158" s="578"/>
      <c r="E158" s="556"/>
      <c r="F158" s="1618"/>
      <c r="G158" s="1619"/>
      <c r="H158" s="1620"/>
      <c r="I158" s="530"/>
      <c r="J158" s="530"/>
      <c r="K158" s="225"/>
      <c r="L158" s="530"/>
      <c r="M158" s="530"/>
      <c r="N158" s="530"/>
      <c r="O158" s="140">
        <f t="shared" si="37"/>
        <v>0</v>
      </c>
      <c r="P158" s="141">
        <f t="shared" si="38"/>
        <v>0</v>
      </c>
      <c r="Q158" s="141" t="str">
        <f t="shared" si="42"/>
        <v/>
      </c>
      <c r="R158" s="141" t="str">
        <f t="shared" si="39"/>
        <v/>
      </c>
      <c r="S158" s="227">
        <f t="shared" si="47"/>
        <v>0</v>
      </c>
      <c r="T158" s="142" t="str">
        <f xml:space="preserve">
IF(AND(AN158="◎",OR(テーブル!$B$3="交付申請",テーブル!$B$3="交付申請（２次以降）",テーブル!$B$3="変更申請")),"－",
IF(AND(AN158&lt;&gt;"◎",OR(テーブル!$B$3="交付申請",テーブル!$B$3="交付申請（２次以降）",テーブル!$B$3="変更申請")),"",
IF(AND(OR(テーブル!$B$3="実績報告",テーブル!$B$3="交付申請兼実績報告"),AN158="◎"),COUNTIF($AN$14:AN158,"◎"),"")))</f>
        <v/>
      </c>
      <c r="U158" s="142" t="str">
        <f t="shared" si="43"/>
        <v/>
      </c>
      <c r="W158" s="2087" t="str">
        <f t="shared" si="44"/>
        <v/>
      </c>
      <c r="AL158" s="444" t="s">
        <v>68</v>
      </c>
      <c r="AM158" s="450">
        <v>145</v>
      </c>
      <c r="AN158" s="572" t="str">
        <f t="shared" si="45"/>
        <v>○</v>
      </c>
      <c r="AO158" s="451" t="str">
        <f t="shared" si="46"/>
        <v>申請しない場合は入力不要です。</v>
      </c>
      <c r="AQ158" s="451">
        <f t="shared" si="40"/>
        <v>0</v>
      </c>
      <c r="AR158" s="451"/>
    </row>
    <row r="159" spans="1:52" ht="20.100000000000001" customHeight="1" x14ac:dyDescent="0.4">
      <c r="A159" s="226">
        <v>146</v>
      </c>
      <c r="B159" s="628" t="str">
        <f t="shared" si="36"/>
        <v/>
      </c>
      <c r="C159" s="645" t="str">
        <f t="shared" si="41"/>
        <v/>
      </c>
      <c r="D159" s="578"/>
      <c r="E159" s="556"/>
      <c r="F159" s="1618"/>
      <c r="G159" s="1619"/>
      <c r="H159" s="1620"/>
      <c r="I159" s="530"/>
      <c r="J159" s="530"/>
      <c r="K159" s="225"/>
      <c r="L159" s="530"/>
      <c r="M159" s="530"/>
      <c r="N159" s="530"/>
      <c r="O159" s="140">
        <f t="shared" si="37"/>
        <v>0</v>
      </c>
      <c r="P159" s="141">
        <f t="shared" si="38"/>
        <v>0</v>
      </c>
      <c r="Q159" s="141" t="str">
        <f t="shared" si="42"/>
        <v/>
      </c>
      <c r="R159" s="141" t="str">
        <f t="shared" si="39"/>
        <v/>
      </c>
      <c r="S159" s="227">
        <f t="shared" si="47"/>
        <v>0</v>
      </c>
      <c r="T159" s="142" t="str">
        <f xml:space="preserve">
IF(AND(AN159="◎",OR(テーブル!$B$3="交付申請",テーブル!$B$3="交付申請（２次以降）",テーブル!$B$3="変更申請")),"－",
IF(AND(AN159&lt;&gt;"◎",OR(テーブル!$B$3="交付申請",テーブル!$B$3="交付申請（２次以降）",テーブル!$B$3="変更申請")),"",
IF(AND(OR(テーブル!$B$3="実績報告",テーブル!$B$3="交付申請兼実績報告"),AN159="◎"),COUNTIF($AN$14:AN159,"◎"),"")))</f>
        <v/>
      </c>
      <c r="U159" s="142" t="str">
        <f t="shared" si="43"/>
        <v/>
      </c>
      <c r="W159" s="2087" t="str">
        <f t="shared" si="44"/>
        <v/>
      </c>
      <c r="AL159" s="444" t="s">
        <v>68</v>
      </c>
      <c r="AM159" s="450">
        <v>146</v>
      </c>
      <c r="AN159" s="572" t="str">
        <f t="shared" si="45"/>
        <v>○</v>
      </c>
      <c r="AO159" s="451" t="str">
        <f t="shared" si="46"/>
        <v>申請しない場合は入力不要です。</v>
      </c>
      <c r="AQ159" s="451">
        <f t="shared" si="40"/>
        <v>0</v>
      </c>
      <c r="AR159" s="451"/>
    </row>
    <row r="160" spans="1:52" ht="20.100000000000001" customHeight="1" x14ac:dyDescent="0.4">
      <c r="A160" s="226">
        <v>147</v>
      </c>
      <c r="B160" s="628" t="str">
        <f t="shared" ref="B160:B163" si="48">IFERROR(DATE(IF(L160=5,2023,IF(L160=6,2024)),M160,N160)&amp;E160,"")</f>
        <v/>
      </c>
      <c r="C160" s="645" t="str">
        <f t="shared" si="41"/>
        <v/>
      </c>
      <c r="D160" s="578"/>
      <c r="E160" s="556"/>
      <c r="F160" s="1618"/>
      <c r="G160" s="1619"/>
      <c r="H160" s="1620"/>
      <c r="I160" s="530"/>
      <c r="J160" s="530"/>
      <c r="K160" s="225"/>
      <c r="L160" s="530"/>
      <c r="M160" s="530"/>
      <c r="N160" s="530"/>
      <c r="O160" s="140">
        <f t="shared" ref="O160:O163" si="49">ROUNDDOWN(K160*1.1,0)</f>
        <v>0</v>
      </c>
      <c r="P160" s="141">
        <f t="shared" ref="P160:P163" si="50">ROUNDDOWN(J160*O160,0)</f>
        <v>0</v>
      </c>
      <c r="Q160" s="141" t="str">
        <f t="shared" si="42"/>
        <v/>
      </c>
      <c r="R160" s="141" t="str">
        <f t="shared" ref="R160:R163" si="51">IF(Q160="","",MIN(P160,Q160))</f>
        <v/>
      </c>
      <c r="S160" s="227">
        <f t="shared" si="47"/>
        <v>0</v>
      </c>
      <c r="T160" s="142" t="str">
        <f xml:space="preserve">
IF(AND(AN160="◎",OR(テーブル!$B$3="交付申請",テーブル!$B$3="交付申請（２次以降）",テーブル!$B$3="変更申請")),"－",
IF(AND(AN160&lt;&gt;"◎",OR(テーブル!$B$3="交付申請",テーブル!$B$3="交付申請（２次以降）",テーブル!$B$3="変更申請")),"",
IF(AND(OR(テーブル!$B$3="実績報告",テーブル!$B$3="交付申請兼実績報告"),AN160="◎"),COUNTIF($AN$14:AN160,"◎"),"")))</f>
        <v/>
      </c>
      <c r="U160" s="142" t="str">
        <f t="shared" si="43"/>
        <v/>
      </c>
      <c r="W160" s="2087" t="str">
        <f t="shared" si="44"/>
        <v/>
      </c>
      <c r="AL160" s="444" t="s">
        <v>68</v>
      </c>
      <c r="AM160" s="450">
        <v>147</v>
      </c>
      <c r="AN160" s="572" t="str">
        <f t="shared" si="45"/>
        <v>○</v>
      </c>
      <c r="AO160" s="451" t="str">
        <f t="shared" si="46"/>
        <v>申請しない場合は入力不要です。</v>
      </c>
      <c r="AQ160" s="451">
        <f t="shared" ref="AQ160:AQ163" si="52">I160*J160</f>
        <v>0</v>
      </c>
      <c r="AR160" s="451"/>
    </row>
    <row r="161" spans="1:58" ht="20.100000000000001" customHeight="1" x14ac:dyDescent="0.4">
      <c r="A161" s="226">
        <v>148</v>
      </c>
      <c r="B161" s="628" t="str">
        <f t="shared" si="48"/>
        <v/>
      </c>
      <c r="C161" s="645" t="str">
        <f t="shared" si="41"/>
        <v/>
      </c>
      <c r="D161" s="578"/>
      <c r="E161" s="556"/>
      <c r="F161" s="1618"/>
      <c r="G161" s="1619"/>
      <c r="H161" s="1620"/>
      <c r="I161" s="530"/>
      <c r="J161" s="530"/>
      <c r="K161" s="225"/>
      <c r="L161" s="530"/>
      <c r="M161" s="530"/>
      <c r="N161" s="530"/>
      <c r="O161" s="140">
        <f t="shared" si="49"/>
        <v>0</v>
      </c>
      <c r="P161" s="141">
        <f t="shared" si="50"/>
        <v>0</v>
      </c>
      <c r="Q161" s="141" t="str">
        <f t="shared" si="42"/>
        <v/>
      </c>
      <c r="R161" s="141" t="str">
        <f t="shared" si="51"/>
        <v/>
      </c>
      <c r="S161" s="227">
        <f t="shared" si="47"/>
        <v>0</v>
      </c>
      <c r="T161" s="142" t="str">
        <f xml:space="preserve">
IF(AND(AN161="◎",OR(テーブル!$B$3="交付申請",テーブル!$B$3="交付申請（２次以降）",テーブル!$B$3="変更申請")),"－",
IF(AND(AN161&lt;&gt;"◎",OR(テーブル!$B$3="交付申請",テーブル!$B$3="交付申請（２次以降）",テーブル!$B$3="変更申請")),"",
IF(AND(OR(テーブル!$B$3="実績報告",テーブル!$B$3="交付申請兼実績報告"),AN161="◎"),COUNTIF($AN$14:AN161,"◎"),"")))</f>
        <v/>
      </c>
      <c r="U161" s="142" t="str">
        <f t="shared" si="43"/>
        <v/>
      </c>
      <c r="W161" s="2087" t="str">
        <f t="shared" si="44"/>
        <v/>
      </c>
      <c r="AL161" s="444" t="s">
        <v>68</v>
      </c>
      <c r="AM161" s="450">
        <v>148</v>
      </c>
      <c r="AN161" s="572" t="str">
        <f t="shared" si="45"/>
        <v>○</v>
      </c>
      <c r="AO161" s="451" t="str">
        <f t="shared" si="46"/>
        <v>申請しない場合は入力不要です。</v>
      </c>
      <c r="AQ161" s="451">
        <f t="shared" si="52"/>
        <v>0</v>
      </c>
      <c r="AR161" s="451"/>
    </row>
    <row r="162" spans="1:58" ht="20.100000000000001" customHeight="1" x14ac:dyDescent="0.4">
      <c r="A162" s="226">
        <v>149</v>
      </c>
      <c r="B162" s="628" t="str">
        <f t="shared" si="48"/>
        <v/>
      </c>
      <c r="C162" s="645" t="str">
        <f t="shared" si="41"/>
        <v/>
      </c>
      <c r="D162" s="578"/>
      <c r="E162" s="556"/>
      <c r="F162" s="1618"/>
      <c r="G162" s="1619"/>
      <c r="H162" s="1620"/>
      <c r="I162" s="530"/>
      <c r="J162" s="530"/>
      <c r="K162" s="225"/>
      <c r="L162" s="530"/>
      <c r="M162" s="530"/>
      <c r="N162" s="530"/>
      <c r="O162" s="140">
        <f t="shared" si="49"/>
        <v>0</v>
      </c>
      <c r="P162" s="141">
        <f t="shared" si="50"/>
        <v>0</v>
      </c>
      <c r="Q162" s="141" t="str">
        <f t="shared" si="42"/>
        <v/>
      </c>
      <c r="R162" s="141" t="str">
        <f t="shared" si="51"/>
        <v/>
      </c>
      <c r="S162" s="227">
        <f t="shared" si="47"/>
        <v>0</v>
      </c>
      <c r="T162" s="142" t="str">
        <f xml:space="preserve">
IF(AND(AN162="◎",OR(テーブル!$B$3="交付申請",テーブル!$B$3="交付申請（２次以降）",テーブル!$B$3="変更申請")),"－",
IF(AND(AN162&lt;&gt;"◎",OR(テーブル!$B$3="交付申請",テーブル!$B$3="交付申請（２次以降）",テーブル!$B$3="変更申請")),"",
IF(AND(OR(テーブル!$B$3="実績報告",テーブル!$B$3="交付申請兼実績報告"),AN162="◎"),COUNTIF($AN$14:AN162,"◎"),"")))</f>
        <v/>
      </c>
      <c r="U162" s="142" t="str">
        <f t="shared" si="43"/>
        <v/>
      </c>
      <c r="W162" s="2087" t="str">
        <f t="shared" si="44"/>
        <v/>
      </c>
      <c r="AL162" s="444" t="s">
        <v>68</v>
      </c>
      <c r="AM162" s="450">
        <v>149</v>
      </c>
      <c r="AN162" s="572" t="str">
        <f t="shared" si="45"/>
        <v>○</v>
      </c>
      <c r="AO162" s="451" t="str">
        <f t="shared" si="46"/>
        <v>申請しない場合は入力不要です。</v>
      </c>
      <c r="AQ162" s="451">
        <f t="shared" si="52"/>
        <v>0</v>
      </c>
      <c r="AR162" s="451"/>
    </row>
    <row r="163" spans="1:58" ht="20.100000000000001" customHeight="1" x14ac:dyDescent="0.4">
      <c r="A163" s="226">
        <v>150</v>
      </c>
      <c r="B163" s="628" t="str">
        <f t="shared" si="48"/>
        <v/>
      </c>
      <c r="C163" s="645" t="str">
        <f t="shared" si="41"/>
        <v/>
      </c>
      <c r="D163" s="578"/>
      <c r="E163" s="556"/>
      <c r="F163" s="1618"/>
      <c r="G163" s="1619"/>
      <c r="H163" s="1620"/>
      <c r="I163" s="530"/>
      <c r="J163" s="530"/>
      <c r="K163" s="225"/>
      <c r="L163" s="530"/>
      <c r="M163" s="530"/>
      <c r="N163" s="530"/>
      <c r="O163" s="140">
        <f t="shared" si="49"/>
        <v>0</v>
      </c>
      <c r="P163" s="141">
        <f t="shared" si="50"/>
        <v>0</v>
      </c>
      <c r="Q163" s="141" t="str">
        <f t="shared" si="42"/>
        <v/>
      </c>
      <c r="R163" s="141" t="str">
        <f t="shared" si="51"/>
        <v/>
      </c>
      <c r="S163" s="227">
        <f t="shared" si="47"/>
        <v>0</v>
      </c>
      <c r="T163" s="142" t="str">
        <f xml:space="preserve">
IF(AND(AN163="◎",OR(テーブル!$B$3="交付申請",テーブル!$B$3="交付申請（２次以降）",テーブル!$B$3="変更申請")),"－",
IF(AND(AN163&lt;&gt;"◎",OR(テーブル!$B$3="交付申請",テーブル!$B$3="交付申請（２次以降）",テーブル!$B$3="変更申請")),"",
IF(AND(OR(テーブル!$B$3="実績報告",テーブル!$B$3="交付申請兼実績報告"),AN163="◎"),COUNTIF($AN$14:AN163,"◎"),"")))</f>
        <v/>
      </c>
      <c r="U163" s="142" t="str">
        <f t="shared" si="43"/>
        <v/>
      </c>
      <c r="W163" s="2087" t="str">
        <f t="shared" si="44"/>
        <v/>
      </c>
      <c r="AL163" s="444" t="s">
        <v>68</v>
      </c>
      <c r="AM163" s="450">
        <v>150</v>
      </c>
      <c r="AN163" s="572" t="str">
        <f t="shared" si="45"/>
        <v>○</v>
      </c>
      <c r="AO163" s="451" t="str">
        <f t="shared" si="46"/>
        <v>申請しない場合は入力不要です。</v>
      </c>
      <c r="AQ163" s="451">
        <f t="shared" si="52"/>
        <v>0</v>
      </c>
      <c r="AR163" s="451"/>
    </row>
    <row r="174" spans="1:58" ht="30" customHeight="1" x14ac:dyDescent="0.4">
      <c r="AU174" s="276" t="s">
        <v>102</v>
      </c>
      <c r="AV174" s="276" t="s">
        <v>103</v>
      </c>
      <c r="AW174" s="276" t="s">
        <v>104</v>
      </c>
      <c r="AX174" s="276" t="s">
        <v>105</v>
      </c>
      <c r="AY174" s="1641" t="s">
        <v>141</v>
      </c>
      <c r="AZ174" s="1642"/>
      <c r="BA174" s="1642"/>
      <c r="BB174" s="1642"/>
      <c r="BC174" s="1642"/>
      <c r="BD174" s="1642"/>
      <c r="BE174" s="1642"/>
      <c r="BF174" s="1642"/>
    </row>
    <row r="175" spans="1:58" ht="30" customHeight="1" x14ac:dyDescent="0.4">
      <c r="AU175" s="283" t="s">
        <v>1062</v>
      </c>
      <c r="AV175" s="452" t="str">
        <f xml:space="preserve">
IF(COUNTIF(基礎情報!AZ2:AZ5,"×")&gt;1,"×",
IF(AND(COUNTIF(基礎情報!AZ2:AZ5,"○")=4),"◎"))</f>
        <v>×</v>
      </c>
      <c r="AW175" s="1324" t="str">
        <f xml:space="preserve">
IF(AND(AV175="×",AV176="×"),"×",
IF(AND(AV175="×",AV176="○"),"○",
IF(AND(AV175="×",AV176="◎"),"×",
IF(AND(AV175="○",AV176="×"),"×",
IF(AND(AV175="○",AV176="○"),"○",
IF(AND(AV175="○",AV176="◎"),"×",
IF(AND(AV175="◎",AV176="×"),"×",
IF(AND(AV175="◎",AV176="○"),"○",
IF(AND(AV175="◎",AV176="◎"),"◎",
)))))))))</f>
        <v>×</v>
      </c>
      <c r="AX175" s="1628" t="str">
        <f xml:space="preserve">
IF(AND(AV175="×",AV176="×"),"【要修正】「基礎情報」シート及び「防護具情報」いずれも入力が不十分です。",
IF(AND(AV175="×",AV176="○"),"申請しない場合は入力不要です。",
IF(AND(AV175="×",AV176="◎"),"【要修正】「基礎情報」シートが入力不十分です。",
IF(AND(AV175="○",AV176="×"),"【要修正】「基礎情報」シートが未入力、「防護具情報」に入力不十分な箇所があります。",
IF(AND(AV175="○",AV176="○"),"申請しない場合は入力不要です。",
IF(AND(AV175="○",AV176="◎"),"【要修正】「基礎情報」シートが未入力です。",
IF(AND(AV175="◎",AV176="×"),"【要修正】「防護具情報」に入力不十分な箇所があります。",
IF(AND(AV175="◎",AV176="○"),"申請しない場合は入力不要です。",
IF(AND(AV175="◎",AV176="◎"),"適切に入力がされました。",
)))))))))</f>
        <v>【要修正】「基礎情報」シート及び「防護具情報」いずれも入力が不十分です。</v>
      </c>
      <c r="AY175" s="1641"/>
      <c r="AZ175" s="1642"/>
      <c r="BA175" s="1642"/>
      <c r="BB175" s="1642"/>
      <c r="BC175" s="1642"/>
      <c r="BD175" s="1642"/>
      <c r="BE175" s="1642"/>
      <c r="BF175" s="1642"/>
    </row>
    <row r="176" spans="1:58" ht="30" customHeight="1" x14ac:dyDescent="0.4">
      <c r="AU176" s="451" t="s">
        <v>142</v>
      </c>
      <c r="AV176" s="452" t="str">
        <f xml:space="preserve">
IF(COUNTIF($AN$14:$AN$163,"×")&gt;=1,"×",
IF(COUNTIF($AN$14:$AN$163,"○")=150,"○","◎"))</f>
        <v>×</v>
      </c>
      <c r="AW176" s="1627"/>
      <c r="AX176" s="1629"/>
      <c r="AY176" s="1641"/>
      <c r="AZ176" s="1642"/>
      <c r="BA176" s="1642"/>
      <c r="BB176" s="1642"/>
      <c r="BC176" s="1642"/>
      <c r="BD176" s="1642"/>
      <c r="BE176" s="1642"/>
      <c r="BF176" s="1642"/>
    </row>
    <row r="177" spans="47:58" ht="30" customHeight="1" x14ac:dyDescent="0.4">
      <c r="AU177" s="453" t="s">
        <v>106</v>
      </c>
      <c r="AV177" s="56"/>
      <c r="AW177" s="56"/>
      <c r="AX177" s="26"/>
      <c r="AY177" s="26"/>
      <c r="BA177" s="421"/>
      <c r="BB177" s="654"/>
      <c r="BC177" s="421"/>
      <c r="BD177" s="421"/>
      <c r="BE177" s="421"/>
      <c r="BF177" s="421"/>
    </row>
  </sheetData>
  <sheetProtection algorithmName="SHA-512" hashValue="eCiNC752lBIBQK994momzjPLcVmHkEvXF5uj6QLoXA4152JH/Djvuf/wct7U5W4lRsmP7MB8dTpG+uPjYSP3WA==" saltValue="2+ZToFm+UdyEuykQGKI2QQ==" spinCount="100000" sheet="1" insertRows="0"/>
  <mergeCells count="197">
    <mergeCell ref="AM12:AM13"/>
    <mergeCell ref="AN12:AN13"/>
    <mergeCell ref="AO12:AO13"/>
    <mergeCell ref="F150:H150"/>
    <mergeCell ref="F151:H151"/>
    <mergeCell ref="F152:H152"/>
    <mergeCell ref="F162:H162"/>
    <mergeCell ref="F163:H163"/>
    <mergeCell ref="F153:H153"/>
    <mergeCell ref="F154:H154"/>
    <mergeCell ref="F155:H155"/>
    <mergeCell ref="F156:H156"/>
    <mergeCell ref="F157:H157"/>
    <mergeCell ref="F158:H158"/>
    <mergeCell ref="F159:H159"/>
    <mergeCell ref="F160:H160"/>
    <mergeCell ref="F161:H161"/>
    <mergeCell ref="F141:H141"/>
    <mergeCell ref="F142:H142"/>
    <mergeCell ref="F143:H143"/>
    <mergeCell ref="F144:H144"/>
    <mergeCell ref="F145:H145"/>
    <mergeCell ref="F146:H146"/>
    <mergeCell ref="F147:H147"/>
    <mergeCell ref="F148:H148"/>
    <mergeCell ref="F149:H149"/>
    <mergeCell ref="F132:H132"/>
    <mergeCell ref="F133:H133"/>
    <mergeCell ref="F134:H134"/>
    <mergeCell ref="F135:H135"/>
    <mergeCell ref="F136:H136"/>
    <mergeCell ref="F137:H137"/>
    <mergeCell ref="F138:H138"/>
    <mergeCell ref="F139:H139"/>
    <mergeCell ref="F140:H140"/>
    <mergeCell ref="Q12:Q13"/>
    <mergeCell ref="R12:R13"/>
    <mergeCell ref="S12:S13"/>
    <mergeCell ref="T12:T13"/>
    <mergeCell ref="U12:U13"/>
    <mergeCell ref="F114:H114"/>
    <mergeCell ref="F115:H115"/>
    <mergeCell ref="F116:H116"/>
    <mergeCell ref="D12:D13"/>
    <mergeCell ref="E12:E13"/>
    <mergeCell ref="F12:H13"/>
    <mergeCell ref="I12:I13"/>
    <mergeCell ref="J12:J13"/>
    <mergeCell ref="K12:K13"/>
    <mergeCell ref="L12:N12"/>
    <mergeCell ref="O12:O13"/>
    <mergeCell ref="P12:P13"/>
    <mergeCell ref="F99:H99"/>
    <mergeCell ref="F100:H100"/>
    <mergeCell ref="F101:H101"/>
    <mergeCell ref="F92:H92"/>
    <mergeCell ref="F93:H93"/>
    <mergeCell ref="F96:H96"/>
    <mergeCell ref="F95:H95"/>
    <mergeCell ref="A4:U4"/>
    <mergeCell ref="A10:U10"/>
    <mergeCell ref="AY174:BF176"/>
    <mergeCell ref="BE126:BE127"/>
    <mergeCell ref="BE131:BE133"/>
    <mergeCell ref="BE134:BE135"/>
    <mergeCell ref="BF126:BF127"/>
    <mergeCell ref="BF131:BF133"/>
    <mergeCell ref="BF134:BF135"/>
    <mergeCell ref="A11:T11"/>
    <mergeCell ref="F107:H107"/>
    <mergeCell ref="F108:H108"/>
    <mergeCell ref="F109:H109"/>
    <mergeCell ref="F110:H110"/>
    <mergeCell ref="F111:H111"/>
    <mergeCell ref="F102:H102"/>
    <mergeCell ref="F103:H103"/>
    <mergeCell ref="F104:H104"/>
    <mergeCell ref="F105:H105"/>
    <mergeCell ref="F106:H106"/>
    <mergeCell ref="F81:H81"/>
    <mergeCell ref="F97:H97"/>
    <mergeCell ref="F98:H98"/>
    <mergeCell ref="F94:H94"/>
    <mergeCell ref="BG126:BG127"/>
    <mergeCell ref="BG131:BG133"/>
    <mergeCell ref="BG134:BG135"/>
    <mergeCell ref="AZ124:AZ127"/>
    <mergeCell ref="AZ128:AZ130"/>
    <mergeCell ref="AZ131:AZ133"/>
    <mergeCell ref="AZ134:AZ135"/>
    <mergeCell ref="F112:H112"/>
    <mergeCell ref="F113:H113"/>
    <mergeCell ref="F117:H117"/>
    <mergeCell ref="F118:H118"/>
    <mergeCell ref="F119:H119"/>
    <mergeCell ref="F120:H120"/>
    <mergeCell ref="F121:H121"/>
    <mergeCell ref="F122:H122"/>
    <mergeCell ref="F123:H123"/>
    <mergeCell ref="F124:H124"/>
    <mergeCell ref="F125:H125"/>
    <mergeCell ref="F126:H126"/>
    <mergeCell ref="F127:H127"/>
    <mergeCell ref="F128:H128"/>
    <mergeCell ref="F129:H129"/>
    <mergeCell ref="F130:H130"/>
    <mergeCell ref="F131:H131"/>
    <mergeCell ref="F91:H91"/>
    <mergeCell ref="F82:H82"/>
    <mergeCell ref="F83:H83"/>
    <mergeCell ref="F84:H84"/>
    <mergeCell ref="F85:H85"/>
    <mergeCell ref="F86:H86"/>
    <mergeCell ref="F87:H87"/>
    <mergeCell ref="F88:H88"/>
    <mergeCell ref="F89:H89"/>
    <mergeCell ref="F78:H78"/>
    <mergeCell ref="F79:H79"/>
    <mergeCell ref="F74:H74"/>
    <mergeCell ref="F75:H75"/>
    <mergeCell ref="F76:H76"/>
    <mergeCell ref="F72:H72"/>
    <mergeCell ref="F73:H73"/>
    <mergeCell ref="F80:H80"/>
    <mergeCell ref="F90:H90"/>
    <mergeCell ref="AX175:AX176"/>
    <mergeCell ref="F14:H14"/>
    <mergeCell ref="F15:H15"/>
    <mergeCell ref="F16:H16"/>
    <mergeCell ref="F17:H17"/>
    <mergeCell ref="F18:H18"/>
    <mergeCell ref="F19:H19"/>
    <mergeCell ref="F20:H20"/>
    <mergeCell ref="F21:H21"/>
    <mergeCell ref="F32:H32"/>
    <mergeCell ref="F33:H33"/>
    <mergeCell ref="F34:H34"/>
    <mergeCell ref="F52:H52"/>
    <mergeCell ref="F35:H35"/>
    <mergeCell ref="F36:H36"/>
    <mergeCell ref="F27:H27"/>
    <mergeCell ref="F43:H43"/>
    <mergeCell ref="F47:H47"/>
    <mergeCell ref="F44:H44"/>
    <mergeCell ref="F45:H45"/>
    <mergeCell ref="F46:H46"/>
    <mergeCell ref="F61:H61"/>
    <mergeCell ref="F53:H53"/>
    <mergeCell ref="F54:H54"/>
    <mergeCell ref="F58:H58"/>
    <mergeCell ref="F48:H48"/>
    <mergeCell ref="F49:H49"/>
    <mergeCell ref="F50:H50"/>
    <mergeCell ref="F51:H51"/>
    <mergeCell ref="G6:I6"/>
    <mergeCell ref="H7:I7"/>
    <mergeCell ref="H8:I8"/>
    <mergeCell ref="AW175:AW176"/>
    <mergeCell ref="F55:H55"/>
    <mergeCell ref="F56:H56"/>
    <mergeCell ref="F67:H67"/>
    <mergeCell ref="F68:H68"/>
    <mergeCell ref="F69:H69"/>
    <mergeCell ref="F70:H70"/>
    <mergeCell ref="F59:H59"/>
    <mergeCell ref="F60:H60"/>
    <mergeCell ref="F71:H71"/>
    <mergeCell ref="F62:H62"/>
    <mergeCell ref="F63:H63"/>
    <mergeCell ref="F64:H64"/>
    <mergeCell ref="F65:H65"/>
    <mergeCell ref="F66:H66"/>
    <mergeCell ref="F77:H77"/>
    <mergeCell ref="D1:V1"/>
    <mergeCell ref="BB126:BB127"/>
    <mergeCell ref="BB134:BB135"/>
    <mergeCell ref="BB131:BB133"/>
    <mergeCell ref="J6:O8"/>
    <mergeCell ref="AZ137:AZ140"/>
    <mergeCell ref="T2:U2"/>
    <mergeCell ref="A5:U5"/>
    <mergeCell ref="F22:H22"/>
    <mergeCell ref="F23:H23"/>
    <mergeCell ref="F24:H24"/>
    <mergeCell ref="F25:H25"/>
    <mergeCell ref="F26:H26"/>
    <mergeCell ref="F28:H28"/>
    <mergeCell ref="F29:H29"/>
    <mergeCell ref="F30:H30"/>
    <mergeCell ref="F31:H31"/>
    <mergeCell ref="F42:H42"/>
    <mergeCell ref="F37:H37"/>
    <mergeCell ref="F38:H38"/>
    <mergeCell ref="F39:H39"/>
    <mergeCell ref="F40:H40"/>
    <mergeCell ref="F41:H41"/>
    <mergeCell ref="F57:H57"/>
  </mergeCells>
  <phoneticPr fontId="1"/>
  <conditionalFormatting sqref="AP7">
    <cfRule type="containsText" dxfId="60" priority="17" operator="containsText" text="（補助対象員数）">
      <formula>NOT(ISERROR(SEARCH("（補助対象員数）",AP7)))</formula>
    </cfRule>
  </conditionalFormatting>
  <conditionalFormatting sqref="AO14:AO163">
    <cfRule type="containsText" dxfId="59" priority="16" operator="containsText" text="【不備の点】">
      <formula>NOT(ISERROR(SEARCH("【不備の点】",AO14)))</formula>
    </cfRule>
  </conditionalFormatting>
  <conditionalFormatting sqref="AN14:AN163">
    <cfRule type="containsText" dxfId="58" priority="15" operator="containsText" text="×">
      <formula>NOT(ISERROR(SEARCH("×",AN14)))</formula>
    </cfRule>
  </conditionalFormatting>
  <conditionalFormatting sqref="AP7:AS13">
    <cfRule type="containsText" dxfId="57" priority="13" operator="containsText" text="【未入力有】">
      <formula>NOT(ISERROR(SEARCH("【未入力有】",AP7)))</formula>
    </cfRule>
  </conditionalFormatting>
  <conditionalFormatting sqref="AV175:AW176">
    <cfRule type="containsText" dxfId="56" priority="12" operator="containsText" text="×">
      <formula>NOT(ISERROR(SEARCH("×",AV175)))</formula>
    </cfRule>
  </conditionalFormatting>
  <conditionalFormatting sqref="AX175:AX176">
    <cfRule type="containsText" dxfId="55" priority="11" operator="containsText" text="要修正">
      <formula>NOT(ISERROR(SEARCH("要修正",AX175)))</formula>
    </cfRule>
  </conditionalFormatting>
  <conditionalFormatting sqref="T2:U3">
    <cfRule type="containsText" dxfId="54" priority="10" operator="containsText" text="要修正">
      <formula>NOT(ISERROR(SEARCH("要修正",T2)))</formula>
    </cfRule>
  </conditionalFormatting>
  <conditionalFormatting sqref="E8">
    <cfRule type="containsText" dxfId="53" priority="6" operator="containsText" text="表示不可">
      <formula>NOT(ISERROR(SEARCH("表示不可",E8)))</formula>
    </cfRule>
  </conditionalFormatting>
  <conditionalFormatting sqref="E7">
    <cfRule type="containsText" dxfId="52" priority="5" operator="containsText" text="要修正">
      <formula>NOT(ISERROR(SEARCH("要修正",E7)))</formula>
    </cfRule>
  </conditionalFormatting>
  <conditionalFormatting sqref="U14:U163">
    <cfRule type="containsText" dxfId="51" priority="4" operator="containsText" text="&gt;">
      <formula>NOT(ISERROR(SEARCH("&gt;",U14)))</formula>
    </cfRule>
  </conditionalFormatting>
  <conditionalFormatting sqref="E6">
    <cfRule type="containsText" dxfId="50" priority="3" operator="containsText" text="要修正">
      <formula>NOT(ISERROR(SEARCH("要修正",E6)))</formula>
    </cfRule>
  </conditionalFormatting>
  <conditionalFormatting sqref="E6:E8">
    <cfRule type="cellIs" dxfId="49" priority="2" operator="equal">
      <formula>0</formula>
    </cfRule>
  </conditionalFormatting>
  <conditionalFormatting sqref="BG124:BG140">
    <cfRule type="cellIs" dxfId="48" priority="1" operator="lessThan">
      <formula>0</formula>
    </cfRule>
  </conditionalFormatting>
  <dataValidations xWindow="504" yWindow="428" count="12">
    <dataValidation type="list" allowBlank="1" showInputMessage="1" showErrorMessage="1" promptTitle="①「種類」欄はプルダウンリストから選択してください。" prompt="申請できる個人防護具の種類は、_x000a_マスク、ゴーグル、ガウン、グローブ、キャップ、フェイスシールド_x000a_です。" sqref="D16 D18:D163" xr:uid="{00000000-0002-0000-0800-000000000000}">
      <formula1>"マスク,ゴーグル,ガウン,グローブ,キャップ,フェイスシールド"</formula1>
    </dataValidation>
    <dataValidation allowBlank="1" showInputMessage="1" showErrorMessage="1" promptTitle="金額の表示" prompt="数式が入力されているため、自動計算されます。" sqref="P14:R163" xr:uid="{00000000-0002-0000-0800-000001000000}"/>
    <dataValidation allowBlank="1" showInputMessage="1" showErrorMessage="1" promptTitle="添付書類番号" prompt="種類、規格、数量、単価が全て適切に入力され、右の「判定」が「◎」と表示されると自動で番号が表示されます。" sqref="T14:U163" xr:uid="{00000000-0002-0000-0800-000002000000}"/>
    <dataValidation allowBlank="1" showInputMessage="1" showErrorMessage="1" promptTitle="単価の入力" prompt="税抜額または税込額のいずれかを入力してください。_x000a_入力しない方は「0」は入力せず、空欄としてください。" sqref="O14:O163" xr:uid="{00000000-0002-0000-0800-000003000000}"/>
    <dataValidation allowBlank="1" showInputMessage="1" showErrorMessage="1" promptTitle="品名の入力" prompt="購入予定である個人防護具の品名を入力してください。（型番のみの入力の場合、購入内容が不明のため修正を依頼させていただきますのでご注意ください。）" sqref="F14:H163" xr:uid="{00000000-0002-0000-0800-000008000000}"/>
    <dataValidation type="whole" operator="greaterThanOrEqual" allowBlank="1" showInputMessage="1" showErrorMessage="1" errorTitle="整数値を入力" error="単価に基づく箱単位に梱包の個数を入力してください。_x000a_数値のみ入力し、「枚」等の単位は入力しないでください。" promptTitle="購入単位あたりの内容量を入力" prompt="購入単位あたりの内容量（１箱50枚のマスクならば、「50」）を入力してください。" sqref="I14:I163" xr:uid="{EA78C738-BD62-4D91-9968-2086766EAF27}">
      <formula1>1</formula1>
    </dataValidation>
    <dataValidation type="whole" operator="greaterThanOrEqual" allowBlank="1" showInputMessage="1" showErrorMessage="1" errorTitle="整数値を入力" error="単価に基づく箱数の購入量を入力してください。_x000a_数値のみ入力し、「箱」等の単位は入力しないでください。" promptTitle="購入数量の入力" prompt="購入するセット数を入力してください。（１箱50枚入りのマスクを10箱買う場合は、「10」を入力）_x000a_数値のみ入力し、「箱」等の単位は入力しないでください。" sqref="J14:J163" xr:uid="{1F3062D0-0FBA-4F6D-942C-2E0E66BC4806}">
      <formula1>0</formula1>
    </dataValidation>
    <dataValidation type="decimal" operator="greaterThanOrEqual" allowBlank="1" showInputMessage="1" showErrorMessage="1" errorTitle="入力内容に誤りあり" error="数値のみを入力し、単位「円」は入力しないようにしてください。" promptTitle="税抜単価の入力" prompt="購入単価の税抜額を入力してください。_x000a_見積書の記載が税込額だけで、税抜額がわからない場合は上の算出欄をご利用ください。_x000a_入力しない方は「0」は入力せず、空欄としてください。" sqref="K14:K163" xr:uid="{E96E0CEC-9CA4-4CF8-B367-C4806F2F8243}">
      <formula1>-1000000</formula1>
    </dataValidation>
    <dataValidation type="list" allowBlank="1" showInputMessage="1" showErrorMessage="1" promptTitle="①「種類」欄はプルダウンリストから選択してください。" prompt="申請できる個人防護具の種類は、_x000a_マスク、ゴーグル、ガウン、グローブ、キャップ、フェイスシールド_x000a_です。" sqref="E14:E163" xr:uid="{61FEE317-9A63-4064-B5BC-AD27CBF56CD6}">
      <formula1>INDIRECT(D14)</formula1>
    </dataValidation>
    <dataValidation type="list" operator="greaterThanOrEqual" allowBlank="1" showInputMessage="1" showErrorMessage="1" errorTitle="入力内容に誤りあり" error="補助対象期間の令和の年数を入力してください。" sqref="L14:L163" xr:uid="{61DA5937-E1B9-4417-A98D-6624C7E51E78}">
      <formula1>$AG$12:$AG$13</formula1>
    </dataValidation>
    <dataValidation type="list" operator="greaterThanOrEqual" allowBlank="1" showInputMessage="1" showErrorMessage="1" errorTitle="入力内容に誤りあり" error="補助対象期間の月の数を入力してください。" sqref="M14:M163" xr:uid="{3EFBEB8F-A3EF-4984-8318-DDF2BABCA4FC}">
      <formula1>$AH$12:$AH$17</formula1>
    </dataValidation>
    <dataValidation type="whole" allowBlank="1" showInputMessage="1" showErrorMessage="1" errorTitle="入力内容に誤りあり" error="1から31までの数字を入力してください。" sqref="N14:N163" xr:uid="{B1FF4BB0-0D80-4824-97D6-07DE57A4C87E}">
      <formula1>1</formula1>
      <formula2>31</formula2>
    </dataValidation>
  </dataValidations>
  <printOptions horizontalCentered="1"/>
  <pageMargins left="0.59055118110236227" right="0.39370078740157483" top="0.39370078740157483" bottom="0.39370078740157483" header="0.31496062992125984" footer="0.31496062992125984"/>
  <pageSetup paperSize="9" scale="43" fitToHeight="0" orientation="portrait" r:id="rId1"/>
  <drawing r:id="rId2"/>
  <legacyDrawing r:id="rId3"/>
  <extLst>
    <ext xmlns:x14="http://schemas.microsoft.com/office/spreadsheetml/2009/9/main" uri="{CCE6A557-97BC-4b89-ADB6-D9C93CAAB3DF}">
      <x14:dataValidations xmlns:xm="http://schemas.microsoft.com/office/excel/2006/main" xWindow="504" yWindow="428" count="1">
        <x14:dataValidation type="list" allowBlank="1" showInputMessage="1" showErrorMessage="1" promptTitle="①「種類」欄はプルダウンリストから選択してください。" prompt="申請できる個人防護具の種類は、_x000a_マスク、ゴーグル、ガウン、グローブ、キャップ、フェイスシールド_x000a_です。" xr:uid="{E41D00A9-F722-42B1-9992-DF4D58DA9ED2}">
          <x14:formula1>
            <xm:f>テーブル!$G$8:$L$8</xm:f>
          </x14:formula1>
          <xm:sqref>D14:D15 D17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CD08C-A407-44D3-B688-F805D06F03EE}">
  <sheetPr>
    <tabColor rgb="FFFFC000"/>
    <pageSetUpPr fitToPage="1"/>
  </sheetPr>
  <dimension ref="A1:BB123"/>
  <sheetViews>
    <sheetView showGridLines="0" view="pageBreakPreview" zoomScale="80" zoomScaleNormal="100" zoomScaleSheetLayoutView="80" workbookViewId="0">
      <selection activeCell="AO117" sqref="AO117"/>
    </sheetView>
  </sheetViews>
  <sheetFormatPr defaultColWidth="9" defaultRowHeight="20.100000000000001" customHeight="1" x14ac:dyDescent="0.4"/>
  <cols>
    <col min="1" max="1" width="3.625" style="277" customWidth="1"/>
    <col min="2" max="2" width="30.625" style="545" hidden="1" customWidth="1"/>
    <col min="3" max="3" width="10.625" style="573" hidden="1" customWidth="1"/>
    <col min="4" max="4" width="25.625" style="129" customWidth="1"/>
    <col min="5" max="5" width="12.625" style="129" customWidth="1"/>
    <col min="6" max="6" width="10.625" style="129" customWidth="1"/>
    <col min="7" max="7" width="10.625" style="130" customWidth="1"/>
    <col min="8" max="9" width="8.625" style="548" customWidth="1"/>
    <col min="10" max="10" width="8.625" style="53" customWidth="1"/>
    <col min="11" max="11" width="11.625" style="53" customWidth="1"/>
    <col min="12" max="14" width="3.625" style="53" customWidth="1"/>
    <col min="15" max="16" width="12.625" style="53" customWidth="1"/>
    <col min="17" max="17" width="9" style="53"/>
    <col min="18" max="18" width="15.625" style="53" customWidth="1"/>
    <col min="19" max="19" width="2.625" style="53" customWidth="1"/>
    <col min="20" max="21" width="30.625" style="53" customWidth="1"/>
    <col min="22" max="22" width="40.625" style="53" customWidth="1"/>
    <col min="23" max="24" width="30.625" style="53" hidden="1" customWidth="1"/>
    <col min="25" max="28" width="12.625" style="53" hidden="1" customWidth="1"/>
    <col min="29" max="31" width="9" style="53"/>
    <col min="32" max="34" width="15.625" style="53" customWidth="1"/>
    <col min="35" max="35" width="3.625" style="444" customWidth="1"/>
    <col min="36" max="36" width="9" style="277"/>
    <col min="37" max="37" width="9" style="53"/>
    <col min="38" max="38" width="50.625" style="53" customWidth="1"/>
    <col min="39" max="39" width="9" style="53"/>
    <col min="40" max="40" width="9" style="562"/>
    <col min="41" max="43" width="9" style="53"/>
    <col min="44" max="44" width="60.625" style="53" customWidth="1"/>
    <col min="45" max="45" width="9.875" style="53" bestFit="1" customWidth="1"/>
    <col min="46" max="46" width="9" style="53"/>
    <col min="47" max="47" width="9" style="53" customWidth="1"/>
    <col min="48" max="48" width="9" style="53"/>
    <col min="49" max="49" width="10.625" style="277" customWidth="1"/>
    <col min="50" max="50" width="10.625" style="653" customWidth="1"/>
    <col min="51" max="53" width="15.625" style="53" customWidth="1"/>
    <col min="54" max="56" width="10.625" style="53" customWidth="1"/>
    <col min="57" max="16384" width="9" style="53"/>
  </cols>
  <sheetData>
    <row r="1" spans="1:54" ht="30" customHeight="1" x14ac:dyDescent="0.4">
      <c r="D1" s="1664" t="str">
        <f>額内訳書!C1</f>
        <v>　（10月１日～３月31日分）</v>
      </c>
      <c r="E1" s="1584"/>
      <c r="F1" s="1584"/>
      <c r="G1" s="1584"/>
      <c r="H1" s="1584"/>
      <c r="I1" s="1584"/>
      <c r="J1" s="1584"/>
      <c r="K1" s="1584"/>
      <c r="L1" s="1584"/>
      <c r="M1" s="1584"/>
      <c r="N1" s="1584"/>
      <c r="O1" s="1584"/>
      <c r="P1" s="1584"/>
      <c r="Q1" s="1584"/>
      <c r="R1" s="1584"/>
      <c r="S1" s="1584"/>
    </row>
    <row r="2" spans="1:54" ht="20.100000000000001" customHeight="1" x14ac:dyDescent="0.4">
      <c r="D2" s="5" t="s">
        <v>1373</v>
      </c>
      <c r="E2" s="132"/>
      <c r="F2" s="132"/>
      <c r="P2" s="276" t="s">
        <v>26</v>
      </c>
      <c r="Q2" s="1614">
        <f xml:space="preserve">
IF(AT119="○",0,
IF(AT119="◎",SUM(P14:P113),
IF(AT119="×",0)))</f>
        <v>0</v>
      </c>
      <c r="R2" s="1615"/>
    </row>
    <row r="3" spans="1:54" ht="20.100000000000001" customHeight="1" x14ac:dyDescent="0.4">
      <c r="D3" s="132"/>
      <c r="E3" s="132"/>
      <c r="F3" s="132"/>
      <c r="J3" s="56"/>
      <c r="P3" s="1681" t="s">
        <v>1059</v>
      </c>
      <c r="Q3" s="1682"/>
      <c r="R3" s="1682"/>
      <c r="S3" s="1544"/>
    </row>
    <row r="4" spans="1:54" ht="24.95" customHeight="1" x14ac:dyDescent="0.4">
      <c r="A4" s="1638" t="s">
        <v>150</v>
      </c>
      <c r="B4" s="1638"/>
      <c r="C4" s="1638"/>
      <c r="D4" s="947"/>
      <c r="E4" s="947"/>
      <c r="F4" s="947"/>
      <c r="G4" s="947"/>
      <c r="H4" s="947"/>
      <c r="I4" s="947"/>
      <c r="J4" s="947"/>
      <c r="K4" s="947"/>
      <c r="L4" s="947"/>
      <c r="M4" s="947"/>
      <c r="N4" s="947"/>
      <c r="O4" s="947"/>
      <c r="P4" s="947"/>
      <c r="Q4" s="947"/>
      <c r="R4" s="947"/>
      <c r="S4" s="947"/>
    </row>
    <row r="5" spans="1:54" ht="35.1" customHeight="1" x14ac:dyDescent="0.4">
      <c r="A5" s="1616" t="s">
        <v>1052</v>
      </c>
      <c r="B5" s="1616"/>
      <c r="C5" s="1616"/>
      <c r="D5" s="1617"/>
      <c r="E5" s="1617"/>
      <c r="F5" s="1617"/>
      <c r="G5" s="1617"/>
      <c r="H5" s="1617"/>
      <c r="I5" s="1617"/>
      <c r="J5" s="1617"/>
      <c r="K5" s="1617"/>
      <c r="L5" s="1617"/>
      <c r="M5" s="1617"/>
      <c r="N5" s="1617"/>
      <c r="O5" s="1617"/>
      <c r="P5" s="1617"/>
      <c r="Q5" s="1617"/>
      <c r="R5" s="1617"/>
    </row>
    <row r="6" spans="1:54" ht="20.100000000000001" customHeight="1" x14ac:dyDescent="0.4">
      <c r="A6" s="276">
        <v>1</v>
      </c>
      <c r="B6" s="542"/>
      <c r="C6" s="572"/>
      <c r="D6" s="94" t="s">
        <v>1215</v>
      </c>
      <c r="E6" s="599">
        <f xml:space="preserve">
IF(テーブル!$B$3="交付申請",基礎情報!AQ50,
IF(テーブル!$B$3="交付申請（２次）",0,
IF(テーブル!$B$3="変更申請",0,
IF(テーブル!$B$3="実績報告（１次）",基礎情報!AQ50,
IF(テーブル!$B$3="交付申請兼実績報告（２次）",0,
IF(テーブル!$B$3="実績報告（２次）",0))))))</f>
        <v>0</v>
      </c>
      <c r="F6" s="239" t="str">
        <f>IF(E6="「基礎情報」要修正","×","○")</f>
        <v>○</v>
      </c>
      <c r="G6" s="1670" t="s">
        <v>226</v>
      </c>
      <c r="H6" s="1671"/>
      <c r="I6" s="1672"/>
      <c r="L6" s="543"/>
      <c r="M6" s="543"/>
      <c r="N6" s="543"/>
      <c r="O6" s="421"/>
      <c r="P6" s="421"/>
      <c r="Q6" s="421"/>
      <c r="R6" s="421"/>
      <c r="AM6" s="56"/>
      <c r="AN6" s="563"/>
      <c r="AO6" s="56"/>
      <c r="AP6" s="56"/>
    </row>
    <row r="7" spans="1:54" ht="20.100000000000001" customHeight="1" x14ac:dyDescent="0.4">
      <c r="A7" s="276">
        <v>2</v>
      </c>
      <c r="B7" s="542"/>
      <c r="C7" s="572"/>
      <c r="D7" s="94" t="s">
        <v>1366</v>
      </c>
      <c r="E7" s="140">
        <v>400</v>
      </c>
      <c r="F7" s="239" t="str">
        <f>IF(E7="「基礎情報」要修正","×","○")</f>
        <v>○</v>
      </c>
      <c r="G7" s="278" t="s">
        <v>227</v>
      </c>
      <c r="H7" s="1677"/>
      <c r="I7" s="1678"/>
      <c r="J7" s="1641"/>
      <c r="K7" s="1516"/>
      <c r="L7" s="1516"/>
      <c r="M7" s="1516"/>
      <c r="N7" s="1516"/>
      <c r="P7" s="549"/>
      <c r="Q7" s="549"/>
      <c r="R7" s="544"/>
      <c r="AM7" s="133"/>
      <c r="AN7" s="564"/>
      <c r="AO7" s="133"/>
      <c r="AP7" s="133"/>
    </row>
    <row r="8" spans="1:54" ht="20.100000000000001" customHeight="1" x14ac:dyDescent="0.4">
      <c r="A8" s="276">
        <v>3</v>
      </c>
      <c r="B8" s="542"/>
      <c r="C8" s="572"/>
      <c r="D8" s="134" t="s">
        <v>1050</v>
      </c>
      <c r="E8" s="240">
        <f xml:space="preserve">
IF(COUNTIF(F6:F7,"○")=2,ROUNDDOWN(E6*E7,-3),
IF(COUNTIF(F6:F7,"○")&lt;&gt;2,"表示不可"))</f>
        <v>0</v>
      </c>
      <c r="G8" s="278" t="s">
        <v>228</v>
      </c>
      <c r="H8" s="1679">
        <f>ROUNDUP(H7/1.1,2)</f>
        <v>0</v>
      </c>
      <c r="I8" s="1680"/>
      <c r="J8" s="1673"/>
      <c r="K8" s="1516"/>
      <c r="L8" s="1516"/>
      <c r="M8" s="1516"/>
      <c r="N8" s="1516"/>
      <c r="O8" s="559"/>
      <c r="P8" s="549"/>
      <c r="Q8" s="549"/>
      <c r="R8" s="544"/>
      <c r="Y8" s="26"/>
      <c r="Z8" s="26"/>
      <c r="AA8" s="26"/>
      <c r="AB8" s="26"/>
      <c r="AM8" s="133"/>
      <c r="AN8" s="564"/>
      <c r="AO8" s="133"/>
      <c r="AP8" s="133"/>
    </row>
    <row r="9" spans="1:54" ht="20.100000000000001" customHeight="1" x14ac:dyDescent="0.4">
      <c r="A9" s="1683" t="s">
        <v>1367</v>
      </c>
      <c r="B9" s="1683"/>
      <c r="C9" s="1683"/>
      <c r="D9" s="1684"/>
      <c r="E9" s="1684"/>
      <c r="F9" s="1684"/>
      <c r="G9" s="229" t="s">
        <v>229</v>
      </c>
      <c r="H9" s="229"/>
      <c r="I9" s="229"/>
      <c r="J9" s="448"/>
      <c r="Y9" s="26"/>
      <c r="Z9" s="26"/>
      <c r="AA9" s="26"/>
      <c r="AB9" s="26"/>
      <c r="AM9" s="133"/>
      <c r="AN9" s="564"/>
      <c r="AO9" s="133"/>
      <c r="AP9" s="133"/>
    </row>
    <row r="10" spans="1:54" ht="24.95" customHeight="1" x14ac:dyDescent="0.4">
      <c r="A10" s="1639" t="s">
        <v>1063</v>
      </c>
      <c r="B10" s="1639"/>
      <c r="C10" s="1639"/>
      <c r="D10" s="1640"/>
      <c r="E10" s="947"/>
      <c r="F10" s="947"/>
      <c r="G10" s="947"/>
      <c r="H10" s="947"/>
      <c r="I10" s="947"/>
      <c r="J10" s="947"/>
      <c r="K10" s="947"/>
      <c r="L10" s="947"/>
      <c r="M10" s="947"/>
      <c r="N10" s="947"/>
      <c r="O10" s="947"/>
      <c r="P10" s="947"/>
      <c r="Q10" s="947"/>
      <c r="R10" s="947"/>
      <c r="S10" s="947"/>
      <c r="Y10" s="26"/>
      <c r="Z10" s="26"/>
      <c r="AA10" s="26"/>
      <c r="AB10" s="26"/>
      <c r="AM10" s="56"/>
      <c r="AN10" s="563"/>
      <c r="AO10" s="56"/>
      <c r="AP10" s="56"/>
      <c r="AV10" s="26"/>
      <c r="AY10" s="421"/>
      <c r="AZ10" s="421"/>
      <c r="BA10" s="421"/>
      <c r="BB10" s="421"/>
    </row>
    <row r="11" spans="1:54" ht="170.1" customHeight="1" x14ac:dyDescent="0.4">
      <c r="A11" s="1552" t="str">
        <f xml:space="preserve">
IF(テーブル!B3="交付申請",
"【注意１】！！発注書、見積書、カタログ等の提出は不要です。！！"&amp;CHAR(10)&amp;
"【注意２】実績報告の際、経費発生の事実が判る書類（納品書、請求書等）のご提出が必要となりますのでご注意ください。"&amp;CHAR(10)&amp;
"【注意３】人件費または委託料を計上の際、必要と認める場合は作業実績が確認できる資料（業務日報等）のご提出をお願いする場合があります。（ご提出いただけない等、公費補助の妥当性が判断できず補助交付できかねることとなりますのであらかじめご了承ください。）"&amp;CHAR(10)&amp;
"【注意４】補助対象のとなる数量は、１日あたり平均使用量（都度実施毎の使用量×実施回数/患者総数、不定期実施毎の使用量×実施回数/診療日数の和に月毎の平均患者数を乗じたもの）を日々の購入在庫数量から賄った際の使用量の合計とします。"&amp;CHAR(10)&amp;
"【注意５】実績報告の際は、必ず納品書の日付毎に入力し、複数日の納品分を一括で記載しないようにしてください。",
IF(テーブル!B3="交付申請（２次）","",
IF(OR(テーブル!B3="変更申請"),"",
IF(テーブル!B3="実績報告（１次）",
"【注意１】！！購入の具体的内容及び経費発生の事実がわかる書類（納品書、領収書等）の提出が必要です。！！"&amp;CHAR(10)&amp;
"【注意２】記載にあたっては納品書、領収書等に記載の金額と一致するようにしてください。"&amp;CHAR(10)&amp;
"【注意３】各行の右に表示の「添付資料番号」は資料中、該当の記述箇所に番号を付記してください。"&amp;CHAR(10)&amp;
"【注意４】人件費または委託料を計上の際、必要と認める場合は作業実績が確認できる資料（業務日報等）のご提出をお願いする場合があります。（ご提出いただけない等、公費補助の妥当性が判断できず補助交付できかねることとなりますのであらかじめご了承ください。）"&amp;CHAR(10)&amp;
"【注意５】補助対象のとなる数量は、１日あたり平均使用量（都度実施毎の使用量×実施回数/患者総数、不定期実施毎の使用量×実施回数/診療日数の和に月毎の平均患者数を乗じたもの）を日々の購入在庫数量から賄った際の使用量の合計とします。"&amp;CHAR(10)&amp;
"【注意６】この度の報告で院内感染防止に直接の必要性が認められないと新たに判明した場合、補助目的に親和しないことから補助対象外とさせていただく場合があります。"&amp;CHAR(10)&amp;
"【注意７】必ず納品書の日付毎に入力し、複数日の納品分を一括で記載しないようにしてください。",
IF(テーブル!B3="交付申請兼実績報告（２次）","10月以降は国の要綱改正により事業廃止されたため申請することはできません。",
IF(テーブル!B3="実績報告（２次）","""10月以降は国の要綱改正により事業廃止されたため申請することはできません。"))))))</f>
        <v/>
      </c>
      <c r="B11" s="1685"/>
      <c r="C11" s="1685"/>
      <c r="D11" s="1685"/>
      <c r="E11" s="1685"/>
      <c r="F11" s="1685"/>
      <c r="G11" s="1685"/>
      <c r="H11" s="1685"/>
      <c r="I11" s="1685"/>
      <c r="J11" s="1685"/>
      <c r="K11" s="1685"/>
      <c r="L11" s="1685"/>
      <c r="M11" s="1685"/>
      <c r="N11" s="1685"/>
      <c r="O11" s="1685"/>
      <c r="P11" s="1685"/>
      <c r="Q11" s="1685"/>
      <c r="R11" s="1685"/>
      <c r="Y11" s="26"/>
      <c r="Z11" s="26"/>
      <c r="AA11" s="26"/>
      <c r="AB11" s="26"/>
      <c r="AM11" s="56"/>
      <c r="AN11" s="563"/>
      <c r="AO11" s="56"/>
      <c r="AP11" s="56"/>
      <c r="AV11" s="26"/>
      <c r="AY11" s="421"/>
      <c r="AZ11" s="421"/>
      <c r="BA11" s="421"/>
      <c r="BB11" s="421"/>
    </row>
    <row r="12" spans="1:54" ht="18.75" x14ac:dyDescent="0.4">
      <c r="D12" s="1652" t="s">
        <v>999</v>
      </c>
      <c r="E12" s="1654" t="s">
        <v>1053</v>
      </c>
      <c r="F12" s="1655"/>
      <c r="G12" s="1656"/>
      <c r="H12" s="1652" t="s">
        <v>1284</v>
      </c>
      <c r="I12" s="1652" t="s">
        <v>1285</v>
      </c>
      <c r="J12" s="1652" t="s">
        <v>24</v>
      </c>
      <c r="K12" s="1652" t="s">
        <v>70</v>
      </c>
      <c r="L12" s="1660" t="str">
        <f xml:space="preserve">
IF(テーブル!B3="交付申請","納品予定日",
IF(テーブル!B3="変更申請","納品予定日",
IF(テーブル!B3="実績報告（１次）","納品日",
IF(テーブル!B3="交付申請（２次）","納品予定日",
IF(テーブル!B3="交付申請兼実績報告（２次）","納品日",
IF(テーブル!B3="実績報告（２次）","納品日"))))))</f>
        <v>納品予定日</v>
      </c>
      <c r="M12" s="1661"/>
      <c r="N12" s="1662"/>
      <c r="O12" s="1652" t="s">
        <v>71</v>
      </c>
      <c r="P12" s="1652" t="s">
        <v>72</v>
      </c>
      <c r="Q12" s="1652" t="s">
        <v>25</v>
      </c>
      <c r="R12" s="1652" t="s">
        <v>250</v>
      </c>
      <c r="AJ12" s="1663" t="s">
        <v>99</v>
      </c>
      <c r="AK12" s="1663" t="s">
        <v>66</v>
      </c>
      <c r="AL12" s="1663" t="s">
        <v>73</v>
      </c>
      <c r="AM12" s="201"/>
      <c r="AN12" s="1668" t="s">
        <v>24</v>
      </c>
      <c r="AO12" s="56"/>
      <c r="AP12" s="56"/>
      <c r="AV12" s="26"/>
      <c r="AY12" s="421"/>
      <c r="AZ12" s="421"/>
      <c r="BA12" s="421"/>
      <c r="BB12" s="421"/>
    </row>
    <row r="13" spans="1:54" ht="18" x14ac:dyDescent="0.4">
      <c r="A13" s="545"/>
      <c r="D13" s="1653"/>
      <c r="E13" s="1657"/>
      <c r="F13" s="1658"/>
      <c r="G13" s="1659"/>
      <c r="H13" s="1653"/>
      <c r="I13" s="1653"/>
      <c r="J13" s="1653"/>
      <c r="K13" s="1653"/>
      <c r="L13" s="224" t="s">
        <v>1281</v>
      </c>
      <c r="M13" s="224" t="s">
        <v>1282</v>
      </c>
      <c r="N13" s="224" t="s">
        <v>1283</v>
      </c>
      <c r="O13" s="1653"/>
      <c r="P13" s="1653"/>
      <c r="Q13" s="1653"/>
      <c r="R13" s="1653"/>
      <c r="AD13" s="53">
        <v>13</v>
      </c>
      <c r="AE13" s="53" t="s">
        <v>1288</v>
      </c>
      <c r="AJ13" s="1518"/>
      <c r="AK13" s="1518"/>
      <c r="AL13" s="1518"/>
      <c r="AM13" s="56"/>
      <c r="AN13" s="1669"/>
      <c r="AO13" s="56"/>
      <c r="AP13" s="56"/>
      <c r="AV13" s="26"/>
      <c r="AW13" s="545"/>
      <c r="AY13" s="547"/>
      <c r="AZ13" s="547"/>
      <c r="BA13" s="547"/>
      <c r="BB13" s="547"/>
    </row>
    <row r="14" spans="1:54" ht="20.100000000000001" customHeight="1" x14ac:dyDescent="0.4">
      <c r="A14" s="226">
        <v>1</v>
      </c>
      <c r="B14" s="546" t="str">
        <f>IFERROR(DATE(IF(L14=5,2023,IF(L14=6,2024)),M14,N14)&amp;D14,"")</f>
        <v/>
      </c>
      <c r="C14" s="581" t="str">
        <f>IFERROR(DATE(IF(L14=5,2023,IF(L14=6,2024)),M14,N14),"")</f>
        <v/>
      </c>
      <c r="D14" s="656"/>
      <c r="E14" s="1674"/>
      <c r="F14" s="1675"/>
      <c r="G14" s="1676"/>
      <c r="H14" s="657"/>
      <c r="I14" s="658"/>
      <c r="J14" s="659"/>
      <c r="K14" s="660"/>
      <c r="L14" s="661"/>
      <c r="M14" s="661"/>
      <c r="N14" s="661"/>
      <c r="O14" s="662">
        <f t="shared" ref="O14" si="0">ROUNDDOWN(K14*1.1,0)</f>
        <v>0</v>
      </c>
      <c r="P14" s="141">
        <f t="shared" ref="P14" si="1" xml:space="preserve">
IF(AK14&lt;&gt;"◎",0,
IF(OR(D14=$AE$13,D14=$AE$22),0,
IF(AND(D14&lt;&gt;$AE$13,D14&lt;&gt;$AE$22),ROUNDDOWN(J14*O14,0))))</f>
        <v>0</v>
      </c>
      <c r="Q14" s="663" t="str">
        <f xml:space="preserve">
IF(AND(AK14="◎",OR(テーブル!$B$3="交付申請",テーブル!$B$3="交付申請（２次以降）",テーブル!$B$3="変更申請")),"－",
IF(AND(AK14&lt;&gt;"◎",OR(テーブル!$B$3="交付申請",テーブル!$B$3="交付申請（２次以降）",テーブル!$B$3="変更申請")),"",
IF(AND(OR(テーブル!$B$3="実績報告",テーブル!$B$3="交付申請兼実績報告"),AK14="◎"),COUNTIF($AK$14:AK14,"◎"),"")))</f>
        <v/>
      </c>
      <c r="R14" s="663" t="str">
        <f xml:space="preserve">
IF(D14=$AE$13,"手指消毒用",
IF(D14=$AE$14,"希釈倍率が判る資料",
IF(D14=$AE$20,"重複計上の有無",
IF(D14=$AE$21,"契約書、実績書類",""
))))</f>
        <v/>
      </c>
      <c r="AD14" s="53">
        <v>14</v>
      </c>
      <c r="AE14" s="53" t="s">
        <v>1274</v>
      </c>
      <c r="AI14" s="444" t="s">
        <v>68</v>
      </c>
      <c r="AJ14" s="450">
        <v>1</v>
      </c>
      <c r="AK14" s="542" t="str">
        <f xml:space="preserve">
IF(COUNTA(D14:N14)=0,"○",
IF(COUNTA(D14)=0,"×",
IF(AND(D14=$AE$14,COUNTA(E14:N14)&gt;=0,COUNTA(E14:N14)&lt;8),"×",
IF(AND(D14=$AE$14,COUNTA(E14:N14)=8),"◎",
IF(AND(D14&lt;&gt;$AE$14,SUM(COUNTA(E14:H14),COUNTA(J14:N14))&gt;=0,SUM(COUNTA(E14:H14),COUNTA(J14:N14))&lt;7),"×",
IF(AND(D14&lt;&gt;$AE$14,SUM(COUNTA(E14:H14),COUNTA(J14:N14))=7),"◎"))))))</f>
        <v>○</v>
      </c>
      <c r="AL14" s="451" t="str">
        <f xml:space="preserve">
IF(COUNTA(D14:N14)=0,"申請しない場合は入力不要です。",
IF(COUNTA(D14)=0,"【要修正】はじめに、「大区分」を選択してください。",
IF(AND(D14=$AE$14,COUNTA(E14:N14)&gt;=0,COUNTA(E14:N14)&lt;8),"【要修正】未入力の箇所があります。",
IF(AND(D14=$AE$14,COUNTA(E14:N14)=8),"適切に入力がされました。",
IF(AND(D14&lt;&gt;$AE$14,SUM(COUNTA(E14:H14),COUNTA(J14:N14))&gt;=0,SUM(COUNTA(E14:H14),COUNTA(J14:N14))&lt;7),"【要修正】未入力の箇所があります。（希釈倍率は入力不要）",
IF(AND(D14&lt;&gt;$AE$14,SUM(COUNTA(E14:H14),COUNTA(J14:N14))=7),"適切に入力がされました。"))))))</f>
        <v>申請しない場合は入力不要です。</v>
      </c>
      <c r="AN14" s="565" t="str">
        <f xml:space="preserve">
IF(AK14&lt;&gt;"◎","",
IF(OR(D14=$AE$13,D14=$AE$18,D14=$AE$19,D14=$AE$20,D14=$AE$21,D14=$AE$22),"",
IF(D14=$AE$14,H14*I14*J14,
IF(OR(D14=$AE$15,D14=$AE$16,D14=$AE$17),H14*J14
))))</f>
        <v/>
      </c>
    </row>
    <row r="15" spans="1:54" ht="20.100000000000001" customHeight="1" x14ac:dyDescent="0.4">
      <c r="A15" s="226">
        <v>2</v>
      </c>
      <c r="B15" s="546" t="str">
        <f>IFERROR(DATE(IF(L15=5,2023,IF(L15=6,2024)),M15,N15)&amp;IF(OR(D15="消耗品（消毒液・希釈使用）",D15="消耗品（消毒液・希釈なし）"),"消耗品（消毒液）",D15),"")</f>
        <v>45047消耗品（消毒液）</v>
      </c>
      <c r="C15" s="581">
        <f t="shared" ref="C15:C78" si="2">IFERROR(DATE(IF(L15=5,2023,IF(L15=6,2024)),M15,N15),"")</f>
        <v>45047</v>
      </c>
      <c r="D15" s="567" t="s">
        <v>1274</v>
      </c>
      <c r="E15" s="1618">
        <v>1</v>
      </c>
      <c r="F15" s="1619"/>
      <c r="G15" s="1620"/>
      <c r="H15" s="566">
        <v>100</v>
      </c>
      <c r="I15" s="560">
        <v>10</v>
      </c>
      <c r="J15" s="561">
        <v>1</v>
      </c>
      <c r="K15" s="225">
        <v>11000</v>
      </c>
      <c r="L15" s="530">
        <v>5</v>
      </c>
      <c r="M15" s="530">
        <v>5</v>
      </c>
      <c r="N15" s="530">
        <v>1</v>
      </c>
      <c r="O15" s="140">
        <f t="shared" ref="O15:O78" si="3">ROUNDDOWN(K15*1.1,0)</f>
        <v>12100</v>
      </c>
      <c r="P15" s="141">
        <f t="shared" ref="P15:P24" si="4" xml:space="preserve">
IF(AK15&lt;&gt;"◎",0,
IF(OR(D15=$AE$13,D15=$AE$22),0,
IF(AND(D15&lt;&gt;$AE$13,D15&lt;&gt;$AE$22),ROUNDDOWN(J15*O15,0))))</f>
        <v>12100</v>
      </c>
      <c r="Q15" s="142" t="str">
        <f xml:space="preserve">
IF(AND(AK15="◎",OR(テーブル!$B$3="交付申請",テーブル!$B$3="交付申請（２次以降）",テーブル!$B$3="変更申請")),"－",
IF(AND(AK15&lt;&gt;"◎",OR(テーブル!$B$3="交付申請",テーブル!$B$3="交付申請（２次以降）",テーブル!$B$3="変更申請")),"",
IF(AND(OR(テーブル!$B$3="実績報告",テーブル!$B$3="交付申請兼実績報告"),AK15="◎"),COUNTIF($AK$14:AK15,"◎"),"")))</f>
        <v/>
      </c>
      <c r="R15" s="142" t="str">
        <f xml:space="preserve">
IF(D15=$AE$13,"手指消毒用",
IF(D15=$AE$14,"希釈倍率が判る資料",
IF(D15=$AE$20,"重複計上の有無",
IF(D15=$AE$21,"契約書、実績書類",""
))))</f>
        <v>希釈倍率が判る資料</v>
      </c>
      <c r="AD15" s="53">
        <v>15</v>
      </c>
      <c r="AE15" s="53" t="s">
        <v>1275</v>
      </c>
      <c r="AI15" s="444" t="s">
        <v>68</v>
      </c>
      <c r="AJ15" s="450">
        <v>2</v>
      </c>
      <c r="AK15" s="542" t="str">
        <f t="shared" ref="AK15:AK78" si="5" xml:space="preserve">
IF(COUNTA(D15:N15)=0,"○",
IF(COUNTA(D15)=0,"×",
IF(AND(D15=$AE$14,COUNTA(E15:N15)&gt;=0,COUNTA(E15:N15)&lt;8),"×",
IF(AND(D15=$AE$14,COUNTA(E15:N15)=8),"◎",
IF(AND(D15&lt;&gt;$AE$14,SUM(COUNTA(E15:H15),COUNTA(J15:N15))&gt;=0,SUM(COUNTA(E15:H15),COUNTA(J15:N15))&lt;7),"×",
IF(AND(D15&lt;&gt;$AE$14,SUM(COUNTA(E15:H15),COUNTA(J15:N15))=7),"◎"))))))</f>
        <v>◎</v>
      </c>
      <c r="AL15" s="451" t="str">
        <f t="shared" ref="AL15:AL78" si="6" xml:space="preserve">
IF(COUNTA(D15:N15)=0,"申請しない場合は入力不要です。",
IF(COUNTA(D15)=0,"【要修正】はじめに、「大区分」を選択してください。",
IF(AND(D15=$AE$14,COUNTA(E15:N15)&gt;=0,COUNTA(E15:N15)&lt;8),"【要修正】未入力の箇所があります。",
IF(AND(D15=$AE$14,COUNTA(E15:N15)=8),"適切に入力がされました。",
IF(AND(D15&lt;&gt;$AE$14,SUM(COUNTA(E15:H15),COUNTA(J15:N15))&gt;=0,SUM(COUNTA(E15:H15),COUNTA(J15:N15))&lt;7),"【要修正】未入力の箇所があります。（希釈倍率は入力不要）",
IF(AND(D15&lt;&gt;$AE$14,SUM(COUNTA(E15:H15),COUNTA(J15:N15))=7),"適切に入力がされました。"))))))</f>
        <v>適切に入力がされました。</v>
      </c>
      <c r="AN15" s="565">
        <f t="shared" ref="AN15:AN78" si="7" xml:space="preserve">
IF(AK15&lt;&gt;"◎","",
IF(OR(D15=$AE$13,D15=$AE$18,D15=$AE$19,D15=$AE$20,D15=$AE$21,D15=$AE$22),"",
IF(D15=$AE$14,H15*I15*J15,
IF(OR(D15=$AE$15,D15=$AE$16,D15=$AE$17),H15*J15
))))</f>
        <v>1000</v>
      </c>
    </row>
    <row r="16" spans="1:54" ht="20.100000000000001" customHeight="1" x14ac:dyDescent="0.4">
      <c r="A16" s="226">
        <v>3</v>
      </c>
      <c r="B16" s="593" t="str">
        <f t="shared" ref="B16:B79" si="8">IFERROR(DATE(IF(L16=5,2023,IF(L16=6,2024)),M16,N16)&amp;IF(OR(D16="消耗品（消毒液・希釈使用）",D16="消耗品（消毒液・希釈なし）"),"消耗品（消毒液）",D16),"")</f>
        <v>45056消耗品（消毒液）</v>
      </c>
      <c r="C16" s="581">
        <f t="shared" si="2"/>
        <v>45056</v>
      </c>
      <c r="D16" s="567" t="s">
        <v>1275</v>
      </c>
      <c r="E16" s="1618">
        <v>1</v>
      </c>
      <c r="F16" s="1619"/>
      <c r="G16" s="1620"/>
      <c r="H16" s="566">
        <v>5000</v>
      </c>
      <c r="I16" s="560">
        <v>1</v>
      </c>
      <c r="J16" s="561">
        <v>10</v>
      </c>
      <c r="K16" s="225">
        <v>11111</v>
      </c>
      <c r="L16" s="530">
        <v>5</v>
      </c>
      <c r="M16" s="530">
        <v>5</v>
      </c>
      <c r="N16" s="530">
        <v>10</v>
      </c>
      <c r="O16" s="140">
        <f t="shared" si="3"/>
        <v>12222</v>
      </c>
      <c r="P16" s="141">
        <f t="shared" si="4"/>
        <v>122220</v>
      </c>
      <c r="Q16" s="142" t="str">
        <f xml:space="preserve">
IF(AND(AK16="◎",OR(テーブル!$B$3="交付申請",テーブル!$B$3="交付申請（２次以降）",テーブル!$B$3="変更申請")),"－",
IF(AND(AK16&lt;&gt;"◎",OR(テーブル!$B$3="交付申請",テーブル!$B$3="交付申請（２次以降）",テーブル!$B$3="変更申請")),"",
IF(AND(OR(テーブル!$B$3="実績報告",テーブル!$B$3="交付申請兼実績報告"),AK16="◎"),COUNTIF($AK$14:AK16,"◎"),"")))</f>
        <v/>
      </c>
      <c r="R16" s="142" t="str">
        <f t="shared" ref="R16:R21" si="9" xml:space="preserve">
IF(D16=$AE$13,"手指消毒用は対象外",
IF(D16=$AE$14,"倍率が判る資料を提出",
IF(D16=$AE$20,"重複計上の有無確認",
IF(D16=$AE$21,"契約書、実績書類を提出",""
))))</f>
        <v/>
      </c>
      <c r="AD16" s="53">
        <v>16</v>
      </c>
      <c r="AE16" s="53" t="s">
        <v>1276</v>
      </c>
      <c r="AI16" s="444" t="s">
        <v>68</v>
      </c>
      <c r="AJ16" s="450">
        <v>3</v>
      </c>
      <c r="AK16" s="542" t="str">
        <f t="shared" si="5"/>
        <v>◎</v>
      </c>
      <c r="AL16" s="451" t="str">
        <f t="shared" si="6"/>
        <v>適切に入力がされました。</v>
      </c>
      <c r="AN16" s="565">
        <f t="shared" si="7"/>
        <v>50000</v>
      </c>
    </row>
    <row r="17" spans="1:53" ht="20.100000000000001" customHeight="1" x14ac:dyDescent="0.4">
      <c r="A17" s="226">
        <v>4</v>
      </c>
      <c r="B17" s="593" t="str">
        <f t="shared" si="8"/>
        <v>45082消耗品（消毒液・手指消毒）</v>
      </c>
      <c r="C17" s="581">
        <f t="shared" si="2"/>
        <v>45082</v>
      </c>
      <c r="D17" s="567" t="s">
        <v>1288</v>
      </c>
      <c r="E17" s="1618">
        <v>1</v>
      </c>
      <c r="F17" s="1619"/>
      <c r="G17" s="1620"/>
      <c r="H17" s="566">
        <v>300</v>
      </c>
      <c r="I17" s="560">
        <v>1</v>
      </c>
      <c r="J17" s="561">
        <v>10</v>
      </c>
      <c r="K17" s="225">
        <v>700</v>
      </c>
      <c r="L17" s="530">
        <v>5</v>
      </c>
      <c r="M17" s="530">
        <v>6</v>
      </c>
      <c r="N17" s="530">
        <v>5</v>
      </c>
      <c r="O17" s="140">
        <f t="shared" si="3"/>
        <v>770</v>
      </c>
      <c r="P17" s="141">
        <f t="shared" si="4"/>
        <v>0</v>
      </c>
      <c r="Q17" s="142" t="str">
        <f xml:space="preserve">
IF(AND(AK17="◎",OR(テーブル!$B$3="交付申請",テーブル!$B$3="交付申請（２次以降）",テーブル!$B$3="変更申請")),"－",
IF(AND(AK17&lt;&gt;"◎",OR(テーブル!$B$3="交付申請",テーブル!$B$3="交付申請（２次以降）",テーブル!$B$3="変更申請")),"",
IF(AND(OR(テーブル!$B$3="実績報告",テーブル!$B$3="交付申請兼実績報告"),AK17="◎"),COUNTIF($AK$14:AK17,"◎"),"")))</f>
        <v/>
      </c>
      <c r="R17" s="142" t="str">
        <f xml:space="preserve">
IF(D17=$AE$13,"手指消毒用は対象外",
IF(D17=$AE$14,"倍率が判る資料を提出",
IF(D17=$AE$20,"重複計上の有無確認",
IF(D17=$AE$21,"契約書、実績書類を提出",""
))))</f>
        <v>手指消毒用は対象外</v>
      </c>
      <c r="AD17" s="53">
        <v>17</v>
      </c>
      <c r="AE17" s="53" t="s">
        <v>1277</v>
      </c>
      <c r="AI17" s="444" t="s">
        <v>68</v>
      </c>
      <c r="AJ17" s="450">
        <v>4</v>
      </c>
      <c r="AK17" s="542" t="str">
        <f t="shared" si="5"/>
        <v>◎</v>
      </c>
      <c r="AL17" s="451" t="str">
        <f t="shared" si="6"/>
        <v>適切に入力がされました。</v>
      </c>
      <c r="AN17" s="565" t="str">
        <f xml:space="preserve">
IF(AK17&lt;&gt;"◎","",
IF(OR(D17=$AE$13,D17=$AE$18,D17=$AE$19,D17=$AE$20,D17=$AE$21,D17=$AE$22),"",
IF(D17=$AE$14,H17*I17*J17,
IF(OR(D17=$AE$15,D17=$AE$16,D17=$AE$17),H17*J17
))))</f>
        <v/>
      </c>
    </row>
    <row r="18" spans="1:53" ht="20.100000000000001" customHeight="1" x14ac:dyDescent="0.4">
      <c r="A18" s="226">
        <v>5</v>
      </c>
      <c r="B18" s="593" t="str">
        <f t="shared" si="8"/>
        <v>45051消耗品（ペーパータオル）</v>
      </c>
      <c r="C18" s="581">
        <f t="shared" si="2"/>
        <v>45051</v>
      </c>
      <c r="D18" s="567" t="s">
        <v>1276</v>
      </c>
      <c r="E18" s="1618">
        <v>1</v>
      </c>
      <c r="F18" s="1619"/>
      <c r="G18" s="1620"/>
      <c r="H18" s="566">
        <v>200</v>
      </c>
      <c r="I18" s="560">
        <v>1</v>
      </c>
      <c r="J18" s="561">
        <v>5</v>
      </c>
      <c r="K18" s="225">
        <v>1000</v>
      </c>
      <c r="L18" s="530">
        <v>5</v>
      </c>
      <c r="M18" s="530">
        <v>5</v>
      </c>
      <c r="N18" s="530">
        <v>5</v>
      </c>
      <c r="O18" s="140">
        <f t="shared" si="3"/>
        <v>1100</v>
      </c>
      <c r="P18" s="141">
        <f t="shared" si="4"/>
        <v>5500</v>
      </c>
      <c r="Q18" s="142" t="str">
        <f xml:space="preserve">
IF(AND(AK18="◎",OR(テーブル!$B$3="交付申請",テーブル!$B$3="交付申請（２次以降）",テーブル!$B$3="変更申請")),"－",
IF(AND(AK18&lt;&gt;"◎",OR(テーブル!$B$3="交付申請",テーブル!$B$3="交付申請（２次以降）",テーブル!$B$3="変更申請")),"",
IF(AND(OR(テーブル!$B$3="実績報告",テーブル!$B$3="交付申請兼実績報告"),AK18="◎"),COUNTIF($AK$14:AK18,"◎"),"")))</f>
        <v/>
      </c>
      <c r="R18" s="142" t="str">
        <f t="shared" si="9"/>
        <v/>
      </c>
      <c r="AD18" s="53">
        <v>18</v>
      </c>
      <c r="AE18" s="53" t="s">
        <v>1286</v>
      </c>
      <c r="AI18" s="444" t="s">
        <v>68</v>
      </c>
      <c r="AJ18" s="450">
        <v>5</v>
      </c>
      <c r="AK18" s="542" t="str">
        <f t="shared" si="5"/>
        <v>◎</v>
      </c>
      <c r="AL18" s="451" t="str">
        <f t="shared" si="6"/>
        <v>適切に入力がされました。</v>
      </c>
      <c r="AN18" s="565">
        <f t="shared" si="7"/>
        <v>1000</v>
      </c>
    </row>
    <row r="19" spans="1:53" ht="20.100000000000001" customHeight="1" x14ac:dyDescent="0.4">
      <c r="A19" s="226">
        <v>6</v>
      </c>
      <c r="B19" s="593" t="str">
        <f t="shared" si="8"/>
        <v>45082消耗品（ウェットティッシュ）</v>
      </c>
      <c r="C19" s="581">
        <f t="shared" si="2"/>
        <v>45082</v>
      </c>
      <c r="D19" s="567" t="s">
        <v>1277</v>
      </c>
      <c r="E19" s="1618">
        <v>1</v>
      </c>
      <c r="F19" s="1619"/>
      <c r="G19" s="1620"/>
      <c r="H19" s="566">
        <v>50</v>
      </c>
      <c r="I19" s="560"/>
      <c r="J19" s="561">
        <v>20</v>
      </c>
      <c r="K19" s="225">
        <v>300</v>
      </c>
      <c r="L19" s="530">
        <v>5</v>
      </c>
      <c r="M19" s="530">
        <v>6</v>
      </c>
      <c r="N19" s="530">
        <v>5</v>
      </c>
      <c r="O19" s="140">
        <f t="shared" si="3"/>
        <v>330</v>
      </c>
      <c r="P19" s="141">
        <f t="shared" si="4"/>
        <v>6600</v>
      </c>
      <c r="Q19" s="142" t="str">
        <f xml:space="preserve">
IF(AND(AK19="◎",OR(テーブル!$B$3="交付申請",テーブル!$B$3="交付申請（２次以降）",テーブル!$B$3="変更申請")),"－",
IF(AND(AK19&lt;&gt;"◎",OR(テーブル!$B$3="交付申請",テーブル!$B$3="交付申請（２次以降）",テーブル!$B$3="変更申請")),"",
IF(AND(OR(テーブル!$B$3="実績報告",テーブル!$B$3="交付申請兼実績報告"),AK19="◎"),COUNTIF($AK$14:AK19,"◎"),"")))</f>
        <v/>
      </c>
      <c r="R19" s="142" t="str">
        <f t="shared" si="9"/>
        <v/>
      </c>
      <c r="AD19" s="53">
        <v>19</v>
      </c>
      <c r="AE19" s="53" t="s">
        <v>1278</v>
      </c>
      <c r="AI19" s="444" t="s">
        <v>68</v>
      </c>
      <c r="AJ19" s="450">
        <v>6</v>
      </c>
      <c r="AK19" s="542" t="str">
        <f t="shared" si="5"/>
        <v>◎</v>
      </c>
      <c r="AL19" s="451" t="str">
        <f t="shared" si="6"/>
        <v>適切に入力がされました。</v>
      </c>
      <c r="AN19" s="565">
        <f t="shared" si="7"/>
        <v>1000</v>
      </c>
    </row>
    <row r="20" spans="1:53" ht="20.100000000000001" customHeight="1" x14ac:dyDescent="0.4">
      <c r="A20" s="226">
        <v>7</v>
      </c>
      <c r="B20" s="593" t="str">
        <f t="shared" si="8"/>
        <v>45082消耗品（その他）</v>
      </c>
      <c r="C20" s="581">
        <f t="shared" si="2"/>
        <v>45082</v>
      </c>
      <c r="D20" s="567" t="s">
        <v>1286</v>
      </c>
      <c r="E20" s="1618">
        <v>1</v>
      </c>
      <c r="F20" s="1619"/>
      <c r="G20" s="1620"/>
      <c r="H20" s="566">
        <v>10</v>
      </c>
      <c r="I20" s="560"/>
      <c r="J20" s="561">
        <v>1</v>
      </c>
      <c r="K20" s="225">
        <v>500</v>
      </c>
      <c r="L20" s="530">
        <v>5</v>
      </c>
      <c r="M20" s="530">
        <v>6</v>
      </c>
      <c r="N20" s="530">
        <v>5</v>
      </c>
      <c r="O20" s="140">
        <f t="shared" si="3"/>
        <v>550</v>
      </c>
      <c r="P20" s="141">
        <f t="shared" si="4"/>
        <v>550</v>
      </c>
      <c r="Q20" s="142" t="str">
        <f xml:space="preserve">
IF(AND(AK20="◎",OR(テーブル!$B$3="交付申請",テーブル!$B$3="交付申請（２次以降）",テーブル!$B$3="変更申請")),"－",
IF(AND(AK20&lt;&gt;"◎",OR(テーブル!$B$3="交付申請",テーブル!$B$3="交付申請（２次以降）",テーブル!$B$3="変更申請")),"",
IF(AND(OR(テーブル!$B$3="実績報告",テーブル!$B$3="交付申請兼実績報告"),AK20="◎"),COUNTIF($AK$14:AK20,"◎"),"")))</f>
        <v/>
      </c>
      <c r="R20" s="142" t="str">
        <f t="shared" si="9"/>
        <v/>
      </c>
      <c r="AD20" s="53">
        <v>20</v>
      </c>
      <c r="AE20" s="53" t="s">
        <v>1279</v>
      </c>
      <c r="AI20" s="444" t="s">
        <v>68</v>
      </c>
      <c r="AJ20" s="450">
        <v>7</v>
      </c>
      <c r="AK20" s="542" t="str">
        <f t="shared" si="5"/>
        <v>◎</v>
      </c>
      <c r="AL20" s="451" t="str">
        <f t="shared" si="6"/>
        <v>適切に入力がされました。</v>
      </c>
      <c r="AN20" s="565" t="str">
        <f t="shared" si="7"/>
        <v/>
      </c>
      <c r="AU20" s="53" t="str">
        <f>"外来患者数："&amp;基礎情報!X75&amp;"人、"&amp;"１外来対応あたり医師："&amp;基礎情報!H75&amp;"人、"&amp;"看護師："&amp;基礎情報!L75&amp;"人"</f>
        <v>外来患者数：0人、１外来対応あたり医師：人、看護師：人</v>
      </c>
    </row>
    <row r="21" spans="1:53" ht="20.100000000000001" customHeight="1" x14ac:dyDescent="0.4">
      <c r="A21" s="226">
        <v>8</v>
      </c>
      <c r="B21" s="593" t="str">
        <f t="shared" si="8"/>
        <v>45082備品</v>
      </c>
      <c r="C21" s="581">
        <f t="shared" si="2"/>
        <v>45082</v>
      </c>
      <c r="D21" s="567" t="s">
        <v>1278</v>
      </c>
      <c r="E21" s="1618">
        <v>1</v>
      </c>
      <c r="F21" s="1619"/>
      <c r="G21" s="1620"/>
      <c r="H21" s="566">
        <v>1</v>
      </c>
      <c r="I21" s="560"/>
      <c r="J21" s="561">
        <v>1</v>
      </c>
      <c r="K21" s="225">
        <v>3000</v>
      </c>
      <c r="L21" s="530">
        <v>5</v>
      </c>
      <c r="M21" s="530">
        <v>6</v>
      </c>
      <c r="N21" s="530">
        <v>5</v>
      </c>
      <c r="O21" s="140">
        <f t="shared" si="3"/>
        <v>3300</v>
      </c>
      <c r="P21" s="141">
        <f t="shared" si="4"/>
        <v>3300</v>
      </c>
      <c r="Q21" s="142" t="str">
        <f xml:space="preserve">
IF(AND(AK21="◎",OR(テーブル!$B$3="交付申請",テーブル!$B$3="交付申請（２次以降）",テーブル!$B$3="変更申請")),"－",
IF(AND(AK21&lt;&gt;"◎",OR(テーブル!$B$3="交付申請",テーブル!$B$3="交付申請（２次以降）",テーブル!$B$3="変更申請")),"",
IF(AND(OR(テーブル!$B$3="実績報告",テーブル!$B$3="交付申請兼実績報告"),AK21="◎"),COUNTIF($AK$14:AK21,"◎"),"")))</f>
        <v/>
      </c>
      <c r="R21" s="142" t="str">
        <f t="shared" si="9"/>
        <v/>
      </c>
      <c r="Z21" s="421"/>
      <c r="AA21" s="421"/>
      <c r="AB21" s="421"/>
      <c r="AD21" s="53">
        <v>21</v>
      </c>
      <c r="AE21" s="53" t="s">
        <v>1280</v>
      </c>
      <c r="AI21" s="444" t="s">
        <v>68</v>
      </c>
      <c r="AJ21" s="450">
        <v>8</v>
      </c>
      <c r="AK21" s="542" t="str">
        <f t="shared" si="5"/>
        <v>◎</v>
      </c>
      <c r="AL21" s="451" t="str">
        <f t="shared" si="6"/>
        <v>適切に入力がされました。</v>
      </c>
      <c r="AN21" s="565" t="str">
        <f t="shared" si="7"/>
        <v/>
      </c>
      <c r="AU21" s="1242" t="s">
        <v>999</v>
      </c>
      <c r="AV21" s="1686"/>
      <c r="AW21" s="1686"/>
      <c r="AX21" s="666" t="s">
        <v>1364</v>
      </c>
      <c r="AY21" s="542" t="s">
        <v>1046</v>
      </c>
      <c r="AZ21" s="542" t="s">
        <v>1044</v>
      </c>
      <c r="BA21" s="542" t="s">
        <v>1045</v>
      </c>
    </row>
    <row r="22" spans="1:53" ht="20.100000000000001" customHeight="1" x14ac:dyDescent="0.4">
      <c r="A22" s="226">
        <v>9</v>
      </c>
      <c r="B22" s="593" t="str">
        <f t="shared" si="8"/>
        <v>45082備品</v>
      </c>
      <c r="C22" s="581">
        <f t="shared" si="2"/>
        <v>45082</v>
      </c>
      <c r="D22" s="567" t="s">
        <v>1278</v>
      </c>
      <c r="E22" s="1618">
        <v>1</v>
      </c>
      <c r="F22" s="1619"/>
      <c r="G22" s="1620"/>
      <c r="H22" s="566">
        <v>1</v>
      </c>
      <c r="I22" s="560"/>
      <c r="J22" s="561">
        <v>1</v>
      </c>
      <c r="K22" s="225">
        <v>50000</v>
      </c>
      <c r="L22" s="530">
        <v>5</v>
      </c>
      <c r="M22" s="530">
        <v>6</v>
      </c>
      <c r="N22" s="530">
        <v>5</v>
      </c>
      <c r="O22" s="140">
        <f t="shared" si="3"/>
        <v>55000</v>
      </c>
      <c r="P22" s="141">
        <f t="shared" si="4"/>
        <v>55000</v>
      </c>
      <c r="Q22" s="142" t="str">
        <f xml:space="preserve">
IF(AND(AK22="◎",OR(テーブル!$B$3="交付申請",テーブル!$B$3="交付申請（２次以降）",テーブル!$B$3="変更申請")),"－",
IF(AND(AK22&lt;&gt;"◎",OR(テーブル!$B$3="交付申請",テーブル!$B$3="交付申請（２次以降）",テーブル!$B$3="変更申請")),"",
IF(AND(OR(テーブル!$B$3="実績報告",テーブル!$B$3="交付申請兼実績報告"),AK22="◎"),COUNTIF($AK$14:AK22,"◎"),"")))</f>
        <v/>
      </c>
      <c r="R22" s="142" t="str">
        <f xml:space="preserve">
IF(D22=$AE$13,"手指消毒用は対象外",
IF(D22=$AE$14,"倍率が判る資料を提出",
IF(D22=$AE$20,"重複計上の有無確認",
IF(D22=$AE$21,"契約書、実績書類を提出",""
))))</f>
        <v/>
      </c>
      <c r="AD22" s="53">
        <v>22</v>
      </c>
      <c r="AE22" s="53" t="s">
        <v>1287</v>
      </c>
      <c r="AI22" s="444" t="s">
        <v>68</v>
      </c>
      <c r="AJ22" s="450">
        <v>9</v>
      </c>
      <c r="AK22" s="542" t="str">
        <f t="shared" si="5"/>
        <v>◎</v>
      </c>
      <c r="AL22" s="451" t="str">
        <f t="shared" si="6"/>
        <v>適切に入力がされました。</v>
      </c>
      <c r="AN22" s="565" t="str">
        <f t="shared" si="7"/>
        <v/>
      </c>
      <c r="AU22" s="1687" t="s">
        <v>1291</v>
      </c>
      <c r="AV22" s="1686"/>
      <c r="AW22" s="1686"/>
      <c r="AX22" s="667">
        <f>消毒積算!H67</f>
        <v>30</v>
      </c>
      <c r="AY22" s="569">
        <f>SUM(SUMIF($D:$D,AE14,$AN:$AN),SUMIF($D:$D,AE15,$AN:$AN))</f>
        <v>51000</v>
      </c>
      <c r="AZ22" s="569">
        <f>増減推移!C42</f>
        <v>0</v>
      </c>
      <c r="BA22" s="569">
        <f>AY22-AZ22</f>
        <v>51000</v>
      </c>
    </row>
    <row r="23" spans="1:53" ht="20.100000000000001" customHeight="1" x14ac:dyDescent="0.4">
      <c r="A23" s="226">
        <v>10</v>
      </c>
      <c r="B23" s="593" t="str">
        <f t="shared" si="8"/>
        <v>45082委託料</v>
      </c>
      <c r="C23" s="581">
        <f t="shared" si="2"/>
        <v>45082</v>
      </c>
      <c r="D23" s="567" t="s">
        <v>1280</v>
      </c>
      <c r="E23" s="1618">
        <v>1</v>
      </c>
      <c r="F23" s="1619"/>
      <c r="G23" s="1620"/>
      <c r="H23" s="566">
        <v>1</v>
      </c>
      <c r="I23" s="560"/>
      <c r="J23" s="561">
        <v>1</v>
      </c>
      <c r="K23" s="225">
        <v>50000</v>
      </c>
      <c r="L23" s="530">
        <v>5</v>
      </c>
      <c r="M23" s="530">
        <v>6</v>
      </c>
      <c r="N23" s="530">
        <v>5</v>
      </c>
      <c r="O23" s="140">
        <f t="shared" si="3"/>
        <v>55000</v>
      </c>
      <c r="P23" s="141">
        <f t="shared" si="4"/>
        <v>55000</v>
      </c>
      <c r="Q23" s="142" t="str">
        <f xml:space="preserve">
IF(AND(AK23="◎",OR(テーブル!$B$3="交付申請",テーブル!$B$3="交付申請（２次以降）",テーブル!$B$3="変更申請")),"－",
IF(AND(AK23&lt;&gt;"◎",OR(テーブル!$B$3="交付申請",テーブル!$B$3="交付申請（２次以降）",テーブル!$B$3="変更申請")),"",
IF(AND(OR(テーブル!$B$3="実績報告",テーブル!$B$3="交付申請兼実績報告"),AK23="◎"),COUNTIF($AK$14:AK23,"◎"),"")))</f>
        <v/>
      </c>
      <c r="R23" s="142" t="str">
        <f t="shared" ref="R23:R86" si="10" xml:space="preserve">
IF(D23=$AE$13,"手指消毒用は対象外",
IF(D23=$AE$14,"倍率が判る資料を提出",
IF(D23=$AE$20,"重複計上の有無確認",
IF(D23=$AE$21,"契約書、実績書類を提出",""
))))</f>
        <v>契約書、実績書類を提出</v>
      </c>
      <c r="AI23" s="444" t="s">
        <v>68</v>
      </c>
      <c r="AJ23" s="450">
        <v>10</v>
      </c>
      <c r="AK23" s="542" t="str">
        <f t="shared" si="5"/>
        <v>◎</v>
      </c>
      <c r="AL23" s="451" t="str">
        <f t="shared" si="6"/>
        <v>適切に入力がされました。</v>
      </c>
      <c r="AN23" s="565" t="str">
        <f t="shared" si="7"/>
        <v/>
      </c>
      <c r="AU23" s="1687" t="s">
        <v>1289</v>
      </c>
      <c r="AV23" s="1686"/>
      <c r="AW23" s="1686"/>
      <c r="AX23" s="668">
        <f>消毒積算!H63</f>
        <v>3</v>
      </c>
      <c r="AY23" s="570">
        <f>SUMIF($D:$D,AE16,$AN:$AN)</f>
        <v>1000</v>
      </c>
      <c r="AZ23" s="570">
        <f>増減推移!C43</f>
        <v>0</v>
      </c>
      <c r="BA23" s="570">
        <f>AY23-AZ23</f>
        <v>1000</v>
      </c>
    </row>
    <row r="24" spans="1:53" ht="20.100000000000001" customHeight="1" x14ac:dyDescent="0.4">
      <c r="A24" s="226">
        <v>11</v>
      </c>
      <c r="B24" s="593" t="str">
        <f t="shared" si="8"/>
        <v>45082補助対象外</v>
      </c>
      <c r="C24" s="581">
        <f t="shared" si="2"/>
        <v>45082</v>
      </c>
      <c r="D24" s="567" t="s">
        <v>1287</v>
      </c>
      <c r="E24" s="1618">
        <v>1</v>
      </c>
      <c r="F24" s="1619"/>
      <c r="G24" s="1620"/>
      <c r="H24" s="566">
        <v>1</v>
      </c>
      <c r="I24" s="560"/>
      <c r="J24" s="561">
        <v>1</v>
      </c>
      <c r="K24" s="225">
        <v>50000</v>
      </c>
      <c r="L24" s="530">
        <v>5</v>
      </c>
      <c r="M24" s="530">
        <v>6</v>
      </c>
      <c r="N24" s="530">
        <v>5</v>
      </c>
      <c r="O24" s="140">
        <f t="shared" si="3"/>
        <v>55000</v>
      </c>
      <c r="P24" s="141">
        <f t="shared" si="4"/>
        <v>0</v>
      </c>
      <c r="Q24" s="142" t="str">
        <f xml:space="preserve">
IF(AND(AK24="◎",OR(テーブル!$B$3="交付申請",テーブル!$B$3="交付申請（２次以降）",テーブル!$B$3="変更申請")),"－",
IF(AND(AK24&lt;&gt;"◎",OR(テーブル!$B$3="交付申請",テーブル!$B$3="交付申請（２次以降）",テーブル!$B$3="変更申請")),"",
IF(AND(OR(テーブル!$B$3="実績報告",テーブル!$B$3="交付申請兼実績報告"),AK24="◎"),COUNTIF($AK$14:AK24,"◎"),"")))</f>
        <v/>
      </c>
      <c r="R24" s="142" t="str">
        <f t="shared" si="10"/>
        <v/>
      </c>
      <c r="AI24" s="444" t="s">
        <v>68</v>
      </c>
      <c r="AJ24" s="450">
        <v>11</v>
      </c>
      <c r="AK24" s="542" t="str">
        <f t="shared" si="5"/>
        <v>◎</v>
      </c>
      <c r="AL24" s="451" t="str">
        <f t="shared" si="6"/>
        <v>適切に入力がされました。</v>
      </c>
      <c r="AN24" s="565" t="str">
        <f t="shared" si="7"/>
        <v/>
      </c>
      <c r="AU24" s="1687" t="s">
        <v>1290</v>
      </c>
      <c r="AV24" s="1686"/>
      <c r="AW24" s="1686"/>
      <c r="AX24" s="668">
        <f>消毒積算!H64</f>
        <v>5</v>
      </c>
      <c r="AY24" s="570">
        <f>SUMIF($D:$D,AE17,$AN:$AN)</f>
        <v>1000</v>
      </c>
      <c r="AZ24" s="570">
        <f>増減推移!C44</f>
        <v>0</v>
      </c>
      <c r="BA24" s="570">
        <f>AY24-AZ24</f>
        <v>1000</v>
      </c>
    </row>
    <row r="25" spans="1:53" ht="20.100000000000001" customHeight="1" x14ac:dyDescent="0.4">
      <c r="A25" s="226">
        <v>12</v>
      </c>
      <c r="B25" s="593" t="str">
        <f t="shared" si="8"/>
        <v/>
      </c>
      <c r="C25" s="581" t="str">
        <f t="shared" si="2"/>
        <v/>
      </c>
      <c r="D25" s="567"/>
      <c r="E25" s="1618"/>
      <c r="F25" s="1619"/>
      <c r="G25" s="1620"/>
      <c r="H25" s="566"/>
      <c r="I25" s="560"/>
      <c r="J25" s="561"/>
      <c r="K25" s="225"/>
      <c r="L25" s="530"/>
      <c r="M25" s="530"/>
      <c r="N25" s="530"/>
      <c r="O25" s="140">
        <f t="shared" si="3"/>
        <v>0</v>
      </c>
      <c r="P25" s="141">
        <f t="shared" ref="P25:P78" si="11">IF(COUNTA(D25:K25)&lt;&gt;4,0,J25*O25)</f>
        <v>0</v>
      </c>
      <c r="Q25" s="142" t="str">
        <f xml:space="preserve">
IF(AND(AK25="◎",OR(テーブル!$B$3="交付申請",テーブル!$B$3="交付申請（２次以降）",テーブル!$B$3="変更申請")),"－",
IF(AND(AK25&lt;&gt;"◎",OR(テーブル!$B$3="交付申請",テーブル!$B$3="交付申請（２次以降）",テーブル!$B$3="変更申請")),"",
IF(AND(OR(テーブル!$B$3="実績報告",テーブル!$B$3="交付申請兼実績報告"),AK25="◎"),COUNTIF($AK$14:AK25,"◎"),"")))</f>
        <v/>
      </c>
      <c r="R25" s="142" t="str">
        <f t="shared" si="10"/>
        <v/>
      </c>
      <c r="AI25" s="444" t="s">
        <v>68</v>
      </c>
      <c r="AJ25" s="450">
        <v>12</v>
      </c>
      <c r="AK25" s="542" t="str">
        <f t="shared" si="5"/>
        <v>○</v>
      </c>
      <c r="AL25" s="451" t="str">
        <f t="shared" si="6"/>
        <v>申請しない場合は入力不要です。</v>
      </c>
      <c r="AN25" s="565" t="str">
        <f t="shared" si="7"/>
        <v/>
      </c>
      <c r="AU25" s="53" t="str">
        <f>"【人件費】税抜賃金："&amp;TEXT(消毒積算!AG74,"#,###.#0")&amp;"円、"&amp;"所要時間："&amp;消毒積算!C55&amp;"分、作業回数："&amp;TEXT(消毒積算!U74,"#,##0")&amp;"回（総患者数："&amp;TEXT(基礎情報!X75,"#,##0")&amp;"人）"</f>
        <v>【人件費】税抜賃金：15,340.91円、所要時間：2分、作業回数：450回（総患者数：0人）</v>
      </c>
    </row>
    <row r="26" spans="1:53" ht="20.100000000000001" customHeight="1" x14ac:dyDescent="0.4">
      <c r="A26" s="226">
        <v>13</v>
      </c>
      <c r="B26" s="593" t="str">
        <f t="shared" si="8"/>
        <v/>
      </c>
      <c r="C26" s="581" t="str">
        <f t="shared" si="2"/>
        <v/>
      </c>
      <c r="D26" s="567"/>
      <c r="E26" s="1618"/>
      <c r="F26" s="1619"/>
      <c r="G26" s="1620"/>
      <c r="H26" s="566"/>
      <c r="I26" s="560"/>
      <c r="J26" s="561"/>
      <c r="K26" s="225"/>
      <c r="L26" s="530"/>
      <c r="M26" s="530"/>
      <c r="N26" s="530"/>
      <c r="O26" s="140">
        <f t="shared" si="3"/>
        <v>0</v>
      </c>
      <c r="P26" s="141">
        <f t="shared" si="11"/>
        <v>0</v>
      </c>
      <c r="Q26" s="142" t="str">
        <f xml:space="preserve">
IF(AND(AK26="◎",OR(テーブル!$B$3="交付申請",テーブル!$B$3="交付申請（２次以降）",テーブル!$B$3="変更申請")),"－",
IF(AND(AK26&lt;&gt;"◎",OR(テーブル!$B$3="交付申請",テーブル!$B$3="交付申請（２次以降）",テーブル!$B$3="変更申請")),"",
IF(AND(OR(テーブル!$B$3="実績報告",テーブル!$B$3="交付申請兼実績報告"),AK26="◎"),COUNTIF($AK$14:AK26,"◎"),"")))</f>
        <v/>
      </c>
      <c r="R26" s="142" t="str">
        <f t="shared" si="10"/>
        <v/>
      </c>
      <c r="AI26" s="444" t="s">
        <v>68</v>
      </c>
      <c r="AJ26" s="450">
        <v>13</v>
      </c>
      <c r="AK26" s="542" t="str">
        <f t="shared" si="5"/>
        <v>○</v>
      </c>
      <c r="AL26" s="451" t="str">
        <f t="shared" si="6"/>
        <v>申請しない場合は入力不要です。</v>
      </c>
      <c r="AN26" s="565" t="str">
        <f t="shared" si="7"/>
        <v/>
      </c>
    </row>
    <row r="27" spans="1:53" ht="20.100000000000001" customHeight="1" x14ac:dyDescent="0.4">
      <c r="A27" s="226">
        <v>14</v>
      </c>
      <c r="B27" s="593" t="str">
        <f t="shared" si="8"/>
        <v/>
      </c>
      <c r="C27" s="581" t="str">
        <f t="shared" si="2"/>
        <v/>
      </c>
      <c r="D27" s="567"/>
      <c r="E27" s="1618"/>
      <c r="F27" s="1619"/>
      <c r="G27" s="1620"/>
      <c r="H27" s="566"/>
      <c r="I27" s="560"/>
      <c r="J27" s="561"/>
      <c r="K27" s="225"/>
      <c r="L27" s="530"/>
      <c r="M27" s="530"/>
      <c r="N27" s="530"/>
      <c r="O27" s="140">
        <f t="shared" si="3"/>
        <v>0</v>
      </c>
      <c r="P27" s="141">
        <f t="shared" si="11"/>
        <v>0</v>
      </c>
      <c r="Q27" s="142" t="str">
        <f xml:space="preserve">
IF(AND(AK27="◎",OR(テーブル!$B$3="交付申請",テーブル!$B$3="交付申請（２次以降）",テーブル!$B$3="変更申請")),"－",
IF(AND(AK27&lt;&gt;"◎",OR(テーブル!$B$3="交付申請",テーブル!$B$3="交付申請（２次以降）",テーブル!$B$3="変更申請")),"",
IF(AND(OR(テーブル!$B$3="実績報告",テーブル!$B$3="交付申請兼実績報告"),AK27="◎"),COUNTIF($AK$14:AK27,"◎"),"")))</f>
        <v/>
      </c>
      <c r="R27" s="142" t="str">
        <f t="shared" si="10"/>
        <v/>
      </c>
      <c r="AI27" s="444" t="s">
        <v>68</v>
      </c>
      <c r="AJ27" s="450">
        <v>14</v>
      </c>
      <c r="AK27" s="542" t="str">
        <f t="shared" si="5"/>
        <v>○</v>
      </c>
      <c r="AL27" s="451" t="str">
        <f t="shared" si="6"/>
        <v>申請しない場合は入力不要です。</v>
      </c>
      <c r="AN27" s="565" t="str">
        <f t="shared" si="7"/>
        <v/>
      </c>
    </row>
    <row r="28" spans="1:53" ht="20.100000000000001" customHeight="1" x14ac:dyDescent="0.4">
      <c r="A28" s="226">
        <v>15</v>
      </c>
      <c r="B28" s="593" t="str">
        <f t="shared" si="8"/>
        <v/>
      </c>
      <c r="C28" s="581" t="str">
        <f t="shared" si="2"/>
        <v/>
      </c>
      <c r="D28" s="567"/>
      <c r="E28" s="1618"/>
      <c r="F28" s="1619"/>
      <c r="G28" s="1620"/>
      <c r="H28" s="566"/>
      <c r="I28" s="560"/>
      <c r="J28" s="561"/>
      <c r="K28" s="225"/>
      <c r="L28" s="530"/>
      <c r="M28" s="530"/>
      <c r="N28" s="530"/>
      <c r="O28" s="140">
        <f t="shared" si="3"/>
        <v>0</v>
      </c>
      <c r="P28" s="141">
        <f t="shared" si="11"/>
        <v>0</v>
      </c>
      <c r="Q28" s="142" t="str">
        <f xml:space="preserve">
IF(AND(AK28="◎",OR(テーブル!$B$3="交付申請",テーブル!$B$3="交付申請（２次以降）",テーブル!$B$3="変更申請")),"－",
IF(AND(AK28&lt;&gt;"◎",OR(テーブル!$B$3="交付申請",テーブル!$B$3="交付申請（２次以降）",テーブル!$B$3="変更申請")),"",
IF(AND(OR(テーブル!$B$3="実績報告",テーブル!$B$3="交付申請兼実績報告"),AK28="◎"),COUNTIF($AK$14:AK28,"◎"),"")))</f>
        <v/>
      </c>
      <c r="R28" s="142" t="str">
        <f t="shared" si="10"/>
        <v/>
      </c>
      <c r="AI28" s="444" t="s">
        <v>68</v>
      </c>
      <c r="AJ28" s="450">
        <v>15</v>
      </c>
      <c r="AK28" s="542" t="str">
        <f t="shared" si="5"/>
        <v>○</v>
      </c>
      <c r="AL28" s="451" t="str">
        <f t="shared" si="6"/>
        <v>申請しない場合は入力不要です。</v>
      </c>
      <c r="AN28" s="565" t="str">
        <f t="shared" si="7"/>
        <v/>
      </c>
    </row>
    <row r="29" spans="1:53" ht="20.100000000000001" customHeight="1" x14ac:dyDescent="0.4">
      <c r="A29" s="226">
        <v>16</v>
      </c>
      <c r="B29" s="593" t="str">
        <f t="shared" si="8"/>
        <v/>
      </c>
      <c r="C29" s="581" t="str">
        <f t="shared" si="2"/>
        <v/>
      </c>
      <c r="D29" s="567"/>
      <c r="E29" s="1618"/>
      <c r="F29" s="1619"/>
      <c r="G29" s="1620"/>
      <c r="H29" s="566"/>
      <c r="I29" s="560"/>
      <c r="J29" s="561"/>
      <c r="K29" s="225"/>
      <c r="L29" s="530"/>
      <c r="M29" s="530"/>
      <c r="N29" s="530"/>
      <c r="O29" s="140">
        <f t="shared" si="3"/>
        <v>0</v>
      </c>
      <c r="P29" s="141">
        <f t="shared" si="11"/>
        <v>0</v>
      </c>
      <c r="Q29" s="142" t="str">
        <f xml:space="preserve">
IF(AND(AK29="◎",OR(テーブル!$B$3="交付申請",テーブル!$B$3="交付申請（２次以降）",テーブル!$B$3="変更申請")),"－",
IF(AND(AK29&lt;&gt;"◎",OR(テーブル!$B$3="交付申請",テーブル!$B$3="交付申請（２次以降）",テーブル!$B$3="変更申請")),"",
IF(AND(OR(テーブル!$B$3="実績報告",テーブル!$B$3="交付申請兼実績報告"),AK29="◎"),COUNTIF($AK$14:AK29,"◎"),"")))</f>
        <v/>
      </c>
      <c r="R29" s="142" t="str">
        <f t="shared" si="10"/>
        <v/>
      </c>
      <c r="AI29" s="444" t="s">
        <v>68</v>
      </c>
      <c r="AJ29" s="450">
        <v>16</v>
      </c>
      <c r="AK29" s="542" t="str">
        <f t="shared" si="5"/>
        <v>○</v>
      </c>
      <c r="AL29" s="451" t="str">
        <f t="shared" si="6"/>
        <v>申請しない場合は入力不要です。</v>
      </c>
      <c r="AN29" s="565" t="str">
        <f t="shared" si="7"/>
        <v/>
      </c>
    </row>
    <row r="30" spans="1:53" ht="20.100000000000001" customHeight="1" x14ac:dyDescent="0.4">
      <c r="A30" s="226">
        <v>17</v>
      </c>
      <c r="B30" s="593" t="str">
        <f t="shared" si="8"/>
        <v/>
      </c>
      <c r="C30" s="581" t="str">
        <f t="shared" si="2"/>
        <v/>
      </c>
      <c r="D30" s="567"/>
      <c r="E30" s="1618"/>
      <c r="F30" s="1619"/>
      <c r="G30" s="1620"/>
      <c r="H30" s="566"/>
      <c r="I30" s="560"/>
      <c r="J30" s="561"/>
      <c r="K30" s="225"/>
      <c r="L30" s="530"/>
      <c r="M30" s="530"/>
      <c r="N30" s="530"/>
      <c r="O30" s="140">
        <f t="shared" si="3"/>
        <v>0</v>
      </c>
      <c r="P30" s="141">
        <f t="shared" si="11"/>
        <v>0</v>
      </c>
      <c r="Q30" s="142" t="str">
        <f xml:space="preserve">
IF(AND(AK30="◎",OR(テーブル!$B$3="交付申請",テーブル!$B$3="交付申請（２次以降）",テーブル!$B$3="変更申請")),"－",
IF(AND(AK30&lt;&gt;"◎",OR(テーブル!$B$3="交付申請",テーブル!$B$3="交付申請（２次以降）",テーブル!$B$3="変更申請")),"",
IF(AND(OR(テーブル!$B$3="実績報告",テーブル!$B$3="交付申請兼実績報告"),AK30="◎"),COUNTIF($AK$14:AK30,"◎"),"")))</f>
        <v/>
      </c>
      <c r="R30" s="142" t="str">
        <f t="shared" si="10"/>
        <v/>
      </c>
      <c r="AI30" s="444" t="s">
        <v>68</v>
      </c>
      <c r="AJ30" s="450">
        <v>17</v>
      </c>
      <c r="AK30" s="542" t="str">
        <f t="shared" si="5"/>
        <v>○</v>
      </c>
      <c r="AL30" s="451" t="str">
        <f t="shared" si="6"/>
        <v>申請しない場合は入力不要です。</v>
      </c>
      <c r="AN30" s="565" t="str">
        <f t="shared" si="7"/>
        <v/>
      </c>
    </row>
    <row r="31" spans="1:53" ht="20.100000000000001" customHeight="1" x14ac:dyDescent="0.4">
      <c r="A31" s="226">
        <v>18</v>
      </c>
      <c r="B31" s="593" t="str">
        <f t="shared" si="8"/>
        <v/>
      </c>
      <c r="C31" s="581" t="str">
        <f t="shared" si="2"/>
        <v/>
      </c>
      <c r="D31" s="567"/>
      <c r="E31" s="1618"/>
      <c r="F31" s="1619"/>
      <c r="G31" s="1620"/>
      <c r="H31" s="566"/>
      <c r="I31" s="560"/>
      <c r="J31" s="561"/>
      <c r="K31" s="225"/>
      <c r="L31" s="530"/>
      <c r="M31" s="530"/>
      <c r="N31" s="530"/>
      <c r="O31" s="140">
        <f t="shared" si="3"/>
        <v>0</v>
      </c>
      <c r="P31" s="141">
        <f t="shared" si="11"/>
        <v>0</v>
      </c>
      <c r="Q31" s="142" t="str">
        <f xml:space="preserve">
IF(AND(AK31="◎",OR(テーブル!$B$3="交付申請",テーブル!$B$3="交付申請（２次以降）",テーブル!$B$3="変更申請")),"－",
IF(AND(AK31&lt;&gt;"◎",OR(テーブル!$B$3="交付申請",テーブル!$B$3="交付申請（２次以降）",テーブル!$B$3="変更申請")),"",
IF(AND(OR(テーブル!$B$3="実績報告",テーブル!$B$3="交付申請兼実績報告"),AK31="◎"),COUNTIF($AK$14:AK31,"◎"),"")))</f>
        <v/>
      </c>
      <c r="R31" s="142" t="str">
        <f t="shared" si="10"/>
        <v/>
      </c>
      <c r="AI31" s="444" t="s">
        <v>68</v>
      </c>
      <c r="AJ31" s="450">
        <v>18</v>
      </c>
      <c r="AK31" s="542" t="str">
        <f t="shared" si="5"/>
        <v>○</v>
      </c>
      <c r="AL31" s="451" t="str">
        <f t="shared" si="6"/>
        <v>申請しない場合は入力不要です。</v>
      </c>
      <c r="AN31" s="565" t="str">
        <f t="shared" si="7"/>
        <v/>
      </c>
    </row>
    <row r="32" spans="1:53" ht="20.100000000000001" customHeight="1" x14ac:dyDescent="0.4">
      <c r="A32" s="226">
        <v>19</v>
      </c>
      <c r="B32" s="593" t="str">
        <f t="shared" si="8"/>
        <v/>
      </c>
      <c r="C32" s="581" t="str">
        <f t="shared" si="2"/>
        <v/>
      </c>
      <c r="D32" s="567"/>
      <c r="E32" s="1618"/>
      <c r="F32" s="1619"/>
      <c r="G32" s="1620"/>
      <c r="H32" s="566"/>
      <c r="I32" s="560"/>
      <c r="J32" s="561"/>
      <c r="K32" s="225"/>
      <c r="L32" s="530"/>
      <c r="M32" s="530"/>
      <c r="N32" s="530"/>
      <c r="O32" s="140">
        <f t="shared" si="3"/>
        <v>0</v>
      </c>
      <c r="P32" s="141">
        <f t="shared" si="11"/>
        <v>0</v>
      </c>
      <c r="Q32" s="142" t="str">
        <f xml:space="preserve">
IF(AND(AK32="◎",OR(テーブル!$B$3="交付申請",テーブル!$B$3="交付申請（２次以降）",テーブル!$B$3="変更申請")),"－",
IF(AND(AK32&lt;&gt;"◎",OR(テーブル!$B$3="交付申請",テーブル!$B$3="交付申請（２次以降）",テーブル!$B$3="変更申請")),"",
IF(AND(OR(テーブル!$B$3="実績報告",テーブル!$B$3="交付申請兼実績報告"),AK32="◎"),COUNTIF($AK$14:AK32,"◎"),"")))</f>
        <v/>
      </c>
      <c r="R32" s="142" t="str">
        <f t="shared" si="10"/>
        <v/>
      </c>
      <c r="AI32" s="444" t="s">
        <v>68</v>
      </c>
      <c r="AJ32" s="450">
        <v>19</v>
      </c>
      <c r="AK32" s="542" t="str">
        <f t="shared" si="5"/>
        <v>○</v>
      </c>
      <c r="AL32" s="451" t="str">
        <f t="shared" si="6"/>
        <v>申請しない場合は入力不要です。</v>
      </c>
      <c r="AN32" s="565" t="str">
        <f t="shared" si="7"/>
        <v/>
      </c>
    </row>
    <row r="33" spans="1:40" ht="20.100000000000001" customHeight="1" x14ac:dyDescent="0.4">
      <c r="A33" s="226">
        <v>20</v>
      </c>
      <c r="B33" s="593" t="str">
        <f t="shared" si="8"/>
        <v/>
      </c>
      <c r="C33" s="581" t="str">
        <f t="shared" si="2"/>
        <v/>
      </c>
      <c r="D33" s="567"/>
      <c r="E33" s="1618"/>
      <c r="F33" s="1619"/>
      <c r="G33" s="1620"/>
      <c r="H33" s="566"/>
      <c r="I33" s="560"/>
      <c r="J33" s="561"/>
      <c r="K33" s="225"/>
      <c r="L33" s="530"/>
      <c r="M33" s="530"/>
      <c r="N33" s="530"/>
      <c r="O33" s="140">
        <f t="shared" si="3"/>
        <v>0</v>
      </c>
      <c r="P33" s="141">
        <f t="shared" si="11"/>
        <v>0</v>
      </c>
      <c r="Q33" s="142" t="str">
        <f xml:space="preserve">
IF(AND(AK33="◎",OR(テーブル!$B$3="交付申請",テーブル!$B$3="交付申請（２次以降）",テーブル!$B$3="変更申請")),"－",
IF(AND(AK33&lt;&gt;"◎",OR(テーブル!$B$3="交付申請",テーブル!$B$3="交付申請（２次以降）",テーブル!$B$3="変更申請")),"",
IF(AND(OR(テーブル!$B$3="実績報告",テーブル!$B$3="交付申請兼実績報告"),AK33="◎"),COUNTIF($AK$14:AK33,"◎"),"")))</f>
        <v/>
      </c>
      <c r="R33" s="142" t="str">
        <f t="shared" si="10"/>
        <v/>
      </c>
      <c r="AI33" s="444" t="s">
        <v>68</v>
      </c>
      <c r="AJ33" s="450">
        <v>20</v>
      </c>
      <c r="AK33" s="542" t="str">
        <f t="shared" si="5"/>
        <v>○</v>
      </c>
      <c r="AL33" s="451" t="str">
        <f t="shared" si="6"/>
        <v>申請しない場合は入力不要です。</v>
      </c>
      <c r="AN33" s="565" t="str">
        <f t="shared" si="7"/>
        <v/>
      </c>
    </row>
    <row r="34" spans="1:40" ht="20.100000000000001" customHeight="1" x14ac:dyDescent="0.4">
      <c r="A34" s="226">
        <v>21</v>
      </c>
      <c r="B34" s="593" t="str">
        <f t="shared" si="8"/>
        <v/>
      </c>
      <c r="C34" s="581" t="str">
        <f t="shared" si="2"/>
        <v/>
      </c>
      <c r="D34" s="567"/>
      <c r="E34" s="1618"/>
      <c r="F34" s="1619"/>
      <c r="G34" s="1620"/>
      <c r="H34" s="566"/>
      <c r="I34" s="560"/>
      <c r="J34" s="561"/>
      <c r="K34" s="225"/>
      <c r="L34" s="530"/>
      <c r="M34" s="530"/>
      <c r="N34" s="530"/>
      <c r="O34" s="140">
        <f t="shared" si="3"/>
        <v>0</v>
      </c>
      <c r="P34" s="141">
        <f t="shared" si="11"/>
        <v>0</v>
      </c>
      <c r="Q34" s="142" t="str">
        <f xml:space="preserve">
IF(AND(AK34="◎",OR(テーブル!$B$3="交付申請",テーブル!$B$3="交付申請（２次以降）",テーブル!$B$3="変更申請")),"－",
IF(AND(AK34&lt;&gt;"◎",OR(テーブル!$B$3="交付申請",テーブル!$B$3="交付申請（２次以降）",テーブル!$B$3="変更申請")),"",
IF(AND(OR(テーブル!$B$3="実績報告",テーブル!$B$3="交付申請兼実績報告"),AK34="◎"),COUNTIF($AK$14:AK34,"◎"),"")))</f>
        <v/>
      </c>
      <c r="R34" s="142" t="str">
        <f t="shared" si="10"/>
        <v/>
      </c>
      <c r="AI34" s="444" t="s">
        <v>68</v>
      </c>
      <c r="AJ34" s="450">
        <v>21</v>
      </c>
      <c r="AK34" s="542" t="str">
        <f t="shared" si="5"/>
        <v>○</v>
      </c>
      <c r="AL34" s="451" t="str">
        <f t="shared" si="6"/>
        <v>申請しない場合は入力不要です。</v>
      </c>
      <c r="AN34" s="565" t="str">
        <f t="shared" si="7"/>
        <v/>
      </c>
    </row>
    <row r="35" spans="1:40" ht="20.100000000000001" customHeight="1" x14ac:dyDescent="0.4">
      <c r="A35" s="226">
        <v>22</v>
      </c>
      <c r="B35" s="593" t="str">
        <f t="shared" si="8"/>
        <v/>
      </c>
      <c r="C35" s="581" t="str">
        <f t="shared" si="2"/>
        <v/>
      </c>
      <c r="D35" s="567"/>
      <c r="E35" s="1618"/>
      <c r="F35" s="1619"/>
      <c r="G35" s="1620"/>
      <c r="H35" s="566"/>
      <c r="I35" s="560"/>
      <c r="J35" s="561"/>
      <c r="K35" s="225"/>
      <c r="L35" s="530"/>
      <c r="M35" s="530"/>
      <c r="N35" s="530"/>
      <c r="O35" s="140">
        <f t="shared" si="3"/>
        <v>0</v>
      </c>
      <c r="P35" s="141">
        <f t="shared" si="11"/>
        <v>0</v>
      </c>
      <c r="Q35" s="142" t="str">
        <f xml:space="preserve">
IF(AND(AK35="◎",OR(テーブル!$B$3="交付申請",テーブル!$B$3="交付申請（２次以降）",テーブル!$B$3="変更申請")),"－",
IF(AND(AK35&lt;&gt;"◎",OR(テーブル!$B$3="交付申請",テーブル!$B$3="交付申請（２次以降）",テーブル!$B$3="変更申請")),"",
IF(AND(OR(テーブル!$B$3="実績報告",テーブル!$B$3="交付申請兼実績報告"),AK35="◎"),COUNTIF($AK$14:AK35,"◎"),"")))</f>
        <v/>
      </c>
      <c r="R35" s="142" t="str">
        <f t="shared" si="10"/>
        <v/>
      </c>
      <c r="AI35" s="444" t="s">
        <v>68</v>
      </c>
      <c r="AJ35" s="450">
        <v>22</v>
      </c>
      <c r="AK35" s="542" t="str">
        <f t="shared" si="5"/>
        <v>○</v>
      </c>
      <c r="AL35" s="451" t="str">
        <f t="shared" si="6"/>
        <v>申請しない場合は入力不要です。</v>
      </c>
      <c r="AN35" s="565" t="str">
        <f t="shared" si="7"/>
        <v/>
      </c>
    </row>
    <row r="36" spans="1:40" ht="20.100000000000001" customHeight="1" x14ac:dyDescent="0.4">
      <c r="A36" s="226">
        <v>23</v>
      </c>
      <c r="B36" s="593" t="str">
        <f t="shared" si="8"/>
        <v/>
      </c>
      <c r="C36" s="581" t="str">
        <f t="shared" si="2"/>
        <v/>
      </c>
      <c r="D36" s="567"/>
      <c r="E36" s="1618"/>
      <c r="F36" s="1619"/>
      <c r="G36" s="1620"/>
      <c r="H36" s="566"/>
      <c r="I36" s="560"/>
      <c r="J36" s="561"/>
      <c r="K36" s="225"/>
      <c r="L36" s="530"/>
      <c r="M36" s="530"/>
      <c r="N36" s="530"/>
      <c r="O36" s="140">
        <f t="shared" si="3"/>
        <v>0</v>
      </c>
      <c r="P36" s="141">
        <f t="shared" si="11"/>
        <v>0</v>
      </c>
      <c r="Q36" s="142" t="str">
        <f xml:space="preserve">
IF(AND(AK36="◎",OR(テーブル!$B$3="交付申請",テーブル!$B$3="交付申請（２次以降）",テーブル!$B$3="変更申請")),"－",
IF(AND(AK36&lt;&gt;"◎",OR(テーブル!$B$3="交付申請",テーブル!$B$3="交付申請（２次以降）",テーブル!$B$3="変更申請")),"",
IF(AND(OR(テーブル!$B$3="実績報告",テーブル!$B$3="交付申請兼実績報告"),AK36="◎"),COUNTIF($AK$14:AK36,"◎"),"")))</f>
        <v/>
      </c>
      <c r="R36" s="142" t="str">
        <f t="shared" si="10"/>
        <v/>
      </c>
      <c r="AI36" s="444" t="s">
        <v>68</v>
      </c>
      <c r="AJ36" s="450">
        <v>23</v>
      </c>
      <c r="AK36" s="542" t="str">
        <f t="shared" si="5"/>
        <v>○</v>
      </c>
      <c r="AL36" s="451" t="str">
        <f t="shared" si="6"/>
        <v>申請しない場合は入力不要です。</v>
      </c>
      <c r="AN36" s="565" t="str">
        <f t="shared" si="7"/>
        <v/>
      </c>
    </row>
    <row r="37" spans="1:40" ht="20.100000000000001" customHeight="1" x14ac:dyDescent="0.4">
      <c r="A37" s="226">
        <v>24</v>
      </c>
      <c r="B37" s="593" t="str">
        <f t="shared" si="8"/>
        <v/>
      </c>
      <c r="C37" s="581" t="str">
        <f t="shared" si="2"/>
        <v/>
      </c>
      <c r="D37" s="567"/>
      <c r="E37" s="1618"/>
      <c r="F37" s="1619"/>
      <c r="G37" s="1620"/>
      <c r="H37" s="566"/>
      <c r="I37" s="560"/>
      <c r="J37" s="561"/>
      <c r="K37" s="225"/>
      <c r="L37" s="530"/>
      <c r="M37" s="530"/>
      <c r="N37" s="530"/>
      <c r="O37" s="140">
        <f t="shared" si="3"/>
        <v>0</v>
      </c>
      <c r="P37" s="141">
        <f t="shared" si="11"/>
        <v>0</v>
      </c>
      <c r="Q37" s="142" t="str">
        <f xml:space="preserve">
IF(AND(AK37="◎",OR(テーブル!$B$3="交付申請",テーブル!$B$3="交付申請（２次以降）",テーブル!$B$3="変更申請")),"－",
IF(AND(AK37&lt;&gt;"◎",OR(テーブル!$B$3="交付申請",テーブル!$B$3="交付申請（２次以降）",テーブル!$B$3="変更申請")),"",
IF(AND(OR(テーブル!$B$3="実績報告",テーブル!$B$3="交付申請兼実績報告"),AK37="◎"),COUNTIF($AK$14:AK37,"◎"),"")))</f>
        <v/>
      </c>
      <c r="R37" s="142" t="str">
        <f t="shared" si="10"/>
        <v/>
      </c>
      <c r="AI37" s="444" t="s">
        <v>68</v>
      </c>
      <c r="AJ37" s="450">
        <v>24</v>
      </c>
      <c r="AK37" s="542" t="str">
        <f t="shared" si="5"/>
        <v>○</v>
      </c>
      <c r="AL37" s="451" t="str">
        <f t="shared" si="6"/>
        <v>申請しない場合は入力不要です。</v>
      </c>
      <c r="AN37" s="565" t="str">
        <f t="shared" si="7"/>
        <v/>
      </c>
    </row>
    <row r="38" spans="1:40" ht="20.100000000000001" customHeight="1" x14ac:dyDescent="0.4">
      <c r="A38" s="226">
        <v>25</v>
      </c>
      <c r="B38" s="593" t="str">
        <f t="shared" si="8"/>
        <v/>
      </c>
      <c r="C38" s="581" t="str">
        <f t="shared" si="2"/>
        <v/>
      </c>
      <c r="D38" s="567"/>
      <c r="E38" s="1618"/>
      <c r="F38" s="1619"/>
      <c r="G38" s="1620"/>
      <c r="H38" s="566"/>
      <c r="I38" s="560"/>
      <c r="J38" s="561"/>
      <c r="K38" s="225"/>
      <c r="L38" s="530"/>
      <c r="M38" s="530"/>
      <c r="N38" s="530"/>
      <c r="O38" s="140">
        <f t="shared" si="3"/>
        <v>0</v>
      </c>
      <c r="P38" s="141">
        <f t="shared" si="11"/>
        <v>0</v>
      </c>
      <c r="Q38" s="142" t="str">
        <f xml:space="preserve">
IF(AND(AK38="◎",OR(テーブル!$B$3="交付申請",テーブル!$B$3="交付申請（２次以降）",テーブル!$B$3="変更申請")),"－",
IF(AND(AK38&lt;&gt;"◎",OR(テーブル!$B$3="交付申請",テーブル!$B$3="交付申請（２次以降）",テーブル!$B$3="変更申請")),"",
IF(AND(OR(テーブル!$B$3="実績報告",テーブル!$B$3="交付申請兼実績報告"),AK38="◎"),COUNTIF($AK$14:AK38,"◎"),"")))</f>
        <v/>
      </c>
      <c r="R38" s="142" t="str">
        <f t="shared" si="10"/>
        <v/>
      </c>
      <c r="AI38" s="444" t="s">
        <v>68</v>
      </c>
      <c r="AJ38" s="450">
        <v>25</v>
      </c>
      <c r="AK38" s="542" t="str">
        <f t="shared" si="5"/>
        <v>○</v>
      </c>
      <c r="AL38" s="451" t="str">
        <f t="shared" si="6"/>
        <v>申請しない場合は入力不要です。</v>
      </c>
      <c r="AN38" s="565" t="str">
        <f t="shared" si="7"/>
        <v/>
      </c>
    </row>
    <row r="39" spans="1:40" ht="20.100000000000001" customHeight="1" x14ac:dyDescent="0.4">
      <c r="A39" s="226">
        <v>26</v>
      </c>
      <c r="B39" s="593" t="str">
        <f t="shared" si="8"/>
        <v/>
      </c>
      <c r="C39" s="581" t="str">
        <f t="shared" si="2"/>
        <v/>
      </c>
      <c r="D39" s="567"/>
      <c r="E39" s="1618"/>
      <c r="F39" s="1619"/>
      <c r="G39" s="1620"/>
      <c r="H39" s="566"/>
      <c r="I39" s="560"/>
      <c r="J39" s="561"/>
      <c r="K39" s="225"/>
      <c r="L39" s="530"/>
      <c r="M39" s="530"/>
      <c r="N39" s="530"/>
      <c r="O39" s="140">
        <f t="shared" si="3"/>
        <v>0</v>
      </c>
      <c r="P39" s="141">
        <f t="shared" si="11"/>
        <v>0</v>
      </c>
      <c r="Q39" s="142" t="str">
        <f xml:space="preserve">
IF(AND(AK39="◎",OR(テーブル!$B$3="交付申請",テーブル!$B$3="交付申請（２次以降）",テーブル!$B$3="変更申請")),"－",
IF(AND(AK39&lt;&gt;"◎",OR(テーブル!$B$3="交付申請",テーブル!$B$3="交付申請（２次以降）",テーブル!$B$3="変更申請")),"",
IF(AND(OR(テーブル!$B$3="実績報告",テーブル!$B$3="交付申請兼実績報告"),AK39="◎"),COUNTIF($AK$14:AK39,"◎"),"")))</f>
        <v/>
      </c>
      <c r="R39" s="142" t="str">
        <f t="shared" si="10"/>
        <v/>
      </c>
      <c r="AI39" s="444" t="s">
        <v>68</v>
      </c>
      <c r="AJ39" s="450">
        <v>26</v>
      </c>
      <c r="AK39" s="542" t="str">
        <f t="shared" si="5"/>
        <v>○</v>
      </c>
      <c r="AL39" s="451" t="str">
        <f t="shared" si="6"/>
        <v>申請しない場合は入力不要です。</v>
      </c>
      <c r="AN39" s="565" t="str">
        <f t="shared" si="7"/>
        <v/>
      </c>
    </row>
    <row r="40" spans="1:40" ht="20.100000000000001" customHeight="1" x14ac:dyDescent="0.4">
      <c r="A40" s="226">
        <v>27</v>
      </c>
      <c r="B40" s="593" t="str">
        <f t="shared" si="8"/>
        <v/>
      </c>
      <c r="C40" s="581" t="str">
        <f t="shared" si="2"/>
        <v/>
      </c>
      <c r="D40" s="567"/>
      <c r="E40" s="1618"/>
      <c r="F40" s="1619"/>
      <c r="G40" s="1620"/>
      <c r="H40" s="566"/>
      <c r="I40" s="560"/>
      <c r="J40" s="561"/>
      <c r="K40" s="225"/>
      <c r="L40" s="530"/>
      <c r="M40" s="530"/>
      <c r="N40" s="530"/>
      <c r="O40" s="140">
        <f t="shared" si="3"/>
        <v>0</v>
      </c>
      <c r="P40" s="141">
        <f t="shared" si="11"/>
        <v>0</v>
      </c>
      <c r="Q40" s="142" t="str">
        <f xml:space="preserve">
IF(AND(AK40="◎",OR(テーブル!$B$3="交付申請",テーブル!$B$3="交付申請（２次以降）",テーブル!$B$3="変更申請")),"－",
IF(AND(AK40&lt;&gt;"◎",OR(テーブル!$B$3="交付申請",テーブル!$B$3="交付申請（２次以降）",テーブル!$B$3="変更申請")),"",
IF(AND(OR(テーブル!$B$3="実績報告",テーブル!$B$3="交付申請兼実績報告"),AK40="◎"),COUNTIF($AK$14:AK40,"◎"),"")))</f>
        <v/>
      </c>
      <c r="R40" s="142" t="str">
        <f t="shared" si="10"/>
        <v/>
      </c>
      <c r="AI40" s="444" t="s">
        <v>68</v>
      </c>
      <c r="AJ40" s="450">
        <v>27</v>
      </c>
      <c r="AK40" s="542" t="str">
        <f t="shared" si="5"/>
        <v>○</v>
      </c>
      <c r="AL40" s="451" t="str">
        <f t="shared" si="6"/>
        <v>申請しない場合は入力不要です。</v>
      </c>
      <c r="AN40" s="565" t="str">
        <f t="shared" si="7"/>
        <v/>
      </c>
    </row>
    <row r="41" spans="1:40" ht="20.100000000000001" customHeight="1" x14ac:dyDescent="0.4">
      <c r="A41" s="226">
        <v>28</v>
      </c>
      <c r="B41" s="593" t="str">
        <f t="shared" si="8"/>
        <v/>
      </c>
      <c r="C41" s="581" t="str">
        <f t="shared" si="2"/>
        <v/>
      </c>
      <c r="D41" s="567"/>
      <c r="E41" s="1618"/>
      <c r="F41" s="1619"/>
      <c r="G41" s="1620"/>
      <c r="H41" s="566"/>
      <c r="I41" s="560"/>
      <c r="J41" s="561"/>
      <c r="K41" s="225"/>
      <c r="L41" s="530"/>
      <c r="M41" s="530"/>
      <c r="N41" s="530"/>
      <c r="O41" s="140">
        <f t="shared" si="3"/>
        <v>0</v>
      </c>
      <c r="P41" s="141">
        <f t="shared" si="11"/>
        <v>0</v>
      </c>
      <c r="Q41" s="142" t="str">
        <f xml:space="preserve">
IF(AND(AK41="◎",OR(テーブル!$B$3="交付申請",テーブル!$B$3="交付申請（２次以降）",テーブル!$B$3="変更申請")),"－",
IF(AND(AK41&lt;&gt;"◎",OR(テーブル!$B$3="交付申請",テーブル!$B$3="交付申請（２次以降）",テーブル!$B$3="変更申請")),"",
IF(AND(OR(テーブル!$B$3="実績報告",テーブル!$B$3="交付申請兼実績報告"),AK41="◎"),COUNTIF($AK$14:AK41,"◎"),"")))</f>
        <v/>
      </c>
      <c r="R41" s="142" t="str">
        <f t="shared" si="10"/>
        <v/>
      </c>
      <c r="AI41" s="444" t="s">
        <v>68</v>
      </c>
      <c r="AJ41" s="450">
        <v>28</v>
      </c>
      <c r="AK41" s="542" t="str">
        <f t="shared" si="5"/>
        <v>○</v>
      </c>
      <c r="AL41" s="451" t="str">
        <f t="shared" si="6"/>
        <v>申請しない場合は入力不要です。</v>
      </c>
      <c r="AN41" s="565" t="str">
        <f t="shared" si="7"/>
        <v/>
      </c>
    </row>
    <row r="42" spans="1:40" ht="20.100000000000001" customHeight="1" x14ac:dyDescent="0.4">
      <c r="A42" s="226">
        <v>29</v>
      </c>
      <c r="B42" s="593" t="str">
        <f t="shared" si="8"/>
        <v/>
      </c>
      <c r="C42" s="581" t="str">
        <f t="shared" si="2"/>
        <v/>
      </c>
      <c r="D42" s="567"/>
      <c r="E42" s="1618"/>
      <c r="F42" s="1619"/>
      <c r="G42" s="1620"/>
      <c r="H42" s="566"/>
      <c r="I42" s="560"/>
      <c r="J42" s="561"/>
      <c r="K42" s="225"/>
      <c r="L42" s="530"/>
      <c r="M42" s="530"/>
      <c r="N42" s="530"/>
      <c r="O42" s="140">
        <f t="shared" si="3"/>
        <v>0</v>
      </c>
      <c r="P42" s="141">
        <f t="shared" si="11"/>
        <v>0</v>
      </c>
      <c r="Q42" s="142" t="str">
        <f xml:space="preserve">
IF(AND(AK42="◎",OR(テーブル!$B$3="交付申請",テーブル!$B$3="交付申請（２次以降）",テーブル!$B$3="変更申請")),"－",
IF(AND(AK42&lt;&gt;"◎",OR(テーブル!$B$3="交付申請",テーブル!$B$3="交付申請（２次以降）",テーブル!$B$3="変更申請")),"",
IF(AND(OR(テーブル!$B$3="実績報告",テーブル!$B$3="交付申請兼実績報告"),AK42="◎"),COUNTIF($AK$14:AK42,"◎"),"")))</f>
        <v/>
      </c>
      <c r="R42" s="142" t="str">
        <f t="shared" si="10"/>
        <v/>
      </c>
      <c r="AI42" s="444" t="s">
        <v>68</v>
      </c>
      <c r="AJ42" s="450">
        <v>29</v>
      </c>
      <c r="AK42" s="542" t="str">
        <f t="shared" si="5"/>
        <v>○</v>
      </c>
      <c r="AL42" s="451" t="str">
        <f t="shared" si="6"/>
        <v>申請しない場合は入力不要です。</v>
      </c>
      <c r="AN42" s="565" t="str">
        <f t="shared" si="7"/>
        <v/>
      </c>
    </row>
    <row r="43" spans="1:40" ht="20.100000000000001" customHeight="1" x14ac:dyDescent="0.4">
      <c r="A43" s="226">
        <v>30</v>
      </c>
      <c r="B43" s="593" t="str">
        <f t="shared" si="8"/>
        <v/>
      </c>
      <c r="C43" s="581" t="str">
        <f t="shared" si="2"/>
        <v/>
      </c>
      <c r="D43" s="567"/>
      <c r="E43" s="1618"/>
      <c r="F43" s="1619"/>
      <c r="G43" s="1620"/>
      <c r="H43" s="566"/>
      <c r="I43" s="560"/>
      <c r="J43" s="561"/>
      <c r="K43" s="225"/>
      <c r="L43" s="530"/>
      <c r="M43" s="530"/>
      <c r="N43" s="530"/>
      <c r="O43" s="140">
        <f t="shared" si="3"/>
        <v>0</v>
      </c>
      <c r="P43" s="141">
        <f t="shared" si="11"/>
        <v>0</v>
      </c>
      <c r="Q43" s="142" t="str">
        <f xml:space="preserve">
IF(AND(AK43="◎",OR(テーブル!$B$3="交付申請",テーブル!$B$3="交付申請（２次以降）",テーブル!$B$3="変更申請")),"－",
IF(AND(AK43&lt;&gt;"◎",OR(テーブル!$B$3="交付申請",テーブル!$B$3="交付申請（２次以降）",テーブル!$B$3="変更申請")),"",
IF(AND(OR(テーブル!$B$3="実績報告",テーブル!$B$3="交付申請兼実績報告"),AK43="◎"),COUNTIF($AK$14:AK43,"◎"),"")))</f>
        <v/>
      </c>
      <c r="R43" s="142" t="str">
        <f t="shared" si="10"/>
        <v/>
      </c>
      <c r="AI43" s="444" t="s">
        <v>68</v>
      </c>
      <c r="AJ43" s="450">
        <v>30</v>
      </c>
      <c r="AK43" s="542" t="str">
        <f t="shared" si="5"/>
        <v>○</v>
      </c>
      <c r="AL43" s="451" t="str">
        <f t="shared" si="6"/>
        <v>申請しない場合は入力不要です。</v>
      </c>
      <c r="AN43" s="565" t="str">
        <f t="shared" si="7"/>
        <v/>
      </c>
    </row>
    <row r="44" spans="1:40" ht="20.100000000000001" customHeight="1" x14ac:dyDescent="0.4">
      <c r="A44" s="226">
        <v>31</v>
      </c>
      <c r="B44" s="593" t="str">
        <f t="shared" si="8"/>
        <v/>
      </c>
      <c r="C44" s="581" t="str">
        <f t="shared" si="2"/>
        <v/>
      </c>
      <c r="D44" s="567"/>
      <c r="E44" s="1618"/>
      <c r="F44" s="1619"/>
      <c r="G44" s="1620"/>
      <c r="H44" s="566"/>
      <c r="I44" s="560"/>
      <c r="J44" s="561"/>
      <c r="K44" s="225"/>
      <c r="L44" s="530"/>
      <c r="M44" s="530"/>
      <c r="N44" s="530"/>
      <c r="O44" s="140">
        <f t="shared" si="3"/>
        <v>0</v>
      </c>
      <c r="P44" s="141">
        <f t="shared" si="11"/>
        <v>0</v>
      </c>
      <c r="Q44" s="142" t="str">
        <f xml:space="preserve">
IF(AND(AK44="◎",OR(テーブル!$B$3="交付申請",テーブル!$B$3="交付申請（２次以降）",テーブル!$B$3="変更申請")),"－",
IF(AND(AK44&lt;&gt;"◎",OR(テーブル!$B$3="交付申請",テーブル!$B$3="交付申請（２次以降）",テーブル!$B$3="変更申請")),"",
IF(AND(OR(テーブル!$B$3="実績報告",テーブル!$B$3="交付申請兼実績報告"),AK44="◎"),COUNTIF($AK$14:AK44,"◎"),"")))</f>
        <v/>
      </c>
      <c r="R44" s="142" t="str">
        <f t="shared" si="10"/>
        <v/>
      </c>
      <c r="AI44" s="444" t="s">
        <v>68</v>
      </c>
      <c r="AJ44" s="450">
        <v>31</v>
      </c>
      <c r="AK44" s="542" t="str">
        <f t="shared" si="5"/>
        <v>○</v>
      </c>
      <c r="AL44" s="451" t="str">
        <f t="shared" si="6"/>
        <v>申請しない場合は入力不要です。</v>
      </c>
      <c r="AN44" s="565" t="str">
        <f t="shared" si="7"/>
        <v/>
      </c>
    </row>
    <row r="45" spans="1:40" ht="20.100000000000001" customHeight="1" x14ac:dyDescent="0.4">
      <c r="A45" s="226">
        <v>32</v>
      </c>
      <c r="B45" s="593" t="str">
        <f t="shared" si="8"/>
        <v/>
      </c>
      <c r="C45" s="581" t="str">
        <f t="shared" si="2"/>
        <v/>
      </c>
      <c r="D45" s="567"/>
      <c r="E45" s="1618"/>
      <c r="F45" s="1619"/>
      <c r="G45" s="1620"/>
      <c r="H45" s="566"/>
      <c r="I45" s="560"/>
      <c r="J45" s="561"/>
      <c r="K45" s="225"/>
      <c r="L45" s="530"/>
      <c r="M45" s="530"/>
      <c r="N45" s="530"/>
      <c r="O45" s="140">
        <f t="shared" si="3"/>
        <v>0</v>
      </c>
      <c r="P45" s="141">
        <f t="shared" si="11"/>
        <v>0</v>
      </c>
      <c r="Q45" s="142" t="str">
        <f xml:space="preserve">
IF(AND(AK45="◎",OR(テーブル!$B$3="交付申請",テーブル!$B$3="交付申請（２次以降）",テーブル!$B$3="変更申請")),"－",
IF(AND(AK45&lt;&gt;"◎",OR(テーブル!$B$3="交付申請",テーブル!$B$3="交付申請（２次以降）",テーブル!$B$3="変更申請")),"",
IF(AND(OR(テーブル!$B$3="実績報告",テーブル!$B$3="交付申請兼実績報告"),AK45="◎"),COUNTIF($AK$14:AK45,"◎"),"")))</f>
        <v/>
      </c>
      <c r="R45" s="142" t="str">
        <f t="shared" si="10"/>
        <v/>
      </c>
      <c r="AI45" s="444" t="s">
        <v>68</v>
      </c>
      <c r="AJ45" s="450">
        <v>32</v>
      </c>
      <c r="AK45" s="542" t="str">
        <f t="shared" si="5"/>
        <v>○</v>
      </c>
      <c r="AL45" s="451" t="str">
        <f t="shared" si="6"/>
        <v>申請しない場合は入力不要です。</v>
      </c>
      <c r="AN45" s="565" t="str">
        <f t="shared" si="7"/>
        <v/>
      </c>
    </row>
    <row r="46" spans="1:40" ht="20.100000000000001" customHeight="1" x14ac:dyDescent="0.4">
      <c r="A46" s="226">
        <v>33</v>
      </c>
      <c r="B46" s="593" t="str">
        <f t="shared" si="8"/>
        <v/>
      </c>
      <c r="C46" s="581" t="str">
        <f t="shared" si="2"/>
        <v/>
      </c>
      <c r="D46" s="567"/>
      <c r="E46" s="1618"/>
      <c r="F46" s="1619"/>
      <c r="G46" s="1620"/>
      <c r="H46" s="566"/>
      <c r="I46" s="560"/>
      <c r="J46" s="561"/>
      <c r="K46" s="225"/>
      <c r="L46" s="530"/>
      <c r="M46" s="530"/>
      <c r="N46" s="530"/>
      <c r="O46" s="140">
        <f t="shared" si="3"/>
        <v>0</v>
      </c>
      <c r="P46" s="141">
        <f t="shared" si="11"/>
        <v>0</v>
      </c>
      <c r="Q46" s="142" t="str">
        <f xml:space="preserve">
IF(AND(AK46="◎",OR(テーブル!$B$3="交付申請",テーブル!$B$3="交付申請（２次以降）",テーブル!$B$3="変更申請")),"－",
IF(AND(AK46&lt;&gt;"◎",OR(テーブル!$B$3="交付申請",テーブル!$B$3="交付申請（２次以降）",テーブル!$B$3="変更申請")),"",
IF(AND(OR(テーブル!$B$3="実績報告",テーブル!$B$3="交付申請兼実績報告"),AK46="◎"),COUNTIF($AK$14:AK46,"◎"),"")))</f>
        <v/>
      </c>
      <c r="R46" s="142" t="str">
        <f t="shared" si="10"/>
        <v/>
      </c>
      <c r="AH46" s="444" t="str">
        <f>IF(E8=0,"×","○")</f>
        <v>×</v>
      </c>
      <c r="AI46" s="444" t="s">
        <v>68</v>
      </c>
      <c r="AJ46" s="450">
        <v>33</v>
      </c>
      <c r="AK46" s="542" t="str">
        <f t="shared" si="5"/>
        <v>○</v>
      </c>
      <c r="AL46" s="451" t="str">
        <f t="shared" si="6"/>
        <v>申請しない場合は入力不要です。</v>
      </c>
      <c r="AN46" s="565" t="str">
        <f t="shared" si="7"/>
        <v/>
      </c>
    </row>
    <row r="47" spans="1:40" ht="20.100000000000001" customHeight="1" x14ac:dyDescent="0.4">
      <c r="A47" s="226">
        <v>34</v>
      </c>
      <c r="B47" s="593" t="str">
        <f t="shared" si="8"/>
        <v/>
      </c>
      <c r="C47" s="581" t="str">
        <f t="shared" si="2"/>
        <v/>
      </c>
      <c r="D47" s="567"/>
      <c r="E47" s="1618"/>
      <c r="F47" s="1619"/>
      <c r="G47" s="1620"/>
      <c r="H47" s="566"/>
      <c r="I47" s="560"/>
      <c r="J47" s="561"/>
      <c r="K47" s="225"/>
      <c r="L47" s="530"/>
      <c r="M47" s="530"/>
      <c r="N47" s="530"/>
      <c r="O47" s="140">
        <f t="shared" si="3"/>
        <v>0</v>
      </c>
      <c r="P47" s="141">
        <f t="shared" si="11"/>
        <v>0</v>
      </c>
      <c r="Q47" s="142" t="str">
        <f xml:space="preserve">
IF(AND(AK47="◎",OR(テーブル!$B$3="交付申請",テーブル!$B$3="交付申請（２次以降）",テーブル!$B$3="変更申請")),"－",
IF(AND(AK47&lt;&gt;"◎",OR(テーブル!$B$3="交付申請",テーブル!$B$3="交付申請（２次以降）",テーブル!$B$3="変更申請")),"",
IF(AND(OR(テーブル!$B$3="実績報告",テーブル!$B$3="交付申請兼実績報告"),AK47="◎"),COUNTIF($AK$14:AK47,"◎"),"")))</f>
        <v/>
      </c>
      <c r="R47" s="142" t="str">
        <f t="shared" si="10"/>
        <v/>
      </c>
      <c r="AI47" s="444" t="s">
        <v>68</v>
      </c>
      <c r="AJ47" s="450">
        <v>34</v>
      </c>
      <c r="AK47" s="542" t="str">
        <f t="shared" si="5"/>
        <v>○</v>
      </c>
      <c r="AL47" s="451" t="str">
        <f t="shared" si="6"/>
        <v>申請しない場合は入力不要です。</v>
      </c>
      <c r="AN47" s="565" t="str">
        <f t="shared" si="7"/>
        <v/>
      </c>
    </row>
    <row r="48" spans="1:40" ht="20.100000000000001" customHeight="1" x14ac:dyDescent="0.4">
      <c r="A48" s="226">
        <v>35</v>
      </c>
      <c r="B48" s="593" t="str">
        <f t="shared" si="8"/>
        <v/>
      </c>
      <c r="C48" s="581" t="str">
        <f t="shared" si="2"/>
        <v/>
      </c>
      <c r="D48" s="567"/>
      <c r="E48" s="1618"/>
      <c r="F48" s="1619"/>
      <c r="G48" s="1620"/>
      <c r="H48" s="566"/>
      <c r="I48" s="560"/>
      <c r="J48" s="561"/>
      <c r="K48" s="225"/>
      <c r="L48" s="530"/>
      <c r="M48" s="530"/>
      <c r="N48" s="530"/>
      <c r="O48" s="140">
        <f t="shared" si="3"/>
        <v>0</v>
      </c>
      <c r="P48" s="141">
        <f t="shared" si="11"/>
        <v>0</v>
      </c>
      <c r="Q48" s="142" t="str">
        <f xml:space="preserve">
IF(AND(AK48="◎",OR(テーブル!$B$3="交付申請",テーブル!$B$3="交付申請（２次以降）",テーブル!$B$3="変更申請")),"－",
IF(AND(AK48&lt;&gt;"◎",OR(テーブル!$B$3="交付申請",テーブル!$B$3="交付申請（２次以降）",テーブル!$B$3="変更申請")),"",
IF(AND(OR(テーブル!$B$3="実績報告",テーブル!$B$3="交付申請兼実績報告"),AK48="◎"),COUNTIF($AK$14:AK48,"◎"),"")))</f>
        <v/>
      </c>
      <c r="R48" s="142" t="str">
        <f t="shared" si="10"/>
        <v/>
      </c>
      <c r="AI48" s="444" t="s">
        <v>68</v>
      </c>
      <c r="AJ48" s="450">
        <v>35</v>
      </c>
      <c r="AK48" s="542" t="str">
        <f t="shared" si="5"/>
        <v>○</v>
      </c>
      <c r="AL48" s="451" t="str">
        <f t="shared" si="6"/>
        <v>申請しない場合は入力不要です。</v>
      </c>
      <c r="AN48" s="565" t="str">
        <f t="shared" si="7"/>
        <v/>
      </c>
    </row>
    <row r="49" spans="1:40" ht="20.100000000000001" customHeight="1" x14ac:dyDescent="0.4">
      <c r="A49" s="226">
        <v>36</v>
      </c>
      <c r="B49" s="593" t="str">
        <f t="shared" si="8"/>
        <v/>
      </c>
      <c r="C49" s="581" t="str">
        <f t="shared" si="2"/>
        <v/>
      </c>
      <c r="D49" s="567"/>
      <c r="E49" s="1618"/>
      <c r="F49" s="1619"/>
      <c r="G49" s="1620"/>
      <c r="H49" s="566"/>
      <c r="I49" s="560"/>
      <c r="J49" s="561"/>
      <c r="K49" s="225"/>
      <c r="L49" s="530"/>
      <c r="M49" s="530"/>
      <c r="N49" s="530"/>
      <c r="O49" s="140">
        <f t="shared" si="3"/>
        <v>0</v>
      </c>
      <c r="P49" s="141">
        <f t="shared" si="11"/>
        <v>0</v>
      </c>
      <c r="Q49" s="142" t="str">
        <f xml:space="preserve">
IF(AND(AK49="◎",OR(テーブル!$B$3="交付申請",テーブル!$B$3="交付申請（２次以降）",テーブル!$B$3="変更申請")),"－",
IF(AND(AK49&lt;&gt;"◎",OR(テーブル!$B$3="交付申請",テーブル!$B$3="交付申請（２次以降）",テーブル!$B$3="変更申請")),"",
IF(AND(OR(テーブル!$B$3="実績報告",テーブル!$B$3="交付申請兼実績報告"),AK49="◎"),COUNTIF($AK$14:AK49,"◎"),"")))</f>
        <v/>
      </c>
      <c r="R49" s="142" t="str">
        <f t="shared" si="10"/>
        <v/>
      </c>
      <c r="AI49" s="444" t="s">
        <v>68</v>
      </c>
      <c r="AJ49" s="450">
        <v>36</v>
      </c>
      <c r="AK49" s="542" t="str">
        <f t="shared" si="5"/>
        <v>○</v>
      </c>
      <c r="AL49" s="451" t="str">
        <f t="shared" si="6"/>
        <v>申請しない場合は入力不要です。</v>
      </c>
      <c r="AN49" s="565" t="str">
        <f t="shared" si="7"/>
        <v/>
      </c>
    </row>
    <row r="50" spans="1:40" ht="20.100000000000001" customHeight="1" x14ac:dyDescent="0.4">
      <c r="A50" s="226">
        <v>37</v>
      </c>
      <c r="B50" s="593" t="str">
        <f t="shared" si="8"/>
        <v/>
      </c>
      <c r="C50" s="581" t="str">
        <f t="shared" si="2"/>
        <v/>
      </c>
      <c r="D50" s="567"/>
      <c r="E50" s="1618"/>
      <c r="F50" s="1619"/>
      <c r="G50" s="1620"/>
      <c r="H50" s="566"/>
      <c r="I50" s="560"/>
      <c r="J50" s="561"/>
      <c r="K50" s="225"/>
      <c r="L50" s="530"/>
      <c r="M50" s="530"/>
      <c r="N50" s="530"/>
      <c r="O50" s="140">
        <f t="shared" si="3"/>
        <v>0</v>
      </c>
      <c r="P50" s="141">
        <f t="shared" si="11"/>
        <v>0</v>
      </c>
      <c r="Q50" s="142" t="str">
        <f xml:space="preserve">
IF(AND(AK50="◎",OR(テーブル!$B$3="交付申請",テーブル!$B$3="交付申請（２次以降）",テーブル!$B$3="変更申請")),"－",
IF(AND(AK50&lt;&gt;"◎",OR(テーブル!$B$3="交付申請",テーブル!$B$3="交付申請（２次以降）",テーブル!$B$3="変更申請")),"",
IF(AND(OR(テーブル!$B$3="実績報告",テーブル!$B$3="交付申請兼実績報告"),AK50="◎"),COUNTIF($AK$14:AK50,"◎"),"")))</f>
        <v/>
      </c>
      <c r="R50" s="142" t="str">
        <f t="shared" si="10"/>
        <v/>
      </c>
      <c r="AI50" s="444" t="s">
        <v>68</v>
      </c>
      <c r="AJ50" s="450">
        <v>37</v>
      </c>
      <c r="AK50" s="542" t="str">
        <f t="shared" si="5"/>
        <v>○</v>
      </c>
      <c r="AL50" s="451" t="str">
        <f t="shared" si="6"/>
        <v>申請しない場合は入力不要です。</v>
      </c>
      <c r="AN50" s="565" t="str">
        <f t="shared" si="7"/>
        <v/>
      </c>
    </row>
    <row r="51" spans="1:40" ht="20.100000000000001" customHeight="1" x14ac:dyDescent="0.4">
      <c r="A51" s="226">
        <v>38</v>
      </c>
      <c r="B51" s="593" t="str">
        <f t="shared" si="8"/>
        <v/>
      </c>
      <c r="C51" s="581" t="str">
        <f t="shared" si="2"/>
        <v/>
      </c>
      <c r="D51" s="567"/>
      <c r="E51" s="1618"/>
      <c r="F51" s="1619"/>
      <c r="G51" s="1620"/>
      <c r="H51" s="566"/>
      <c r="I51" s="560"/>
      <c r="J51" s="561"/>
      <c r="K51" s="225"/>
      <c r="L51" s="530"/>
      <c r="M51" s="530"/>
      <c r="N51" s="530"/>
      <c r="O51" s="140">
        <f t="shared" si="3"/>
        <v>0</v>
      </c>
      <c r="P51" s="141">
        <f t="shared" si="11"/>
        <v>0</v>
      </c>
      <c r="Q51" s="142" t="str">
        <f xml:space="preserve">
IF(AND(AK51="◎",OR(テーブル!$B$3="交付申請",テーブル!$B$3="交付申請（２次以降）",テーブル!$B$3="変更申請")),"－",
IF(AND(AK51&lt;&gt;"◎",OR(テーブル!$B$3="交付申請",テーブル!$B$3="交付申請（２次以降）",テーブル!$B$3="変更申請")),"",
IF(AND(OR(テーブル!$B$3="実績報告",テーブル!$B$3="交付申請兼実績報告"),AK51="◎"),COUNTIF($AK$14:AK51,"◎"),"")))</f>
        <v/>
      </c>
      <c r="R51" s="142" t="str">
        <f t="shared" si="10"/>
        <v/>
      </c>
      <c r="AI51" s="444" t="s">
        <v>68</v>
      </c>
      <c r="AJ51" s="450">
        <v>38</v>
      </c>
      <c r="AK51" s="542" t="str">
        <f t="shared" si="5"/>
        <v>○</v>
      </c>
      <c r="AL51" s="451" t="str">
        <f t="shared" si="6"/>
        <v>申請しない場合は入力不要です。</v>
      </c>
      <c r="AN51" s="565" t="str">
        <f t="shared" si="7"/>
        <v/>
      </c>
    </row>
    <row r="52" spans="1:40" ht="20.100000000000001" customHeight="1" x14ac:dyDescent="0.4">
      <c r="A52" s="226">
        <v>39</v>
      </c>
      <c r="B52" s="593" t="str">
        <f t="shared" si="8"/>
        <v/>
      </c>
      <c r="C52" s="581" t="str">
        <f t="shared" si="2"/>
        <v/>
      </c>
      <c r="D52" s="567"/>
      <c r="E52" s="1618"/>
      <c r="F52" s="1619"/>
      <c r="G52" s="1620"/>
      <c r="H52" s="566"/>
      <c r="I52" s="560"/>
      <c r="J52" s="561"/>
      <c r="K52" s="225"/>
      <c r="L52" s="530"/>
      <c r="M52" s="530"/>
      <c r="N52" s="530"/>
      <c r="O52" s="140">
        <f t="shared" si="3"/>
        <v>0</v>
      </c>
      <c r="P52" s="141">
        <f t="shared" si="11"/>
        <v>0</v>
      </c>
      <c r="Q52" s="142" t="str">
        <f xml:space="preserve">
IF(AND(AK52="◎",OR(テーブル!$B$3="交付申請",テーブル!$B$3="交付申請（２次以降）",テーブル!$B$3="変更申請")),"－",
IF(AND(AK52&lt;&gt;"◎",OR(テーブル!$B$3="交付申請",テーブル!$B$3="交付申請（２次以降）",テーブル!$B$3="変更申請")),"",
IF(AND(OR(テーブル!$B$3="実績報告",テーブル!$B$3="交付申請兼実績報告"),AK52="◎"),COUNTIF($AK$14:AK52,"◎"),"")))</f>
        <v/>
      </c>
      <c r="R52" s="142" t="str">
        <f t="shared" si="10"/>
        <v/>
      </c>
      <c r="AI52" s="444" t="s">
        <v>68</v>
      </c>
      <c r="AJ52" s="450">
        <v>39</v>
      </c>
      <c r="AK52" s="542" t="str">
        <f t="shared" si="5"/>
        <v>○</v>
      </c>
      <c r="AL52" s="451" t="str">
        <f t="shared" si="6"/>
        <v>申請しない場合は入力不要です。</v>
      </c>
      <c r="AN52" s="565" t="str">
        <f t="shared" si="7"/>
        <v/>
      </c>
    </row>
    <row r="53" spans="1:40" ht="20.100000000000001" customHeight="1" x14ac:dyDescent="0.4">
      <c r="A53" s="226">
        <v>40</v>
      </c>
      <c r="B53" s="593" t="str">
        <f t="shared" si="8"/>
        <v/>
      </c>
      <c r="C53" s="581" t="str">
        <f t="shared" si="2"/>
        <v/>
      </c>
      <c r="D53" s="567"/>
      <c r="E53" s="1618"/>
      <c r="F53" s="1619"/>
      <c r="G53" s="1620"/>
      <c r="H53" s="566"/>
      <c r="I53" s="560"/>
      <c r="J53" s="561"/>
      <c r="K53" s="225"/>
      <c r="L53" s="530"/>
      <c r="M53" s="530"/>
      <c r="N53" s="530"/>
      <c r="O53" s="140">
        <f t="shared" si="3"/>
        <v>0</v>
      </c>
      <c r="P53" s="141">
        <f t="shared" si="11"/>
        <v>0</v>
      </c>
      <c r="Q53" s="142" t="str">
        <f xml:space="preserve">
IF(AND(AK53="◎",OR(テーブル!$B$3="交付申請",テーブル!$B$3="交付申請（２次以降）",テーブル!$B$3="変更申請")),"－",
IF(AND(AK53&lt;&gt;"◎",OR(テーブル!$B$3="交付申請",テーブル!$B$3="交付申請（２次以降）",テーブル!$B$3="変更申請")),"",
IF(AND(OR(テーブル!$B$3="実績報告",テーブル!$B$3="交付申請兼実績報告"),AK53="◎"),COUNTIF($AK$14:AK53,"◎"),"")))</f>
        <v/>
      </c>
      <c r="R53" s="142" t="str">
        <f t="shared" si="10"/>
        <v/>
      </c>
      <c r="AI53" s="444" t="s">
        <v>68</v>
      </c>
      <c r="AJ53" s="450">
        <v>40</v>
      </c>
      <c r="AK53" s="542" t="str">
        <f t="shared" si="5"/>
        <v>○</v>
      </c>
      <c r="AL53" s="451" t="str">
        <f t="shared" si="6"/>
        <v>申請しない場合は入力不要です。</v>
      </c>
      <c r="AN53" s="565" t="str">
        <f t="shared" si="7"/>
        <v/>
      </c>
    </row>
    <row r="54" spans="1:40" ht="20.100000000000001" customHeight="1" x14ac:dyDescent="0.4">
      <c r="A54" s="226">
        <v>41</v>
      </c>
      <c r="B54" s="593" t="str">
        <f t="shared" si="8"/>
        <v/>
      </c>
      <c r="C54" s="581" t="str">
        <f t="shared" si="2"/>
        <v/>
      </c>
      <c r="D54" s="567"/>
      <c r="E54" s="1618"/>
      <c r="F54" s="1619"/>
      <c r="G54" s="1620"/>
      <c r="H54" s="566"/>
      <c r="I54" s="560"/>
      <c r="J54" s="561"/>
      <c r="K54" s="225"/>
      <c r="L54" s="530"/>
      <c r="M54" s="530"/>
      <c r="N54" s="530"/>
      <c r="O54" s="140">
        <f t="shared" si="3"/>
        <v>0</v>
      </c>
      <c r="P54" s="141">
        <f t="shared" si="11"/>
        <v>0</v>
      </c>
      <c r="Q54" s="142" t="str">
        <f xml:space="preserve">
IF(AND(AK54="◎",OR(テーブル!$B$3="交付申請",テーブル!$B$3="交付申請（２次以降）",テーブル!$B$3="変更申請")),"－",
IF(AND(AK54&lt;&gt;"◎",OR(テーブル!$B$3="交付申請",テーブル!$B$3="交付申請（２次以降）",テーブル!$B$3="変更申請")),"",
IF(AND(OR(テーブル!$B$3="実績報告",テーブル!$B$3="交付申請兼実績報告"),AK54="◎"),COUNTIF($AK$14:AK54,"◎"),"")))</f>
        <v/>
      </c>
      <c r="R54" s="142" t="str">
        <f t="shared" si="10"/>
        <v/>
      </c>
      <c r="AI54" s="444" t="s">
        <v>68</v>
      </c>
      <c r="AJ54" s="450">
        <v>41</v>
      </c>
      <c r="AK54" s="542" t="str">
        <f t="shared" si="5"/>
        <v>○</v>
      </c>
      <c r="AL54" s="451" t="str">
        <f t="shared" si="6"/>
        <v>申請しない場合は入力不要です。</v>
      </c>
      <c r="AN54" s="565" t="str">
        <f t="shared" si="7"/>
        <v/>
      </c>
    </row>
    <row r="55" spans="1:40" ht="20.100000000000001" customHeight="1" x14ac:dyDescent="0.4">
      <c r="A55" s="226">
        <v>42</v>
      </c>
      <c r="B55" s="593" t="str">
        <f t="shared" si="8"/>
        <v/>
      </c>
      <c r="C55" s="581" t="str">
        <f t="shared" si="2"/>
        <v/>
      </c>
      <c r="D55" s="567"/>
      <c r="E55" s="1618"/>
      <c r="F55" s="1619"/>
      <c r="G55" s="1620"/>
      <c r="H55" s="566"/>
      <c r="I55" s="560"/>
      <c r="J55" s="561"/>
      <c r="K55" s="225"/>
      <c r="L55" s="530"/>
      <c r="M55" s="530"/>
      <c r="N55" s="530"/>
      <c r="O55" s="140">
        <f t="shared" si="3"/>
        <v>0</v>
      </c>
      <c r="P55" s="141">
        <f t="shared" si="11"/>
        <v>0</v>
      </c>
      <c r="Q55" s="142" t="str">
        <f xml:space="preserve">
IF(AND(AK55="◎",OR(テーブル!$B$3="交付申請",テーブル!$B$3="交付申請（２次以降）",テーブル!$B$3="変更申請")),"－",
IF(AND(AK55&lt;&gt;"◎",OR(テーブル!$B$3="交付申請",テーブル!$B$3="交付申請（２次以降）",テーブル!$B$3="変更申請")),"",
IF(AND(OR(テーブル!$B$3="実績報告",テーブル!$B$3="交付申請兼実績報告"),AK55="◎"),COUNTIF($AK$14:AK55,"◎"),"")))</f>
        <v/>
      </c>
      <c r="R55" s="142" t="str">
        <f t="shared" si="10"/>
        <v/>
      </c>
      <c r="AI55" s="444" t="s">
        <v>68</v>
      </c>
      <c r="AJ55" s="450">
        <v>42</v>
      </c>
      <c r="AK55" s="542" t="str">
        <f t="shared" si="5"/>
        <v>○</v>
      </c>
      <c r="AL55" s="451" t="str">
        <f t="shared" si="6"/>
        <v>申請しない場合は入力不要です。</v>
      </c>
      <c r="AN55" s="565" t="str">
        <f t="shared" si="7"/>
        <v/>
      </c>
    </row>
    <row r="56" spans="1:40" ht="20.100000000000001" customHeight="1" x14ac:dyDescent="0.4">
      <c r="A56" s="226">
        <v>43</v>
      </c>
      <c r="B56" s="593" t="str">
        <f t="shared" si="8"/>
        <v/>
      </c>
      <c r="C56" s="581" t="str">
        <f t="shared" si="2"/>
        <v/>
      </c>
      <c r="D56" s="567"/>
      <c r="E56" s="1618"/>
      <c r="F56" s="1619"/>
      <c r="G56" s="1620"/>
      <c r="H56" s="566"/>
      <c r="I56" s="560"/>
      <c r="J56" s="561"/>
      <c r="K56" s="225"/>
      <c r="L56" s="530"/>
      <c r="M56" s="530"/>
      <c r="N56" s="530"/>
      <c r="O56" s="140">
        <f t="shared" si="3"/>
        <v>0</v>
      </c>
      <c r="P56" s="141">
        <f t="shared" si="11"/>
        <v>0</v>
      </c>
      <c r="Q56" s="142" t="str">
        <f xml:space="preserve">
IF(AND(AK56="◎",OR(テーブル!$B$3="交付申請",テーブル!$B$3="交付申請（２次以降）",テーブル!$B$3="変更申請")),"－",
IF(AND(AK56&lt;&gt;"◎",OR(テーブル!$B$3="交付申請",テーブル!$B$3="交付申請（２次以降）",テーブル!$B$3="変更申請")),"",
IF(AND(OR(テーブル!$B$3="実績報告",テーブル!$B$3="交付申請兼実績報告"),AK56="◎"),COUNTIF($AK$14:AK56,"◎"),"")))</f>
        <v/>
      </c>
      <c r="R56" s="142" t="str">
        <f t="shared" si="10"/>
        <v/>
      </c>
      <c r="AI56" s="444" t="s">
        <v>68</v>
      </c>
      <c r="AJ56" s="450">
        <v>43</v>
      </c>
      <c r="AK56" s="542" t="str">
        <f t="shared" si="5"/>
        <v>○</v>
      </c>
      <c r="AL56" s="451" t="str">
        <f t="shared" si="6"/>
        <v>申請しない場合は入力不要です。</v>
      </c>
      <c r="AN56" s="565" t="str">
        <f t="shared" si="7"/>
        <v/>
      </c>
    </row>
    <row r="57" spans="1:40" ht="20.100000000000001" customHeight="1" x14ac:dyDescent="0.4">
      <c r="A57" s="226">
        <v>44</v>
      </c>
      <c r="B57" s="593" t="str">
        <f t="shared" si="8"/>
        <v/>
      </c>
      <c r="C57" s="581" t="str">
        <f t="shared" si="2"/>
        <v/>
      </c>
      <c r="D57" s="567"/>
      <c r="E57" s="1618"/>
      <c r="F57" s="1619"/>
      <c r="G57" s="1620"/>
      <c r="H57" s="566"/>
      <c r="I57" s="560"/>
      <c r="J57" s="561"/>
      <c r="K57" s="225"/>
      <c r="L57" s="530"/>
      <c r="M57" s="530"/>
      <c r="N57" s="530"/>
      <c r="O57" s="140">
        <f t="shared" si="3"/>
        <v>0</v>
      </c>
      <c r="P57" s="141">
        <f t="shared" si="11"/>
        <v>0</v>
      </c>
      <c r="Q57" s="142" t="str">
        <f xml:space="preserve">
IF(AND(AK57="◎",OR(テーブル!$B$3="交付申請",テーブル!$B$3="交付申請（２次以降）",テーブル!$B$3="変更申請")),"－",
IF(AND(AK57&lt;&gt;"◎",OR(テーブル!$B$3="交付申請",テーブル!$B$3="交付申請（２次以降）",テーブル!$B$3="変更申請")),"",
IF(AND(OR(テーブル!$B$3="実績報告",テーブル!$B$3="交付申請兼実績報告"),AK57="◎"),COUNTIF($AK$14:AK57,"◎"),"")))</f>
        <v/>
      </c>
      <c r="R57" s="142" t="str">
        <f t="shared" si="10"/>
        <v/>
      </c>
      <c r="AI57" s="444" t="s">
        <v>68</v>
      </c>
      <c r="AJ57" s="450">
        <v>44</v>
      </c>
      <c r="AK57" s="542" t="str">
        <f t="shared" si="5"/>
        <v>○</v>
      </c>
      <c r="AL57" s="451" t="str">
        <f t="shared" si="6"/>
        <v>申請しない場合は入力不要です。</v>
      </c>
      <c r="AN57" s="565" t="str">
        <f t="shared" si="7"/>
        <v/>
      </c>
    </row>
    <row r="58" spans="1:40" ht="20.100000000000001" customHeight="1" x14ac:dyDescent="0.4">
      <c r="A58" s="226">
        <v>45</v>
      </c>
      <c r="B58" s="593" t="str">
        <f t="shared" si="8"/>
        <v/>
      </c>
      <c r="C58" s="581" t="str">
        <f t="shared" si="2"/>
        <v/>
      </c>
      <c r="D58" s="567"/>
      <c r="E58" s="1618"/>
      <c r="F58" s="1619"/>
      <c r="G58" s="1620"/>
      <c r="H58" s="566"/>
      <c r="I58" s="560"/>
      <c r="J58" s="561"/>
      <c r="K58" s="225"/>
      <c r="L58" s="530"/>
      <c r="M58" s="530"/>
      <c r="N58" s="530"/>
      <c r="O58" s="140">
        <f t="shared" si="3"/>
        <v>0</v>
      </c>
      <c r="P58" s="141">
        <f t="shared" si="11"/>
        <v>0</v>
      </c>
      <c r="Q58" s="142" t="str">
        <f xml:space="preserve">
IF(AND(AK58="◎",OR(テーブル!$B$3="交付申請",テーブル!$B$3="交付申請（２次以降）",テーブル!$B$3="変更申請")),"－",
IF(AND(AK58&lt;&gt;"◎",OR(テーブル!$B$3="交付申請",テーブル!$B$3="交付申請（２次以降）",テーブル!$B$3="変更申請")),"",
IF(AND(OR(テーブル!$B$3="実績報告",テーブル!$B$3="交付申請兼実績報告"),AK58="◎"),COUNTIF($AK$14:AK58,"◎"),"")))</f>
        <v/>
      </c>
      <c r="R58" s="142" t="str">
        <f t="shared" si="10"/>
        <v/>
      </c>
      <c r="AI58" s="444" t="s">
        <v>68</v>
      </c>
      <c r="AJ58" s="450">
        <v>45</v>
      </c>
      <c r="AK58" s="542" t="str">
        <f t="shared" si="5"/>
        <v>○</v>
      </c>
      <c r="AL58" s="451" t="str">
        <f t="shared" si="6"/>
        <v>申請しない場合は入力不要です。</v>
      </c>
      <c r="AN58" s="565" t="str">
        <f t="shared" si="7"/>
        <v/>
      </c>
    </row>
    <row r="59" spans="1:40" ht="20.100000000000001" customHeight="1" x14ac:dyDescent="0.4">
      <c r="A59" s="226">
        <v>46</v>
      </c>
      <c r="B59" s="593" t="str">
        <f t="shared" si="8"/>
        <v/>
      </c>
      <c r="C59" s="581" t="str">
        <f t="shared" si="2"/>
        <v/>
      </c>
      <c r="D59" s="567"/>
      <c r="E59" s="1618"/>
      <c r="F59" s="1619"/>
      <c r="G59" s="1620"/>
      <c r="H59" s="566"/>
      <c r="I59" s="560"/>
      <c r="J59" s="561"/>
      <c r="K59" s="225"/>
      <c r="L59" s="530"/>
      <c r="M59" s="530"/>
      <c r="N59" s="530"/>
      <c r="O59" s="140">
        <f t="shared" si="3"/>
        <v>0</v>
      </c>
      <c r="P59" s="141">
        <f t="shared" si="11"/>
        <v>0</v>
      </c>
      <c r="Q59" s="142" t="str">
        <f xml:space="preserve">
IF(AND(AK59="◎",OR(テーブル!$B$3="交付申請",テーブル!$B$3="交付申請（２次以降）",テーブル!$B$3="変更申請")),"－",
IF(AND(AK59&lt;&gt;"◎",OR(テーブル!$B$3="交付申請",テーブル!$B$3="交付申請（２次以降）",テーブル!$B$3="変更申請")),"",
IF(AND(OR(テーブル!$B$3="実績報告",テーブル!$B$3="交付申請兼実績報告"),AK59="◎"),COUNTIF($AK$14:AK59,"◎"),"")))</f>
        <v/>
      </c>
      <c r="R59" s="142" t="str">
        <f t="shared" si="10"/>
        <v/>
      </c>
      <c r="AI59" s="444" t="s">
        <v>68</v>
      </c>
      <c r="AJ59" s="450">
        <v>46</v>
      </c>
      <c r="AK59" s="542" t="str">
        <f t="shared" si="5"/>
        <v>○</v>
      </c>
      <c r="AL59" s="451" t="str">
        <f t="shared" si="6"/>
        <v>申請しない場合は入力不要です。</v>
      </c>
      <c r="AN59" s="565" t="str">
        <f t="shared" si="7"/>
        <v/>
      </c>
    </row>
    <row r="60" spans="1:40" ht="20.100000000000001" customHeight="1" x14ac:dyDescent="0.4">
      <c r="A60" s="226">
        <v>47</v>
      </c>
      <c r="B60" s="593" t="str">
        <f t="shared" si="8"/>
        <v/>
      </c>
      <c r="C60" s="581" t="str">
        <f t="shared" si="2"/>
        <v/>
      </c>
      <c r="D60" s="567"/>
      <c r="E60" s="1618"/>
      <c r="F60" s="1619"/>
      <c r="G60" s="1620"/>
      <c r="H60" s="566"/>
      <c r="I60" s="560"/>
      <c r="J60" s="561"/>
      <c r="K60" s="225"/>
      <c r="L60" s="530"/>
      <c r="M60" s="530"/>
      <c r="N60" s="530"/>
      <c r="O60" s="140">
        <f t="shared" si="3"/>
        <v>0</v>
      </c>
      <c r="P60" s="141">
        <f t="shared" si="11"/>
        <v>0</v>
      </c>
      <c r="Q60" s="142" t="str">
        <f xml:space="preserve">
IF(AND(AK60="◎",OR(テーブル!$B$3="交付申請",テーブル!$B$3="交付申請（２次以降）",テーブル!$B$3="変更申請")),"－",
IF(AND(AK60&lt;&gt;"◎",OR(テーブル!$B$3="交付申請",テーブル!$B$3="交付申請（２次以降）",テーブル!$B$3="変更申請")),"",
IF(AND(OR(テーブル!$B$3="実績報告",テーブル!$B$3="交付申請兼実績報告"),AK60="◎"),COUNTIF($AK$14:AK60,"◎"),"")))</f>
        <v/>
      </c>
      <c r="R60" s="142" t="str">
        <f t="shared" si="10"/>
        <v/>
      </c>
      <c r="AI60" s="444" t="s">
        <v>68</v>
      </c>
      <c r="AJ60" s="450">
        <v>47</v>
      </c>
      <c r="AK60" s="542" t="str">
        <f t="shared" si="5"/>
        <v>○</v>
      </c>
      <c r="AL60" s="451" t="str">
        <f t="shared" si="6"/>
        <v>申請しない場合は入力不要です。</v>
      </c>
      <c r="AN60" s="565" t="str">
        <f t="shared" si="7"/>
        <v/>
      </c>
    </row>
    <row r="61" spans="1:40" ht="20.100000000000001" customHeight="1" x14ac:dyDescent="0.4">
      <c r="A61" s="226">
        <v>48</v>
      </c>
      <c r="B61" s="593" t="str">
        <f t="shared" si="8"/>
        <v/>
      </c>
      <c r="C61" s="581" t="str">
        <f t="shared" si="2"/>
        <v/>
      </c>
      <c r="D61" s="567"/>
      <c r="E61" s="1618"/>
      <c r="F61" s="1619"/>
      <c r="G61" s="1620"/>
      <c r="H61" s="566"/>
      <c r="I61" s="560"/>
      <c r="J61" s="561"/>
      <c r="K61" s="225"/>
      <c r="L61" s="530"/>
      <c r="M61" s="530"/>
      <c r="N61" s="530"/>
      <c r="O61" s="140">
        <f t="shared" si="3"/>
        <v>0</v>
      </c>
      <c r="P61" s="141">
        <f t="shared" si="11"/>
        <v>0</v>
      </c>
      <c r="Q61" s="142" t="str">
        <f xml:space="preserve">
IF(AND(AK61="◎",OR(テーブル!$B$3="交付申請",テーブル!$B$3="交付申請（２次以降）",テーブル!$B$3="変更申請")),"－",
IF(AND(AK61&lt;&gt;"◎",OR(テーブル!$B$3="交付申請",テーブル!$B$3="交付申請（２次以降）",テーブル!$B$3="変更申請")),"",
IF(AND(OR(テーブル!$B$3="実績報告",テーブル!$B$3="交付申請兼実績報告"),AK61="◎"),COUNTIF($AK$14:AK61,"◎"),"")))</f>
        <v/>
      </c>
      <c r="R61" s="142" t="str">
        <f t="shared" si="10"/>
        <v/>
      </c>
      <c r="AI61" s="444" t="s">
        <v>68</v>
      </c>
      <c r="AJ61" s="450">
        <v>48</v>
      </c>
      <c r="AK61" s="542" t="str">
        <f t="shared" si="5"/>
        <v>○</v>
      </c>
      <c r="AL61" s="451" t="str">
        <f t="shared" si="6"/>
        <v>申請しない場合は入力不要です。</v>
      </c>
      <c r="AN61" s="565" t="str">
        <f t="shared" si="7"/>
        <v/>
      </c>
    </row>
    <row r="62" spans="1:40" ht="20.100000000000001" customHeight="1" x14ac:dyDescent="0.4">
      <c r="A62" s="226">
        <v>49</v>
      </c>
      <c r="B62" s="593" t="str">
        <f t="shared" si="8"/>
        <v/>
      </c>
      <c r="C62" s="581" t="str">
        <f t="shared" si="2"/>
        <v/>
      </c>
      <c r="D62" s="567"/>
      <c r="E62" s="1618"/>
      <c r="F62" s="1619"/>
      <c r="G62" s="1620"/>
      <c r="H62" s="566"/>
      <c r="I62" s="560"/>
      <c r="J62" s="561"/>
      <c r="K62" s="225"/>
      <c r="L62" s="530"/>
      <c r="M62" s="530"/>
      <c r="N62" s="530"/>
      <c r="O62" s="140">
        <f t="shared" si="3"/>
        <v>0</v>
      </c>
      <c r="P62" s="141">
        <f t="shared" si="11"/>
        <v>0</v>
      </c>
      <c r="Q62" s="142" t="str">
        <f xml:space="preserve">
IF(AND(AK62="◎",OR(テーブル!$B$3="交付申請",テーブル!$B$3="交付申請（２次以降）",テーブル!$B$3="変更申請")),"－",
IF(AND(AK62&lt;&gt;"◎",OR(テーブル!$B$3="交付申請",テーブル!$B$3="交付申請（２次以降）",テーブル!$B$3="変更申請")),"",
IF(AND(OR(テーブル!$B$3="実績報告",テーブル!$B$3="交付申請兼実績報告"),AK62="◎"),COUNTIF($AK$14:AK62,"◎"),"")))</f>
        <v/>
      </c>
      <c r="R62" s="142" t="str">
        <f t="shared" si="10"/>
        <v/>
      </c>
      <c r="AI62" s="444" t="s">
        <v>68</v>
      </c>
      <c r="AJ62" s="450">
        <v>49</v>
      </c>
      <c r="AK62" s="542" t="str">
        <f t="shared" si="5"/>
        <v>○</v>
      </c>
      <c r="AL62" s="451" t="str">
        <f t="shared" si="6"/>
        <v>申請しない場合は入力不要です。</v>
      </c>
      <c r="AN62" s="565" t="str">
        <f t="shared" si="7"/>
        <v/>
      </c>
    </row>
    <row r="63" spans="1:40" ht="20.100000000000001" customHeight="1" x14ac:dyDescent="0.4">
      <c r="A63" s="226">
        <v>50</v>
      </c>
      <c r="B63" s="593" t="str">
        <f t="shared" si="8"/>
        <v/>
      </c>
      <c r="C63" s="581" t="str">
        <f t="shared" si="2"/>
        <v/>
      </c>
      <c r="D63" s="567"/>
      <c r="E63" s="1618"/>
      <c r="F63" s="1619"/>
      <c r="G63" s="1620"/>
      <c r="H63" s="566"/>
      <c r="I63" s="560"/>
      <c r="J63" s="561"/>
      <c r="K63" s="225"/>
      <c r="L63" s="530"/>
      <c r="M63" s="530"/>
      <c r="N63" s="530"/>
      <c r="O63" s="140">
        <f t="shared" si="3"/>
        <v>0</v>
      </c>
      <c r="P63" s="141">
        <f t="shared" si="11"/>
        <v>0</v>
      </c>
      <c r="Q63" s="142" t="str">
        <f xml:space="preserve">
IF(AND(AK63="◎",OR(テーブル!$B$3="交付申請",テーブル!$B$3="交付申請（２次以降）",テーブル!$B$3="変更申請")),"－",
IF(AND(AK63&lt;&gt;"◎",OR(テーブル!$B$3="交付申請",テーブル!$B$3="交付申請（２次以降）",テーブル!$B$3="変更申請")),"",
IF(AND(OR(テーブル!$B$3="実績報告",テーブル!$B$3="交付申請兼実績報告"),AK63="◎"),COUNTIF($AK$14:AK63,"◎"),"")))</f>
        <v/>
      </c>
      <c r="R63" s="142" t="str">
        <f t="shared" si="10"/>
        <v/>
      </c>
      <c r="AI63" s="444" t="s">
        <v>68</v>
      </c>
      <c r="AJ63" s="450">
        <v>50</v>
      </c>
      <c r="AK63" s="542" t="str">
        <f t="shared" si="5"/>
        <v>○</v>
      </c>
      <c r="AL63" s="451" t="str">
        <f t="shared" si="6"/>
        <v>申請しない場合は入力不要です。</v>
      </c>
      <c r="AN63" s="565" t="str">
        <f t="shared" si="7"/>
        <v/>
      </c>
    </row>
    <row r="64" spans="1:40" ht="20.100000000000001" customHeight="1" x14ac:dyDescent="0.4">
      <c r="A64" s="226">
        <v>51</v>
      </c>
      <c r="B64" s="593" t="str">
        <f t="shared" si="8"/>
        <v/>
      </c>
      <c r="C64" s="581" t="str">
        <f t="shared" si="2"/>
        <v/>
      </c>
      <c r="D64" s="567"/>
      <c r="E64" s="1618"/>
      <c r="F64" s="1619"/>
      <c r="G64" s="1620"/>
      <c r="H64" s="566"/>
      <c r="I64" s="560"/>
      <c r="J64" s="561"/>
      <c r="K64" s="225"/>
      <c r="L64" s="530"/>
      <c r="M64" s="530"/>
      <c r="N64" s="530"/>
      <c r="O64" s="140">
        <f t="shared" si="3"/>
        <v>0</v>
      </c>
      <c r="P64" s="141">
        <f t="shared" si="11"/>
        <v>0</v>
      </c>
      <c r="Q64" s="142" t="str">
        <f xml:space="preserve">
IF(AND(AK64="◎",OR(テーブル!$B$3="交付申請",テーブル!$B$3="交付申請（２次以降）",テーブル!$B$3="変更申請")),"－",
IF(AND(AK64&lt;&gt;"◎",OR(テーブル!$B$3="交付申請",テーブル!$B$3="交付申請（２次以降）",テーブル!$B$3="変更申請")),"",
IF(AND(OR(テーブル!$B$3="実績報告",テーブル!$B$3="交付申請兼実績報告"),AK64="◎"),COUNTIF($AK$14:AK64,"◎"),"")))</f>
        <v/>
      </c>
      <c r="R64" s="142" t="str">
        <f t="shared" si="10"/>
        <v/>
      </c>
      <c r="AI64" s="444" t="s">
        <v>68</v>
      </c>
      <c r="AJ64" s="450">
        <v>51</v>
      </c>
      <c r="AK64" s="542" t="str">
        <f t="shared" si="5"/>
        <v>○</v>
      </c>
      <c r="AL64" s="451" t="str">
        <f t="shared" si="6"/>
        <v>申請しない場合は入力不要です。</v>
      </c>
      <c r="AN64" s="565" t="str">
        <f t="shared" si="7"/>
        <v/>
      </c>
    </row>
    <row r="65" spans="1:40" ht="20.100000000000001" customHeight="1" x14ac:dyDescent="0.4">
      <c r="A65" s="226">
        <v>52</v>
      </c>
      <c r="B65" s="593" t="str">
        <f t="shared" si="8"/>
        <v/>
      </c>
      <c r="C65" s="581" t="str">
        <f t="shared" si="2"/>
        <v/>
      </c>
      <c r="D65" s="567"/>
      <c r="E65" s="1618"/>
      <c r="F65" s="1619"/>
      <c r="G65" s="1620"/>
      <c r="H65" s="566"/>
      <c r="I65" s="560"/>
      <c r="J65" s="561"/>
      <c r="K65" s="225"/>
      <c r="L65" s="530"/>
      <c r="M65" s="530"/>
      <c r="N65" s="530"/>
      <c r="O65" s="140">
        <f t="shared" si="3"/>
        <v>0</v>
      </c>
      <c r="P65" s="141">
        <f t="shared" si="11"/>
        <v>0</v>
      </c>
      <c r="Q65" s="142" t="str">
        <f xml:space="preserve">
IF(AND(AK65="◎",OR(テーブル!$B$3="交付申請",テーブル!$B$3="交付申請（２次以降）",テーブル!$B$3="変更申請")),"－",
IF(AND(AK65&lt;&gt;"◎",OR(テーブル!$B$3="交付申請",テーブル!$B$3="交付申請（２次以降）",テーブル!$B$3="変更申請")),"",
IF(AND(OR(テーブル!$B$3="実績報告",テーブル!$B$3="交付申請兼実績報告"),AK65="◎"),COUNTIF($AK$14:AK65,"◎"),"")))</f>
        <v/>
      </c>
      <c r="R65" s="142" t="str">
        <f t="shared" si="10"/>
        <v/>
      </c>
      <c r="AI65" s="444" t="s">
        <v>68</v>
      </c>
      <c r="AJ65" s="450">
        <v>52</v>
      </c>
      <c r="AK65" s="542" t="str">
        <f t="shared" si="5"/>
        <v>○</v>
      </c>
      <c r="AL65" s="451" t="str">
        <f t="shared" si="6"/>
        <v>申請しない場合は入力不要です。</v>
      </c>
      <c r="AN65" s="565" t="str">
        <f t="shared" si="7"/>
        <v/>
      </c>
    </row>
    <row r="66" spans="1:40" ht="20.100000000000001" customHeight="1" x14ac:dyDescent="0.4">
      <c r="A66" s="226">
        <v>53</v>
      </c>
      <c r="B66" s="593" t="str">
        <f t="shared" si="8"/>
        <v/>
      </c>
      <c r="C66" s="581" t="str">
        <f t="shared" si="2"/>
        <v/>
      </c>
      <c r="D66" s="567"/>
      <c r="E66" s="1618"/>
      <c r="F66" s="1619"/>
      <c r="G66" s="1620"/>
      <c r="H66" s="566"/>
      <c r="I66" s="560"/>
      <c r="J66" s="561"/>
      <c r="K66" s="225"/>
      <c r="L66" s="530"/>
      <c r="M66" s="530"/>
      <c r="N66" s="530"/>
      <c r="O66" s="140">
        <f t="shared" si="3"/>
        <v>0</v>
      </c>
      <c r="P66" s="141">
        <f t="shared" si="11"/>
        <v>0</v>
      </c>
      <c r="Q66" s="142" t="str">
        <f xml:space="preserve">
IF(AND(AK66="◎",OR(テーブル!$B$3="交付申請",テーブル!$B$3="交付申請（２次以降）",テーブル!$B$3="変更申請")),"－",
IF(AND(AK66&lt;&gt;"◎",OR(テーブル!$B$3="交付申請",テーブル!$B$3="交付申請（２次以降）",テーブル!$B$3="変更申請")),"",
IF(AND(OR(テーブル!$B$3="実績報告",テーブル!$B$3="交付申請兼実績報告"),AK66="◎"),COUNTIF($AK$14:AK66,"◎"),"")))</f>
        <v/>
      </c>
      <c r="R66" s="142" t="str">
        <f t="shared" si="10"/>
        <v/>
      </c>
      <c r="AI66" s="444" t="s">
        <v>68</v>
      </c>
      <c r="AJ66" s="450">
        <v>53</v>
      </c>
      <c r="AK66" s="542" t="str">
        <f t="shared" si="5"/>
        <v>○</v>
      </c>
      <c r="AL66" s="451" t="str">
        <f t="shared" si="6"/>
        <v>申請しない場合は入力不要です。</v>
      </c>
      <c r="AN66" s="565" t="str">
        <f t="shared" si="7"/>
        <v/>
      </c>
    </row>
    <row r="67" spans="1:40" ht="20.100000000000001" customHeight="1" x14ac:dyDescent="0.4">
      <c r="A67" s="226">
        <v>54</v>
      </c>
      <c r="B67" s="593" t="str">
        <f t="shared" si="8"/>
        <v/>
      </c>
      <c r="C67" s="581" t="str">
        <f t="shared" si="2"/>
        <v/>
      </c>
      <c r="D67" s="567"/>
      <c r="E67" s="1618"/>
      <c r="F67" s="1619"/>
      <c r="G67" s="1620"/>
      <c r="H67" s="566"/>
      <c r="I67" s="560"/>
      <c r="J67" s="561"/>
      <c r="K67" s="225"/>
      <c r="L67" s="530"/>
      <c r="M67" s="530"/>
      <c r="N67" s="530"/>
      <c r="O67" s="140">
        <f t="shared" si="3"/>
        <v>0</v>
      </c>
      <c r="P67" s="141">
        <f t="shared" si="11"/>
        <v>0</v>
      </c>
      <c r="Q67" s="142" t="str">
        <f xml:space="preserve">
IF(AND(AK67="◎",OR(テーブル!$B$3="交付申請",テーブル!$B$3="交付申請（２次以降）",テーブル!$B$3="変更申請")),"－",
IF(AND(AK67&lt;&gt;"◎",OR(テーブル!$B$3="交付申請",テーブル!$B$3="交付申請（２次以降）",テーブル!$B$3="変更申請")),"",
IF(AND(OR(テーブル!$B$3="実績報告",テーブル!$B$3="交付申請兼実績報告"),AK67="◎"),COUNTIF($AK$14:AK67,"◎"),"")))</f>
        <v/>
      </c>
      <c r="R67" s="142" t="str">
        <f t="shared" si="10"/>
        <v/>
      </c>
      <c r="AI67" s="444" t="s">
        <v>68</v>
      </c>
      <c r="AJ67" s="450">
        <v>54</v>
      </c>
      <c r="AK67" s="542" t="str">
        <f t="shared" si="5"/>
        <v>○</v>
      </c>
      <c r="AL67" s="451" t="str">
        <f t="shared" si="6"/>
        <v>申請しない場合は入力不要です。</v>
      </c>
      <c r="AN67" s="565" t="str">
        <f t="shared" si="7"/>
        <v/>
      </c>
    </row>
    <row r="68" spans="1:40" ht="20.100000000000001" customHeight="1" x14ac:dyDescent="0.4">
      <c r="A68" s="226">
        <v>55</v>
      </c>
      <c r="B68" s="593" t="str">
        <f t="shared" si="8"/>
        <v/>
      </c>
      <c r="C68" s="581" t="str">
        <f t="shared" si="2"/>
        <v/>
      </c>
      <c r="D68" s="567"/>
      <c r="E68" s="1618"/>
      <c r="F68" s="1619"/>
      <c r="G68" s="1620"/>
      <c r="H68" s="566"/>
      <c r="I68" s="560"/>
      <c r="J68" s="561"/>
      <c r="K68" s="225"/>
      <c r="L68" s="530"/>
      <c r="M68" s="530"/>
      <c r="N68" s="530"/>
      <c r="O68" s="140">
        <f t="shared" si="3"/>
        <v>0</v>
      </c>
      <c r="P68" s="141">
        <f t="shared" si="11"/>
        <v>0</v>
      </c>
      <c r="Q68" s="142" t="str">
        <f xml:space="preserve">
IF(AND(AK68="◎",OR(テーブル!$B$3="交付申請",テーブル!$B$3="交付申請（２次以降）",テーブル!$B$3="変更申請")),"－",
IF(AND(AK68&lt;&gt;"◎",OR(テーブル!$B$3="交付申請",テーブル!$B$3="交付申請（２次以降）",テーブル!$B$3="変更申請")),"",
IF(AND(OR(テーブル!$B$3="実績報告",テーブル!$B$3="交付申請兼実績報告"),AK68="◎"),COUNTIF($AK$14:AK68,"◎"),"")))</f>
        <v/>
      </c>
      <c r="R68" s="142" t="str">
        <f t="shared" si="10"/>
        <v/>
      </c>
      <c r="AI68" s="444" t="s">
        <v>68</v>
      </c>
      <c r="AJ68" s="450">
        <v>55</v>
      </c>
      <c r="AK68" s="542" t="str">
        <f t="shared" si="5"/>
        <v>○</v>
      </c>
      <c r="AL68" s="451" t="str">
        <f t="shared" si="6"/>
        <v>申請しない場合は入力不要です。</v>
      </c>
      <c r="AN68" s="565" t="str">
        <f t="shared" si="7"/>
        <v/>
      </c>
    </row>
    <row r="69" spans="1:40" ht="20.100000000000001" customHeight="1" x14ac:dyDescent="0.4">
      <c r="A69" s="226">
        <v>56</v>
      </c>
      <c r="B69" s="593" t="str">
        <f t="shared" si="8"/>
        <v/>
      </c>
      <c r="C69" s="581" t="str">
        <f t="shared" si="2"/>
        <v/>
      </c>
      <c r="D69" s="567"/>
      <c r="E69" s="1618"/>
      <c r="F69" s="1619"/>
      <c r="G69" s="1620"/>
      <c r="H69" s="566"/>
      <c r="I69" s="560"/>
      <c r="J69" s="561"/>
      <c r="K69" s="225"/>
      <c r="L69" s="530"/>
      <c r="M69" s="530"/>
      <c r="N69" s="530"/>
      <c r="O69" s="140">
        <f t="shared" si="3"/>
        <v>0</v>
      </c>
      <c r="P69" s="141">
        <f t="shared" si="11"/>
        <v>0</v>
      </c>
      <c r="Q69" s="142" t="str">
        <f xml:space="preserve">
IF(AND(AK69="◎",OR(テーブル!$B$3="交付申請",テーブル!$B$3="交付申請（２次以降）",テーブル!$B$3="変更申請")),"－",
IF(AND(AK69&lt;&gt;"◎",OR(テーブル!$B$3="交付申請",テーブル!$B$3="交付申請（２次以降）",テーブル!$B$3="変更申請")),"",
IF(AND(OR(テーブル!$B$3="実績報告",テーブル!$B$3="交付申請兼実績報告"),AK69="◎"),COUNTIF($AK$14:AK69,"◎"),"")))</f>
        <v/>
      </c>
      <c r="R69" s="142" t="str">
        <f t="shared" si="10"/>
        <v/>
      </c>
      <c r="AI69" s="444" t="s">
        <v>68</v>
      </c>
      <c r="AJ69" s="450">
        <v>56</v>
      </c>
      <c r="AK69" s="542" t="str">
        <f t="shared" si="5"/>
        <v>○</v>
      </c>
      <c r="AL69" s="451" t="str">
        <f t="shared" si="6"/>
        <v>申請しない場合は入力不要です。</v>
      </c>
      <c r="AN69" s="565" t="str">
        <f t="shared" si="7"/>
        <v/>
      </c>
    </row>
    <row r="70" spans="1:40" ht="20.100000000000001" customHeight="1" x14ac:dyDescent="0.4">
      <c r="A70" s="226">
        <v>57</v>
      </c>
      <c r="B70" s="593" t="str">
        <f t="shared" si="8"/>
        <v/>
      </c>
      <c r="C70" s="581" t="str">
        <f t="shared" si="2"/>
        <v/>
      </c>
      <c r="D70" s="567"/>
      <c r="E70" s="1618"/>
      <c r="F70" s="1619"/>
      <c r="G70" s="1620"/>
      <c r="H70" s="566"/>
      <c r="I70" s="560"/>
      <c r="J70" s="561"/>
      <c r="K70" s="225"/>
      <c r="L70" s="530"/>
      <c r="M70" s="530"/>
      <c r="N70" s="530"/>
      <c r="O70" s="140">
        <f t="shared" si="3"/>
        <v>0</v>
      </c>
      <c r="P70" s="141">
        <f t="shared" si="11"/>
        <v>0</v>
      </c>
      <c r="Q70" s="142" t="str">
        <f xml:space="preserve">
IF(AND(AK70="◎",OR(テーブル!$B$3="交付申請",テーブル!$B$3="交付申請（２次以降）",テーブル!$B$3="変更申請")),"－",
IF(AND(AK70&lt;&gt;"◎",OR(テーブル!$B$3="交付申請",テーブル!$B$3="交付申請（２次以降）",テーブル!$B$3="変更申請")),"",
IF(AND(OR(テーブル!$B$3="実績報告",テーブル!$B$3="交付申請兼実績報告"),AK70="◎"),COUNTIF($AK$14:AK70,"◎"),"")))</f>
        <v/>
      </c>
      <c r="R70" s="142" t="str">
        <f t="shared" si="10"/>
        <v/>
      </c>
      <c r="AI70" s="444" t="s">
        <v>68</v>
      </c>
      <c r="AJ70" s="450">
        <v>57</v>
      </c>
      <c r="AK70" s="542" t="str">
        <f t="shared" si="5"/>
        <v>○</v>
      </c>
      <c r="AL70" s="451" t="str">
        <f t="shared" si="6"/>
        <v>申請しない場合は入力不要です。</v>
      </c>
      <c r="AN70" s="565" t="str">
        <f t="shared" si="7"/>
        <v/>
      </c>
    </row>
    <row r="71" spans="1:40" ht="20.100000000000001" customHeight="1" x14ac:dyDescent="0.4">
      <c r="A71" s="226">
        <v>58</v>
      </c>
      <c r="B71" s="593" t="str">
        <f t="shared" si="8"/>
        <v/>
      </c>
      <c r="C71" s="581" t="str">
        <f t="shared" si="2"/>
        <v/>
      </c>
      <c r="D71" s="567"/>
      <c r="E71" s="1618"/>
      <c r="F71" s="1619"/>
      <c r="G71" s="1620"/>
      <c r="H71" s="566"/>
      <c r="I71" s="560"/>
      <c r="J71" s="561"/>
      <c r="K71" s="225"/>
      <c r="L71" s="530"/>
      <c r="M71" s="530"/>
      <c r="N71" s="530"/>
      <c r="O71" s="140">
        <f t="shared" si="3"/>
        <v>0</v>
      </c>
      <c r="P71" s="141">
        <f t="shared" si="11"/>
        <v>0</v>
      </c>
      <c r="Q71" s="142" t="str">
        <f xml:space="preserve">
IF(AND(AK71="◎",OR(テーブル!$B$3="交付申請",テーブル!$B$3="交付申請（２次以降）",テーブル!$B$3="変更申請")),"－",
IF(AND(AK71&lt;&gt;"◎",OR(テーブル!$B$3="交付申請",テーブル!$B$3="交付申請（２次以降）",テーブル!$B$3="変更申請")),"",
IF(AND(OR(テーブル!$B$3="実績報告",テーブル!$B$3="交付申請兼実績報告"),AK71="◎"),COUNTIF($AK$14:AK71,"◎"),"")))</f>
        <v/>
      </c>
      <c r="R71" s="142" t="str">
        <f t="shared" si="10"/>
        <v/>
      </c>
      <c r="AI71" s="444" t="s">
        <v>68</v>
      </c>
      <c r="AJ71" s="450">
        <v>58</v>
      </c>
      <c r="AK71" s="542" t="str">
        <f t="shared" si="5"/>
        <v>○</v>
      </c>
      <c r="AL71" s="451" t="str">
        <f t="shared" si="6"/>
        <v>申請しない場合は入力不要です。</v>
      </c>
      <c r="AN71" s="565" t="str">
        <f t="shared" si="7"/>
        <v/>
      </c>
    </row>
    <row r="72" spans="1:40" ht="20.100000000000001" customHeight="1" x14ac:dyDescent="0.4">
      <c r="A72" s="226">
        <v>59</v>
      </c>
      <c r="B72" s="593" t="str">
        <f t="shared" si="8"/>
        <v/>
      </c>
      <c r="C72" s="581" t="str">
        <f t="shared" si="2"/>
        <v/>
      </c>
      <c r="D72" s="567"/>
      <c r="E72" s="1618"/>
      <c r="F72" s="1619"/>
      <c r="G72" s="1620"/>
      <c r="H72" s="566"/>
      <c r="I72" s="560"/>
      <c r="J72" s="561"/>
      <c r="K72" s="225"/>
      <c r="L72" s="530"/>
      <c r="M72" s="530"/>
      <c r="N72" s="530"/>
      <c r="O72" s="140">
        <f t="shared" si="3"/>
        <v>0</v>
      </c>
      <c r="P72" s="141">
        <f t="shared" si="11"/>
        <v>0</v>
      </c>
      <c r="Q72" s="142" t="str">
        <f xml:space="preserve">
IF(AND(AK72="◎",OR(テーブル!$B$3="交付申請",テーブル!$B$3="交付申請（２次以降）",テーブル!$B$3="変更申請")),"－",
IF(AND(AK72&lt;&gt;"◎",OR(テーブル!$B$3="交付申請",テーブル!$B$3="交付申請（２次以降）",テーブル!$B$3="変更申請")),"",
IF(AND(OR(テーブル!$B$3="実績報告",テーブル!$B$3="交付申請兼実績報告"),AK72="◎"),COUNTIF($AK$14:AK72,"◎"),"")))</f>
        <v/>
      </c>
      <c r="R72" s="142" t="str">
        <f t="shared" si="10"/>
        <v/>
      </c>
      <c r="AI72" s="444" t="s">
        <v>68</v>
      </c>
      <c r="AJ72" s="450">
        <v>59</v>
      </c>
      <c r="AK72" s="542" t="str">
        <f t="shared" si="5"/>
        <v>○</v>
      </c>
      <c r="AL72" s="451" t="str">
        <f t="shared" si="6"/>
        <v>申請しない場合は入力不要です。</v>
      </c>
      <c r="AN72" s="565" t="str">
        <f t="shared" si="7"/>
        <v/>
      </c>
    </row>
    <row r="73" spans="1:40" ht="20.100000000000001" customHeight="1" x14ac:dyDescent="0.4">
      <c r="A73" s="226">
        <v>60</v>
      </c>
      <c r="B73" s="593" t="str">
        <f t="shared" si="8"/>
        <v/>
      </c>
      <c r="C73" s="581" t="str">
        <f t="shared" si="2"/>
        <v/>
      </c>
      <c r="D73" s="567"/>
      <c r="E73" s="1618"/>
      <c r="F73" s="1619"/>
      <c r="G73" s="1620"/>
      <c r="H73" s="566"/>
      <c r="I73" s="560"/>
      <c r="J73" s="561"/>
      <c r="K73" s="225"/>
      <c r="L73" s="530"/>
      <c r="M73" s="530"/>
      <c r="N73" s="530"/>
      <c r="O73" s="140">
        <f t="shared" si="3"/>
        <v>0</v>
      </c>
      <c r="P73" s="141">
        <f t="shared" si="11"/>
        <v>0</v>
      </c>
      <c r="Q73" s="142" t="str">
        <f xml:space="preserve">
IF(AND(AK73="◎",OR(テーブル!$B$3="交付申請",テーブル!$B$3="交付申請（２次以降）",テーブル!$B$3="変更申請")),"－",
IF(AND(AK73&lt;&gt;"◎",OR(テーブル!$B$3="交付申請",テーブル!$B$3="交付申請（２次以降）",テーブル!$B$3="変更申請")),"",
IF(AND(OR(テーブル!$B$3="実績報告",テーブル!$B$3="交付申請兼実績報告"),AK73="◎"),COUNTIF($AK$14:AK73,"◎"),"")))</f>
        <v/>
      </c>
      <c r="R73" s="142" t="str">
        <f t="shared" si="10"/>
        <v/>
      </c>
      <c r="AI73" s="444" t="s">
        <v>68</v>
      </c>
      <c r="AJ73" s="450">
        <v>60</v>
      </c>
      <c r="AK73" s="542" t="str">
        <f t="shared" si="5"/>
        <v>○</v>
      </c>
      <c r="AL73" s="451" t="str">
        <f t="shared" si="6"/>
        <v>申請しない場合は入力不要です。</v>
      </c>
      <c r="AN73" s="565" t="str">
        <f t="shared" si="7"/>
        <v/>
      </c>
    </row>
    <row r="74" spans="1:40" ht="20.100000000000001" customHeight="1" x14ac:dyDescent="0.4">
      <c r="A74" s="226">
        <v>61</v>
      </c>
      <c r="B74" s="593" t="str">
        <f t="shared" si="8"/>
        <v/>
      </c>
      <c r="C74" s="581" t="str">
        <f t="shared" si="2"/>
        <v/>
      </c>
      <c r="D74" s="567"/>
      <c r="E74" s="1618"/>
      <c r="F74" s="1619"/>
      <c r="G74" s="1620"/>
      <c r="H74" s="566"/>
      <c r="I74" s="560"/>
      <c r="J74" s="561"/>
      <c r="K74" s="225"/>
      <c r="L74" s="530"/>
      <c r="M74" s="530"/>
      <c r="N74" s="530"/>
      <c r="O74" s="140">
        <f t="shared" si="3"/>
        <v>0</v>
      </c>
      <c r="P74" s="141">
        <f t="shared" si="11"/>
        <v>0</v>
      </c>
      <c r="Q74" s="142" t="str">
        <f xml:space="preserve">
IF(AND(AK74="◎",OR(テーブル!$B$3="交付申請",テーブル!$B$3="交付申請（２次以降）",テーブル!$B$3="変更申請")),"－",
IF(AND(AK74&lt;&gt;"◎",OR(テーブル!$B$3="交付申請",テーブル!$B$3="交付申請（２次以降）",テーブル!$B$3="変更申請")),"",
IF(AND(OR(テーブル!$B$3="実績報告",テーブル!$B$3="交付申請兼実績報告"),AK74="◎"),COUNTIF($AK$14:AK74,"◎"),"")))</f>
        <v/>
      </c>
      <c r="R74" s="142" t="str">
        <f t="shared" si="10"/>
        <v/>
      </c>
      <c r="AI74" s="444" t="s">
        <v>68</v>
      </c>
      <c r="AJ74" s="450">
        <v>61</v>
      </c>
      <c r="AK74" s="542" t="str">
        <f t="shared" si="5"/>
        <v>○</v>
      </c>
      <c r="AL74" s="451" t="str">
        <f t="shared" si="6"/>
        <v>申請しない場合は入力不要です。</v>
      </c>
      <c r="AN74" s="565" t="str">
        <f t="shared" si="7"/>
        <v/>
      </c>
    </row>
    <row r="75" spans="1:40" ht="20.100000000000001" customHeight="1" x14ac:dyDescent="0.4">
      <c r="A75" s="226">
        <v>62</v>
      </c>
      <c r="B75" s="593" t="str">
        <f t="shared" si="8"/>
        <v/>
      </c>
      <c r="C75" s="581" t="str">
        <f t="shared" si="2"/>
        <v/>
      </c>
      <c r="D75" s="567"/>
      <c r="E75" s="1618"/>
      <c r="F75" s="1619"/>
      <c r="G75" s="1620"/>
      <c r="H75" s="566"/>
      <c r="I75" s="560"/>
      <c r="J75" s="561"/>
      <c r="K75" s="225"/>
      <c r="L75" s="530"/>
      <c r="M75" s="530"/>
      <c r="N75" s="530"/>
      <c r="O75" s="140">
        <f t="shared" si="3"/>
        <v>0</v>
      </c>
      <c r="P75" s="141">
        <f t="shared" si="11"/>
        <v>0</v>
      </c>
      <c r="Q75" s="142" t="str">
        <f xml:space="preserve">
IF(AND(AK75="◎",OR(テーブル!$B$3="交付申請",テーブル!$B$3="交付申請（２次以降）",テーブル!$B$3="変更申請")),"－",
IF(AND(AK75&lt;&gt;"◎",OR(テーブル!$B$3="交付申請",テーブル!$B$3="交付申請（２次以降）",テーブル!$B$3="変更申請")),"",
IF(AND(OR(テーブル!$B$3="実績報告",テーブル!$B$3="交付申請兼実績報告"),AK75="◎"),COUNTIF($AK$14:AK75,"◎"),"")))</f>
        <v/>
      </c>
      <c r="R75" s="142" t="str">
        <f t="shared" si="10"/>
        <v/>
      </c>
      <c r="AI75" s="444" t="s">
        <v>68</v>
      </c>
      <c r="AJ75" s="450">
        <v>62</v>
      </c>
      <c r="AK75" s="542" t="str">
        <f t="shared" si="5"/>
        <v>○</v>
      </c>
      <c r="AL75" s="451" t="str">
        <f t="shared" si="6"/>
        <v>申請しない場合は入力不要です。</v>
      </c>
      <c r="AN75" s="565" t="str">
        <f t="shared" si="7"/>
        <v/>
      </c>
    </row>
    <row r="76" spans="1:40" ht="20.100000000000001" customHeight="1" x14ac:dyDescent="0.4">
      <c r="A76" s="226">
        <v>63</v>
      </c>
      <c r="B76" s="593" t="str">
        <f t="shared" si="8"/>
        <v/>
      </c>
      <c r="C76" s="581" t="str">
        <f t="shared" si="2"/>
        <v/>
      </c>
      <c r="D76" s="567"/>
      <c r="E76" s="1618"/>
      <c r="F76" s="1619"/>
      <c r="G76" s="1620"/>
      <c r="H76" s="566"/>
      <c r="I76" s="560"/>
      <c r="J76" s="561"/>
      <c r="K76" s="225"/>
      <c r="L76" s="530"/>
      <c r="M76" s="530"/>
      <c r="N76" s="530"/>
      <c r="O76" s="140">
        <f t="shared" si="3"/>
        <v>0</v>
      </c>
      <c r="P76" s="141">
        <f t="shared" si="11"/>
        <v>0</v>
      </c>
      <c r="Q76" s="142" t="str">
        <f xml:space="preserve">
IF(AND(AK76="◎",OR(テーブル!$B$3="交付申請",テーブル!$B$3="交付申請（２次以降）",テーブル!$B$3="変更申請")),"－",
IF(AND(AK76&lt;&gt;"◎",OR(テーブル!$B$3="交付申請",テーブル!$B$3="交付申請（２次以降）",テーブル!$B$3="変更申請")),"",
IF(AND(OR(テーブル!$B$3="実績報告",テーブル!$B$3="交付申請兼実績報告"),AK76="◎"),COUNTIF($AK$14:AK76,"◎"),"")))</f>
        <v/>
      </c>
      <c r="R76" s="142" t="str">
        <f t="shared" si="10"/>
        <v/>
      </c>
      <c r="AI76" s="444" t="s">
        <v>68</v>
      </c>
      <c r="AJ76" s="450">
        <v>63</v>
      </c>
      <c r="AK76" s="542" t="str">
        <f t="shared" si="5"/>
        <v>○</v>
      </c>
      <c r="AL76" s="451" t="str">
        <f t="shared" si="6"/>
        <v>申請しない場合は入力不要です。</v>
      </c>
      <c r="AN76" s="565" t="str">
        <f t="shared" si="7"/>
        <v/>
      </c>
    </row>
    <row r="77" spans="1:40" ht="20.100000000000001" customHeight="1" x14ac:dyDescent="0.4">
      <c r="A77" s="226">
        <v>64</v>
      </c>
      <c r="B77" s="593" t="str">
        <f t="shared" si="8"/>
        <v/>
      </c>
      <c r="C77" s="581" t="str">
        <f t="shared" si="2"/>
        <v/>
      </c>
      <c r="D77" s="567"/>
      <c r="E77" s="1618"/>
      <c r="F77" s="1619"/>
      <c r="G77" s="1620"/>
      <c r="H77" s="566"/>
      <c r="I77" s="560"/>
      <c r="J77" s="561"/>
      <c r="K77" s="225"/>
      <c r="L77" s="530"/>
      <c r="M77" s="530"/>
      <c r="N77" s="530"/>
      <c r="O77" s="140">
        <f t="shared" si="3"/>
        <v>0</v>
      </c>
      <c r="P77" s="141">
        <f t="shared" si="11"/>
        <v>0</v>
      </c>
      <c r="Q77" s="142" t="str">
        <f xml:space="preserve">
IF(AND(AK77="◎",OR(テーブル!$B$3="交付申請",テーブル!$B$3="交付申請（２次以降）",テーブル!$B$3="変更申請")),"－",
IF(AND(AK77&lt;&gt;"◎",OR(テーブル!$B$3="交付申請",テーブル!$B$3="交付申請（２次以降）",テーブル!$B$3="変更申請")),"",
IF(AND(OR(テーブル!$B$3="実績報告",テーブル!$B$3="交付申請兼実績報告"),AK77="◎"),COUNTIF($AK$14:AK77,"◎"),"")))</f>
        <v/>
      </c>
      <c r="R77" s="142" t="str">
        <f t="shared" si="10"/>
        <v/>
      </c>
      <c r="AI77" s="444" t="s">
        <v>68</v>
      </c>
      <c r="AJ77" s="450">
        <v>64</v>
      </c>
      <c r="AK77" s="542" t="str">
        <f t="shared" si="5"/>
        <v>○</v>
      </c>
      <c r="AL77" s="451" t="str">
        <f t="shared" si="6"/>
        <v>申請しない場合は入力不要です。</v>
      </c>
      <c r="AN77" s="565" t="str">
        <f t="shared" si="7"/>
        <v/>
      </c>
    </row>
    <row r="78" spans="1:40" ht="20.100000000000001" customHeight="1" x14ac:dyDescent="0.4">
      <c r="A78" s="226">
        <v>65</v>
      </c>
      <c r="B78" s="593" t="str">
        <f t="shared" si="8"/>
        <v/>
      </c>
      <c r="C78" s="581" t="str">
        <f t="shared" si="2"/>
        <v/>
      </c>
      <c r="D78" s="567"/>
      <c r="E78" s="1618"/>
      <c r="F78" s="1619"/>
      <c r="G78" s="1620"/>
      <c r="H78" s="566"/>
      <c r="I78" s="560"/>
      <c r="J78" s="561"/>
      <c r="K78" s="225"/>
      <c r="L78" s="530"/>
      <c r="M78" s="530"/>
      <c r="N78" s="530"/>
      <c r="O78" s="140">
        <f t="shared" si="3"/>
        <v>0</v>
      </c>
      <c r="P78" s="141">
        <f t="shared" si="11"/>
        <v>0</v>
      </c>
      <c r="Q78" s="142" t="str">
        <f xml:space="preserve">
IF(AND(AK78="◎",OR(テーブル!$B$3="交付申請",テーブル!$B$3="交付申請（２次以降）",テーブル!$B$3="変更申請")),"－",
IF(AND(AK78&lt;&gt;"◎",OR(テーブル!$B$3="交付申請",テーブル!$B$3="交付申請（２次以降）",テーブル!$B$3="変更申請")),"",
IF(AND(OR(テーブル!$B$3="実績報告",テーブル!$B$3="交付申請兼実績報告"),AK78="◎"),COUNTIF($AK$14:AK78,"◎"),"")))</f>
        <v/>
      </c>
      <c r="R78" s="142" t="str">
        <f t="shared" si="10"/>
        <v/>
      </c>
      <c r="AI78" s="444" t="s">
        <v>68</v>
      </c>
      <c r="AJ78" s="450">
        <v>65</v>
      </c>
      <c r="AK78" s="542" t="str">
        <f t="shared" si="5"/>
        <v>○</v>
      </c>
      <c r="AL78" s="451" t="str">
        <f t="shared" si="6"/>
        <v>申請しない場合は入力不要です。</v>
      </c>
      <c r="AN78" s="565" t="str">
        <f t="shared" si="7"/>
        <v/>
      </c>
    </row>
    <row r="79" spans="1:40" ht="20.100000000000001" customHeight="1" x14ac:dyDescent="0.4">
      <c r="A79" s="226">
        <v>66</v>
      </c>
      <c r="B79" s="593" t="str">
        <f t="shared" si="8"/>
        <v/>
      </c>
      <c r="C79" s="581" t="str">
        <f t="shared" ref="C79:C113" si="12">IFERROR(DATE(IF(L79=5,2023,IF(L79=6,2024)),M79,N79),"")</f>
        <v/>
      </c>
      <c r="D79" s="567"/>
      <c r="E79" s="1618"/>
      <c r="F79" s="1619"/>
      <c r="G79" s="1620"/>
      <c r="H79" s="566"/>
      <c r="I79" s="560"/>
      <c r="J79" s="561"/>
      <c r="K79" s="225"/>
      <c r="L79" s="530"/>
      <c r="M79" s="530"/>
      <c r="N79" s="530"/>
      <c r="O79" s="140">
        <f t="shared" ref="O79:O113" si="13">ROUNDDOWN(K79*1.1,0)</f>
        <v>0</v>
      </c>
      <c r="P79" s="141">
        <f t="shared" ref="P79:P113" si="14">IF(COUNTA(D79:K79)&lt;&gt;4,0,J79*O79)</f>
        <v>0</v>
      </c>
      <c r="Q79" s="142" t="str">
        <f xml:space="preserve">
IF(AND(AK79="◎",OR(テーブル!$B$3="交付申請",テーブル!$B$3="交付申請（２次以降）",テーブル!$B$3="変更申請")),"－",
IF(AND(AK79&lt;&gt;"◎",OR(テーブル!$B$3="交付申請",テーブル!$B$3="交付申請（２次以降）",テーブル!$B$3="変更申請")),"",
IF(AND(OR(テーブル!$B$3="実績報告",テーブル!$B$3="交付申請兼実績報告"),AK79="◎"),COUNTIF($AK$14:AK79,"◎"),"")))</f>
        <v/>
      </c>
      <c r="R79" s="142" t="str">
        <f t="shared" si="10"/>
        <v/>
      </c>
      <c r="AI79" s="444" t="s">
        <v>68</v>
      </c>
      <c r="AJ79" s="450">
        <v>66</v>
      </c>
      <c r="AK79" s="542" t="str">
        <f t="shared" ref="AK79:AK113" si="15" xml:space="preserve">
IF(COUNTA(D79:N79)=0,"○",
IF(COUNTA(D79)=0,"×",
IF(AND(D79=$AE$14,COUNTA(E79:N79)&gt;=0,COUNTA(E79:N79)&lt;8),"×",
IF(AND(D79=$AE$14,COUNTA(E79:N79)=8),"◎",
IF(AND(D79&lt;&gt;$AE$14,SUM(COUNTA(E79:H79),COUNTA(J79:N79))&gt;=0,SUM(COUNTA(E79:H79),COUNTA(J79:N79))&lt;7),"×",
IF(AND(D79&lt;&gt;$AE$14,SUM(COUNTA(E79:H79),COUNTA(J79:N79))=7),"◎"))))))</f>
        <v>○</v>
      </c>
      <c r="AL79" s="451" t="str">
        <f t="shared" ref="AL79:AL113" si="16" xml:space="preserve">
IF(COUNTA(D79:N79)=0,"申請しない場合は入力不要です。",
IF(COUNTA(D79)=0,"【要修正】はじめに、「大区分」を選択してください。",
IF(AND(D79=$AE$14,COUNTA(E79:N79)&gt;=0,COUNTA(E79:N79)&lt;8),"【要修正】未入力の箇所があります。",
IF(AND(D79=$AE$14,COUNTA(E79:N79)=8),"適切に入力がされました。",
IF(AND(D79&lt;&gt;$AE$14,SUM(COUNTA(E79:H79),COUNTA(J79:N79))&gt;=0,SUM(COUNTA(E79:H79),COUNTA(J79:N79))&lt;7),"【要修正】未入力の箇所があります。（希釈倍率は入力不要）",
IF(AND(D79&lt;&gt;$AE$14,SUM(COUNTA(E79:H79),COUNTA(J79:N79))=7),"適切に入力がされました。"))))))</f>
        <v>申請しない場合は入力不要です。</v>
      </c>
      <c r="AN79" s="565" t="str">
        <f t="shared" ref="AN79:AN113" si="17" xml:space="preserve">
IF(AK79&lt;&gt;"◎","",
IF(OR(D79=$AE$13,D79=$AE$18,D79=$AE$19,D79=$AE$20,D79=$AE$21,D79=$AE$22),"",
IF(D79=$AE$14,H79*I79*J79,
IF(OR(D79=$AE$15,D79=$AE$16,D79=$AE$17),H79*J79
))))</f>
        <v/>
      </c>
    </row>
    <row r="80" spans="1:40" ht="20.100000000000001" customHeight="1" x14ac:dyDescent="0.4">
      <c r="A80" s="226">
        <v>67</v>
      </c>
      <c r="B80" s="593" t="str">
        <f t="shared" ref="B80:B113" si="18">IFERROR(DATE(IF(L80=5,2023,IF(L80=6,2024)),M80,N80)&amp;IF(OR(D80="消耗品（消毒液・希釈使用）",D80="消耗品（消毒液・希釈なし）"),"消耗品（消毒液）",D80),"")</f>
        <v/>
      </c>
      <c r="C80" s="581" t="str">
        <f t="shared" si="12"/>
        <v/>
      </c>
      <c r="D80" s="567"/>
      <c r="E80" s="1618"/>
      <c r="F80" s="1619"/>
      <c r="G80" s="1620"/>
      <c r="H80" s="566"/>
      <c r="I80" s="560"/>
      <c r="J80" s="561"/>
      <c r="K80" s="225"/>
      <c r="L80" s="530"/>
      <c r="M80" s="530"/>
      <c r="N80" s="530"/>
      <c r="O80" s="140">
        <f t="shared" si="13"/>
        <v>0</v>
      </c>
      <c r="P80" s="141">
        <f t="shared" si="14"/>
        <v>0</v>
      </c>
      <c r="Q80" s="142" t="str">
        <f xml:space="preserve">
IF(AND(AK80="◎",OR(テーブル!$B$3="交付申請",テーブル!$B$3="交付申請（２次以降）",テーブル!$B$3="変更申請")),"－",
IF(AND(AK80&lt;&gt;"◎",OR(テーブル!$B$3="交付申請",テーブル!$B$3="交付申請（２次以降）",テーブル!$B$3="変更申請")),"",
IF(AND(OR(テーブル!$B$3="実績報告",テーブル!$B$3="交付申請兼実績報告"),AK80="◎"),COUNTIF($AK$14:AK80,"◎"),"")))</f>
        <v/>
      </c>
      <c r="R80" s="142" t="str">
        <f t="shared" si="10"/>
        <v/>
      </c>
      <c r="AI80" s="444" t="s">
        <v>68</v>
      </c>
      <c r="AJ80" s="450">
        <v>67</v>
      </c>
      <c r="AK80" s="542" t="str">
        <f t="shared" si="15"/>
        <v>○</v>
      </c>
      <c r="AL80" s="451" t="str">
        <f t="shared" si="16"/>
        <v>申請しない場合は入力不要です。</v>
      </c>
      <c r="AN80" s="565" t="str">
        <f t="shared" si="17"/>
        <v/>
      </c>
    </row>
    <row r="81" spans="1:40" ht="20.100000000000001" customHeight="1" x14ac:dyDescent="0.4">
      <c r="A81" s="226">
        <v>68</v>
      </c>
      <c r="B81" s="593" t="str">
        <f t="shared" si="18"/>
        <v/>
      </c>
      <c r="C81" s="581" t="str">
        <f t="shared" si="12"/>
        <v/>
      </c>
      <c r="D81" s="567"/>
      <c r="E81" s="1618"/>
      <c r="F81" s="1619"/>
      <c r="G81" s="1620"/>
      <c r="H81" s="566"/>
      <c r="I81" s="560"/>
      <c r="J81" s="561"/>
      <c r="K81" s="225"/>
      <c r="L81" s="530"/>
      <c r="M81" s="530"/>
      <c r="N81" s="530"/>
      <c r="O81" s="140">
        <f t="shared" si="13"/>
        <v>0</v>
      </c>
      <c r="P81" s="141">
        <f t="shared" si="14"/>
        <v>0</v>
      </c>
      <c r="Q81" s="142" t="str">
        <f xml:space="preserve">
IF(AND(AK81="◎",OR(テーブル!$B$3="交付申請",テーブル!$B$3="交付申請（２次以降）",テーブル!$B$3="変更申請")),"－",
IF(AND(AK81&lt;&gt;"◎",OR(テーブル!$B$3="交付申請",テーブル!$B$3="交付申請（２次以降）",テーブル!$B$3="変更申請")),"",
IF(AND(OR(テーブル!$B$3="実績報告",テーブル!$B$3="交付申請兼実績報告"),AK81="◎"),COUNTIF($AK$14:AK81,"◎"),"")))</f>
        <v/>
      </c>
      <c r="R81" s="142" t="str">
        <f t="shared" si="10"/>
        <v/>
      </c>
      <c r="AI81" s="444" t="s">
        <v>68</v>
      </c>
      <c r="AJ81" s="450">
        <v>68</v>
      </c>
      <c r="AK81" s="542" t="str">
        <f t="shared" si="15"/>
        <v>○</v>
      </c>
      <c r="AL81" s="451" t="str">
        <f t="shared" si="16"/>
        <v>申請しない場合は入力不要です。</v>
      </c>
      <c r="AN81" s="565" t="str">
        <f t="shared" si="17"/>
        <v/>
      </c>
    </row>
    <row r="82" spans="1:40" ht="20.100000000000001" customHeight="1" x14ac:dyDescent="0.4">
      <c r="A82" s="226">
        <v>69</v>
      </c>
      <c r="B82" s="593" t="str">
        <f t="shared" si="18"/>
        <v/>
      </c>
      <c r="C82" s="581" t="str">
        <f t="shared" si="12"/>
        <v/>
      </c>
      <c r="D82" s="567"/>
      <c r="E82" s="1618"/>
      <c r="F82" s="1619"/>
      <c r="G82" s="1620"/>
      <c r="H82" s="566"/>
      <c r="I82" s="560"/>
      <c r="J82" s="561"/>
      <c r="K82" s="225"/>
      <c r="L82" s="530"/>
      <c r="M82" s="530"/>
      <c r="N82" s="530"/>
      <c r="O82" s="140">
        <f t="shared" si="13"/>
        <v>0</v>
      </c>
      <c r="P82" s="141">
        <f t="shared" si="14"/>
        <v>0</v>
      </c>
      <c r="Q82" s="142" t="str">
        <f xml:space="preserve">
IF(AND(AK82="◎",OR(テーブル!$B$3="交付申請",テーブル!$B$3="交付申請（２次以降）",テーブル!$B$3="変更申請")),"－",
IF(AND(AK82&lt;&gt;"◎",OR(テーブル!$B$3="交付申請",テーブル!$B$3="交付申請（２次以降）",テーブル!$B$3="変更申請")),"",
IF(AND(OR(テーブル!$B$3="実績報告",テーブル!$B$3="交付申請兼実績報告"),AK82="◎"),COUNTIF($AK$14:AK82,"◎"),"")))</f>
        <v/>
      </c>
      <c r="R82" s="142" t="str">
        <f t="shared" si="10"/>
        <v/>
      </c>
      <c r="AI82" s="444" t="s">
        <v>68</v>
      </c>
      <c r="AJ82" s="450">
        <v>69</v>
      </c>
      <c r="AK82" s="542" t="str">
        <f t="shared" si="15"/>
        <v>○</v>
      </c>
      <c r="AL82" s="451" t="str">
        <f t="shared" si="16"/>
        <v>申請しない場合は入力不要です。</v>
      </c>
      <c r="AN82" s="565" t="str">
        <f t="shared" si="17"/>
        <v/>
      </c>
    </row>
    <row r="83" spans="1:40" ht="20.100000000000001" customHeight="1" x14ac:dyDescent="0.4">
      <c r="A83" s="226">
        <v>70</v>
      </c>
      <c r="B83" s="593" t="str">
        <f t="shared" si="18"/>
        <v/>
      </c>
      <c r="C83" s="581" t="str">
        <f t="shared" si="12"/>
        <v/>
      </c>
      <c r="D83" s="567"/>
      <c r="E83" s="1618"/>
      <c r="F83" s="1619"/>
      <c r="G83" s="1620"/>
      <c r="H83" s="566"/>
      <c r="I83" s="560"/>
      <c r="J83" s="561"/>
      <c r="K83" s="225"/>
      <c r="L83" s="530"/>
      <c r="M83" s="530"/>
      <c r="N83" s="530"/>
      <c r="O83" s="140">
        <f t="shared" si="13"/>
        <v>0</v>
      </c>
      <c r="P83" s="141">
        <f t="shared" si="14"/>
        <v>0</v>
      </c>
      <c r="Q83" s="142" t="str">
        <f xml:space="preserve">
IF(AND(AK83="◎",OR(テーブル!$B$3="交付申請",テーブル!$B$3="交付申請（２次以降）",テーブル!$B$3="変更申請")),"－",
IF(AND(AK83&lt;&gt;"◎",OR(テーブル!$B$3="交付申請",テーブル!$B$3="交付申請（２次以降）",テーブル!$B$3="変更申請")),"",
IF(AND(OR(テーブル!$B$3="実績報告",テーブル!$B$3="交付申請兼実績報告"),AK83="◎"),COUNTIF($AK$14:AK83,"◎"),"")))</f>
        <v/>
      </c>
      <c r="R83" s="142" t="str">
        <f t="shared" si="10"/>
        <v/>
      </c>
      <c r="AI83" s="444" t="s">
        <v>68</v>
      </c>
      <c r="AJ83" s="450">
        <v>70</v>
      </c>
      <c r="AK83" s="542" t="str">
        <f t="shared" si="15"/>
        <v>○</v>
      </c>
      <c r="AL83" s="451" t="str">
        <f t="shared" si="16"/>
        <v>申請しない場合は入力不要です。</v>
      </c>
      <c r="AN83" s="565" t="str">
        <f t="shared" si="17"/>
        <v/>
      </c>
    </row>
    <row r="84" spans="1:40" ht="20.100000000000001" customHeight="1" x14ac:dyDescent="0.4">
      <c r="A84" s="226">
        <v>71</v>
      </c>
      <c r="B84" s="593" t="str">
        <f t="shared" si="18"/>
        <v/>
      </c>
      <c r="C84" s="581" t="str">
        <f t="shared" si="12"/>
        <v/>
      </c>
      <c r="D84" s="567"/>
      <c r="E84" s="1618"/>
      <c r="F84" s="1619"/>
      <c r="G84" s="1620"/>
      <c r="H84" s="566"/>
      <c r="I84" s="560"/>
      <c r="J84" s="561"/>
      <c r="K84" s="225"/>
      <c r="L84" s="530"/>
      <c r="M84" s="530"/>
      <c r="N84" s="530"/>
      <c r="O84" s="140">
        <f t="shared" si="13"/>
        <v>0</v>
      </c>
      <c r="P84" s="141">
        <f t="shared" si="14"/>
        <v>0</v>
      </c>
      <c r="Q84" s="142" t="str">
        <f xml:space="preserve">
IF(AND(AK84="◎",OR(テーブル!$B$3="交付申請",テーブル!$B$3="交付申請（２次以降）",テーブル!$B$3="変更申請")),"－",
IF(AND(AK84&lt;&gt;"◎",OR(テーブル!$B$3="交付申請",テーブル!$B$3="交付申請（２次以降）",テーブル!$B$3="変更申請")),"",
IF(AND(OR(テーブル!$B$3="実績報告",テーブル!$B$3="交付申請兼実績報告"),AK84="◎"),COUNTIF($AK$14:AK84,"◎"),"")))</f>
        <v/>
      </c>
      <c r="R84" s="142" t="str">
        <f t="shared" si="10"/>
        <v/>
      </c>
      <c r="AI84" s="444" t="s">
        <v>68</v>
      </c>
      <c r="AJ84" s="450">
        <v>71</v>
      </c>
      <c r="AK84" s="542" t="str">
        <f t="shared" si="15"/>
        <v>○</v>
      </c>
      <c r="AL84" s="451" t="str">
        <f t="shared" si="16"/>
        <v>申請しない場合は入力不要です。</v>
      </c>
      <c r="AN84" s="565" t="str">
        <f t="shared" si="17"/>
        <v/>
      </c>
    </row>
    <row r="85" spans="1:40" ht="20.100000000000001" customHeight="1" x14ac:dyDescent="0.4">
      <c r="A85" s="226">
        <v>72</v>
      </c>
      <c r="B85" s="593" t="str">
        <f t="shared" si="18"/>
        <v/>
      </c>
      <c r="C85" s="581" t="str">
        <f t="shared" si="12"/>
        <v/>
      </c>
      <c r="D85" s="567"/>
      <c r="E85" s="1618"/>
      <c r="F85" s="1619"/>
      <c r="G85" s="1620"/>
      <c r="H85" s="566"/>
      <c r="I85" s="560"/>
      <c r="J85" s="561"/>
      <c r="K85" s="225"/>
      <c r="L85" s="530"/>
      <c r="M85" s="530"/>
      <c r="N85" s="530"/>
      <c r="O85" s="140">
        <f t="shared" si="13"/>
        <v>0</v>
      </c>
      <c r="P85" s="141">
        <f t="shared" si="14"/>
        <v>0</v>
      </c>
      <c r="Q85" s="142" t="str">
        <f xml:space="preserve">
IF(AND(AK85="◎",OR(テーブル!$B$3="交付申請",テーブル!$B$3="交付申請（２次以降）",テーブル!$B$3="変更申請")),"－",
IF(AND(AK85&lt;&gt;"◎",OR(テーブル!$B$3="交付申請",テーブル!$B$3="交付申請（２次以降）",テーブル!$B$3="変更申請")),"",
IF(AND(OR(テーブル!$B$3="実績報告",テーブル!$B$3="交付申請兼実績報告"),AK85="◎"),COUNTIF($AK$14:AK85,"◎"),"")))</f>
        <v/>
      </c>
      <c r="R85" s="142" t="str">
        <f t="shared" si="10"/>
        <v/>
      </c>
      <c r="AI85" s="444" t="s">
        <v>68</v>
      </c>
      <c r="AJ85" s="450">
        <v>72</v>
      </c>
      <c r="AK85" s="542" t="str">
        <f t="shared" si="15"/>
        <v>○</v>
      </c>
      <c r="AL85" s="451" t="str">
        <f t="shared" si="16"/>
        <v>申請しない場合は入力不要です。</v>
      </c>
      <c r="AN85" s="565" t="str">
        <f t="shared" si="17"/>
        <v/>
      </c>
    </row>
    <row r="86" spans="1:40" ht="20.100000000000001" customHeight="1" x14ac:dyDescent="0.4">
      <c r="A86" s="226">
        <v>73</v>
      </c>
      <c r="B86" s="593" t="str">
        <f t="shared" si="18"/>
        <v/>
      </c>
      <c r="C86" s="581" t="str">
        <f t="shared" si="12"/>
        <v/>
      </c>
      <c r="D86" s="567"/>
      <c r="E86" s="1618"/>
      <c r="F86" s="1619"/>
      <c r="G86" s="1620"/>
      <c r="H86" s="566"/>
      <c r="I86" s="560"/>
      <c r="J86" s="561"/>
      <c r="K86" s="225"/>
      <c r="L86" s="530"/>
      <c r="M86" s="530"/>
      <c r="N86" s="530"/>
      <c r="O86" s="140">
        <f t="shared" si="13"/>
        <v>0</v>
      </c>
      <c r="P86" s="141">
        <f t="shared" si="14"/>
        <v>0</v>
      </c>
      <c r="Q86" s="142" t="str">
        <f xml:space="preserve">
IF(AND(AK86="◎",OR(テーブル!$B$3="交付申請",テーブル!$B$3="交付申請（２次以降）",テーブル!$B$3="変更申請")),"－",
IF(AND(AK86&lt;&gt;"◎",OR(テーブル!$B$3="交付申請",テーブル!$B$3="交付申請（２次以降）",テーブル!$B$3="変更申請")),"",
IF(AND(OR(テーブル!$B$3="実績報告",テーブル!$B$3="交付申請兼実績報告"),AK86="◎"),COUNTIF($AK$14:AK86,"◎"),"")))</f>
        <v/>
      </c>
      <c r="R86" s="142" t="str">
        <f t="shared" si="10"/>
        <v/>
      </c>
      <c r="AI86" s="444" t="s">
        <v>68</v>
      </c>
      <c r="AJ86" s="450">
        <v>73</v>
      </c>
      <c r="AK86" s="542" t="str">
        <f t="shared" si="15"/>
        <v>○</v>
      </c>
      <c r="AL86" s="451" t="str">
        <f t="shared" si="16"/>
        <v>申請しない場合は入力不要です。</v>
      </c>
      <c r="AN86" s="565" t="str">
        <f t="shared" si="17"/>
        <v/>
      </c>
    </row>
    <row r="87" spans="1:40" ht="20.100000000000001" customHeight="1" x14ac:dyDescent="0.4">
      <c r="A87" s="226">
        <v>74</v>
      </c>
      <c r="B87" s="593" t="str">
        <f t="shared" si="18"/>
        <v/>
      </c>
      <c r="C87" s="581" t="str">
        <f t="shared" si="12"/>
        <v/>
      </c>
      <c r="D87" s="567"/>
      <c r="E87" s="1618"/>
      <c r="F87" s="1619"/>
      <c r="G87" s="1620"/>
      <c r="H87" s="566"/>
      <c r="I87" s="560"/>
      <c r="J87" s="561"/>
      <c r="K87" s="225"/>
      <c r="L87" s="530"/>
      <c r="M87" s="530"/>
      <c r="N87" s="530"/>
      <c r="O87" s="140">
        <f t="shared" si="13"/>
        <v>0</v>
      </c>
      <c r="P87" s="141">
        <f t="shared" si="14"/>
        <v>0</v>
      </c>
      <c r="Q87" s="142" t="str">
        <f xml:space="preserve">
IF(AND(AK87="◎",OR(テーブル!$B$3="交付申請",テーブル!$B$3="交付申請（２次以降）",テーブル!$B$3="変更申請")),"－",
IF(AND(AK87&lt;&gt;"◎",OR(テーブル!$B$3="交付申請",テーブル!$B$3="交付申請（２次以降）",テーブル!$B$3="変更申請")),"",
IF(AND(OR(テーブル!$B$3="実績報告",テーブル!$B$3="交付申請兼実績報告"),AK87="◎"),COUNTIF($AK$14:AK87,"◎"),"")))</f>
        <v/>
      </c>
      <c r="R87" s="142" t="str">
        <f t="shared" ref="R87:R113" si="19" xml:space="preserve">
IF(D87=$AE$13,"手指消毒用は対象外",
IF(D87=$AE$14,"倍率が判る資料を提出",
IF(D87=$AE$20,"重複計上の有無確認",
IF(D87=$AE$21,"契約書、実績書類を提出",""
))))</f>
        <v/>
      </c>
      <c r="AI87" s="444" t="s">
        <v>68</v>
      </c>
      <c r="AJ87" s="450">
        <v>74</v>
      </c>
      <c r="AK87" s="542" t="str">
        <f t="shared" si="15"/>
        <v>○</v>
      </c>
      <c r="AL87" s="451" t="str">
        <f t="shared" si="16"/>
        <v>申請しない場合は入力不要です。</v>
      </c>
      <c r="AN87" s="565" t="str">
        <f t="shared" si="17"/>
        <v/>
      </c>
    </row>
    <row r="88" spans="1:40" ht="20.100000000000001" customHeight="1" x14ac:dyDescent="0.4">
      <c r="A88" s="226">
        <v>75</v>
      </c>
      <c r="B88" s="593" t="str">
        <f t="shared" si="18"/>
        <v/>
      </c>
      <c r="C88" s="581" t="str">
        <f t="shared" si="12"/>
        <v/>
      </c>
      <c r="D88" s="567"/>
      <c r="E88" s="1618"/>
      <c r="F88" s="1619"/>
      <c r="G88" s="1620"/>
      <c r="H88" s="566"/>
      <c r="I88" s="560"/>
      <c r="J88" s="561"/>
      <c r="K88" s="225"/>
      <c r="L88" s="530"/>
      <c r="M88" s="530"/>
      <c r="N88" s="530"/>
      <c r="O88" s="140">
        <f t="shared" si="13"/>
        <v>0</v>
      </c>
      <c r="P88" s="141">
        <f t="shared" si="14"/>
        <v>0</v>
      </c>
      <c r="Q88" s="142" t="str">
        <f xml:space="preserve">
IF(AND(AK88="◎",OR(テーブル!$B$3="交付申請",テーブル!$B$3="交付申請（２次以降）",テーブル!$B$3="変更申請")),"－",
IF(AND(AK88&lt;&gt;"◎",OR(テーブル!$B$3="交付申請",テーブル!$B$3="交付申請（２次以降）",テーブル!$B$3="変更申請")),"",
IF(AND(OR(テーブル!$B$3="実績報告",テーブル!$B$3="交付申請兼実績報告"),AK88="◎"),COUNTIF($AK$14:AK88,"◎"),"")))</f>
        <v/>
      </c>
      <c r="R88" s="142" t="str">
        <f t="shared" si="19"/>
        <v/>
      </c>
      <c r="AI88" s="444" t="s">
        <v>68</v>
      </c>
      <c r="AJ88" s="450">
        <v>75</v>
      </c>
      <c r="AK88" s="542" t="str">
        <f t="shared" si="15"/>
        <v>○</v>
      </c>
      <c r="AL88" s="451" t="str">
        <f t="shared" si="16"/>
        <v>申請しない場合は入力不要です。</v>
      </c>
      <c r="AN88" s="565" t="str">
        <f t="shared" si="17"/>
        <v/>
      </c>
    </row>
    <row r="89" spans="1:40" ht="20.100000000000001" customHeight="1" x14ac:dyDescent="0.4">
      <c r="A89" s="226">
        <v>76</v>
      </c>
      <c r="B89" s="593" t="str">
        <f t="shared" si="18"/>
        <v/>
      </c>
      <c r="C89" s="581" t="str">
        <f t="shared" si="12"/>
        <v/>
      </c>
      <c r="D89" s="567"/>
      <c r="E89" s="1618"/>
      <c r="F89" s="1619"/>
      <c r="G89" s="1620"/>
      <c r="H89" s="566"/>
      <c r="I89" s="560"/>
      <c r="J89" s="561"/>
      <c r="K89" s="225"/>
      <c r="L89" s="530"/>
      <c r="M89" s="530"/>
      <c r="N89" s="530"/>
      <c r="O89" s="140">
        <f t="shared" si="13"/>
        <v>0</v>
      </c>
      <c r="P89" s="141">
        <f t="shared" si="14"/>
        <v>0</v>
      </c>
      <c r="Q89" s="142" t="str">
        <f xml:space="preserve">
IF(AND(AK89="◎",OR(テーブル!$B$3="交付申請",テーブル!$B$3="交付申請（２次以降）",テーブル!$B$3="変更申請")),"－",
IF(AND(AK89&lt;&gt;"◎",OR(テーブル!$B$3="交付申請",テーブル!$B$3="交付申請（２次以降）",テーブル!$B$3="変更申請")),"",
IF(AND(OR(テーブル!$B$3="実績報告",テーブル!$B$3="交付申請兼実績報告"),AK89="◎"),COUNTIF($AK$14:AK89,"◎"),"")))</f>
        <v/>
      </c>
      <c r="R89" s="142" t="str">
        <f t="shared" si="19"/>
        <v/>
      </c>
      <c r="AI89" s="444" t="s">
        <v>68</v>
      </c>
      <c r="AJ89" s="450">
        <v>76</v>
      </c>
      <c r="AK89" s="542" t="str">
        <f t="shared" si="15"/>
        <v>○</v>
      </c>
      <c r="AL89" s="451" t="str">
        <f t="shared" si="16"/>
        <v>申請しない場合は入力不要です。</v>
      </c>
      <c r="AN89" s="565" t="str">
        <f t="shared" si="17"/>
        <v/>
      </c>
    </row>
    <row r="90" spans="1:40" ht="20.100000000000001" customHeight="1" x14ac:dyDescent="0.4">
      <c r="A90" s="226">
        <v>77</v>
      </c>
      <c r="B90" s="593" t="str">
        <f t="shared" si="18"/>
        <v/>
      </c>
      <c r="C90" s="581" t="str">
        <f t="shared" si="12"/>
        <v/>
      </c>
      <c r="D90" s="567"/>
      <c r="E90" s="1618"/>
      <c r="F90" s="1619"/>
      <c r="G90" s="1620"/>
      <c r="H90" s="566"/>
      <c r="I90" s="560"/>
      <c r="J90" s="561"/>
      <c r="K90" s="225"/>
      <c r="L90" s="530"/>
      <c r="M90" s="530"/>
      <c r="N90" s="530"/>
      <c r="O90" s="140">
        <f t="shared" si="13"/>
        <v>0</v>
      </c>
      <c r="P90" s="141">
        <f t="shared" si="14"/>
        <v>0</v>
      </c>
      <c r="Q90" s="142" t="str">
        <f xml:space="preserve">
IF(AND(AK90="◎",OR(テーブル!$B$3="交付申請",テーブル!$B$3="交付申請（２次以降）",テーブル!$B$3="変更申請")),"－",
IF(AND(AK90&lt;&gt;"◎",OR(テーブル!$B$3="交付申請",テーブル!$B$3="交付申請（２次以降）",テーブル!$B$3="変更申請")),"",
IF(AND(OR(テーブル!$B$3="実績報告",テーブル!$B$3="交付申請兼実績報告"),AK90="◎"),COUNTIF($AK$14:AK90,"◎"),"")))</f>
        <v/>
      </c>
      <c r="R90" s="142" t="str">
        <f t="shared" si="19"/>
        <v/>
      </c>
      <c r="AI90" s="444" t="s">
        <v>68</v>
      </c>
      <c r="AJ90" s="450">
        <v>77</v>
      </c>
      <c r="AK90" s="542" t="str">
        <f t="shared" si="15"/>
        <v>○</v>
      </c>
      <c r="AL90" s="451" t="str">
        <f t="shared" si="16"/>
        <v>申請しない場合は入力不要です。</v>
      </c>
      <c r="AN90" s="565" t="str">
        <f t="shared" si="17"/>
        <v/>
      </c>
    </row>
    <row r="91" spans="1:40" ht="20.100000000000001" customHeight="1" x14ac:dyDescent="0.4">
      <c r="A91" s="226">
        <v>78</v>
      </c>
      <c r="B91" s="593" t="str">
        <f t="shared" si="18"/>
        <v/>
      </c>
      <c r="C91" s="581" t="str">
        <f t="shared" si="12"/>
        <v/>
      </c>
      <c r="D91" s="567"/>
      <c r="E91" s="1618"/>
      <c r="F91" s="1619"/>
      <c r="G91" s="1620"/>
      <c r="H91" s="566"/>
      <c r="I91" s="560"/>
      <c r="J91" s="561"/>
      <c r="K91" s="225"/>
      <c r="L91" s="530"/>
      <c r="M91" s="530"/>
      <c r="N91" s="530"/>
      <c r="O91" s="140">
        <f t="shared" si="13"/>
        <v>0</v>
      </c>
      <c r="P91" s="141">
        <f t="shared" si="14"/>
        <v>0</v>
      </c>
      <c r="Q91" s="142" t="str">
        <f xml:space="preserve">
IF(AND(AK91="◎",OR(テーブル!$B$3="交付申請",テーブル!$B$3="交付申請（２次以降）",テーブル!$B$3="変更申請")),"－",
IF(AND(AK91&lt;&gt;"◎",OR(テーブル!$B$3="交付申請",テーブル!$B$3="交付申請（２次以降）",テーブル!$B$3="変更申請")),"",
IF(AND(OR(テーブル!$B$3="実績報告",テーブル!$B$3="交付申請兼実績報告"),AK91="◎"),COUNTIF($AK$14:AK91,"◎"),"")))</f>
        <v/>
      </c>
      <c r="R91" s="142" t="str">
        <f t="shared" si="19"/>
        <v/>
      </c>
      <c r="AI91" s="444" t="s">
        <v>68</v>
      </c>
      <c r="AJ91" s="450">
        <v>78</v>
      </c>
      <c r="AK91" s="542" t="str">
        <f t="shared" si="15"/>
        <v>○</v>
      </c>
      <c r="AL91" s="451" t="str">
        <f t="shared" si="16"/>
        <v>申請しない場合は入力不要です。</v>
      </c>
      <c r="AN91" s="565" t="str">
        <f t="shared" si="17"/>
        <v/>
      </c>
    </row>
    <row r="92" spans="1:40" ht="20.100000000000001" customHeight="1" x14ac:dyDescent="0.4">
      <c r="A92" s="226">
        <v>79</v>
      </c>
      <c r="B92" s="593" t="str">
        <f t="shared" si="18"/>
        <v/>
      </c>
      <c r="C92" s="581" t="str">
        <f t="shared" si="12"/>
        <v/>
      </c>
      <c r="D92" s="567"/>
      <c r="E92" s="1618"/>
      <c r="F92" s="1619"/>
      <c r="G92" s="1620"/>
      <c r="H92" s="566"/>
      <c r="I92" s="560"/>
      <c r="J92" s="561"/>
      <c r="K92" s="225"/>
      <c r="L92" s="530"/>
      <c r="M92" s="530"/>
      <c r="N92" s="530"/>
      <c r="O92" s="140">
        <f t="shared" si="13"/>
        <v>0</v>
      </c>
      <c r="P92" s="141">
        <f t="shared" si="14"/>
        <v>0</v>
      </c>
      <c r="Q92" s="142" t="str">
        <f xml:space="preserve">
IF(AND(AK92="◎",OR(テーブル!$B$3="交付申請",テーブル!$B$3="交付申請（２次以降）",テーブル!$B$3="変更申請")),"－",
IF(AND(AK92&lt;&gt;"◎",OR(テーブル!$B$3="交付申請",テーブル!$B$3="交付申請（２次以降）",テーブル!$B$3="変更申請")),"",
IF(AND(OR(テーブル!$B$3="実績報告",テーブル!$B$3="交付申請兼実績報告"),AK92="◎"),COUNTIF($AK$14:AK92,"◎"),"")))</f>
        <v/>
      </c>
      <c r="R92" s="142" t="str">
        <f t="shared" si="19"/>
        <v/>
      </c>
      <c r="AI92" s="444" t="s">
        <v>68</v>
      </c>
      <c r="AJ92" s="450">
        <v>79</v>
      </c>
      <c r="AK92" s="542" t="str">
        <f t="shared" si="15"/>
        <v>○</v>
      </c>
      <c r="AL92" s="451" t="str">
        <f t="shared" si="16"/>
        <v>申請しない場合は入力不要です。</v>
      </c>
      <c r="AN92" s="565" t="str">
        <f t="shared" si="17"/>
        <v/>
      </c>
    </row>
    <row r="93" spans="1:40" ht="20.100000000000001" customHeight="1" x14ac:dyDescent="0.4">
      <c r="A93" s="226">
        <v>80</v>
      </c>
      <c r="B93" s="593" t="str">
        <f t="shared" si="18"/>
        <v/>
      </c>
      <c r="C93" s="581" t="str">
        <f t="shared" si="12"/>
        <v/>
      </c>
      <c r="D93" s="567"/>
      <c r="E93" s="1618"/>
      <c r="F93" s="1619"/>
      <c r="G93" s="1620"/>
      <c r="H93" s="566"/>
      <c r="I93" s="560"/>
      <c r="J93" s="561"/>
      <c r="K93" s="225"/>
      <c r="L93" s="530"/>
      <c r="M93" s="530"/>
      <c r="N93" s="530"/>
      <c r="O93" s="140">
        <f t="shared" si="13"/>
        <v>0</v>
      </c>
      <c r="P93" s="141">
        <f t="shared" si="14"/>
        <v>0</v>
      </c>
      <c r="Q93" s="142" t="str">
        <f xml:space="preserve">
IF(AND(AK93="◎",OR(テーブル!$B$3="交付申請",テーブル!$B$3="交付申請（２次以降）",テーブル!$B$3="変更申請")),"－",
IF(AND(AK93&lt;&gt;"◎",OR(テーブル!$B$3="交付申請",テーブル!$B$3="交付申請（２次以降）",テーブル!$B$3="変更申請")),"",
IF(AND(OR(テーブル!$B$3="実績報告",テーブル!$B$3="交付申請兼実績報告"),AK93="◎"),COUNTIF($AK$14:AK93,"◎"),"")))</f>
        <v/>
      </c>
      <c r="R93" s="142" t="str">
        <f t="shared" si="19"/>
        <v/>
      </c>
      <c r="AI93" s="444" t="s">
        <v>68</v>
      </c>
      <c r="AJ93" s="450">
        <v>80</v>
      </c>
      <c r="AK93" s="542" t="str">
        <f t="shared" si="15"/>
        <v>○</v>
      </c>
      <c r="AL93" s="451" t="str">
        <f t="shared" si="16"/>
        <v>申請しない場合は入力不要です。</v>
      </c>
      <c r="AN93" s="565" t="str">
        <f t="shared" si="17"/>
        <v/>
      </c>
    </row>
    <row r="94" spans="1:40" ht="20.100000000000001" customHeight="1" x14ac:dyDescent="0.4">
      <c r="A94" s="226">
        <v>81</v>
      </c>
      <c r="B94" s="593" t="str">
        <f t="shared" si="18"/>
        <v/>
      </c>
      <c r="C94" s="581" t="str">
        <f t="shared" si="12"/>
        <v/>
      </c>
      <c r="D94" s="567"/>
      <c r="E94" s="1618"/>
      <c r="F94" s="1619"/>
      <c r="G94" s="1620"/>
      <c r="H94" s="566"/>
      <c r="I94" s="560"/>
      <c r="J94" s="561"/>
      <c r="K94" s="225"/>
      <c r="L94" s="530"/>
      <c r="M94" s="530"/>
      <c r="N94" s="530"/>
      <c r="O94" s="140">
        <f t="shared" si="13"/>
        <v>0</v>
      </c>
      <c r="P94" s="141">
        <f t="shared" si="14"/>
        <v>0</v>
      </c>
      <c r="Q94" s="142" t="str">
        <f xml:space="preserve">
IF(AND(AK94="◎",OR(テーブル!$B$3="交付申請",テーブル!$B$3="交付申請（２次以降）",テーブル!$B$3="変更申請")),"－",
IF(AND(AK94&lt;&gt;"◎",OR(テーブル!$B$3="交付申請",テーブル!$B$3="交付申請（２次以降）",テーブル!$B$3="変更申請")),"",
IF(AND(OR(テーブル!$B$3="実績報告",テーブル!$B$3="交付申請兼実績報告"),AK94="◎"),COUNTIF($AK$14:AK94,"◎"),"")))</f>
        <v/>
      </c>
      <c r="R94" s="142" t="str">
        <f t="shared" si="19"/>
        <v/>
      </c>
      <c r="AI94" s="444" t="s">
        <v>68</v>
      </c>
      <c r="AJ94" s="450">
        <v>81</v>
      </c>
      <c r="AK94" s="542" t="str">
        <f t="shared" si="15"/>
        <v>○</v>
      </c>
      <c r="AL94" s="451" t="str">
        <f t="shared" si="16"/>
        <v>申請しない場合は入力不要です。</v>
      </c>
      <c r="AN94" s="565" t="str">
        <f t="shared" si="17"/>
        <v/>
      </c>
    </row>
    <row r="95" spans="1:40" ht="20.100000000000001" customHeight="1" x14ac:dyDescent="0.4">
      <c r="A95" s="226">
        <v>82</v>
      </c>
      <c r="B95" s="593" t="str">
        <f t="shared" si="18"/>
        <v/>
      </c>
      <c r="C95" s="581" t="str">
        <f t="shared" si="12"/>
        <v/>
      </c>
      <c r="D95" s="567"/>
      <c r="E95" s="1618"/>
      <c r="F95" s="1619"/>
      <c r="G95" s="1620"/>
      <c r="H95" s="566"/>
      <c r="I95" s="560"/>
      <c r="J95" s="561"/>
      <c r="K95" s="225"/>
      <c r="L95" s="530"/>
      <c r="M95" s="530"/>
      <c r="N95" s="530"/>
      <c r="O95" s="140">
        <f t="shared" si="13"/>
        <v>0</v>
      </c>
      <c r="P95" s="141">
        <f t="shared" si="14"/>
        <v>0</v>
      </c>
      <c r="Q95" s="142" t="str">
        <f xml:space="preserve">
IF(AND(AK95="◎",OR(テーブル!$B$3="交付申請",テーブル!$B$3="交付申請（２次以降）",テーブル!$B$3="変更申請")),"－",
IF(AND(AK95&lt;&gt;"◎",OR(テーブル!$B$3="交付申請",テーブル!$B$3="交付申請（２次以降）",テーブル!$B$3="変更申請")),"",
IF(AND(OR(テーブル!$B$3="実績報告",テーブル!$B$3="交付申請兼実績報告"),AK95="◎"),COUNTIF($AK$14:AK95,"◎"),"")))</f>
        <v/>
      </c>
      <c r="R95" s="142" t="str">
        <f t="shared" si="19"/>
        <v/>
      </c>
      <c r="AI95" s="444" t="s">
        <v>68</v>
      </c>
      <c r="AJ95" s="450">
        <v>82</v>
      </c>
      <c r="AK95" s="542" t="str">
        <f t="shared" si="15"/>
        <v>○</v>
      </c>
      <c r="AL95" s="451" t="str">
        <f t="shared" si="16"/>
        <v>申請しない場合は入力不要です。</v>
      </c>
      <c r="AN95" s="565" t="str">
        <f t="shared" si="17"/>
        <v/>
      </c>
    </row>
    <row r="96" spans="1:40" ht="20.100000000000001" customHeight="1" x14ac:dyDescent="0.4">
      <c r="A96" s="226">
        <v>83</v>
      </c>
      <c r="B96" s="593" t="str">
        <f t="shared" si="18"/>
        <v/>
      </c>
      <c r="C96" s="581" t="str">
        <f t="shared" si="12"/>
        <v/>
      </c>
      <c r="D96" s="567"/>
      <c r="E96" s="1618"/>
      <c r="F96" s="1619"/>
      <c r="G96" s="1620"/>
      <c r="H96" s="566"/>
      <c r="I96" s="560"/>
      <c r="J96" s="561"/>
      <c r="K96" s="225"/>
      <c r="L96" s="530"/>
      <c r="M96" s="530"/>
      <c r="N96" s="530"/>
      <c r="O96" s="140">
        <f t="shared" si="13"/>
        <v>0</v>
      </c>
      <c r="P96" s="141">
        <f t="shared" si="14"/>
        <v>0</v>
      </c>
      <c r="Q96" s="142" t="str">
        <f xml:space="preserve">
IF(AND(AK96="◎",OR(テーブル!$B$3="交付申請",テーブル!$B$3="交付申請（２次以降）",テーブル!$B$3="変更申請")),"－",
IF(AND(AK96&lt;&gt;"◎",OR(テーブル!$B$3="交付申請",テーブル!$B$3="交付申請（２次以降）",テーブル!$B$3="変更申請")),"",
IF(AND(OR(テーブル!$B$3="実績報告",テーブル!$B$3="交付申請兼実績報告"),AK96="◎"),COUNTIF($AK$14:AK96,"◎"),"")))</f>
        <v/>
      </c>
      <c r="R96" s="142" t="str">
        <f t="shared" si="19"/>
        <v/>
      </c>
      <c r="AI96" s="444" t="s">
        <v>68</v>
      </c>
      <c r="AJ96" s="450">
        <v>83</v>
      </c>
      <c r="AK96" s="542" t="str">
        <f t="shared" si="15"/>
        <v>○</v>
      </c>
      <c r="AL96" s="451" t="str">
        <f t="shared" si="16"/>
        <v>申請しない場合は入力不要です。</v>
      </c>
      <c r="AN96" s="565" t="str">
        <f t="shared" si="17"/>
        <v/>
      </c>
    </row>
    <row r="97" spans="1:40" ht="20.100000000000001" customHeight="1" x14ac:dyDescent="0.4">
      <c r="A97" s="226">
        <v>84</v>
      </c>
      <c r="B97" s="593" t="str">
        <f t="shared" si="18"/>
        <v/>
      </c>
      <c r="C97" s="581" t="str">
        <f t="shared" si="12"/>
        <v/>
      </c>
      <c r="D97" s="567"/>
      <c r="E97" s="1618"/>
      <c r="F97" s="1619"/>
      <c r="G97" s="1620"/>
      <c r="H97" s="566"/>
      <c r="I97" s="560"/>
      <c r="J97" s="561"/>
      <c r="K97" s="225"/>
      <c r="L97" s="530"/>
      <c r="M97" s="530"/>
      <c r="N97" s="530"/>
      <c r="O97" s="140">
        <f t="shared" si="13"/>
        <v>0</v>
      </c>
      <c r="P97" s="141">
        <f t="shared" si="14"/>
        <v>0</v>
      </c>
      <c r="Q97" s="142" t="str">
        <f xml:space="preserve">
IF(AND(AK97="◎",OR(テーブル!$B$3="交付申請",テーブル!$B$3="交付申請（２次以降）",テーブル!$B$3="変更申請")),"－",
IF(AND(AK97&lt;&gt;"◎",OR(テーブル!$B$3="交付申請",テーブル!$B$3="交付申請（２次以降）",テーブル!$B$3="変更申請")),"",
IF(AND(OR(テーブル!$B$3="実績報告",テーブル!$B$3="交付申請兼実績報告"),AK97="◎"),COUNTIF($AK$14:AK97,"◎"),"")))</f>
        <v/>
      </c>
      <c r="R97" s="142" t="str">
        <f t="shared" si="19"/>
        <v/>
      </c>
      <c r="AI97" s="444" t="s">
        <v>68</v>
      </c>
      <c r="AJ97" s="450">
        <v>84</v>
      </c>
      <c r="AK97" s="542" t="str">
        <f t="shared" si="15"/>
        <v>○</v>
      </c>
      <c r="AL97" s="451" t="str">
        <f t="shared" si="16"/>
        <v>申請しない場合は入力不要です。</v>
      </c>
      <c r="AN97" s="565" t="str">
        <f t="shared" si="17"/>
        <v/>
      </c>
    </row>
    <row r="98" spans="1:40" ht="20.100000000000001" customHeight="1" x14ac:dyDescent="0.4">
      <c r="A98" s="226">
        <v>85</v>
      </c>
      <c r="B98" s="593" t="str">
        <f t="shared" si="18"/>
        <v/>
      </c>
      <c r="C98" s="581" t="str">
        <f t="shared" si="12"/>
        <v/>
      </c>
      <c r="D98" s="567"/>
      <c r="E98" s="1618"/>
      <c r="F98" s="1619"/>
      <c r="G98" s="1620"/>
      <c r="H98" s="566"/>
      <c r="I98" s="560"/>
      <c r="J98" s="561"/>
      <c r="K98" s="225"/>
      <c r="L98" s="530"/>
      <c r="M98" s="530"/>
      <c r="N98" s="530"/>
      <c r="O98" s="140">
        <f t="shared" si="13"/>
        <v>0</v>
      </c>
      <c r="P98" s="141">
        <f t="shared" si="14"/>
        <v>0</v>
      </c>
      <c r="Q98" s="142" t="str">
        <f xml:space="preserve">
IF(AND(AK98="◎",OR(テーブル!$B$3="交付申請",テーブル!$B$3="交付申請（２次以降）",テーブル!$B$3="変更申請")),"－",
IF(AND(AK98&lt;&gt;"◎",OR(テーブル!$B$3="交付申請",テーブル!$B$3="交付申請（２次以降）",テーブル!$B$3="変更申請")),"",
IF(AND(OR(テーブル!$B$3="実績報告",テーブル!$B$3="交付申請兼実績報告"),AK98="◎"),COUNTIF($AK$14:AK98,"◎"),"")))</f>
        <v/>
      </c>
      <c r="R98" s="142" t="str">
        <f t="shared" si="19"/>
        <v/>
      </c>
      <c r="AI98" s="444" t="s">
        <v>68</v>
      </c>
      <c r="AJ98" s="450">
        <v>85</v>
      </c>
      <c r="AK98" s="542" t="str">
        <f t="shared" si="15"/>
        <v>○</v>
      </c>
      <c r="AL98" s="451" t="str">
        <f t="shared" si="16"/>
        <v>申請しない場合は入力不要です。</v>
      </c>
      <c r="AN98" s="565" t="str">
        <f t="shared" si="17"/>
        <v/>
      </c>
    </row>
    <row r="99" spans="1:40" ht="20.100000000000001" customHeight="1" x14ac:dyDescent="0.4">
      <c r="A99" s="226">
        <v>86</v>
      </c>
      <c r="B99" s="593" t="str">
        <f t="shared" si="18"/>
        <v/>
      </c>
      <c r="C99" s="581" t="str">
        <f t="shared" si="12"/>
        <v/>
      </c>
      <c r="D99" s="567"/>
      <c r="E99" s="1618"/>
      <c r="F99" s="1619"/>
      <c r="G99" s="1620"/>
      <c r="H99" s="566"/>
      <c r="I99" s="560"/>
      <c r="J99" s="561"/>
      <c r="K99" s="225"/>
      <c r="L99" s="530"/>
      <c r="M99" s="530"/>
      <c r="N99" s="530"/>
      <c r="O99" s="140">
        <f t="shared" si="13"/>
        <v>0</v>
      </c>
      <c r="P99" s="141">
        <f t="shared" si="14"/>
        <v>0</v>
      </c>
      <c r="Q99" s="142" t="str">
        <f xml:space="preserve">
IF(AND(AK99="◎",OR(テーブル!$B$3="交付申請",テーブル!$B$3="交付申請（２次以降）",テーブル!$B$3="変更申請")),"－",
IF(AND(AK99&lt;&gt;"◎",OR(テーブル!$B$3="交付申請",テーブル!$B$3="交付申請（２次以降）",テーブル!$B$3="変更申請")),"",
IF(AND(OR(テーブル!$B$3="実績報告",テーブル!$B$3="交付申請兼実績報告"),AK99="◎"),COUNTIF($AK$14:AK99,"◎"),"")))</f>
        <v/>
      </c>
      <c r="R99" s="142" t="str">
        <f t="shared" si="19"/>
        <v/>
      </c>
      <c r="AI99" s="444" t="s">
        <v>68</v>
      </c>
      <c r="AJ99" s="450">
        <v>86</v>
      </c>
      <c r="AK99" s="542" t="str">
        <f t="shared" si="15"/>
        <v>○</v>
      </c>
      <c r="AL99" s="451" t="str">
        <f t="shared" si="16"/>
        <v>申請しない場合は入力不要です。</v>
      </c>
      <c r="AN99" s="565" t="str">
        <f t="shared" si="17"/>
        <v/>
      </c>
    </row>
    <row r="100" spans="1:40" ht="20.100000000000001" customHeight="1" x14ac:dyDescent="0.4">
      <c r="A100" s="226">
        <v>87</v>
      </c>
      <c r="B100" s="593" t="str">
        <f t="shared" si="18"/>
        <v/>
      </c>
      <c r="C100" s="581" t="str">
        <f t="shared" si="12"/>
        <v/>
      </c>
      <c r="D100" s="567"/>
      <c r="E100" s="1618"/>
      <c r="F100" s="1619"/>
      <c r="G100" s="1620"/>
      <c r="H100" s="566"/>
      <c r="I100" s="560"/>
      <c r="J100" s="561"/>
      <c r="K100" s="225"/>
      <c r="L100" s="530"/>
      <c r="M100" s="530"/>
      <c r="N100" s="530"/>
      <c r="O100" s="140">
        <f t="shared" si="13"/>
        <v>0</v>
      </c>
      <c r="P100" s="141">
        <f t="shared" si="14"/>
        <v>0</v>
      </c>
      <c r="Q100" s="142" t="str">
        <f xml:space="preserve">
IF(AND(AK100="◎",OR(テーブル!$B$3="交付申請",テーブル!$B$3="交付申請（２次以降）",テーブル!$B$3="変更申請")),"－",
IF(AND(AK100&lt;&gt;"◎",OR(テーブル!$B$3="交付申請",テーブル!$B$3="交付申請（２次以降）",テーブル!$B$3="変更申請")),"",
IF(AND(OR(テーブル!$B$3="実績報告",テーブル!$B$3="交付申請兼実績報告"),AK100="◎"),COUNTIF($AK$14:AK100,"◎"),"")))</f>
        <v/>
      </c>
      <c r="R100" s="142" t="str">
        <f t="shared" si="19"/>
        <v/>
      </c>
      <c r="AI100" s="444" t="s">
        <v>68</v>
      </c>
      <c r="AJ100" s="450">
        <v>87</v>
      </c>
      <c r="AK100" s="542" t="str">
        <f t="shared" si="15"/>
        <v>○</v>
      </c>
      <c r="AL100" s="451" t="str">
        <f t="shared" si="16"/>
        <v>申請しない場合は入力不要です。</v>
      </c>
      <c r="AN100" s="565" t="str">
        <f t="shared" si="17"/>
        <v/>
      </c>
    </row>
    <row r="101" spans="1:40" ht="20.100000000000001" customHeight="1" x14ac:dyDescent="0.4">
      <c r="A101" s="226">
        <v>88</v>
      </c>
      <c r="B101" s="593" t="str">
        <f t="shared" si="18"/>
        <v/>
      </c>
      <c r="C101" s="581" t="str">
        <f t="shared" si="12"/>
        <v/>
      </c>
      <c r="D101" s="567"/>
      <c r="E101" s="1618"/>
      <c r="F101" s="1619"/>
      <c r="G101" s="1620"/>
      <c r="H101" s="566"/>
      <c r="I101" s="560"/>
      <c r="J101" s="561"/>
      <c r="K101" s="225"/>
      <c r="L101" s="530"/>
      <c r="M101" s="530"/>
      <c r="N101" s="530"/>
      <c r="O101" s="140">
        <f t="shared" si="13"/>
        <v>0</v>
      </c>
      <c r="P101" s="141">
        <f t="shared" si="14"/>
        <v>0</v>
      </c>
      <c r="Q101" s="142" t="str">
        <f xml:space="preserve">
IF(AND(AK101="◎",OR(テーブル!$B$3="交付申請",テーブル!$B$3="交付申請（２次以降）",テーブル!$B$3="変更申請")),"－",
IF(AND(AK101&lt;&gt;"◎",OR(テーブル!$B$3="交付申請",テーブル!$B$3="交付申請（２次以降）",テーブル!$B$3="変更申請")),"",
IF(AND(OR(テーブル!$B$3="実績報告",テーブル!$B$3="交付申請兼実績報告"),AK101="◎"),COUNTIF($AK$14:AK101,"◎"),"")))</f>
        <v/>
      </c>
      <c r="R101" s="142" t="str">
        <f t="shared" si="19"/>
        <v/>
      </c>
      <c r="AI101" s="444" t="s">
        <v>68</v>
      </c>
      <c r="AJ101" s="450">
        <v>88</v>
      </c>
      <c r="AK101" s="542" t="str">
        <f t="shared" si="15"/>
        <v>○</v>
      </c>
      <c r="AL101" s="451" t="str">
        <f t="shared" si="16"/>
        <v>申請しない場合は入力不要です。</v>
      </c>
      <c r="AN101" s="565" t="str">
        <f t="shared" si="17"/>
        <v/>
      </c>
    </row>
    <row r="102" spans="1:40" ht="20.100000000000001" customHeight="1" x14ac:dyDescent="0.4">
      <c r="A102" s="226">
        <v>89</v>
      </c>
      <c r="B102" s="593" t="str">
        <f t="shared" si="18"/>
        <v/>
      </c>
      <c r="C102" s="581" t="str">
        <f t="shared" si="12"/>
        <v/>
      </c>
      <c r="D102" s="567"/>
      <c r="E102" s="1618"/>
      <c r="F102" s="1619"/>
      <c r="G102" s="1620"/>
      <c r="H102" s="566"/>
      <c r="I102" s="560"/>
      <c r="J102" s="561"/>
      <c r="K102" s="225"/>
      <c r="L102" s="530"/>
      <c r="M102" s="530"/>
      <c r="N102" s="530"/>
      <c r="O102" s="140">
        <f t="shared" si="13"/>
        <v>0</v>
      </c>
      <c r="P102" s="141">
        <f t="shared" si="14"/>
        <v>0</v>
      </c>
      <c r="Q102" s="142" t="str">
        <f xml:space="preserve">
IF(AND(AK102="◎",OR(テーブル!$B$3="交付申請",テーブル!$B$3="交付申請（２次以降）",テーブル!$B$3="変更申請")),"－",
IF(AND(AK102&lt;&gt;"◎",OR(テーブル!$B$3="交付申請",テーブル!$B$3="交付申請（２次以降）",テーブル!$B$3="変更申請")),"",
IF(AND(OR(テーブル!$B$3="実績報告",テーブル!$B$3="交付申請兼実績報告"),AK102="◎"),COUNTIF($AK$14:AK102,"◎"),"")))</f>
        <v/>
      </c>
      <c r="R102" s="142" t="str">
        <f t="shared" si="19"/>
        <v/>
      </c>
      <c r="AI102" s="444" t="s">
        <v>68</v>
      </c>
      <c r="AJ102" s="450">
        <v>89</v>
      </c>
      <c r="AK102" s="542" t="str">
        <f t="shared" si="15"/>
        <v>○</v>
      </c>
      <c r="AL102" s="451" t="str">
        <f t="shared" si="16"/>
        <v>申請しない場合は入力不要です。</v>
      </c>
      <c r="AN102" s="565" t="str">
        <f t="shared" si="17"/>
        <v/>
      </c>
    </row>
    <row r="103" spans="1:40" ht="20.100000000000001" customHeight="1" x14ac:dyDescent="0.4">
      <c r="A103" s="226">
        <v>90</v>
      </c>
      <c r="B103" s="593" t="str">
        <f t="shared" si="18"/>
        <v/>
      </c>
      <c r="C103" s="581" t="str">
        <f t="shared" si="12"/>
        <v/>
      </c>
      <c r="D103" s="567"/>
      <c r="E103" s="1618"/>
      <c r="F103" s="1619"/>
      <c r="G103" s="1620"/>
      <c r="H103" s="566"/>
      <c r="I103" s="560"/>
      <c r="J103" s="561"/>
      <c r="K103" s="225"/>
      <c r="L103" s="530"/>
      <c r="M103" s="530"/>
      <c r="N103" s="530"/>
      <c r="O103" s="140">
        <f t="shared" si="13"/>
        <v>0</v>
      </c>
      <c r="P103" s="141">
        <f t="shared" si="14"/>
        <v>0</v>
      </c>
      <c r="Q103" s="142" t="str">
        <f xml:space="preserve">
IF(AND(AK103="◎",OR(テーブル!$B$3="交付申請",テーブル!$B$3="交付申請（２次以降）",テーブル!$B$3="変更申請")),"－",
IF(AND(AK103&lt;&gt;"◎",OR(テーブル!$B$3="交付申請",テーブル!$B$3="交付申請（２次以降）",テーブル!$B$3="変更申請")),"",
IF(AND(OR(テーブル!$B$3="実績報告",テーブル!$B$3="交付申請兼実績報告"),AK103="◎"),COUNTIF($AK$14:AK103,"◎"),"")))</f>
        <v/>
      </c>
      <c r="R103" s="142" t="str">
        <f t="shared" si="19"/>
        <v/>
      </c>
      <c r="AI103" s="444" t="s">
        <v>68</v>
      </c>
      <c r="AJ103" s="450">
        <v>90</v>
      </c>
      <c r="AK103" s="542" t="str">
        <f t="shared" si="15"/>
        <v>○</v>
      </c>
      <c r="AL103" s="451" t="str">
        <f t="shared" si="16"/>
        <v>申請しない場合は入力不要です。</v>
      </c>
      <c r="AN103" s="565" t="str">
        <f t="shared" si="17"/>
        <v/>
      </c>
    </row>
    <row r="104" spans="1:40" ht="20.100000000000001" customHeight="1" x14ac:dyDescent="0.4">
      <c r="A104" s="226">
        <v>91</v>
      </c>
      <c r="B104" s="593" t="str">
        <f t="shared" si="18"/>
        <v/>
      </c>
      <c r="C104" s="581" t="str">
        <f t="shared" si="12"/>
        <v/>
      </c>
      <c r="D104" s="567"/>
      <c r="E104" s="1618"/>
      <c r="F104" s="1619"/>
      <c r="G104" s="1620"/>
      <c r="H104" s="566"/>
      <c r="I104" s="560"/>
      <c r="J104" s="561"/>
      <c r="K104" s="225"/>
      <c r="L104" s="530"/>
      <c r="M104" s="530"/>
      <c r="N104" s="530"/>
      <c r="O104" s="140">
        <f t="shared" si="13"/>
        <v>0</v>
      </c>
      <c r="P104" s="141">
        <f t="shared" si="14"/>
        <v>0</v>
      </c>
      <c r="Q104" s="142" t="str">
        <f xml:space="preserve">
IF(AND(AK104="◎",OR(テーブル!$B$3="交付申請",テーブル!$B$3="交付申請（２次以降）",テーブル!$B$3="変更申請")),"－",
IF(AND(AK104&lt;&gt;"◎",OR(テーブル!$B$3="交付申請",テーブル!$B$3="交付申請（２次以降）",テーブル!$B$3="変更申請")),"",
IF(AND(OR(テーブル!$B$3="実績報告",テーブル!$B$3="交付申請兼実績報告"),AK104="◎"),COUNTIF($AK$14:AK104,"◎"),"")))</f>
        <v/>
      </c>
      <c r="R104" s="142" t="str">
        <f t="shared" si="19"/>
        <v/>
      </c>
      <c r="AI104" s="444" t="s">
        <v>68</v>
      </c>
      <c r="AJ104" s="450">
        <v>91</v>
      </c>
      <c r="AK104" s="542" t="str">
        <f t="shared" si="15"/>
        <v>○</v>
      </c>
      <c r="AL104" s="451" t="str">
        <f t="shared" si="16"/>
        <v>申請しない場合は入力不要です。</v>
      </c>
      <c r="AN104" s="565" t="str">
        <f t="shared" si="17"/>
        <v/>
      </c>
    </row>
    <row r="105" spans="1:40" ht="20.100000000000001" customHeight="1" x14ac:dyDescent="0.4">
      <c r="A105" s="226">
        <v>92</v>
      </c>
      <c r="B105" s="593" t="str">
        <f t="shared" si="18"/>
        <v/>
      </c>
      <c r="C105" s="581" t="str">
        <f t="shared" si="12"/>
        <v/>
      </c>
      <c r="D105" s="567"/>
      <c r="E105" s="1618"/>
      <c r="F105" s="1619"/>
      <c r="G105" s="1620"/>
      <c r="H105" s="566"/>
      <c r="I105" s="560"/>
      <c r="J105" s="561"/>
      <c r="K105" s="225"/>
      <c r="L105" s="530"/>
      <c r="M105" s="530"/>
      <c r="N105" s="530"/>
      <c r="O105" s="140">
        <f t="shared" si="13"/>
        <v>0</v>
      </c>
      <c r="P105" s="141">
        <f t="shared" si="14"/>
        <v>0</v>
      </c>
      <c r="Q105" s="142" t="str">
        <f xml:space="preserve">
IF(AND(AK105="◎",OR(テーブル!$B$3="交付申請",テーブル!$B$3="交付申請（２次以降）",テーブル!$B$3="変更申請")),"－",
IF(AND(AK105&lt;&gt;"◎",OR(テーブル!$B$3="交付申請",テーブル!$B$3="交付申請（２次以降）",テーブル!$B$3="変更申請")),"",
IF(AND(OR(テーブル!$B$3="実績報告",テーブル!$B$3="交付申請兼実績報告"),AK105="◎"),COUNTIF($AK$14:AK105,"◎"),"")))</f>
        <v/>
      </c>
      <c r="R105" s="142" t="str">
        <f t="shared" si="19"/>
        <v/>
      </c>
      <c r="AI105" s="444" t="s">
        <v>68</v>
      </c>
      <c r="AJ105" s="450">
        <v>92</v>
      </c>
      <c r="AK105" s="542" t="str">
        <f t="shared" si="15"/>
        <v>○</v>
      </c>
      <c r="AL105" s="451" t="str">
        <f t="shared" si="16"/>
        <v>申請しない場合は入力不要です。</v>
      </c>
      <c r="AN105" s="565" t="str">
        <f t="shared" si="17"/>
        <v/>
      </c>
    </row>
    <row r="106" spans="1:40" ht="20.100000000000001" customHeight="1" x14ac:dyDescent="0.4">
      <c r="A106" s="226">
        <v>93</v>
      </c>
      <c r="B106" s="593" t="str">
        <f t="shared" si="18"/>
        <v/>
      </c>
      <c r="C106" s="581" t="str">
        <f t="shared" si="12"/>
        <v/>
      </c>
      <c r="D106" s="567"/>
      <c r="E106" s="1618"/>
      <c r="F106" s="1619"/>
      <c r="G106" s="1620"/>
      <c r="H106" s="566"/>
      <c r="I106" s="560"/>
      <c r="J106" s="561"/>
      <c r="K106" s="225"/>
      <c r="L106" s="530"/>
      <c r="M106" s="530"/>
      <c r="N106" s="530"/>
      <c r="O106" s="140">
        <f t="shared" si="13"/>
        <v>0</v>
      </c>
      <c r="P106" s="141">
        <f t="shared" si="14"/>
        <v>0</v>
      </c>
      <c r="Q106" s="142" t="str">
        <f xml:space="preserve">
IF(AND(AK106="◎",OR(テーブル!$B$3="交付申請",テーブル!$B$3="交付申請（２次以降）",テーブル!$B$3="変更申請")),"－",
IF(AND(AK106&lt;&gt;"◎",OR(テーブル!$B$3="交付申請",テーブル!$B$3="交付申請（２次以降）",テーブル!$B$3="変更申請")),"",
IF(AND(OR(テーブル!$B$3="実績報告",テーブル!$B$3="交付申請兼実績報告"),AK106="◎"),COUNTIF($AK$14:AK106,"◎"),"")))</f>
        <v/>
      </c>
      <c r="R106" s="142" t="str">
        <f t="shared" si="19"/>
        <v/>
      </c>
      <c r="AI106" s="444" t="s">
        <v>68</v>
      </c>
      <c r="AJ106" s="450">
        <v>93</v>
      </c>
      <c r="AK106" s="542" t="str">
        <f t="shared" si="15"/>
        <v>○</v>
      </c>
      <c r="AL106" s="451" t="str">
        <f t="shared" si="16"/>
        <v>申請しない場合は入力不要です。</v>
      </c>
      <c r="AN106" s="565" t="str">
        <f t="shared" si="17"/>
        <v/>
      </c>
    </row>
    <row r="107" spans="1:40" ht="20.100000000000001" customHeight="1" x14ac:dyDescent="0.4">
      <c r="A107" s="226">
        <v>94</v>
      </c>
      <c r="B107" s="593" t="str">
        <f t="shared" si="18"/>
        <v/>
      </c>
      <c r="C107" s="581" t="str">
        <f t="shared" si="12"/>
        <v/>
      </c>
      <c r="D107" s="567"/>
      <c r="E107" s="1618"/>
      <c r="F107" s="1619"/>
      <c r="G107" s="1620"/>
      <c r="H107" s="566"/>
      <c r="I107" s="560"/>
      <c r="J107" s="561"/>
      <c r="K107" s="225"/>
      <c r="L107" s="530"/>
      <c r="M107" s="530"/>
      <c r="N107" s="530"/>
      <c r="O107" s="140">
        <f t="shared" si="13"/>
        <v>0</v>
      </c>
      <c r="P107" s="141">
        <f t="shared" si="14"/>
        <v>0</v>
      </c>
      <c r="Q107" s="142" t="str">
        <f xml:space="preserve">
IF(AND(AK107="◎",OR(テーブル!$B$3="交付申請",テーブル!$B$3="交付申請（２次以降）",テーブル!$B$3="変更申請")),"－",
IF(AND(AK107&lt;&gt;"◎",OR(テーブル!$B$3="交付申請",テーブル!$B$3="交付申請（２次以降）",テーブル!$B$3="変更申請")),"",
IF(AND(OR(テーブル!$B$3="実績報告",テーブル!$B$3="交付申請兼実績報告"),AK107="◎"),COUNTIF($AK$14:AK107,"◎"),"")))</f>
        <v/>
      </c>
      <c r="R107" s="142" t="str">
        <f t="shared" si="19"/>
        <v/>
      </c>
      <c r="AI107" s="444" t="s">
        <v>68</v>
      </c>
      <c r="AJ107" s="450">
        <v>94</v>
      </c>
      <c r="AK107" s="542" t="str">
        <f t="shared" si="15"/>
        <v>○</v>
      </c>
      <c r="AL107" s="451" t="str">
        <f t="shared" si="16"/>
        <v>申請しない場合は入力不要です。</v>
      </c>
      <c r="AN107" s="565" t="str">
        <f t="shared" si="17"/>
        <v/>
      </c>
    </row>
    <row r="108" spans="1:40" ht="20.100000000000001" customHeight="1" x14ac:dyDescent="0.4">
      <c r="A108" s="226">
        <v>95</v>
      </c>
      <c r="B108" s="593" t="str">
        <f t="shared" si="18"/>
        <v/>
      </c>
      <c r="C108" s="581" t="str">
        <f t="shared" si="12"/>
        <v/>
      </c>
      <c r="D108" s="567"/>
      <c r="E108" s="1618"/>
      <c r="F108" s="1619"/>
      <c r="G108" s="1620"/>
      <c r="H108" s="566"/>
      <c r="I108" s="560"/>
      <c r="J108" s="561"/>
      <c r="K108" s="225"/>
      <c r="L108" s="530"/>
      <c r="M108" s="530"/>
      <c r="N108" s="530"/>
      <c r="O108" s="140">
        <f t="shared" si="13"/>
        <v>0</v>
      </c>
      <c r="P108" s="141">
        <f t="shared" si="14"/>
        <v>0</v>
      </c>
      <c r="Q108" s="142" t="str">
        <f xml:space="preserve">
IF(AND(AK108="◎",OR(テーブル!$B$3="交付申請",テーブル!$B$3="交付申請（２次以降）",テーブル!$B$3="変更申請")),"－",
IF(AND(AK108&lt;&gt;"◎",OR(テーブル!$B$3="交付申請",テーブル!$B$3="交付申請（２次以降）",テーブル!$B$3="変更申請")),"",
IF(AND(OR(テーブル!$B$3="実績報告",テーブル!$B$3="交付申請兼実績報告"),AK108="◎"),COUNTIF($AK$14:AK108,"◎"),"")))</f>
        <v/>
      </c>
      <c r="R108" s="142" t="str">
        <f t="shared" si="19"/>
        <v/>
      </c>
      <c r="AI108" s="444" t="s">
        <v>68</v>
      </c>
      <c r="AJ108" s="450">
        <v>95</v>
      </c>
      <c r="AK108" s="542" t="str">
        <f t="shared" si="15"/>
        <v>○</v>
      </c>
      <c r="AL108" s="451" t="str">
        <f t="shared" si="16"/>
        <v>申請しない場合は入力不要です。</v>
      </c>
      <c r="AN108" s="565" t="str">
        <f t="shared" si="17"/>
        <v/>
      </c>
    </row>
    <row r="109" spans="1:40" ht="20.100000000000001" customHeight="1" x14ac:dyDescent="0.4">
      <c r="A109" s="226">
        <v>96</v>
      </c>
      <c r="B109" s="593" t="str">
        <f t="shared" si="18"/>
        <v/>
      </c>
      <c r="C109" s="581" t="str">
        <f t="shared" si="12"/>
        <v/>
      </c>
      <c r="D109" s="567"/>
      <c r="E109" s="1618"/>
      <c r="F109" s="1619"/>
      <c r="G109" s="1620"/>
      <c r="H109" s="566"/>
      <c r="I109" s="560"/>
      <c r="J109" s="561"/>
      <c r="K109" s="225"/>
      <c r="L109" s="530"/>
      <c r="M109" s="530"/>
      <c r="N109" s="530"/>
      <c r="O109" s="140">
        <f t="shared" si="13"/>
        <v>0</v>
      </c>
      <c r="P109" s="141">
        <f t="shared" si="14"/>
        <v>0</v>
      </c>
      <c r="Q109" s="142" t="str">
        <f xml:space="preserve">
IF(AND(AK109="◎",OR(テーブル!$B$3="交付申請",テーブル!$B$3="交付申請（２次以降）",テーブル!$B$3="変更申請")),"－",
IF(AND(AK109&lt;&gt;"◎",OR(テーブル!$B$3="交付申請",テーブル!$B$3="交付申請（２次以降）",テーブル!$B$3="変更申請")),"",
IF(AND(OR(テーブル!$B$3="実績報告",テーブル!$B$3="交付申請兼実績報告"),AK109="◎"),COUNTIF($AK$14:AK109,"◎"),"")))</f>
        <v/>
      </c>
      <c r="R109" s="142" t="str">
        <f t="shared" si="19"/>
        <v/>
      </c>
      <c r="AI109" s="444" t="s">
        <v>68</v>
      </c>
      <c r="AJ109" s="450">
        <v>96</v>
      </c>
      <c r="AK109" s="542" t="str">
        <f t="shared" si="15"/>
        <v>○</v>
      </c>
      <c r="AL109" s="451" t="str">
        <f t="shared" si="16"/>
        <v>申請しない場合は入力不要です。</v>
      </c>
      <c r="AN109" s="565" t="str">
        <f t="shared" si="17"/>
        <v/>
      </c>
    </row>
    <row r="110" spans="1:40" ht="20.100000000000001" customHeight="1" x14ac:dyDescent="0.4">
      <c r="A110" s="226">
        <v>97</v>
      </c>
      <c r="B110" s="593" t="str">
        <f t="shared" si="18"/>
        <v/>
      </c>
      <c r="C110" s="581" t="str">
        <f t="shared" si="12"/>
        <v/>
      </c>
      <c r="D110" s="567"/>
      <c r="E110" s="1618"/>
      <c r="F110" s="1619"/>
      <c r="G110" s="1620"/>
      <c r="H110" s="566"/>
      <c r="I110" s="560"/>
      <c r="J110" s="561"/>
      <c r="K110" s="225"/>
      <c r="L110" s="530"/>
      <c r="M110" s="530"/>
      <c r="N110" s="530"/>
      <c r="O110" s="140">
        <f t="shared" si="13"/>
        <v>0</v>
      </c>
      <c r="P110" s="141">
        <f t="shared" si="14"/>
        <v>0</v>
      </c>
      <c r="Q110" s="142" t="str">
        <f xml:space="preserve">
IF(AND(AK110="◎",OR(テーブル!$B$3="交付申請",テーブル!$B$3="交付申請（２次以降）",テーブル!$B$3="変更申請")),"－",
IF(AND(AK110&lt;&gt;"◎",OR(テーブル!$B$3="交付申請",テーブル!$B$3="交付申請（２次以降）",テーブル!$B$3="変更申請")),"",
IF(AND(OR(テーブル!$B$3="実績報告",テーブル!$B$3="交付申請兼実績報告"),AK110="◎"),COUNTIF($AK$14:AK110,"◎"),"")))</f>
        <v/>
      </c>
      <c r="R110" s="142" t="str">
        <f t="shared" si="19"/>
        <v/>
      </c>
      <c r="AI110" s="444" t="s">
        <v>68</v>
      </c>
      <c r="AJ110" s="450">
        <v>97</v>
      </c>
      <c r="AK110" s="542" t="str">
        <f t="shared" si="15"/>
        <v>○</v>
      </c>
      <c r="AL110" s="451" t="str">
        <f t="shared" si="16"/>
        <v>申請しない場合は入力不要です。</v>
      </c>
      <c r="AN110" s="565" t="str">
        <f t="shared" si="17"/>
        <v/>
      </c>
    </row>
    <row r="111" spans="1:40" ht="20.100000000000001" customHeight="1" x14ac:dyDescent="0.4">
      <c r="A111" s="226">
        <v>98</v>
      </c>
      <c r="B111" s="593" t="str">
        <f t="shared" si="18"/>
        <v/>
      </c>
      <c r="C111" s="581" t="str">
        <f t="shared" si="12"/>
        <v/>
      </c>
      <c r="D111" s="567"/>
      <c r="E111" s="1618"/>
      <c r="F111" s="1619"/>
      <c r="G111" s="1620"/>
      <c r="H111" s="566"/>
      <c r="I111" s="560"/>
      <c r="J111" s="561"/>
      <c r="K111" s="225"/>
      <c r="L111" s="530"/>
      <c r="M111" s="530"/>
      <c r="N111" s="530"/>
      <c r="O111" s="140">
        <f t="shared" si="13"/>
        <v>0</v>
      </c>
      <c r="P111" s="141">
        <f t="shared" si="14"/>
        <v>0</v>
      </c>
      <c r="Q111" s="142" t="str">
        <f xml:space="preserve">
IF(AND(AK111="◎",OR(テーブル!$B$3="交付申請",テーブル!$B$3="交付申請（２次以降）",テーブル!$B$3="変更申請")),"－",
IF(AND(AK111&lt;&gt;"◎",OR(テーブル!$B$3="交付申請",テーブル!$B$3="交付申請（２次以降）",テーブル!$B$3="変更申請")),"",
IF(AND(OR(テーブル!$B$3="実績報告",テーブル!$B$3="交付申請兼実績報告"),AK111="◎"),COUNTIF($AK$14:AK111,"◎"),"")))</f>
        <v/>
      </c>
      <c r="R111" s="142" t="str">
        <f t="shared" si="19"/>
        <v/>
      </c>
      <c r="AI111" s="444" t="s">
        <v>68</v>
      </c>
      <c r="AJ111" s="450">
        <v>98</v>
      </c>
      <c r="AK111" s="542" t="str">
        <f t="shared" si="15"/>
        <v>○</v>
      </c>
      <c r="AL111" s="451" t="str">
        <f t="shared" si="16"/>
        <v>申請しない場合は入力不要です。</v>
      </c>
      <c r="AN111" s="565" t="str">
        <f t="shared" si="17"/>
        <v/>
      </c>
    </row>
    <row r="112" spans="1:40" ht="20.100000000000001" customHeight="1" x14ac:dyDescent="0.4">
      <c r="A112" s="226">
        <v>99</v>
      </c>
      <c r="B112" s="593" t="str">
        <f t="shared" si="18"/>
        <v/>
      </c>
      <c r="C112" s="581" t="str">
        <f t="shared" si="12"/>
        <v/>
      </c>
      <c r="D112" s="567"/>
      <c r="E112" s="1618"/>
      <c r="F112" s="1619"/>
      <c r="G112" s="1620"/>
      <c r="H112" s="566"/>
      <c r="I112" s="560"/>
      <c r="J112" s="561"/>
      <c r="K112" s="225"/>
      <c r="L112" s="530"/>
      <c r="M112" s="530"/>
      <c r="N112" s="530"/>
      <c r="O112" s="140">
        <f t="shared" si="13"/>
        <v>0</v>
      </c>
      <c r="P112" s="141">
        <f t="shared" si="14"/>
        <v>0</v>
      </c>
      <c r="Q112" s="142" t="str">
        <f xml:space="preserve">
IF(AND(AK112="◎",OR(テーブル!$B$3="交付申請",テーブル!$B$3="交付申請（２次以降）",テーブル!$B$3="変更申請")),"－",
IF(AND(AK112&lt;&gt;"◎",OR(テーブル!$B$3="交付申請",テーブル!$B$3="交付申請（２次以降）",テーブル!$B$3="変更申請")),"",
IF(AND(OR(テーブル!$B$3="実績報告",テーブル!$B$3="交付申請兼実績報告"),AK112="◎"),COUNTIF($AK$14:AK112,"◎"),"")))</f>
        <v/>
      </c>
      <c r="R112" s="142" t="str">
        <f t="shared" si="19"/>
        <v/>
      </c>
      <c r="AI112" s="444" t="s">
        <v>68</v>
      </c>
      <c r="AJ112" s="450">
        <v>99</v>
      </c>
      <c r="AK112" s="542" t="str">
        <f t="shared" si="15"/>
        <v>○</v>
      </c>
      <c r="AL112" s="451" t="str">
        <f t="shared" si="16"/>
        <v>申請しない場合は入力不要です。</v>
      </c>
      <c r="AN112" s="565" t="str">
        <f t="shared" si="17"/>
        <v/>
      </c>
    </row>
    <row r="113" spans="1:54" ht="20.100000000000001" customHeight="1" x14ac:dyDescent="0.4">
      <c r="A113" s="226">
        <v>100</v>
      </c>
      <c r="B113" s="593" t="str">
        <f t="shared" si="18"/>
        <v/>
      </c>
      <c r="C113" s="581" t="str">
        <f t="shared" si="12"/>
        <v/>
      </c>
      <c r="D113" s="567"/>
      <c r="E113" s="1618"/>
      <c r="F113" s="1619"/>
      <c r="G113" s="1620"/>
      <c r="H113" s="566"/>
      <c r="I113" s="560"/>
      <c r="J113" s="561"/>
      <c r="K113" s="225"/>
      <c r="L113" s="530"/>
      <c r="M113" s="530"/>
      <c r="N113" s="530"/>
      <c r="O113" s="140">
        <f t="shared" si="13"/>
        <v>0</v>
      </c>
      <c r="P113" s="141">
        <f t="shared" si="14"/>
        <v>0</v>
      </c>
      <c r="Q113" s="142" t="str">
        <f xml:space="preserve">
IF(AND(AK113="◎",OR(テーブル!$B$3="交付申請",テーブル!$B$3="交付申請（２次以降）",テーブル!$B$3="変更申請")),"－",
IF(AND(AK113&lt;&gt;"◎",OR(テーブル!$B$3="交付申請",テーブル!$B$3="交付申請（２次以降）",テーブル!$B$3="変更申請")),"",
IF(AND(OR(テーブル!$B$3="実績報告",テーブル!$B$3="交付申請兼実績報告"),AK113="◎"),COUNTIF($AK$14:AK113,"◎"),"")))</f>
        <v/>
      </c>
      <c r="R113" s="142" t="str">
        <f t="shared" si="19"/>
        <v/>
      </c>
      <c r="AI113" s="444" t="s">
        <v>68</v>
      </c>
      <c r="AJ113" s="450">
        <v>100</v>
      </c>
      <c r="AK113" s="542" t="str">
        <f t="shared" si="15"/>
        <v>○</v>
      </c>
      <c r="AL113" s="451" t="str">
        <f t="shared" si="16"/>
        <v>申請しない場合は入力不要です。</v>
      </c>
      <c r="AN113" s="565" t="str">
        <f t="shared" si="17"/>
        <v/>
      </c>
    </row>
    <row r="117" spans="1:54" ht="20.100000000000001" customHeight="1" x14ac:dyDescent="0.4">
      <c r="AR117" s="53" t="s">
        <v>1319</v>
      </c>
    </row>
    <row r="118" spans="1:54" ht="30" customHeight="1" x14ac:dyDescent="0.4">
      <c r="AR118" s="276" t="s">
        <v>102</v>
      </c>
      <c r="AS118" s="276" t="s">
        <v>66</v>
      </c>
      <c r="AT118" s="276" t="s">
        <v>101</v>
      </c>
      <c r="AU118" s="201"/>
      <c r="AV118" s="1642"/>
      <c r="AW118" s="1642"/>
      <c r="AX118" s="1642"/>
      <c r="AY118" s="1642"/>
      <c r="AZ118" s="1642"/>
      <c r="BA118" s="1642"/>
      <c r="BB118" s="1642"/>
    </row>
    <row r="119" spans="1:54" ht="30" customHeight="1" x14ac:dyDescent="0.4">
      <c r="AR119" s="283" t="s">
        <v>1062</v>
      </c>
      <c r="AS119" s="572" t="str">
        <f xml:space="preserve">
IF(AND(テーブル!$B$3="交付申請",COUNTIF(基礎情報!$AZ$2:$AZ$4,"○")&gt;=0,COUNTIF(基礎情報!$AZ$2:$AZ$4,"○")&lt;3),"×",
IF(AND(テーブル!$B$3="交付申請",COUNTIF(基礎情報!$AZ$2:$AZ$4,"○")=3),"◎",
IF(AND(テーブル!$B$3="変更申請",COUNTIF(基礎情報!$AZ$2:$AZ$4,"○")&gt;=0,COUNTIF(基礎情報!$AZ$2:$AZ$4,"○")&lt;3),"×",
IF(AND(テーブル!$B$3="変更申請",COUNTIF(基礎情報!$AZ$2:$AZ$4,"○")=3),"◎",
IF(AND(テーブル!$B$3="実績報告（１次）",COUNTIF(基礎情報!$AZ$2:$AZ$4,"○")&gt;=0,COUNTIF(基礎情報!$AZ$2:$AZ$4,"○")&lt;3),"×",
IF(AND(テーブル!$B$3="実績報告（１次）",COUNTIF(基礎情報!$AZ$2:$AZ$4,"○")=3),"◎",
IF(テーブル!$B$3="交付申請（２次）","○",
IF(テーブル!$B$3="交付申請兼実績報告（２次）","○",
IF(テーブル!$B$3="実績報告（２次）","○")))))))))</f>
        <v>○</v>
      </c>
      <c r="AT119" s="1324" t="str">
        <f xml:space="preserve">
IF(AND(テーブル!B3="交付申請",COUNTIF(AS119:AS122,"◎")=4),"◎",
IF(テーブル!B3="変更申請","○",
IF(AND(テーブル!B3="実績報告（１次）",COUNTIF(AS119:AS122,"◎")=4),"◎",
IF(テーブル!B3="交付申請（２次）","○",
IF(テーブル!B3="交付申請兼実績報告（２次）","○",
IF(テーブル!B3="実績報告（２次）","○"))))))</f>
        <v>○</v>
      </c>
      <c r="AU119" s="618"/>
      <c r="AV119" s="1642"/>
      <c r="AW119" s="1642"/>
      <c r="AX119" s="1642"/>
      <c r="AY119" s="1642"/>
      <c r="AZ119" s="1642"/>
      <c r="BA119" s="1642"/>
      <c r="BB119" s="1642"/>
    </row>
    <row r="120" spans="1:54" ht="30" customHeight="1" x14ac:dyDescent="0.4">
      <c r="AR120" s="451" t="s">
        <v>1316</v>
      </c>
      <c r="AS120" s="572" t="str">
        <f xml:space="preserve">
IF(AND(テーブル!$B$3="交付申請",COUNTIF($AK$14:$AK$113,"×")&gt;=1),"×",
IF(AND(テーブル!$B$3="交付申請",COUNTIF($AK$14:$AK$113,"○")=100),"○",
IF(AND(テーブル!$B$3="交付申請",COUNTIF($AK$14:$AK$113,"◎")=1),"◎",
IF(テーブル!$B$3="変更申請","○",
IF(AND(テーブル!$B$3="実績報告（１次）",COUNTIF($AK$14:$AK$113,"×")&gt;=1),"×",
IF(AND(テーブル!$B$3="実績報告（１次）",COUNTIF($AK$14:$AK$113,"○")=100),"○",
IF(AND(テーブル!$B$3="実績報告（１次）",COUNTIF($AK$14:$AK$113,"◎")&gt;=1),"◎",
IF(テーブル!$B$3="交付申請（２次）","○",
IF(テーブル!$B$3="交付申請兼実績報告（２次）","○",
IF(テーブル!$B$3="実績報告（２次）","○"))))))))))</f>
        <v>○</v>
      </c>
      <c r="AT120" s="1665"/>
      <c r="AU120" s="618"/>
      <c r="AV120" s="1642"/>
      <c r="AW120" s="1642"/>
      <c r="AX120" s="1642"/>
      <c r="AY120" s="1642"/>
      <c r="AZ120" s="1642"/>
      <c r="BA120" s="1642"/>
      <c r="BB120" s="1642"/>
    </row>
    <row r="121" spans="1:54" ht="30" customHeight="1" x14ac:dyDescent="0.4">
      <c r="AP121" s="444" t="s">
        <v>1376</v>
      </c>
      <c r="AQ121" s="573" t="str">
        <f>IF(SUMIF(D:D,$AE$20,P:P)&gt;0,"◎","○")</f>
        <v>○</v>
      </c>
      <c r="AR121" s="451" t="s">
        <v>1317</v>
      </c>
      <c r="AS121" s="572" t="str">
        <f xml:space="preserve">
IF(OR(テーブル!B3="交付申請（２次）",テーブル!B3="変更申請",テーブル!B3="交付申請兼実績報告（２次）",テーブル!B3="実績報告（２次）"),"○",
IF(AND(AQ121="○",消毒積算!AN80&lt;&gt;"◎"),"◎",
IF(AND(AQ121="○",消毒積算!AN80="◎"),"◎",
IF(AND(AQ121="◎",消毒積算!AN80&lt;&gt;"◎"),"×",
IF(AND(AQ121="◎",消毒積算!AN80="◎"),"◎")))))</f>
        <v>○</v>
      </c>
      <c r="AT121" s="1666"/>
      <c r="AU121" s="619"/>
      <c r="AV121" s="26"/>
      <c r="AY121" s="421"/>
      <c r="AZ121" s="421"/>
      <c r="BA121" s="421"/>
      <c r="BB121" s="421"/>
    </row>
    <row r="122" spans="1:54" ht="30" customHeight="1" x14ac:dyDescent="0.4">
      <c r="AP122" s="444" t="s">
        <v>1377</v>
      </c>
      <c r="AQ122" s="573" t="str">
        <f>IF(SUM(SUMIF(D:D,$AE$14,P:P),SUMIF(D:D,$AE$15,P:P),SUMIF(D:D,$AE$16,P:P),SUMIF(D:D,$AE$17,P:P),SUMIF(D:D,$AE$18,P:P))&gt;0,"◎","○")</f>
        <v>◎</v>
      </c>
      <c r="AR122" s="451" t="s">
        <v>1318</v>
      </c>
      <c r="AS122" s="572" t="str">
        <f xml:space="preserve">
IF(OR(テーブル!B3="交付申請（２次）",テーブル!B3="変更申請",テーブル!B3="交付申請兼実績報告（２次）",テーブル!B3="実績報告（２次）"),"○",
IF(AND(AQ122="○",消毒積算!AN29&lt;&gt;"◎"),"◎",
IF(AND(AQ122="○",消毒積算!AN29="◎"),"◎",
IF(AND(AQ122="◎",消毒積算!AN29&lt;&gt;"◎"),"×",
IF(AND(AQ122="◎",消毒積算!AN29="◎"),"◎")))))</f>
        <v>○</v>
      </c>
      <c r="AT122" s="1667"/>
      <c r="AU122" s="619"/>
    </row>
    <row r="123" spans="1:54" ht="20.100000000000001" customHeight="1" x14ac:dyDescent="0.4">
      <c r="AR123" s="453" t="s">
        <v>106</v>
      </c>
    </row>
  </sheetData>
  <sheetProtection insertRows="0"/>
  <mergeCells count="133">
    <mergeCell ref="AU21:AW21"/>
    <mergeCell ref="AU22:AW22"/>
    <mergeCell ref="AU23:AW23"/>
    <mergeCell ref="AU24:AW24"/>
    <mergeCell ref="L12:N12"/>
    <mergeCell ref="H12:H13"/>
    <mergeCell ref="I12:I13"/>
    <mergeCell ref="AJ12:AJ13"/>
    <mergeCell ref="R12:R13"/>
    <mergeCell ref="G6:I6"/>
    <mergeCell ref="J7:N8"/>
    <mergeCell ref="E14:G14"/>
    <mergeCell ref="E15:G15"/>
    <mergeCell ref="E16:G16"/>
    <mergeCell ref="Q2:R2"/>
    <mergeCell ref="A5:R5"/>
    <mergeCell ref="H7:I7"/>
    <mergeCell ref="H8:I8"/>
    <mergeCell ref="P3:S3"/>
    <mergeCell ref="A9:F9"/>
    <mergeCell ref="A4:S4"/>
    <mergeCell ref="A10:S10"/>
    <mergeCell ref="D12:D13"/>
    <mergeCell ref="E12:G13"/>
    <mergeCell ref="J12:J13"/>
    <mergeCell ref="K12:K13"/>
    <mergeCell ref="O12:O13"/>
    <mergeCell ref="P12:P13"/>
    <mergeCell ref="Q12:Q13"/>
    <mergeCell ref="A11:R11"/>
    <mergeCell ref="E29:G29"/>
    <mergeCell ref="E30:G30"/>
    <mergeCell ref="E31:G31"/>
    <mergeCell ref="E32:G32"/>
    <mergeCell ref="E33:G33"/>
    <mergeCell ref="E34:G34"/>
    <mergeCell ref="AK12:AK13"/>
    <mergeCell ref="AL12:AL13"/>
    <mergeCell ref="AN12:AN13"/>
    <mergeCell ref="E23:G23"/>
    <mergeCell ref="E24:G24"/>
    <mergeCell ref="E25:G25"/>
    <mergeCell ref="E26:G26"/>
    <mergeCell ref="E27:G27"/>
    <mergeCell ref="E28:G28"/>
    <mergeCell ref="E17:G17"/>
    <mergeCell ref="E18:G18"/>
    <mergeCell ref="E19:G19"/>
    <mergeCell ref="E20:G20"/>
    <mergeCell ref="E21:G21"/>
    <mergeCell ref="E22:G22"/>
    <mergeCell ref="E41:G41"/>
    <mergeCell ref="E42:G42"/>
    <mergeCell ref="E43:G43"/>
    <mergeCell ref="E44:G44"/>
    <mergeCell ref="E45:G45"/>
    <mergeCell ref="E46:G46"/>
    <mergeCell ref="E35:G35"/>
    <mergeCell ref="E36:G36"/>
    <mergeCell ref="E37:G37"/>
    <mergeCell ref="E38:G38"/>
    <mergeCell ref="E39:G39"/>
    <mergeCell ref="E40:G40"/>
    <mergeCell ref="E53:G53"/>
    <mergeCell ref="E54:G54"/>
    <mergeCell ref="E55:G55"/>
    <mergeCell ref="E56:G56"/>
    <mergeCell ref="E57:G57"/>
    <mergeCell ref="E58:G58"/>
    <mergeCell ref="E47:G47"/>
    <mergeCell ref="E48:G48"/>
    <mergeCell ref="E49:G49"/>
    <mergeCell ref="E50:G50"/>
    <mergeCell ref="E51:G51"/>
    <mergeCell ref="E52:G52"/>
    <mergeCell ref="E65:G65"/>
    <mergeCell ref="E66:G66"/>
    <mergeCell ref="E67:G67"/>
    <mergeCell ref="E68:G68"/>
    <mergeCell ref="E69:G69"/>
    <mergeCell ref="E70:G70"/>
    <mergeCell ref="E59:G59"/>
    <mergeCell ref="E60:G60"/>
    <mergeCell ref="E61:G61"/>
    <mergeCell ref="E62:G62"/>
    <mergeCell ref="E63:G63"/>
    <mergeCell ref="E64:G64"/>
    <mergeCell ref="E77:G77"/>
    <mergeCell ref="E78:G78"/>
    <mergeCell ref="E79:G79"/>
    <mergeCell ref="E80:G80"/>
    <mergeCell ref="E81:G81"/>
    <mergeCell ref="E82:G82"/>
    <mergeCell ref="E71:G71"/>
    <mergeCell ref="E72:G72"/>
    <mergeCell ref="E73:G73"/>
    <mergeCell ref="E74:G74"/>
    <mergeCell ref="E75:G75"/>
    <mergeCell ref="E76:G76"/>
    <mergeCell ref="E102:G102"/>
    <mergeCell ref="E103:G103"/>
    <mergeCell ref="E104:G104"/>
    <mergeCell ref="E105:G105"/>
    <mergeCell ref="E83:G83"/>
    <mergeCell ref="E84:G84"/>
    <mergeCell ref="E85:G85"/>
    <mergeCell ref="E86:G86"/>
    <mergeCell ref="E87:G87"/>
    <mergeCell ref="E88:G88"/>
    <mergeCell ref="D1:S1"/>
    <mergeCell ref="E113:G113"/>
    <mergeCell ref="AV118:BB120"/>
    <mergeCell ref="E107:G107"/>
    <mergeCell ref="E108:G108"/>
    <mergeCell ref="E109:G109"/>
    <mergeCell ref="E110:G110"/>
    <mergeCell ref="E111:G111"/>
    <mergeCell ref="E112:G112"/>
    <mergeCell ref="AT119:AT122"/>
    <mergeCell ref="E106:G106"/>
    <mergeCell ref="E95:G95"/>
    <mergeCell ref="E96:G96"/>
    <mergeCell ref="E97:G97"/>
    <mergeCell ref="E98:G98"/>
    <mergeCell ref="E99:G99"/>
    <mergeCell ref="E100:G100"/>
    <mergeCell ref="E89:G89"/>
    <mergeCell ref="E90:G90"/>
    <mergeCell ref="E91:G91"/>
    <mergeCell ref="E92:G92"/>
    <mergeCell ref="E93:G93"/>
    <mergeCell ref="E94:G94"/>
    <mergeCell ref="E101:G101"/>
  </mergeCells>
  <phoneticPr fontId="1"/>
  <conditionalFormatting sqref="AM7">
    <cfRule type="containsText" dxfId="47" priority="16" operator="containsText" text="（補助対象員数）">
      <formula>NOT(ISERROR(SEARCH("（補助対象員数）",AM7)))</formula>
    </cfRule>
  </conditionalFormatting>
  <conditionalFormatting sqref="AL14:AL113">
    <cfRule type="containsText" dxfId="46" priority="15" operator="containsText" text="【不備の点】">
      <formula>NOT(ISERROR(SEARCH("【不備の点】",AL14)))</formula>
    </cfRule>
  </conditionalFormatting>
  <conditionalFormatting sqref="AK14:AK113">
    <cfRule type="containsText" dxfId="45" priority="14" operator="containsText" text="×">
      <formula>NOT(ISERROR(SEARCH("×",AK14)))</formula>
    </cfRule>
  </conditionalFormatting>
  <conditionalFormatting sqref="AM7:AP12 AM13 AO13:AP13">
    <cfRule type="containsText" dxfId="44" priority="13" operator="containsText" text="【未入力有】">
      <formula>NOT(ISERROR(SEARCH("【未入力有】",AM7)))</formula>
    </cfRule>
  </conditionalFormatting>
  <conditionalFormatting sqref="AS119:AT120 AS121:AS122">
    <cfRule type="containsText" dxfId="43" priority="12" operator="containsText" text="×">
      <formula>NOT(ISERROR(SEARCH("×",AS119)))</formula>
    </cfRule>
  </conditionalFormatting>
  <conditionalFormatting sqref="AU119:AU120">
    <cfRule type="containsText" dxfId="42" priority="11" operator="containsText" text="要修正">
      <formula>NOT(ISERROR(SEARCH("要修正",AU119)))</formula>
    </cfRule>
  </conditionalFormatting>
  <conditionalFormatting sqref="Q2:R2">
    <cfRule type="containsText" dxfId="41" priority="10" operator="containsText" text="要修正">
      <formula>NOT(ISERROR(SEARCH("要修正",Q2)))</formula>
    </cfRule>
  </conditionalFormatting>
  <conditionalFormatting sqref="E6:E7">
    <cfRule type="containsText" dxfId="40" priority="8" operator="containsText" text="要修正">
      <formula>NOT(ISERROR(SEARCH("要修正",E6)))</formula>
    </cfRule>
  </conditionalFormatting>
  <conditionalFormatting sqref="E8">
    <cfRule type="containsText" dxfId="39" priority="7" operator="containsText" text="表示不可">
      <formula>NOT(ISERROR(SEARCH("表示不可",E8)))</formula>
    </cfRule>
  </conditionalFormatting>
  <conditionalFormatting sqref="I14:I113">
    <cfRule type="expression" dxfId="38" priority="6">
      <formula>$D14&lt;&gt;"消耗品（消毒液・希釈使用）"</formula>
    </cfRule>
  </conditionalFormatting>
  <conditionalFormatting sqref="E6:E8">
    <cfRule type="cellIs" dxfId="37" priority="5" operator="equal">
      <formula>0</formula>
    </cfRule>
  </conditionalFormatting>
  <conditionalFormatting sqref="O14:P14 D15:R113 R14">
    <cfRule type="expression" dxfId="36" priority="2">
      <formula>$D14="人件費"</formula>
    </cfRule>
  </conditionalFormatting>
  <conditionalFormatting sqref="BA22:BA24">
    <cfRule type="cellIs" dxfId="35" priority="1" operator="greaterThan">
      <formula>0</formula>
    </cfRule>
  </conditionalFormatting>
  <dataValidations xWindow="824" yWindow="852" count="7">
    <dataValidation type="decimal" operator="greaterThanOrEqual" allowBlank="1" showInputMessage="1" showErrorMessage="1" errorTitle="入力内容に誤りあり" error="数値のみを入力し、単位「円」は入力しないようにしてください。" promptTitle="税抜単価の入力" prompt="購入単価の税抜額を入力してください。_x000a_見積書の記載が税込額だけで、税抜額がわからない場合は上の算出欄をご利用ください。_x000a_入力しない方は「0」は入力せず、空欄としてください。" sqref="K15:K113" xr:uid="{59FF7538-4795-4D42-B537-3F7F6ADE32C2}">
      <formula1>0</formula1>
    </dataValidation>
    <dataValidation type="whole" operator="greaterThanOrEqual" allowBlank="1" showInputMessage="1" showErrorMessage="1" errorTitle="整数値を入力" error="単価に基づく箱数の購入量を入力してください。_x000a_数値のみ入力し、「箱」等の単位は入力しないでください。" promptTitle="購入数量の入力" prompt="購入するセット数を入力してください。（１箱50枚入りのマスクを10箱買う場合は、「10」を入力）_x000a_数値のみ入力し、「箱」等の単位は入力しないでください。" sqref="J14:J113" xr:uid="{4F443661-F7D6-47EA-8ACF-0A68E2988A0F}">
      <formula1>0</formula1>
    </dataValidation>
    <dataValidation allowBlank="1" showInputMessage="1" showErrorMessage="1" promptTitle="経費発生原因の入力" prompt="発生する経費の具体的内容を記載してください。" sqref="E14:I113" xr:uid="{5DEBA882-B89A-485D-879C-4C89658D515B}"/>
    <dataValidation allowBlank="1" showInputMessage="1" showErrorMessage="1" promptTitle="添付書類番号" prompt="種類、規格、数量、単価が全て適切に入力され、右の「判定」が「◎」と表示されると自動で番号が表示されます。" sqref="Q14:R113" xr:uid="{4602D811-DE36-4E21-85CA-332D201043A3}"/>
    <dataValidation allowBlank="1" showInputMessage="1" showErrorMessage="1" promptTitle="金額の表示" prompt="数式が入力されているため、自動計算されます。" sqref="O14:P113" xr:uid="{D8E33117-4424-4B16-90E2-C830BF6FD507}"/>
    <dataValidation type="whole" allowBlank="1" showInputMessage="1" showErrorMessage="1" errorTitle="入力内容に誤りあり" error="1から31までの数字を入力してください。" sqref="N14:N113" xr:uid="{598EC63C-86A8-4F2A-9310-4D39966463F4}">
      <formula1>1</formula1>
      <formula2>31</formula2>
    </dataValidation>
    <dataValidation type="list" allowBlank="1" showInputMessage="1" showErrorMessage="1" sqref="D14:D113" xr:uid="{FE03BCF8-E0E3-4912-B515-CCC84A3C235D}">
      <formula1>$AE$13:$AE$22</formula1>
    </dataValidation>
  </dataValidations>
  <printOptions horizontalCentered="1"/>
  <pageMargins left="0.59055118110236227" right="0.39370078740157483" top="0.39370078740157483" bottom="0.39370078740157483" header="0.31496062992125984" footer="0.31496062992125984"/>
  <pageSetup paperSize="9" scale="52" fitToHeight="0" orientation="portrait" r:id="rId1"/>
  <drawing r:id="rId2"/>
  <legacyDrawing r:id="rId3"/>
  <extLst>
    <ext xmlns:x14="http://schemas.microsoft.com/office/spreadsheetml/2009/9/main" uri="{CCE6A557-97BC-4b89-ADB6-D9C93CAAB3DF}">
      <x14:dataValidations xmlns:xm="http://schemas.microsoft.com/office/excel/2006/main" xWindow="824" yWindow="852" count="2">
        <x14:dataValidation type="list" operator="greaterThanOrEqual" allowBlank="1" showInputMessage="1" showErrorMessage="1" errorTitle="入力内容に誤りあり" error="補助対象期間の月の数を入力してください。" xr:uid="{280D0E61-EFC5-4A21-BB36-6684BFF37203}">
          <x14:formula1>
            <xm:f>防護具!$AH$12:$AH$17</xm:f>
          </x14:formula1>
          <xm:sqref>M14:M113</xm:sqref>
        </x14:dataValidation>
        <x14:dataValidation type="list" operator="greaterThanOrEqual" allowBlank="1" showInputMessage="1" showErrorMessage="1" errorTitle="入力内容に誤りあり" error="補助対象期間の令和の年数を入力してください。" xr:uid="{BC6972C2-6045-49E9-A2E6-C59117309DF5}">
          <x14:formula1>
            <xm:f>防護具!$AG$12:$AG$13</xm:f>
          </x14:formula1>
          <xm:sqref>L14:L113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9A68E-6F16-4346-9A56-05573F0644A3}">
  <sheetPr>
    <tabColor rgb="FFFF0000"/>
  </sheetPr>
  <dimension ref="A1:GG191"/>
  <sheetViews>
    <sheetView view="pageBreakPreview" zoomScale="70" zoomScaleNormal="40" zoomScaleSheetLayoutView="70" workbookViewId="0">
      <pane xSplit="5" ySplit="44" topLeftCell="F45" activePane="bottomRight" state="frozen"/>
      <selection pane="topRight" activeCell="F1" sqref="F1"/>
      <selection pane="bottomLeft" activeCell="A45" sqref="A45"/>
      <selection pane="bottomRight" activeCell="F27" sqref="F27:GF27"/>
    </sheetView>
  </sheetViews>
  <sheetFormatPr defaultColWidth="9" defaultRowHeight="9.75" x14ac:dyDescent="0.4"/>
  <cols>
    <col min="1" max="1" width="3.625" style="533" customWidth="1"/>
    <col min="2" max="2" width="15.625" style="533" customWidth="1"/>
    <col min="3" max="4" width="6.625" style="533" customWidth="1"/>
    <col min="5" max="5" width="2.625" style="533" hidden="1" customWidth="1"/>
    <col min="6" max="188" width="5.625" style="533" customWidth="1"/>
    <col min="189" max="205" width="2.625" style="533" customWidth="1"/>
    <col min="206" max="16384" width="9" style="533"/>
  </cols>
  <sheetData>
    <row r="1" spans="2:20" ht="30" customHeight="1" x14ac:dyDescent="0.4">
      <c r="B1" s="669" t="s">
        <v>1372</v>
      </c>
    </row>
    <row r="2" spans="2:20" ht="9.9499999999999993" hidden="1" customHeight="1" thickBot="1" x14ac:dyDescent="0.45">
      <c r="B2" s="532"/>
      <c r="C2" s="1696" t="s">
        <v>1262</v>
      </c>
      <c r="D2" s="1697"/>
      <c r="E2" s="1696">
        <f>基礎情報!M48</f>
        <v>10</v>
      </c>
      <c r="F2" s="1697"/>
      <c r="G2" s="1696">
        <f>基礎情報!R48</f>
        <v>11</v>
      </c>
      <c r="H2" s="1697"/>
      <c r="I2" s="1696">
        <f>基礎情報!W48</f>
        <v>12</v>
      </c>
      <c r="J2" s="1697"/>
      <c r="K2" s="1696">
        <f>基礎情報!AB48</f>
        <v>1</v>
      </c>
      <c r="L2" s="1697"/>
      <c r="M2" s="1696">
        <f>基礎情報!AG48</f>
        <v>2</v>
      </c>
      <c r="N2" s="1697"/>
      <c r="O2" s="1696">
        <f>基礎情報!AL48</f>
        <v>3</v>
      </c>
      <c r="P2" s="1697"/>
      <c r="R2" s="534"/>
      <c r="S2" s="534"/>
      <c r="T2" s="535"/>
    </row>
    <row r="3" spans="2:20" ht="9.9499999999999993" hidden="1" customHeight="1" x14ac:dyDescent="0.4">
      <c r="B3" s="2028" t="s">
        <v>1261</v>
      </c>
      <c r="C3" s="2029" t="s">
        <v>1033</v>
      </c>
      <c r="D3" s="2030"/>
      <c r="E3" s="2031">
        <f>IFERROR(ROUNDDOWN(基礎情報!M50/基礎情報!M49,1),0)</f>
        <v>0</v>
      </c>
      <c r="F3" s="2032"/>
      <c r="G3" s="2031">
        <f>IFERROR(ROUNDDOWN(基礎情報!R50/基礎情報!R49,1),0)</f>
        <v>0</v>
      </c>
      <c r="H3" s="2032"/>
      <c r="I3" s="2031">
        <f>IFERROR(ROUNDDOWN(基礎情報!W50/基礎情報!W49,1),0)</f>
        <v>0</v>
      </c>
      <c r="J3" s="2032"/>
      <c r="K3" s="2031">
        <f>IFERROR(ROUNDDOWN(基礎情報!AB50/基礎情報!AB49,1),0)</f>
        <v>0</v>
      </c>
      <c r="L3" s="2032"/>
      <c r="M3" s="2031">
        <f>IFERROR(ROUNDDOWN(基礎情報!AG50/基礎情報!AG49,1),0)</f>
        <v>0</v>
      </c>
      <c r="N3" s="2032"/>
      <c r="O3" s="2031">
        <f>IFERROR(ROUNDDOWN(基礎情報!AL50/基礎情報!AL49,1),0)</f>
        <v>0</v>
      </c>
      <c r="P3" s="2032"/>
      <c r="R3" s="534"/>
      <c r="S3" s="534"/>
      <c r="T3" s="535"/>
    </row>
    <row r="4" spans="2:20" s="695" customFormat="1" ht="9.9499999999999993" hidden="1" customHeight="1" thickBot="1" x14ac:dyDescent="0.45">
      <c r="B4" s="2033" t="s">
        <v>1390</v>
      </c>
      <c r="C4" s="2034" t="s">
        <v>1033</v>
      </c>
      <c r="D4" s="2035"/>
      <c r="E4" s="2036">
        <f>IFERROR(ROUNDDOWN(基礎情報!M52/基礎情報!M49,1),0)</f>
        <v>0</v>
      </c>
      <c r="F4" s="2037"/>
      <c r="G4" s="2036">
        <f>IFERROR(ROUNDDOWN(基礎情報!R52/基礎情報!R49,1),0)</f>
        <v>0</v>
      </c>
      <c r="H4" s="2037"/>
      <c r="I4" s="2036">
        <f>IFERROR(ROUNDDOWN(基礎情報!W52/基礎情報!W49,1),0)</f>
        <v>0</v>
      </c>
      <c r="J4" s="2037"/>
      <c r="K4" s="2036">
        <f>IFERROR(ROUNDDOWN(基礎情報!AB52/基礎情報!AB49,1),0)</f>
        <v>0</v>
      </c>
      <c r="L4" s="2037"/>
      <c r="M4" s="2036">
        <f>IFERROR(ROUNDDOWN(基礎情報!AG52/基礎情報!AG49,1),0)</f>
        <v>0</v>
      </c>
      <c r="N4" s="2037"/>
      <c r="O4" s="2036">
        <f>IFERROR(ROUNDDOWN(基礎情報!AL52/基礎情報!AL49,1),0)</f>
        <v>0</v>
      </c>
      <c r="P4" s="2037"/>
      <c r="R4" s="534"/>
      <c r="S4" s="534"/>
      <c r="T4" s="535"/>
    </row>
    <row r="5" spans="2:20" ht="9.9499999999999993" hidden="1" customHeight="1" x14ac:dyDescent="0.4">
      <c r="B5" s="536" t="s">
        <v>1001</v>
      </c>
      <c r="C5" s="1694">
        <f>SUM(基礎情報!$H$75*基礎情報!N82,基礎情報!$L$75*基礎情報!R82)</f>
        <v>0</v>
      </c>
      <c r="D5" s="1695"/>
      <c r="E5" s="1694">
        <f>ROUNDDOWN(C5*$E$3,1)</f>
        <v>0</v>
      </c>
      <c r="F5" s="1695"/>
      <c r="G5" s="1694">
        <f>ROUNDDOWN(C5*$G$3,1)</f>
        <v>0</v>
      </c>
      <c r="H5" s="1695"/>
      <c r="I5" s="1694">
        <f>ROUNDDOWN(C5*$I$3,1)</f>
        <v>0</v>
      </c>
      <c r="J5" s="1695"/>
      <c r="K5" s="1694">
        <f>ROUNDDOWN(C5*$K$3,1)</f>
        <v>0</v>
      </c>
      <c r="L5" s="1695"/>
      <c r="M5" s="1694">
        <f>ROUNDDOWN(C5*$M$3,1)</f>
        <v>0</v>
      </c>
      <c r="N5" s="1695"/>
      <c r="O5" s="1692">
        <f>IFERROR(ROUNDDOWN(C5*$O$3,0),"")</f>
        <v>0</v>
      </c>
      <c r="P5" s="1693"/>
      <c r="R5" s="534"/>
      <c r="S5" s="534"/>
      <c r="T5" s="535"/>
    </row>
    <row r="6" spans="2:20" ht="9.9499999999999993" hidden="1" customHeight="1" x14ac:dyDescent="0.4">
      <c r="B6" s="537" t="s">
        <v>1002</v>
      </c>
      <c r="C6" s="1694">
        <f>SUM(基礎情報!$H$75*基礎情報!N85,基礎情報!$L$75*基礎情報!R85)</f>
        <v>0</v>
      </c>
      <c r="D6" s="1695"/>
      <c r="E6" s="1694">
        <f t="shared" ref="E6:E20" si="0">ROUNDDOWN(C6*$E$3,1)</f>
        <v>0</v>
      </c>
      <c r="F6" s="1695"/>
      <c r="G6" s="1694">
        <f t="shared" ref="G6:G20" si="1">ROUNDDOWN(C6*$G$3,1)</f>
        <v>0</v>
      </c>
      <c r="H6" s="1695"/>
      <c r="I6" s="1694">
        <f t="shared" ref="I6:I20" si="2">ROUNDDOWN(C6*$I$3,1)</f>
        <v>0</v>
      </c>
      <c r="J6" s="1695"/>
      <c r="K6" s="1694">
        <f t="shared" ref="K6:K20" si="3">ROUNDDOWN(C6*$K$3,1)</f>
        <v>0</v>
      </c>
      <c r="L6" s="1695"/>
      <c r="M6" s="1694">
        <f t="shared" ref="M6:M20" si="4">ROUNDDOWN(C6*$M$3,1)</f>
        <v>0</v>
      </c>
      <c r="N6" s="1695"/>
      <c r="O6" s="1692">
        <f t="shared" ref="O6:O20" si="5">IFERROR(ROUNDDOWN(C6*$O$3,0),"")</f>
        <v>0</v>
      </c>
      <c r="P6" s="1693"/>
      <c r="R6" s="534"/>
      <c r="S6" s="534"/>
      <c r="T6" s="535"/>
    </row>
    <row r="7" spans="2:20" ht="9.9499999999999993" hidden="1" customHeight="1" x14ac:dyDescent="0.4">
      <c r="B7" s="537" t="s">
        <v>1263</v>
      </c>
      <c r="C7" s="1694">
        <f>SUM(基礎情報!$H$75*基礎情報!N88,基礎情報!$L$75*基礎情報!R88)</f>
        <v>0</v>
      </c>
      <c r="D7" s="1695"/>
      <c r="E7" s="1694">
        <f>ROUNDDOWN(C7*$E$4,1)</f>
        <v>0</v>
      </c>
      <c r="F7" s="1695"/>
      <c r="G7" s="1694">
        <f>ROUNDDOWN(C7*$G$4,1)</f>
        <v>0</v>
      </c>
      <c r="H7" s="1695"/>
      <c r="I7" s="1694">
        <f>ROUNDDOWN(C7*$I$4,1)</f>
        <v>0</v>
      </c>
      <c r="J7" s="1695"/>
      <c r="K7" s="1694">
        <f>ROUNDDOWN(C7*$K$4,1)</f>
        <v>0</v>
      </c>
      <c r="L7" s="1695"/>
      <c r="M7" s="1694">
        <f>ROUNDDOWN(C7*$M$4,1)</f>
        <v>0</v>
      </c>
      <c r="N7" s="1695"/>
      <c r="O7" s="1692">
        <f>IFERROR(ROUNDDOWN(C7*$O$4,0),"")</f>
        <v>0</v>
      </c>
      <c r="P7" s="1693"/>
      <c r="R7" s="534"/>
      <c r="S7" s="534"/>
      <c r="T7" s="535"/>
    </row>
    <row r="8" spans="2:20" ht="9.9499999999999993" hidden="1" customHeight="1" x14ac:dyDescent="0.4">
      <c r="B8" s="537" t="s">
        <v>1258</v>
      </c>
      <c r="C8" s="1694">
        <f>SUM(基礎情報!$H$75*基礎情報!N97,基礎情報!$L$75*基礎情報!R97)</f>
        <v>0</v>
      </c>
      <c r="D8" s="1695"/>
      <c r="E8" s="1694">
        <f t="shared" si="0"/>
        <v>0</v>
      </c>
      <c r="F8" s="1695"/>
      <c r="G8" s="1694">
        <f t="shared" si="1"/>
        <v>0</v>
      </c>
      <c r="H8" s="1695"/>
      <c r="I8" s="1694">
        <f t="shared" si="2"/>
        <v>0</v>
      </c>
      <c r="J8" s="1695"/>
      <c r="K8" s="1694">
        <f t="shared" si="3"/>
        <v>0</v>
      </c>
      <c r="L8" s="1695"/>
      <c r="M8" s="1694">
        <f t="shared" si="4"/>
        <v>0</v>
      </c>
      <c r="N8" s="1695"/>
      <c r="O8" s="1692">
        <f t="shared" si="5"/>
        <v>0</v>
      </c>
      <c r="P8" s="1693"/>
      <c r="R8" s="534"/>
      <c r="S8" s="534"/>
      <c r="T8" s="535"/>
    </row>
    <row r="9" spans="2:20" ht="9.9499999999999993" hidden="1" customHeight="1" x14ac:dyDescent="0.4">
      <c r="B9" s="537" t="s">
        <v>1013</v>
      </c>
      <c r="C9" s="1694">
        <f>SUM(基礎情報!$H$75*基礎情報!N100,基礎情報!$L$75*基礎情報!R100)</f>
        <v>0</v>
      </c>
      <c r="D9" s="1695"/>
      <c r="E9" s="1694">
        <f t="shared" si="0"/>
        <v>0</v>
      </c>
      <c r="F9" s="1695"/>
      <c r="G9" s="1694">
        <f t="shared" si="1"/>
        <v>0</v>
      </c>
      <c r="H9" s="1695"/>
      <c r="I9" s="1694">
        <f t="shared" si="2"/>
        <v>0</v>
      </c>
      <c r="J9" s="1695"/>
      <c r="K9" s="1694">
        <f t="shared" si="3"/>
        <v>0</v>
      </c>
      <c r="L9" s="1695"/>
      <c r="M9" s="1694">
        <f t="shared" si="4"/>
        <v>0</v>
      </c>
      <c r="N9" s="1695"/>
      <c r="O9" s="1692">
        <f t="shared" si="5"/>
        <v>0</v>
      </c>
      <c r="P9" s="1693"/>
      <c r="R9" s="534"/>
      <c r="S9" s="534"/>
      <c r="T9" s="535"/>
    </row>
    <row r="10" spans="2:20" ht="9.9499999999999993" hidden="1" customHeight="1" x14ac:dyDescent="0.4">
      <c r="B10" s="537" t="s">
        <v>1014</v>
      </c>
      <c r="C10" s="1694">
        <f>SUM(基礎情報!$H$75*基礎情報!N103,基礎情報!$L$75*基礎情報!R103)</f>
        <v>0</v>
      </c>
      <c r="D10" s="1695"/>
      <c r="E10" s="1694">
        <f t="shared" si="0"/>
        <v>0</v>
      </c>
      <c r="F10" s="1695"/>
      <c r="G10" s="1694">
        <f t="shared" si="1"/>
        <v>0</v>
      </c>
      <c r="H10" s="1695"/>
      <c r="I10" s="1694">
        <f t="shared" si="2"/>
        <v>0</v>
      </c>
      <c r="J10" s="1695"/>
      <c r="K10" s="1694">
        <f t="shared" si="3"/>
        <v>0</v>
      </c>
      <c r="L10" s="1695"/>
      <c r="M10" s="1694">
        <f t="shared" si="4"/>
        <v>0</v>
      </c>
      <c r="N10" s="1695"/>
      <c r="O10" s="1692">
        <f t="shared" si="5"/>
        <v>0</v>
      </c>
      <c r="P10" s="1693"/>
      <c r="R10" s="534"/>
      <c r="S10" s="534"/>
      <c r="T10" s="535"/>
    </row>
    <row r="11" spans="2:20" ht="9.9499999999999993" hidden="1" customHeight="1" x14ac:dyDescent="0.4">
      <c r="B11" s="537" t="s">
        <v>232</v>
      </c>
      <c r="C11" s="1694">
        <f>SUM(基礎情報!$H$75*基礎情報!N91,基礎情報!$L$75*基礎情報!R91)</f>
        <v>0</v>
      </c>
      <c r="D11" s="1695"/>
      <c r="E11" s="1694">
        <f t="shared" si="0"/>
        <v>0</v>
      </c>
      <c r="F11" s="1695"/>
      <c r="G11" s="1694">
        <f t="shared" si="1"/>
        <v>0</v>
      </c>
      <c r="H11" s="1695"/>
      <c r="I11" s="1694">
        <f t="shared" si="2"/>
        <v>0</v>
      </c>
      <c r="J11" s="1695"/>
      <c r="K11" s="1694">
        <f t="shared" si="3"/>
        <v>0</v>
      </c>
      <c r="L11" s="1695"/>
      <c r="M11" s="1694">
        <f t="shared" si="4"/>
        <v>0</v>
      </c>
      <c r="N11" s="1695"/>
      <c r="O11" s="1692">
        <f t="shared" si="5"/>
        <v>0</v>
      </c>
      <c r="P11" s="1693"/>
      <c r="R11" s="534"/>
      <c r="S11" s="534"/>
      <c r="T11" s="535"/>
    </row>
    <row r="12" spans="2:20" ht="9.9499999999999993" hidden="1" customHeight="1" x14ac:dyDescent="0.4">
      <c r="B12" s="537" t="s">
        <v>233</v>
      </c>
      <c r="C12" s="1694">
        <f>SUM(基礎情報!$H$75*基礎情報!N94,基礎情報!$L$75*基礎情報!R94)</f>
        <v>0</v>
      </c>
      <c r="D12" s="1695"/>
      <c r="E12" s="1694">
        <f t="shared" si="0"/>
        <v>0</v>
      </c>
      <c r="F12" s="1695"/>
      <c r="G12" s="1694">
        <f t="shared" si="1"/>
        <v>0</v>
      </c>
      <c r="H12" s="1695"/>
      <c r="I12" s="1694">
        <f t="shared" si="2"/>
        <v>0</v>
      </c>
      <c r="J12" s="1695"/>
      <c r="K12" s="1694">
        <f t="shared" si="3"/>
        <v>0</v>
      </c>
      <c r="L12" s="1695"/>
      <c r="M12" s="1694">
        <f t="shared" si="4"/>
        <v>0</v>
      </c>
      <c r="N12" s="1695"/>
      <c r="O12" s="1692">
        <f t="shared" si="5"/>
        <v>0</v>
      </c>
      <c r="P12" s="1693"/>
      <c r="R12" s="534"/>
      <c r="S12" s="534"/>
      <c r="T12" s="535"/>
    </row>
    <row r="13" spans="2:20" ht="9.9499999999999993" hidden="1" customHeight="1" x14ac:dyDescent="0.4">
      <c r="B13" s="537" t="s">
        <v>1210</v>
      </c>
      <c r="C13" s="1694">
        <f>SUM(基礎情報!$H$75*基礎情報!N106,基礎情報!$L$75*基礎情報!R106)</f>
        <v>0</v>
      </c>
      <c r="D13" s="1695"/>
      <c r="E13" s="1694">
        <f t="shared" si="0"/>
        <v>0</v>
      </c>
      <c r="F13" s="1695"/>
      <c r="G13" s="1694">
        <f t="shared" si="1"/>
        <v>0</v>
      </c>
      <c r="H13" s="1695"/>
      <c r="I13" s="1694">
        <f t="shared" si="2"/>
        <v>0</v>
      </c>
      <c r="J13" s="1695"/>
      <c r="K13" s="1694">
        <f t="shared" si="3"/>
        <v>0</v>
      </c>
      <c r="L13" s="1695"/>
      <c r="M13" s="1694">
        <f t="shared" si="4"/>
        <v>0</v>
      </c>
      <c r="N13" s="1695"/>
      <c r="O13" s="1692">
        <f t="shared" si="5"/>
        <v>0</v>
      </c>
      <c r="P13" s="1693"/>
      <c r="R13" s="534"/>
      <c r="S13" s="534"/>
      <c r="T13" s="535"/>
    </row>
    <row r="14" spans="2:20" ht="9.9499999999999993" hidden="1" customHeight="1" x14ac:dyDescent="0.4">
      <c r="B14" s="537" t="s">
        <v>1019</v>
      </c>
      <c r="C14" s="1694">
        <f>SUM(基礎情報!$H$75*基礎情報!N109,基礎情報!$L$75*基礎情報!R109)</f>
        <v>0</v>
      </c>
      <c r="D14" s="1695"/>
      <c r="E14" s="1694">
        <f t="shared" si="0"/>
        <v>0</v>
      </c>
      <c r="F14" s="1695"/>
      <c r="G14" s="1694">
        <f t="shared" si="1"/>
        <v>0</v>
      </c>
      <c r="H14" s="1695"/>
      <c r="I14" s="1694">
        <f t="shared" si="2"/>
        <v>0</v>
      </c>
      <c r="J14" s="1695"/>
      <c r="K14" s="1694">
        <f t="shared" si="3"/>
        <v>0</v>
      </c>
      <c r="L14" s="1695"/>
      <c r="M14" s="1694">
        <f t="shared" si="4"/>
        <v>0</v>
      </c>
      <c r="N14" s="1695"/>
      <c r="O14" s="1692">
        <f t="shared" si="5"/>
        <v>0</v>
      </c>
      <c r="P14" s="1693"/>
      <c r="R14" s="534"/>
      <c r="S14" s="534"/>
      <c r="T14" s="535"/>
    </row>
    <row r="15" spans="2:20" ht="9.9499999999999993" hidden="1" customHeight="1" x14ac:dyDescent="0.4">
      <c r="B15" s="537" t="s">
        <v>1020</v>
      </c>
      <c r="C15" s="1694">
        <f>SUM(基礎情報!$H$75*基礎情報!N112,基礎情報!$L$75*基礎情報!R112)</f>
        <v>0</v>
      </c>
      <c r="D15" s="1695"/>
      <c r="E15" s="1694">
        <f t="shared" si="0"/>
        <v>0</v>
      </c>
      <c r="F15" s="1695"/>
      <c r="G15" s="1694">
        <f t="shared" si="1"/>
        <v>0</v>
      </c>
      <c r="H15" s="1695"/>
      <c r="I15" s="1694">
        <f t="shared" si="2"/>
        <v>0</v>
      </c>
      <c r="J15" s="1695"/>
      <c r="K15" s="1694">
        <f t="shared" si="3"/>
        <v>0</v>
      </c>
      <c r="L15" s="1695"/>
      <c r="M15" s="1694">
        <f t="shared" si="4"/>
        <v>0</v>
      </c>
      <c r="N15" s="1695"/>
      <c r="O15" s="1692">
        <f t="shared" si="5"/>
        <v>0</v>
      </c>
      <c r="P15" s="1693"/>
      <c r="R15" s="534"/>
      <c r="S15" s="534"/>
      <c r="T15" s="535"/>
    </row>
    <row r="16" spans="2:20" ht="9.9499999999999993" hidden="1" customHeight="1" x14ac:dyDescent="0.4">
      <c r="B16" s="537" t="s">
        <v>1022</v>
      </c>
      <c r="C16" s="1694">
        <f>SUM(基礎情報!$H$75*基礎情報!N115,基礎情報!$L$75*基礎情報!R115)</f>
        <v>0</v>
      </c>
      <c r="D16" s="1695"/>
      <c r="E16" s="1694">
        <f t="shared" si="0"/>
        <v>0</v>
      </c>
      <c r="F16" s="1695"/>
      <c r="G16" s="1694">
        <f t="shared" si="1"/>
        <v>0</v>
      </c>
      <c r="H16" s="1695"/>
      <c r="I16" s="1694">
        <f t="shared" si="2"/>
        <v>0</v>
      </c>
      <c r="J16" s="1695"/>
      <c r="K16" s="1694">
        <f t="shared" si="3"/>
        <v>0</v>
      </c>
      <c r="L16" s="1695"/>
      <c r="M16" s="1694">
        <f t="shared" si="4"/>
        <v>0</v>
      </c>
      <c r="N16" s="1695"/>
      <c r="O16" s="1692">
        <f t="shared" si="5"/>
        <v>0</v>
      </c>
      <c r="P16" s="1693"/>
      <c r="R16" s="534"/>
      <c r="S16" s="534"/>
      <c r="T16" s="535"/>
    </row>
    <row r="17" spans="1:189" ht="9.9499999999999993" hidden="1" customHeight="1" x14ac:dyDescent="0.4">
      <c r="B17" s="537" t="s">
        <v>1259</v>
      </c>
      <c r="C17" s="1694">
        <f>SUM(基礎情報!$H$75*基礎情報!N118,基礎情報!$L$75*基礎情報!R118)</f>
        <v>0</v>
      </c>
      <c r="D17" s="1695"/>
      <c r="E17" s="1694">
        <f t="shared" si="0"/>
        <v>0</v>
      </c>
      <c r="F17" s="1695"/>
      <c r="G17" s="1694">
        <f t="shared" si="1"/>
        <v>0</v>
      </c>
      <c r="H17" s="1695"/>
      <c r="I17" s="1694">
        <f t="shared" si="2"/>
        <v>0</v>
      </c>
      <c r="J17" s="1695"/>
      <c r="K17" s="1694">
        <f t="shared" si="3"/>
        <v>0</v>
      </c>
      <c r="L17" s="1695"/>
      <c r="M17" s="1694">
        <f t="shared" si="4"/>
        <v>0</v>
      </c>
      <c r="N17" s="1695"/>
      <c r="O17" s="1692">
        <f t="shared" si="5"/>
        <v>0</v>
      </c>
      <c r="P17" s="1693"/>
      <c r="R17" s="571" t="s">
        <v>1295</v>
      </c>
      <c r="S17" s="534"/>
      <c r="T17" s="535"/>
    </row>
    <row r="18" spans="1:189" ht="9.9499999999999993" hidden="1" customHeight="1" x14ac:dyDescent="0.4">
      <c r="B18" s="537" t="s">
        <v>1292</v>
      </c>
      <c r="C18" s="1698">
        <f>消毒積算!H67</f>
        <v>30</v>
      </c>
      <c r="D18" s="1699"/>
      <c r="E18" s="1694">
        <f>ROUNDDOWN(C18*$E$3,1)</f>
        <v>0</v>
      </c>
      <c r="F18" s="1695"/>
      <c r="G18" s="1694">
        <f t="shared" si="1"/>
        <v>0</v>
      </c>
      <c r="H18" s="1695"/>
      <c r="I18" s="1694">
        <f t="shared" si="2"/>
        <v>0</v>
      </c>
      <c r="J18" s="1695"/>
      <c r="K18" s="1694">
        <f>ROUNDDOWN(C18*$K$3,1)</f>
        <v>0</v>
      </c>
      <c r="L18" s="1695"/>
      <c r="M18" s="1694">
        <f t="shared" si="4"/>
        <v>0</v>
      </c>
      <c r="N18" s="1695"/>
      <c r="O18" s="1692">
        <f>IFERROR(ROUNDDOWN(C18*$O$3,0),"")</f>
        <v>0</v>
      </c>
      <c r="P18" s="1693"/>
      <c r="R18" s="571" t="s">
        <v>1355</v>
      </c>
      <c r="S18" s="534"/>
      <c r="T18" s="535"/>
    </row>
    <row r="19" spans="1:189" ht="9.9499999999999993" hidden="1" customHeight="1" x14ac:dyDescent="0.4">
      <c r="B19" s="537" t="s">
        <v>1289</v>
      </c>
      <c r="C19" s="1706">
        <f>消毒積算!H63</f>
        <v>3</v>
      </c>
      <c r="D19" s="1707"/>
      <c r="E19" s="1694">
        <f t="shared" si="0"/>
        <v>0</v>
      </c>
      <c r="F19" s="1695"/>
      <c r="G19" s="1694">
        <f t="shared" si="1"/>
        <v>0</v>
      </c>
      <c r="H19" s="1695"/>
      <c r="I19" s="1694">
        <f t="shared" si="2"/>
        <v>0</v>
      </c>
      <c r="J19" s="1695"/>
      <c r="K19" s="1694">
        <f t="shared" si="3"/>
        <v>0</v>
      </c>
      <c r="L19" s="1695"/>
      <c r="M19" s="1694">
        <f t="shared" si="4"/>
        <v>0</v>
      </c>
      <c r="N19" s="1695"/>
      <c r="O19" s="1692">
        <f t="shared" si="5"/>
        <v>0</v>
      </c>
      <c r="P19" s="1693"/>
      <c r="R19" s="571" t="s">
        <v>1293</v>
      </c>
      <c r="S19" s="534"/>
      <c r="T19" s="535"/>
    </row>
    <row r="20" spans="1:189" ht="9.9499999999999993" hidden="1" customHeight="1" x14ac:dyDescent="0.4">
      <c r="B20" s="537" t="s">
        <v>1290</v>
      </c>
      <c r="C20" s="1706">
        <f>消毒積算!H64</f>
        <v>5</v>
      </c>
      <c r="D20" s="1707"/>
      <c r="E20" s="1694">
        <f t="shared" si="0"/>
        <v>0</v>
      </c>
      <c r="F20" s="1695"/>
      <c r="G20" s="1694">
        <f t="shared" si="1"/>
        <v>0</v>
      </c>
      <c r="H20" s="1695"/>
      <c r="I20" s="1694">
        <f t="shared" si="2"/>
        <v>0</v>
      </c>
      <c r="J20" s="1695"/>
      <c r="K20" s="1694">
        <f t="shared" si="3"/>
        <v>0</v>
      </c>
      <c r="L20" s="1695"/>
      <c r="M20" s="1694">
        <f t="shared" si="4"/>
        <v>0</v>
      </c>
      <c r="N20" s="1695"/>
      <c r="O20" s="1692">
        <f t="shared" si="5"/>
        <v>0</v>
      </c>
      <c r="P20" s="1693"/>
      <c r="R20" s="571" t="s">
        <v>1294</v>
      </c>
      <c r="S20" s="534"/>
      <c r="T20" s="535"/>
    </row>
    <row r="22" spans="1:189" x14ac:dyDescent="0.4">
      <c r="F22" s="538">
        <f>MONTH(F23)</f>
        <v>10</v>
      </c>
      <c r="G22" s="538">
        <f t="shared" ref="G22:BR22" si="6">MONTH(G23)</f>
        <v>10</v>
      </c>
      <c r="H22" s="538">
        <f t="shared" si="6"/>
        <v>10</v>
      </c>
      <c r="I22" s="538">
        <f t="shared" si="6"/>
        <v>10</v>
      </c>
      <c r="J22" s="538">
        <f t="shared" si="6"/>
        <v>10</v>
      </c>
      <c r="K22" s="538">
        <f t="shared" si="6"/>
        <v>10</v>
      </c>
      <c r="L22" s="538">
        <f t="shared" si="6"/>
        <v>10</v>
      </c>
      <c r="M22" s="538">
        <f t="shared" si="6"/>
        <v>10</v>
      </c>
      <c r="N22" s="538">
        <f t="shared" si="6"/>
        <v>10</v>
      </c>
      <c r="O22" s="538">
        <f t="shared" si="6"/>
        <v>10</v>
      </c>
      <c r="P22" s="538">
        <f t="shared" si="6"/>
        <v>10</v>
      </c>
      <c r="Q22" s="538">
        <f t="shared" si="6"/>
        <v>10</v>
      </c>
      <c r="R22" s="538">
        <f t="shared" si="6"/>
        <v>10</v>
      </c>
      <c r="S22" s="538">
        <f t="shared" si="6"/>
        <v>10</v>
      </c>
      <c r="T22" s="538">
        <f t="shared" si="6"/>
        <v>10</v>
      </c>
      <c r="U22" s="538">
        <f t="shared" si="6"/>
        <v>10</v>
      </c>
      <c r="V22" s="538">
        <f t="shared" si="6"/>
        <v>10</v>
      </c>
      <c r="W22" s="538">
        <f t="shared" si="6"/>
        <v>10</v>
      </c>
      <c r="X22" s="538">
        <f t="shared" si="6"/>
        <v>10</v>
      </c>
      <c r="Y22" s="538">
        <f t="shared" si="6"/>
        <v>10</v>
      </c>
      <c r="Z22" s="538">
        <f t="shared" si="6"/>
        <v>10</v>
      </c>
      <c r="AA22" s="538">
        <f t="shared" si="6"/>
        <v>10</v>
      </c>
      <c r="AB22" s="538">
        <f t="shared" si="6"/>
        <v>10</v>
      </c>
      <c r="AC22" s="538">
        <f t="shared" si="6"/>
        <v>10</v>
      </c>
      <c r="AD22" s="538">
        <f t="shared" si="6"/>
        <v>10</v>
      </c>
      <c r="AE22" s="538">
        <f t="shared" si="6"/>
        <v>10</v>
      </c>
      <c r="AF22" s="538">
        <f t="shared" si="6"/>
        <v>10</v>
      </c>
      <c r="AG22" s="538">
        <f t="shared" si="6"/>
        <v>10</v>
      </c>
      <c r="AH22" s="538">
        <f t="shared" si="6"/>
        <v>10</v>
      </c>
      <c r="AI22" s="538">
        <f t="shared" si="6"/>
        <v>10</v>
      </c>
      <c r="AJ22" s="538">
        <f t="shared" si="6"/>
        <v>10</v>
      </c>
      <c r="AK22" s="538">
        <f t="shared" si="6"/>
        <v>11</v>
      </c>
      <c r="AL22" s="538">
        <f t="shared" si="6"/>
        <v>11</v>
      </c>
      <c r="AM22" s="538">
        <f t="shared" si="6"/>
        <v>11</v>
      </c>
      <c r="AN22" s="538">
        <f t="shared" si="6"/>
        <v>11</v>
      </c>
      <c r="AO22" s="538">
        <f t="shared" si="6"/>
        <v>11</v>
      </c>
      <c r="AP22" s="538">
        <f t="shared" si="6"/>
        <v>11</v>
      </c>
      <c r="AQ22" s="538">
        <f t="shared" si="6"/>
        <v>11</v>
      </c>
      <c r="AR22" s="538">
        <f t="shared" si="6"/>
        <v>11</v>
      </c>
      <c r="AS22" s="538">
        <f t="shared" si="6"/>
        <v>11</v>
      </c>
      <c r="AT22" s="538">
        <f t="shared" si="6"/>
        <v>11</v>
      </c>
      <c r="AU22" s="538">
        <f t="shared" si="6"/>
        <v>11</v>
      </c>
      <c r="AV22" s="538">
        <f t="shared" si="6"/>
        <v>11</v>
      </c>
      <c r="AW22" s="538">
        <f t="shared" si="6"/>
        <v>11</v>
      </c>
      <c r="AX22" s="538">
        <f t="shared" si="6"/>
        <v>11</v>
      </c>
      <c r="AY22" s="538">
        <f t="shared" si="6"/>
        <v>11</v>
      </c>
      <c r="AZ22" s="538">
        <f t="shared" si="6"/>
        <v>11</v>
      </c>
      <c r="BA22" s="538">
        <f t="shared" si="6"/>
        <v>11</v>
      </c>
      <c r="BB22" s="538">
        <f t="shared" si="6"/>
        <v>11</v>
      </c>
      <c r="BC22" s="538">
        <f t="shared" si="6"/>
        <v>11</v>
      </c>
      <c r="BD22" s="538">
        <f t="shared" si="6"/>
        <v>11</v>
      </c>
      <c r="BE22" s="538">
        <f t="shared" si="6"/>
        <v>11</v>
      </c>
      <c r="BF22" s="538">
        <f t="shared" si="6"/>
        <v>11</v>
      </c>
      <c r="BG22" s="538">
        <f t="shared" si="6"/>
        <v>11</v>
      </c>
      <c r="BH22" s="538">
        <f t="shared" si="6"/>
        <v>11</v>
      </c>
      <c r="BI22" s="538">
        <f t="shared" si="6"/>
        <v>11</v>
      </c>
      <c r="BJ22" s="538">
        <f t="shared" si="6"/>
        <v>11</v>
      </c>
      <c r="BK22" s="538">
        <f t="shared" si="6"/>
        <v>11</v>
      </c>
      <c r="BL22" s="538">
        <f t="shared" si="6"/>
        <v>11</v>
      </c>
      <c r="BM22" s="538">
        <f t="shared" si="6"/>
        <v>11</v>
      </c>
      <c r="BN22" s="538">
        <f t="shared" si="6"/>
        <v>11</v>
      </c>
      <c r="BO22" s="538">
        <f t="shared" si="6"/>
        <v>12</v>
      </c>
      <c r="BP22" s="538">
        <f t="shared" si="6"/>
        <v>12</v>
      </c>
      <c r="BQ22" s="538">
        <f t="shared" si="6"/>
        <v>12</v>
      </c>
      <c r="BR22" s="538">
        <f t="shared" si="6"/>
        <v>12</v>
      </c>
      <c r="BS22" s="538">
        <f t="shared" ref="BS22:ED22" si="7">MONTH(BS23)</f>
        <v>12</v>
      </c>
      <c r="BT22" s="538">
        <f t="shared" si="7"/>
        <v>12</v>
      </c>
      <c r="BU22" s="538">
        <f t="shared" si="7"/>
        <v>12</v>
      </c>
      <c r="BV22" s="538">
        <f t="shared" si="7"/>
        <v>12</v>
      </c>
      <c r="BW22" s="538">
        <f t="shared" si="7"/>
        <v>12</v>
      </c>
      <c r="BX22" s="538">
        <f t="shared" si="7"/>
        <v>12</v>
      </c>
      <c r="BY22" s="538">
        <f t="shared" si="7"/>
        <v>12</v>
      </c>
      <c r="BZ22" s="538">
        <f t="shared" si="7"/>
        <v>12</v>
      </c>
      <c r="CA22" s="538">
        <f t="shared" si="7"/>
        <v>12</v>
      </c>
      <c r="CB22" s="538">
        <f t="shared" si="7"/>
        <v>12</v>
      </c>
      <c r="CC22" s="538">
        <f t="shared" si="7"/>
        <v>12</v>
      </c>
      <c r="CD22" s="538">
        <f t="shared" si="7"/>
        <v>12</v>
      </c>
      <c r="CE22" s="538">
        <f t="shared" si="7"/>
        <v>12</v>
      </c>
      <c r="CF22" s="538">
        <f t="shared" si="7"/>
        <v>12</v>
      </c>
      <c r="CG22" s="538">
        <f t="shared" si="7"/>
        <v>12</v>
      </c>
      <c r="CH22" s="538">
        <f t="shared" si="7"/>
        <v>12</v>
      </c>
      <c r="CI22" s="538">
        <f t="shared" si="7"/>
        <v>12</v>
      </c>
      <c r="CJ22" s="538">
        <f t="shared" si="7"/>
        <v>12</v>
      </c>
      <c r="CK22" s="538">
        <f t="shared" si="7"/>
        <v>12</v>
      </c>
      <c r="CL22" s="538">
        <f t="shared" si="7"/>
        <v>12</v>
      </c>
      <c r="CM22" s="538">
        <f t="shared" si="7"/>
        <v>12</v>
      </c>
      <c r="CN22" s="538">
        <f t="shared" si="7"/>
        <v>12</v>
      </c>
      <c r="CO22" s="538">
        <f t="shared" si="7"/>
        <v>12</v>
      </c>
      <c r="CP22" s="538">
        <f t="shared" si="7"/>
        <v>12</v>
      </c>
      <c r="CQ22" s="538">
        <f t="shared" si="7"/>
        <v>12</v>
      </c>
      <c r="CR22" s="538">
        <f t="shared" si="7"/>
        <v>12</v>
      </c>
      <c r="CS22" s="538">
        <f t="shared" si="7"/>
        <v>12</v>
      </c>
      <c r="CT22" s="538">
        <f t="shared" si="7"/>
        <v>1</v>
      </c>
      <c r="CU22" s="538">
        <f t="shared" si="7"/>
        <v>1</v>
      </c>
      <c r="CV22" s="538">
        <f t="shared" si="7"/>
        <v>1</v>
      </c>
      <c r="CW22" s="538">
        <f t="shared" si="7"/>
        <v>1</v>
      </c>
      <c r="CX22" s="538">
        <f t="shared" si="7"/>
        <v>1</v>
      </c>
      <c r="CY22" s="538">
        <f t="shared" si="7"/>
        <v>1</v>
      </c>
      <c r="CZ22" s="538">
        <f t="shared" si="7"/>
        <v>1</v>
      </c>
      <c r="DA22" s="538">
        <f t="shared" si="7"/>
        <v>1</v>
      </c>
      <c r="DB22" s="538">
        <f t="shared" si="7"/>
        <v>1</v>
      </c>
      <c r="DC22" s="538">
        <f t="shared" si="7"/>
        <v>1</v>
      </c>
      <c r="DD22" s="538">
        <f t="shared" si="7"/>
        <v>1</v>
      </c>
      <c r="DE22" s="538">
        <f t="shared" si="7"/>
        <v>1</v>
      </c>
      <c r="DF22" s="538">
        <f t="shared" si="7"/>
        <v>1</v>
      </c>
      <c r="DG22" s="538">
        <f t="shared" si="7"/>
        <v>1</v>
      </c>
      <c r="DH22" s="538">
        <f t="shared" si="7"/>
        <v>1</v>
      </c>
      <c r="DI22" s="538">
        <f t="shared" si="7"/>
        <v>1</v>
      </c>
      <c r="DJ22" s="538">
        <f t="shared" si="7"/>
        <v>1</v>
      </c>
      <c r="DK22" s="538">
        <f t="shared" si="7"/>
        <v>1</v>
      </c>
      <c r="DL22" s="538">
        <f t="shared" si="7"/>
        <v>1</v>
      </c>
      <c r="DM22" s="538">
        <f t="shared" si="7"/>
        <v>1</v>
      </c>
      <c r="DN22" s="538">
        <f t="shared" si="7"/>
        <v>1</v>
      </c>
      <c r="DO22" s="538">
        <f t="shared" si="7"/>
        <v>1</v>
      </c>
      <c r="DP22" s="538">
        <f t="shared" si="7"/>
        <v>1</v>
      </c>
      <c r="DQ22" s="538">
        <f t="shared" si="7"/>
        <v>1</v>
      </c>
      <c r="DR22" s="538">
        <f t="shared" si="7"/>
        <v>1</v>
      </c>
      <c r="DS22" s="538">
        <f t="shared" si="7"/>
        <v>1</v>
      </c>
      <c r="DT22" s="538">
        <f t="shared" si="7"/>
        <v>1</v>
      </c>
      <c r="DU22" s="538">
        <f t="shared" si="7"/>
        <v>1</v>
      </c>
      <c r="DV22" s="538">
        <f t="shared" si="7"/>
        <v>1</v>
      </c>
      <c r="DW22" s="538">
        <f t="shared" si="7"/>
        <v>1</v>
      </c>
      <c r="DX22" s="538">
        <f t="shared" si="7"/>
        <v>1</v>
      </c>
      <c r="DY22" s="538">
        <f t="shared" si="7"/>
        <v>2</v>
      </c>
      <c r="DZ22" s="538">
        <f t="shared" si="7"/>
        <v>2</v>
      </c>
      <c r="EA22" s="538">
        <f t="shared" si="7"/>
        <v>2</v>
      </c>
      <c r="EB22" s="538">
        <f t="shared" si="7"/>
        <v>2</v>
      </c>
      <c r="EC22" s="538">
        <f t="shared" si="7"/>
        <v>2</v>
      </c>
      <c r="ED22" s="538">
        <f t="shared" si="7"/>
        <v>2</v>
      </c>
      <c r="EE22" s="538">
        <f t="shared" ref="EE22:GF22" si="8">MONTH(EE23)</f>
        <v>2</v>
      </c>
      <c r="EF22" s="538">
        <f t="shared" si="8"/>
        <v>2</v>
      </c>
      <c r="EG22" s="538">
        <f t="shared" si="8"/>
        <v>2</v>
      </c>
      <c r="EH22" s="538">
        <f t="shared" si="8"/>
        <v>2</v>
      </c>
      <c r="EI22" s="538">
        <f t="shared" si="8"/>
        <v>2</v>
      </c>
      <c r="EJ22" s="538">
        <f t="shared" si="8"/>
        <v>2</v>
      </c>
      <c r="EK22" s="538">
        <f t="shared" si="8"/>
        <v>2</v>
      </c>
      <c r="EL22" s="538">
        <f t="shared" si="8"/>
        <v>2</v>
      </c>
      <c r="EM22" s="538">
        <f t="shared" si="8"/>
        <v>2</v>
      </c>
      <c r="EN22" s="538">
        <f t="shared" si="8"/>
        <v>2</v>
      </c>
      <c r="EO22" s="538">
        <f t="shared" si="8"/>
        <v>2</v>
      </c>
      <c r="EP22" s="538">
        <f t="shared" si="8"/>
        <v>2</v>
      </c>
      <c r="EQ22" s="538">
        <f t="shared" si="8"/>
        <v>2</v>
      </c>
      <c r="ER22" s="538">
        <f t="shared" si="8"/>
        <v>2</v>
      </c>
      <c r="ES22" s="538">
        <f t="shared" si="8"/>
        <v>2</v>
      </c>
      <c r="ET22" s="538">
        <f t="shared" si="8"/>
        <v>2</v>
      </c>
      <c r="EU22" s="538">
        <f t="shared" si="8"/>
        <v>2</v>
      </c>
      <c r="EV22" s="538">
        <f t="shared" si="8"/>
        <v>2</v>
      </c>
      <c r="EW22" s="538">
        <f t="shared" si="8"/>
        <v>2</v>
      </c>
      <c r="EX22" s="538">
        <f t="shared" si="8"/>
        <v>2</v>
      </c>
      <c r="EY22" s="538">
        <f t="shared" si="8"/>
        <v>2</v>
      </c>
      <c r="EZ22" s="538">
        <f t="shared" si="8"/>
        <v>2</v>
      </c>
      <c r="FA22" s="538">
        <f t="shared" si="8"/>
        <v>2</v>
      </c>
      <c r="FB22" s="538">
        <f t="shared" si="8"/>
        <v>3</v>
      </c>
      <c r="FC22" s="538">
        <f t="shared" si="8"/>
        <v>3</v>
      </c>
      <c r="FD22" s="538">
        <f t="shared" si="8"/>
        <v>3</v>
      </c>
      <c r="FE22" s="538">
        <f t="shared" si="8"/>
        <v>3</v>
      </c>
      <c r="FF22" s="538">
        <f t="shared" si="8"/>
        <v>3</v>
      </c>
      <c r="FG22" s="538">
        <f t="shared" si="8"/>
        <v>3</v>
      </c>
      <c r="FH22" s="538">
        <f t="shared" si="8"/>
        <v>3</v>
      </c>
      <c r="FI22" s="538">
        <f t="shared" si="8"/>
        <v>3</v>
      </c>
      <c r="FJ22" s="538">
        <f t="shared" si="8"/>
        <v>3</v>
      </c>
      <c r="FK22" s="538">
        <f t="shared" si="8"/>
        <v>3</v>
      </c>
      <c r="FL22" s="538">
        <f t="shared" si="8"/>
        <v>3</v>
      </c>
      <c r="FM22" s="538">
        <f t="shared" si="8"/>
        <v>3</v>
      </c>
      <c r="FN22" s="538">
        <f t="shared" si="8"/>
        <v>3</v>
      </c>
      <c r="FO22" s="538">
        <f t="shared" si="8"/>
        <v>3</v>
      </c>
      <c r="FP22" s="538">
        <f t="shared" si="8"/>
        <v>3</v>
      </c>
      <c r="FQ22" s="538">
        <f t="shared" si="8"/>
        <v>3</v>
      </c>
      <c r="FR22" s="538">
        <f t="shared" si="8"/>
        <v>3</v>
      </c>
      <c r="FS22" s="538">
        <f t="shared" si="8"/>
        <v>3</v>
      </c>
      <c r="FT22" s="538">
        <f t="shared" si="8"/>
        <v>3</v>
      </c>
      <c r="FU22" s="538">
        <f t="shared" si="8"/>
        <v>3</v>
      </c>
      <c r="FV22" s="538">
        <f t="shared" si="8"/>
        <v>3</v>
      </c>
      <c r="FW22" s="538">
        <f t="shared" si="8"/>
        <v>3</v>
      </c>
      <c r="FX22" s="538">
        <f t="shared" si="8"/>
        <v>3</v>
      </c>
      <c r="FY22" s="538">
        <f t="shared" si="8"/>
        <v>3</v>
      </c>
      <c r="FZ22" s="538">
        <f t="shared" si="8"/>
        <v>3</v>
      </c>
      <c r="GA22" s="538">
        <f t="shared" si="8"/>
        <v>3</v>
      </c>
      <c r="GB22" s="538">
        <f t="shared" si="8"/>
        <v>3</v>
      </c>
      <c r="GC22" s="538">
        <f t="shared" si="8"/>
        <v>3</v>
      </c>
      <c r="GD22" s="538">
        <f t="shared" si="8"/>
        <v>3</v>
      </c>
      <c r="GE22" s="538">
        <f t="shared" si="8"/>
        <v>3</v>
      </c>
      <c r="GF22" s="538">
        <f t="shared" si="8"/>
        <v>3</v>
      </c>
    </row>
    <row r="23" spans="1:189" s="537" customFormat="1" x14ac:dyDescent="0.4">
      <c r="A23" s="608"/>
      <c r="B23" s="1700" t="str">
        <f>テーブル!$B$3</f>
        <v>交付申請（２次）</v>
      </c>
      <c r="C23" s="1702" t="s">
        <v>1266</v>
      </c>
      <c r="D23" s="1703"/>
      <c r="E23" s="1700" t="s">
        <v>1260</v>
      </c>
      <c r="F23" s="539">
        <f xml:space="preserve">
IF(テーブル!$B$3="交付申請",DATE(2023,5,8),
IF(テーブル!$B$3="変更申請",DATE(2023,10,1),
IF(テーブル!$B$3="実績報告（１次）",DATE(2023,5,8),
IF(テーブル!$B$3="交付申請（２次）",DATE(2023,10,1),
IF(テーブル!$B$3="交付申請兼実績報告（２次）",DATE(2023,10,1),
IF(テーブル!$B$3="実績報告（２次）",DATE(2023,10,1)))))))</f>
        <v>45200</v>
      </c>
      <c r="G23" s="539">
        <f>F23+1</f>
        <v>45201</v>
      </c>
      <c r="H23" s="539">
        <f t="shared" ref="H23:BS23" si="9">G23+1</f>
        <v>45202</v>
      </c>
      <c r="I23" s="539">
        <f>H23+1</f>
        <v>45203</v>
      </c>
      <c r="J23" s="539">
        <f t="shared" si="9"/>
        <v>45204</v>
      </c>
      <c r="K23" s="539">
        <f t="shared" si="9"/>
        <v>45205</v>
      </c>
      <c r="L23" s="539">
        <f t="shared" si="9"/>
        <v>45206</v>
      </c>
      <c r="M23" s="539">
        <f t="shared" si="9"/>
        <v>45207</v>
      </c>
      <c r="N23" s="539">
        <f t="shared" si="9"/>
        <v>45208</v>
      </c>
      <c r="O23" s="539">
        <f t="shared" si="9"/>
        <v>45209</v>
      </c>
      <c r="P23" s="539">
        <f t="shared" si="9"/>
        <v>45210</v>
      </c>
      <c r="Q23" s="539">
        <f t="shared" si="9"/>
        <v>45211</v>
      </c>
      <c r="R23" s="539">
        <f t="shared" si="9"/>
        <v>45212</v>
      </c>
      <c r="S23" s="539">
        <f t="shared" si="9"/>
        <v>45213</v>
      </c>
      <c r="T23" s="539">
        <f t="shared" si="9"/>
        <v>45214</v>
      </c>
      <c r="U23" s="539">
        <f t="shared" si="9"/>
        <v>45215</v>
      </c>
      <c r="V23" s="539">
        <f t="shared" si="9"/>
        <v>45216</v>
      </c>
      <c r="W23" s="539">
        <f t="shared" si="9"/>
        <v>45217</v>
      </c>
      <c r="X23" s="539">
        <f t="shared" si="9"/>
        <v>45218</v>
      </c>
      <c r="Y23" s="539">
        <f t="shared" si="9"/>
        <v>45219</v>
      </c>
      <c r="Z23" s="539">
        <f t="shared" si="9"/>
        <v>45220</v>
      </c>
      <c r="AA23" s="539">
        <f t="shared" si="9"/>
        <v>45221</v>
      </c>
      <c r="AB23" s="539">
        <f t="shared" si="9"/>
        <v>45222</v>
      </c>
      <c r="AC23" s="539">
        <f t="shared" si="9"/>
        <v>45223</v>
      </c>
      <c r="AD23" s="539">
        <f t="shared" si="9"/>
        <v>45224</v>
      </c>
      <c r="AE23" s="539">
        <f t="shared" si="9"/>
        <v>45225</v>
      </c>
      <c r="AF23" s="539">
        <f t="shared" si="9"/>
        <v>45226</v>
      </c>
      <c r="AG23" s="539">
        <f t="shared" si="9"/>
        <v>45227</v>
      </c>
      <c r="AH23" s="539">
        <f t="shared" si="9"/>
        <v>45228</v>
      </c>
      <c r="AI23" s="539">
        <f t="shared" si="9"/>
        <v>45229</v>
      </c>
      <c r="AJ23" s="539">
        <f t="shared" si="9"/>
        <v>45230</v>
      </c>
      <c r="AK23" s="539">
        <f t="shared" si="9"/>
        <v>45231</v>
      </c>
      <c r="AL23" s="539">
        <f t="shared" si="9"/>
        <v>45232</v>
      </c>
      <c r="AM23" s="539">
        <f t="shared" si="9"/>
        <v>45233</v>
      </c>
      <c r="AN23" s="539">
        <f t="shared" si="9"/>
        <v>45234</v>
      </c>
      <c r="AO23" s="539">
        <f t="shared" si="9"/>
        <v>45235</v>
      </c>
      <c r="AP23" s="539">
        <f t="shared" si="9"/>
        <v>45236</v>
      </c>
      <c r="AQ23" s="539">
        <f t="shared" si="9"/>
        <v>45237</v>
      </c>
      <c r="AR23" s="539">
        <f t="shared" si="9"/>
        <v>45238</v>
      </c>
      <c r="AS23" s="539">
        <f t="shared" si="9"/>
        <v>45239</v>
      </c>
      <c r="AT23" s="539">
        <f t="shared" si="9"/>
        <v>45240</v>
      </c>
      <c r="AU23" s="539">
        <f t="shared" si="9"/>
        <v>45241</v>
      </c>
      <c r="AV23" s="539">
        <f t="shared" si="9"/>
        <v>45242</v>
      </c>
      <c r="AW23" s="539">
        <f t="shared" si="9"/>
        <v>45243</v>
      </c>
      <c r="AX23" s="539">
        <f t="shared" si="9"/>
        <v>45244</v>
      </c>
      <c r="AY23" s="539">
        <f t="shared" si="9"/>
        <v>45245</v>
      </c>
      <c r="AZ23" s="539">
        <f t="shared" si="9"/>
        <v>45246</v>
      </c>
      <c r="BA23" s="539">
        <f t="shared" si="9"/>
        <v>45247</v>
      </c>
      <c r="BB23" s="539">
        <f t="shared" si="9"/>
        <v>45248</v>
      </c>
      <c r="BC23" s="539">
        <f t="shared" si="9"/>
        <v>45249</v>
      </c>
      <c r="BD23" s="539">
        <f t="shared" si="9"/>
        <v>45250</v>
      </c>
      <c r="BE23" s="539">
        <f t="shared" si="9"/>
        <v>45251</v>
      </c>
      <c r="BF23" s="539">
        <f t="shared" si="9"/>
        <v>45252</v>
      </c>
      <c r="BG23" s="539">
        <f t="shared" si="9"/>
        <v>45253</v>
      </c>
      <c r="BH23" s="539">
        <f t="shared" si="9"/>
        <v>45254</v>
      </c>
      <c r="BI23" s="539">
        <f t="shared" si="9"/>
        <v>45255</v>
      </c>
      <c r="BJ23" s="539">
        <f t="shared" si="9"/>
        <v>45256</v>
      </c>
      <c r="BK23" s="539">
        <f t="shared" si="9"/>
        <v>45257</v>
      </c>
      <c r="BL23" s="539">
        <f t="shared" si="9"/>
        <v>45258</v>
      </c>
      <c r="BM23" s="539">
        <f t="shared" si="9"/>
        <v>45259</v>
      </c>
      <c r="BN23" s="539">
        <f t="shared" si="9"/>
        <v>45260</v>
      </c>
      <c r="BO23" s="539">
        <f t="shared" si="9"/>
        <v>45261</v>
      </c>
      <c r="BP23" s="539">
        <f t="shared" si="9"/>
        <v>45262</v>
      </c>
      <c r="BQ23" s="539">
        <f t="shared" si="9"/>
        <v>45263</v>
      </c>
      <c r="BR23" s="539">
        <f t="shared" si="9"/>
        <v>45264</v>
      </c>
      <c r="BS23" s="539">
        <f t="shared" si="9"/>
        <v>45265</v>
      </c>
      <c r="BT23" s="539">
        <f t="shared" ref="BT23:CH23" si="10">BS23+1</f>
        <v>45266</v>
      </c>
      <c r="BU23" s="539">
        <f t="shared" si="10"/>
        <v>45267</v>
      </c>
      <c r="BV23" s="539">
        <f t="shared" si="10"/>
        <v>45268</v>
      </c>
      <c r="BW23" s="539">
        <f t="shared" si="10"/>
        <v>45269</v>
      </c>
      <c r="BX23" s="539">
        <f t="shared" si="10"/>
        <v>45270</v>
      </c>
      <c r="BY23" s="539">
        <f t="shared" si="10"/>
        <v>45271</v>
      </c>
      <c r="BZ23" s="539">
        <f t="shared" si="10"/>
        <v>45272</v>
      </c>
      <c r="CA23" s="539">
        <f t="shared" si="10"/>
        <v>45273</v>
      </c>
      <c r="CB23" s="539">
        <f t="shared" si="10"/>
        <v>45274</v>
      </c>
      <c r="CC23" s="539">
        <f t="shared" si="10"/>
        <v>45275</v>
      </c>
      <c r="CD23" s="539">
        <f t="shared" si="10"/>
        <v>45276</v>
      </c>
      <c r="CE23" s="539">
        <f t="shared" si="10"/>
        <v>45277</v>
      </c>
      <c r="CF23" s="539">
        <f t="shared" si="10"/>
        <v>45278</v>
      </c>
      <c r="CG23" s="539">
        <f t="shared" si="10"/>
        <v>45279</v>
      </c>
      <c r="CH23" s="539">
        <f t="shared" si="10"/>
        <v>45280</v>
      </c>
      <c r="CI23" s="539">
        <f>CH23+1</f>
        <v>45281</v>
      </c>
      <c r="CJ23" s="539">
        <f t="shared" ref="CJ23:DS23" si="11">CI23+1</f>
        <v>45282</v>
      </c>
      <c r="CK23" s="539">
        <f t="shared" si="11"/>
        <v>45283</v>
      </c>
      <c r="CL23" s="539">
        <f t="shared" si="11"/>
        <v>45284</v>
      </c>
      <c r="CM23" s="539">
        <f t="shared" si="11"/>
        <v>45285</v>
      </c>
      <c r="CN23" s="539">
        <f t="shared" si="11"/>
        <v>45286</v>
      </c>
      <c r="CO23" s="539">
        <f t="shared" si="11"/>
        <v>45287</v>
      </c>
      <c r="CP23" s="539">
        <f t="shared" si="11"/>
        <v>45288</v>
      </c>
      <c r="CQ23" s="539">
        <f t="shared" si="11"/>
        <v>45289</v>
      </c>
      <c r="CR23" s="539">
        <f t="shared" si="11"/>
        <v>45290</v>
      </c>
      <c r="CS23" s="539">
        <f t="shared" si="11"/>
        <v>45291</v>
      </c>
      <c r="CT23" s="539">
        <f t="shared" si="11"/>
        <v>45292</v>
      </c>
      <c r="CU23" s="539">
        <f t="shared" si="11"/>
        <v>45293</v>
      </c>
      <c r="CV23" s="539">
        <f t="shared" si="11"/>
        <v>45294</v>
      </c>
      <c r="CW23" s="539">
        <f t="shared" si="11"/>
        <v>45295</v>
      </c>
      <c r="CX23" s="539">
        <f t="shared" si="11"/>
        <v>45296</v>
      </c>
      <c r="CY23" s="539">
        <f t="shared" si="11"/>
        <v>45297</v>
      </c>
      <c r="CZ23" s="539">
        <f t="shared" si="11"/>
        <v>45298</v>
      </c>
      <c r="DA23" s="539">
        <f t="shared" si="11"/>
        <v>45299</v>
      </c>
      <c r="DB23" s="539">
        <f t="shared" si="11"/>
        <v>45300</v>
      </c>
      <c r="DC23" s="539">
        <f t="shared" si="11"/>
        <v>45301</v>
      </c>
      <c r="DD23" s="539">
        <f t="shared" si="11"/>
        <v>45302</v>
      </c>
      <c r="DE23" s="539">
        <f t="shared" si="11"/>
        <v>45303</v>
      </c>
      <c r="DF23" s="539">
        <f t="shared" si="11"/>
        <v>45304</v>
      </c>
      <c r="DG23" s="539">
        <f t="shared" si="11"/>
        <v>45305</v>
      </c>
      <c r="DH23" s="539">
        <f t="shared" si="11"/>
        <v>45306</v>
      </c>
      <c r="DI23" s="539">
        <f t="shared" si="11"/>
        <v>45307</v>
      </c>
      <c r="DJ23" s="539">
        <f t="shared" si="11"/>
        <v>45308</v>
      </c>
      <c r="DK23" s="539">
        <f t="shared" si="11"/>
        <v>45309</v>
      </c>
      <c r="DL23" s="539">
        <f t="shared" si="11"/>
        <v>45310</v>
      </c>
      <c r="DM23" s="539">
        <f t="shared" si="11"/>
        <v>45311</v>
      </c>
      <c r="DN23" s="539">
        <f t="shared" si="11"/>
        <v>45312</v>
      </c>
      <c r="DO23" s="539">
        <f t="shared" si="11"/>
        <v>45313</v>
      </c>
      <c r="DP23" s="539">
        <f t="shared" si="11"/>
        <v>45314</v>
      </c>
      <c r="DQ23" s="539">
        <f t="shared" si="11"/>
        <v>45315</v>
      </c>
      <c r="DR23" s="539">
        <f t="shared" si="11"/>
        <v>45316</v>
      </c>
      <c r="DS23" s="539">
        <f t="shared" si="11"/>
        <v>45317</v>
      </c>
      <c r="DT23" s="539">
        <f>DS23+1</f>
        <v>45318</v>
      </c>
      <c r="DU23" s="539">
        <f t="shared" ref="DU23:EJ23" si="12">DT23+1</f>
        <v>45319</v>
      </c>
      <c r="DV23" s="539">
        <f t="shared" si="12"/>
        <v>45320</v>
      </c>
      <c r="DW23" s="539">
        <f t="shared" si="12"/>
        <v>45321</v>
      </c>
      <c r="DX23" s="539">
        <f t="shared" si="12"/>
        <v>45322</v>
      </c>
      <c r="DY23" s="539">
        <f t="shared" si="12"/>
        <v>45323</v>
      </c>
      <c r="DZ23" s="539">
        <f t="shared" si="12"/>
        <v>45324</v>
      </c>
      <c r="EA23" s="539">
        <f t="shared" si="12"/>
        <v>45325</v>
      </c>
      <c r="EB23" s="539">
        <f t="shared" si="12"/>
        <v>45326</v>
      </c>
      <c r="EC23" s="539">
        <f t="shared" si="12"/>
        <v>45327</v>
      </c>
      <c r="ED23" s="539">
        <f t="shared" si="12"/>
        <v>45328</v>
      </c>
      <c r="EE23" s="539">
        <f t="shared" si="12"/>
        <v>45329</v>
      </c>
      <c r="EF23" s="539">
        <f t="shared" si="12"/>
        <v>45330</v>
      </c>
      <c r="EG23" s="539">
        <f t="shared" si="12"/>
        <v>45331</v>
      </c>
      <c r="EH23" s="539">
        <f t="shared" si="12"/>
        <v>45332</v>
      </c>
      <c r="EI23" s="539">
        <f t="shared" si="12"/>
        <v>45333</v>
      </c>
      <c r="EJ23" s="539">
        <f t="shared" si="12"/>
        <v>45334</v>
      </c>
      <c r="EK23" s="539">
        <f>EJ23+1</f>
        <v>45335</v>
      </c>
      <c r="EL23" s="539">
        <f t="shared" ref="EL23:GF23" si="13">EK23+1</f>
        <v>45336</v>
      </c>
      <c r="EM23" s="539">
        <f t="shared" si="13"/>
        <v>45337</v>
      </c>
      <c r="EN23" s="539">
        <f t="shared" si="13"/>
        <v>45338</v>
      </c>
      <c r="EO23" s="539">
        <f t="shared" si="13"/>
        <v>45339</v>
      </c>
      <c r="EP23" s="539">
        <f t="shared" si="13"/>
        <v>45340</v>
      </c>
      <c r="EQ23" s="539">
        <f t="shared" si="13"/>
        <v>45341</v>
      </c>
      <c r="ER23" s="539">
        <f t="shared" si="13"/>
        <v>45342</v>
      </c>
      <c r="ES23" s="539">
        <f t="shared" si="13"/>
        <v>45343</v>
      </c>
      <c r="ET23" s="539">
        <f t="shared" si="13"/>
        <v>45344</v>
      </c>
      <c r="EU23" s="539">
        <f t="shared" si="13"/>
        <v>45345</v>
      </c>
      <c r="EV23" s="539">
        <f t="shared" si="13"/>
        <v>45346</v>
      </c>
      <c r="EW23" s="539">
        <f t="shared" si="13"/>
        <v>45347</v>
      </c>
      <c r="EX23" s="539">
        <f t="shared" si="13"/>
        <v>45348</v>
      </c>
      <c r="EY23" s="539">
        <f t="shared" si="13"/>
        <v>45349</v>
      </c>
      <c r="EZ23" s="539">
        <f t="shared" si="13"/>
        <v>45350</v>
      </c>
      <c r="FA23" s="539">
        <f t="shared" si="13"/>
        <v>45351</v>
      </c>
      <c r="FB23" s="539">
        <f t="shared" si="13"/>
        <v>45352</v>
      </c>
      <c r="FC23" s="539">
        <f t="shared" si="13"/>
        <v>45353</v>
      </c>
      <c r="FD23" s="539">
        <f t="shared" si="13"/>
        <v>45354</v>
      </c>
      <c r="FE23" s="539">
        <f t="shared" si="13"/>
        <v>45355</v>
      </c>
      <c r="FF23" s="539">
        <f t="shared" si="13"/>
        <v>45356</v>
      </c>
      <c r="FG23" s="539">
        <f t="shared" si="13"/>
        <v>45357</v>
      </c>
      <c r="FH23" s="539">
        <f t="shared" si="13"/>
        <v>45358</v>
      </c>
      <c r="FI23" s="539">
        <f t="shared" si="13"/>
        <v>45359</v>
      </c>
      <c r="FJ23" s="539">
        <f t="shared" si="13"/>
        <v>45360</v>
      </c>
      <c r="FK23" s="539">
        <f t="shared" si="13"/>
        <v>45361</v>
      </c>
      <c r="FL23" s="539">
        <f t="shared" si="13"/>
        <v>45362</v>
      </c>
      <c r="FM23" s="539">
        <f t="shared" si="13"/>
        <v>45363</v>
      </c>
      <c r="FN23" s="539">
        <f t="shared" si="13"/>
        <v>45364</v>
      </c>
      <c r="FO23" s="539">
        <f t="shared" si="13"/>
        <v>45365</v>
      </c>
      <c r="FP23" s="539">
        <f t="shared" si="13"/>
        <v>45366</v>
      </c>
      <c r="FQ23" s="539">
        <f t="shared" si="13"/>
        <v>45367</v>
      </c>
      <c r="FR23" s="539">
        <f t="shared" si="13"/>
        <v>45368</v>
      </c>
      <c r="FS23" s="539">
        <f t="shared" si="13"/>
        <v>45369</v>
      </c>
      <c r="FT23" s="539">
        <f t="shared" si="13"/>
        <v>45370</v>
      </c>
      <c r="FU23" s="539">
        <f t="shared" si="13"/>
        <v>45371</v>
      </c>
      <c r="FV23" s="539">
        <f t="shared" si="13"/>
        <v>45372</v>
      </c>
      <c r="FW23" s="539">
        <f t="shared" si="13"/>
        <v>45373</v>
      </c>
      <c r="FX23" s="539">
        <f t="shared" si="13"/>
        <v>45374</v>
      </c>
      <c r="FY23" s="539">
        <f t="shared" si="13"/>
        <v>45375</v>
      </c>
      <c r="FZ23" s="539">
        <f t="shared" si="13"/>
        <v>45376</v>
      </c>
      <c r="GA23" s="539">
        <f t="shared" si="13"/>
        <v>45377</v>
      </c>
      <c r="GB23" s="539">
        <f t="shared" si="13"/>
        <v>45378</v>
      </c>
      <c r="GC23" s="539">
        <f t="shared" si="13"/>
        <v>45379</v>
      </c>
      <c r="GD23" s="539">
        <f t="shared" si="13"/>
        <v>45380</v>
      </c>
      <c r="GE23" s="539">
        <f t="shared" si="13"/>
        <v>45381</v>
      </c>
      <c r="GF23" s="539">
        <f t="shared" si="13"/>
        <v>45382</v>
      </c>
    </row>
    <row r="24" spans="1:189" s="537" customFormat="1" x14ac:dyDescent="0.4">
      <c r="A24" s="608"/>
      <c r="B24" s="1701"/>
      <c r="C24" s="1704"/>
      <c r="D24" s="1705"/>
      <c r="E24" s="1701"/>
      <c r="F24" s="539" t="str">
        <f>TEXT(F23,"aaaa")</f>
        <v>日曜日</v>
      </c>
      <c r="G24" s="539" t="str">
        <f t="shared" ref="G24:BR24" si="14">TEXT(G23,"aaaa")</f>
        <v>月曜日</v>
      </c>
      <c r="H24" s="539" t="str">
        <f t="shared" si="14"/>
        <v>火曜日</v>
      </c>
      <c r="I24" s="539" t="str">
        <f>TEXT(I23,"aaaa")</f>
        <v>水曜日</v>
      </c>
      <c r="J24" s="539" t="str">
        <f t="shared" si="14"/>
        <v>木曜日</v>
      </c>
      <c r="K24" s="539" t="str">
        <f t="shared" si="14"/>
        <v>金曜日</v>
      </c>
      <c r="L24" s="539" t="str">
        <f t="shared" si="14"/>
        <v>土曜日</v>
      </c>
      <c r="M24" s="539" t="str">
        <f t="shared" si="14"/>
        <v>日曜日</v>
      </c>
      <c r="N24" s="539" t="str">
        <f t="shared" si="14"/>
        <v>月曜日</v>
      </c>
      <c r="O24" s="539" t="str">
        <f t="shared" si="14"/>
        <v>火曜日</v>
      </c>
      <c r="P24" s="539" t="str">
        <f t="shared" si="14"/>
        <v>水曜日</v>
      </c>
      <c r="Q24" s="539" t="str">
        <f t="shared" si="14"/>
        <v>木曜日</v>
      </c>
      <c r="R24" s="539" t="str">
        <f t="shared" si="14"/>
        <v>金曜日</v>
      </c>
      <c r="S24" s="539" t="str">
        <f t="shared" si="14"/>
        <v>土曜日</v>
      </c>
      <c r="T24" s="539" t="str">
        <f t="shared" si="14"/>
        <v>日曜日</v>
      </c>
      <c r="U24" s="539" t="str">
        <f t="shared" si="14"/>
        <v>月曜日</v>
      </c>
      <c r="V24" s="539" t="str">
        <f t="shared" si="14"/>
        <v>火曜日</v>
      </c>
      <c r="W24" s="539" t="str">
        <f t="shared" si="14"/>
        <v>水曜日</v>
      </c>
      <c r="X24" s="539" t="str">
        <f t="shared" si="14"/>
        <v>木曜日</v>
      </c>
      <c r="Y24" s="539" t="str">
        <f t="shared" si="14"/>
        <v>金曜日</v>
      </c>
      <c r="Z24" s="539" t="str">
        <f t="shared" si="14"/>
        <v>土曜日</v>
      </c>
      <c r="AA24" s="539" t="str">
        <f t="shared" si="14"/>
        <v>日曜日</v>
      </c>
      <c r="AB24" s="539" t="str">
        <f t="shared" si="14"/>
        <v>月曜日</v>
      </c>
      <c r="AC24" s="539" t="str">
        <f t="shared" si="14"/>
        <v>火曜日</v>
      </c>
      <c r="AD24" s="539" t="str">
        <f t="shared" si="14"/>
        <v>水曜日</v>
      </c>
      <c r="AE24" s="539" t="str">
        <f t="shared" si="14"/>
        <v>木曜日</v>
      </c>
      <c r="AF24" s="539" t="str">
        <f t="shared" si="14"/>
        <v>金曜日</v>
      </c>
      <c r="AG24" s="539" t="str">
        <f t="shared" si="14"/>
        <v>土曜日</v>
      </c>
      <c r="AH24" s="539" t="str">
        <f t="shared" si="14"/>
        <v>日曜日</v>
      </c>
      <c r="AI24" s="539" t="str">
        <f t="shared" si="14"/>
        <v>月曜日</v>
      </c>
      <c r="AJ24" s="539" t="str">
        <f t="shared" si="14"/>
        <v>火曜日</v>
      </c>
      <c r="AK24" s="539" t="str">
        <f t="shared" si="14"/>
        <v>水曜日</v>
      </c>
      <c r="AL24" s="539" t="str">
        <f t="shared" si="14"/>
        <v>木曜日</v>
      </c>
      <c r="AM24" s="539" t="str">
        <f t="shared" si="14"/>
        <v>金曜日</v>
      </c>
      <c r="AN24" s="539" t="str">
        <f t="shared" si="14"/>
        <v>土曜日</v>
      </c>
      <c r="AO24" s="539" t="str">
        <f t="shared" si="14"/>
        <v>日曜日</v>
      </c>
      <c r="AP24" s="539" t="str">
        <f t="shared" si="14"/>
        <v>月曜日</v>
      </c>
      <c r="AQ24" s="539" t="str">
        <f t="shared" si="14"/>
        <v>火曜日</v>
      </c>
      <c r="AR24" s="539" t="str">
        <f t="shared" si="14"/>
        <v>水曜日</v>
      </c>
      <c r="AS24" s="539" t="str">
        <f t="shared" si="14"/>
        <v>木曜日</v>
      </c>
      <c r="AT24" s="539" t="str">
        <f t="shared" si="14"/>
        <v>金曜日</v>
      </c>
      <c r="AU24" s="539" t="str">
        <f t="shared" si="14"/>
        <v>土曜日</v>
      </c>
      <c r="AV24" s="539" t="str">
        <f t="shared" si="14"/>
        <v>日曜日</v>
      </c>
      <c r="AW24" s="539" t="str">
        <f t="shared" si="14"/>
        <v>月曜日</v>
      </c>
      <c r="AX24" s="539" t="str">
        <f t="shared" si="14"/>
        <v>火曜日</v>
      </c>
      <c r="AY24" s="539" t="str">
        <f t="shared" si="14"/>
        <v>水曜日</v>
      </c>
      <c r="AZ24" s="539" t="str">
        <f t="shared" si="14"/>
        <v>木曜日</v>
      </c>
      <c r="BA24" s="539" t="str">
        <f t="shared" si="14"/>
        <v>金曜日</v>
      </c>
      <c r="BB24" s="539" t="str">
        <f t="shared" si="14"/>
        <v>土曜日</v>
      </c>
      <c r="BC24" s="539" t="str">
        <f t="shared" si="14"/>
        <v>日曜日</v>
      </c>
      <c r="BD24" s="539" t="str">
        <f t="shared" si="14"/>
        <v>月曜日</v>
      </c>
      <c r="BE24" s="539" t="str">
        <f t="shared" si="14"/>
        <v>火曜日</v>
      </c>
      <c r="BF24" s="539" t="str">
        <f t="shared" si="14"/>
        <v>水曜日</v>
      </c>
      <c r="BG24" s="539" t="str">
        <f t="shared" si="14"/>
        <v>木曜日</v>
      </c>
      <c r="BH24" s="539" t="str">
        <f t="shared" si="14"/>
        <v>金曜日</v>
      </c>
      <c r="BI24" s="539" t="str">
        <f t="shared" si="14"/>
        <v>土曜日</v>
      </c>
      <c r="BJ24" s="539" t="str">
        <f t="shared" si="14"/>
        <v>日曜日</v>
      </c>
      <c r="BK24" s="539" t="str">
        <f t="shared" si="14"/>
        <v>月曜日</v>
      </c>
      <c r="BL24" s="539" t="str">
        <f t="shared" si="14"/>
        <v>火曜日</v>
      </c>
      <c r="BM24" s="539" t="str">
        <f t="shared" si="14"/>
        <v>水曜日</v>
      </c>
      <c r="BN24" s="539" t="str">
        <f t="shared" si="14"/>
        <v>木曜日</v>
      </c>
      <c r="BO24" s="539" t="str">
        <f t="shared" si="14"/>
        <v>金曜日</v>
      </c>
      <c r="BP24" s="539" t="str">
        <f t="shared" si="14"/>
        <v>土曜日</v>
      </c>
      <c r="BQ24" s="539" t="str">
        <f t="shared" si="14"/>
        <v>日曜日</v>
      </c>
      <c r="BR24" s="539" t="str">
        <f t="shared" si="14"/>
        <v>月曜日</v>
      </c>
      <c r="BS24" s="539" t="str">
        <f t="shared" ref="BS24:ED24" si="15">TEXT(BS23,"aaaa")</f>
        <v>火曜日</v>
      </c>
      <c r="BT24" s="539" t="str">
        <f t="shared" si="15"/>
        <v>水曜日</v>
      </c>
      <c r="BU24" s="539" t="str">
        <f t="shared" si="15"/>
        <v>木曜日</v>
      </c>
      <c r="BV24" s="539" t="str">
        <f t="shared" si="15"/>
        <v>金曜日</v>
      </c>
      <c r="BW24" s="539" t="str">
        <f t="shared" si="15"/>
        <v>土曜日</v>
      </c>
      <c r="BX24" s="539" t="str">
        <f t="shared" si="15"/>
        <v>日曜日</v>
      </c>
      <c r="BY24" s="539" t="str">
        <f t="shared" si="15"/>
        <v>月曜日</v>
      </c>
      <c r="BZ24" s="539" t="str">
        <f t="shared" si="15"/>
        <v>火曜日</v>
      </c>
      <c r="CA24" s="539" t="str">
        <f t="shared" si="15"/>
        <v>水曜日</v>
      </c>
      <c r="CB24" s="539" t="str">
        <f t="shared" si="15"/>
        <v>木曜日</v>
      </c>
      <c r="CC24" s="539" t="str">
        <f t="shared" si="15"/>
        <v>金曜日</v>
      </c>
      <c r="CD24" s="539" t="str">
        <f t="shared" si="15"/>
        <v>土曜日</v>
      </c>
      <c r="CE24" s="539" t="str">
        <f t="shared" si="15"/>
        <v>日曜日</v>
      </c>
      <c r="CF24" s="539" t="str">
        <f t="shared" si="15"/>
        <v>月曜日</v>
      </c>
      <c r="CG24" s="539" t="str">
        <f t="shared" si="15"/>
        <v>火曜日</v>
      </c>
      <c r="CH24" s="539" t="str">
        <f t="shared" si="15"/>
        <v>水曜日</v>
      </c>
      <c r="CI24" s="539" t="str">
        <f t="shared" si="15"/>
        <v>木曜日</v>
      </c>
      <c r="CJ24" s="539" t="str">
        <f t="shared" si="15"/>
        <v>金曜日</v>
      </c>
      <c r="CK24" s="539" t="str">
        <f t="shared" si="15"/>
        <v>土曜日</v>
      </c>
      <c r="CL24" s="539" t="str">
        <f t="shared" si="15"/>
        <v>日曜日</v>
      </c>
      <c r="CM24" s="539" t="str">
        <f t="shared" si="15"/>
        <v>月曜日</v>
      </c>
      <c r="CN24" s="539" t="str">
        <f t="shared" si="15"/>
        <v>火曜日</v>
      </c>
      <c r="CO24" s="539" t="str">
        <f t="shared" si="15"/>
        <v>水曜日</v>
      </c>
      <c r="CP24" s="539" t="str">
        <f t="shared" si="15"/>
        <v>木曜日</v>
      </c>
      <c r="CQ24" s="539" t="str">
        <f t="shared" si="15"/>
        <v>金曜日</v>
      </c>
      <c r="CR24" s="539" t="str">
        <f t="shared" si="15"/>
        <v>土曜日</v>
      </c>
      <c r="CS24" s="539" t="str">
        <f t="shared" si="15"/>
        <v>日曜日</v>
      </c>
      <c r="CT24" s="539" t="str">
        <f t="shared" si="15"/>
        <v>月曜日</v>
      </c>
      <c r="CU24" s="539" t="str">
        <f t="shared" si="15"/>
        <v>火曜日</v>
      </c>
      <c r="CV24" s="539" t="str">
        <f t="shared" si="15"/>
        <v>水曜日</v>
      </c>
      <c r="CW24" s="539" t="str">
        <f t="shared" si="15"/>
        <v>木曜日</v>
      </c>
      <c r="CX24" s="539" t="str">
        <f t="shared" si="15"/>
        <v>金曜日</v>
      </c>
      <c r="CY24" s="539" t="str">
        <f t="shared" si="15"/>
        <v>土曜日</v>
      </c>
      <c r="CZ24" s="539" t="str">
        <f t="shared" si="15"/>
        <v>日曜日</v>
      </c>
      <c r="DA24" s="539" t="str">
        <f t="shared" si="15"/>
        <v>月曜日</v>
      </c>
      <c r="DB24" s="539" t="str">
        <f t="shared" si="15"/>
        <v>火曜日</v>
      </c>
      <c r="DC24" s="539" t="str">
        <f t="shared" si="15"/>
        <v>水曜日</v>
      </c>
      <c r="DD24" s="539" t="str">
        <f t="shared" si="15"/>
        <v>木曜日</v>
      </c>
      <c r="DE24" s="539" t="str">
        <f t="shared" si="15"/>
        <v>金曜日</v>
      </c>
      <c r="DF24" s="539" t="str">
        <f t="shared" si="15"/>
        <v>土曜日</v>
      </c>
      <c r="DG24" s="539" t="str">
        <f t="shared" si="15"/>
        <v>日曜日</v>
      </c>
      <c r="DH24" s="539" t="str">
        <f t="shared" si="15"/>
        <v>月曜日</v>
      </c>
      <c r="DI24" s="539" t="str">
        <f t="shared" si="15"/>
        <v>火曜日</v>
      </c>
      <c r="DJ24" s="539" t="str">
        <f t="shared" si="15"/>
        <v>水曜日</v>
      </c>
      <c r="DK24" s="539" t="str">
        <f t="shared" si="15"/>
        <v>木曜日</v>
      </c>
      <c r="DL24" s="539" t="str">
        <f t="shared" si="15"/>
        <v>金曜日</v>
      </c>
      <c r="DM24" s="539" t="str">
        <f t="shared" si="15"/>
        <v>土曜日</v>
      </c>
      <c r="DN24" s="539" t="str">
        <f t="shared" si="15"/>
        <v>日曜日</v>
      </c>
      <c r="DO24" s="539" t="str">
        <f t="shared" si="15"/>
        <v>月曜日</v>
      </c>
      <c r="DP24" s="539" t="str">
        <f t="shared" si="15"/>
        <v>火曜日</v>
      </c>
      <c r="DQ24" s="539" t="str">
        <f t="shared" si="15"/>
        <v>水曜日</v>
      </c>
      <c r="DR24" s="539" t="str">
        <f t="shared" si="15"/>
        <v>木曜日</v>
      </c>
      <c r="DS24" s="539" t="str">
        <f t="shared" si="15"/>
        <v>金曜日</v>
      </c>
      <c r="DT24" s="539" t="str">
        <f t="shared" si="15"/>
        <v>土曜日</v>
      </c>
      <c r="DU24" s="539" t="str">
        <f t="shared" si="15"/>
        <v>日曜日</v>
      </c>
      <c r="DV24" s="539" t="str">
        <f t="shared" si="15"/>
        <v>月曜日</v>
      </c>
      <c r="DW24" s="539" t="str">
        <f t="shared" si="15"/>
        <v>火曜日</v>
      </c>
      <c r="DX24" s="539" t="str">
        <f t="shared" si="15"/>
        <v>水曜日</v>
      </c>
      <c r="DY24" s="539" t="str">
        <f t="shared" si="15"/>
        <v>木曜日</v>
      </c>
      <c r="DZ24" s="539" t="str">
        <f t="shared" si="15"/>
        <v>金曜日</v>
      </c>
      <c r="EA24" s="539" t="str">
        <f t="shared" si="15"/>
        <v>土曜日</v>
      </c>
      <c r="EB24" s="539" t="str">
        <f t="shared" si="15"/>
        <v>日曜日</v>
      </c>
      <c r="EC24" s="539" t="str">
        <f t="shared" si="15"/>
        <v>月曜日</v>
      </c>
      <c r="ED24" s="539" t="str">
        <f t="shared" si="15"/>
        <v>火曜日</v>
      </c>
      <c r="EE24" s="539" t="str">
        <f t="shared" ref="EE24:GF24" si="16">TEXT(EE23,"aaaa")</f>
        <v>水曜日</v>
      </c>
      <c r="EF24" s="539" t="str">
        <f t="shared" si="16"/>
        <v>木曜日</v>
      </c>
      <c r="EG24" s="539" t="str">
        <f t="shared" si="16"/>
        <v>金曜日</v>
      </c>
      <c r="EH24" s="539" t="str">
        <f t="shared" si="16"/>
        <v>土曜日</v>
      </c>
      <c r="EI24" s="539" t="str">
        <f t="shared" si="16"/>
        <v>日曜日</v>
      </c>
      <c r="EJ24" s="539" t="str">
        <f t="shared" si="16"/>
        <v>月曜日</v>
      </c>
      <c r="EK24" s="539" t="str">
        <f t="shared" si="16"/>
        <v>火曜日</v>
      </c>
      <c r="EL24" s="539" t="str">
        <f t="shared" si="16"/>
        <v>水曜日</v>
      </c>
      <c r="EM24" s="539" t="str">
        <f t="shared" si="16"/>
        <v>木曜日</v>
      </c>
      <c r="EN24" s="539" t="str">
        <f t="shared" si="16"/>
        <v>金曜日</v>
      </c>
      <c r="EO24" s="539" t="str">
        <f t="shared" si="16"/>
        <v>土曜日</v>
      </c>
      <c r="EP24" s="539" t="str">
        <f t="shared" si="16"/>
        <v>日曜日</v>
      </c>
      <c r="EQ24" s="539" t="str">
        <f t="shared" si="16"/>
        <v>月曜日</v>
      </c>
      <c r="ER24" s="539" t="str">
        <f t="shared" si="16"/>
        <v>火曜日</v>
      </c>
      <c r="ES24" s="539" t="str">
        <f t="shared" si="16"/>
        <v>水曜日</v>
      </c>
      <c r="ET24" s="539" t="str">
        <f t="shared" si="16"/>
        <v>木曜日</v>
      </c>
      <c r="EU24" s="539" t="str">
        <f t="shared" si="16"/>
        <v>金曜日</v>
      </c>
      <c r="EV24" s="539" t="str">
        <f t="shared" si="16"/>
        <v>土曜日</v>
      </c>
      <c r="EW24" s="539" t="str">
        <f t="shared" si="16"/>
        <v>日曜日</v>
      </c>
      <c r="EX24" s="539" t="str">
        <f t="shared" si="16"/>
        <v>月曜日</v>
      </c>
      <c r="EY24" s="539" t="str">
        <f t="shared" si="16"/>
        <v>火曜日</v>
      </c>
      <c r="EZ24" s="539" t="str">
        <f t="shared" si="16"/>
        <v>水曜日</v>
      </c>
      <c r="FA24" s="539" t="str">
        <f t="shared" si="16"/>
        <v>木曜日</v>
      </c>
      <c r="FB24" s="539" t="str">
        <f t="shared" si="16"/>
        <v>金曜日</v>
      </c>
      <c r="FC24" s="539" t="str">
        <f t="shared" si="16"/>
        <v>土曜日</v>
      </c>
      <c r="FD24" s="539" t="str">
        <f t="shared" si="16"/>
        <v>日曜日</v>
      </c>
      <c r="FE24" s="539" t="str">
        <f t="shared" si="16"/>
        <v>月曜日</v>
      </c>
      <c r="FF24" s="539" t="str">
        <f t="shared" si="16"/>
        <v>火曜日</v>
      </c>
      <c r="FG24" s="539" t="str">
        <f t="shared" si="16"/>
        <v>水曜日</v>
      </c>
      <c r="FH24" s="539" t="str">
        <f t="shared" si="16"/>
        <v>木曜日</v>
      </c>
      <c r="FI24" s="539" t="str">
        <f t="shared" si="16"/>
        <v>金曜日</v>
      </c>
      <c r="FJ24" s="539" t="str">
        <f t="shared" si="16"/>
        <v>土曜日</v>
      </c>
      <c r="FK24" s="539" t="str">
        <f t="shared" si="16"/>
        <v>日曜日</v>
      </c>
      <c r="FL24" s="539" t="str">
        <f t="shared" si="16"/>
        <v>月曜日</v>
      </c>
      <c r="FM24" s="539" t="str">
        <f t="shared" si="16"/>
        <v>火曜日</v>
      </c>
      <c r="FN24" s="539" t="str">
        <f t="shared" si="16"/>
        <v>水曜日</v>
      </c>
      <c r="FO24" s="539" t="str">
        <f t="shared" si="16"/>
        <v>木曜日</v>
      </c>
      <c r="FP24" s="539" t="str">
        <f t="shared" si="16"/>
        <v>金曜日</v>
      </c>
      <c r="FQ24" s="539" t="str">
        <f t="shared" si="16"/>
        <v>土曜日</v>
      </c>
      <c r="FR24" s="539" t="str">
        <f t="shared" si="16"/>
        <v>日曜日</v>
      </c>
      <c r="FS24" s="539" t="str">
        <f t="shared" si="16"/>
        <v>月曜日</v>
      </c>
      <c r="FT24" s="539" t="str">
        <f t="shared" si="16"/>
        <v>火曜日</v>
      </c>
      <c r="FU24" s="539" t="str">
        <f t="shared" si="16"/>
        <v>水曜日</v>
      </c>
      <c r="FV24" s="539" t="str">
        <f t="shared" si="16"/>
        <v>木曜日</v>
      </c>
      <c r="FW24" s="539" t="str">
        <f t="shared" si="16"/>
        <v>金曜日</v>
      </c>
      <c r="FX24" s="539" t="str">
        <f t="shared" si="16"/>
        <v>土曜日</v>
      </c>
      <c r="FY24" s="539" t="str">
        <f t="shared" si="16"/>
        <v>日曜日</v>
      </c>
      <c r="FZ24" s="539" t="str">
        <f t="shared" si="16"/>
        <v>月曜日</v>
      </c>
      <c r="GA24" s="539" t="str">
        <f t="shared" si="16"/>
        <v>火曜日</v>
      </c>
      <c r="GB24" s="539" t="str">
        <f t="shared" si="16"/>
        <v>水曜日</v>
      </c>
      <c r="GC24" s="539" t="str">
        <f t="shared" si="16"/>
        <v>木曜日</v>
      </c>
      <c r="GD24" s="539" t="str">
        <f t="shared" si="16"/>
        <v>金曜日</v>
      </c>
      <c r="GE24" s="539" t="str">
        <f t="shared" si="16"/>
        <v>土曜日</v>
      </c>
      <c r="GF24" s="539" t="str">
        <f t="shared" si="16"/>
        <v>日曜日</v>
      </c>
    </row>
    <row r="25" spans="1:189" s="537" customFormat="1" ht="10.5" thickBot="1" x14ac:dyDescent="0.45">
      <c r="A25" s="608"/>
      <c r="B25" s="1701"/>
      <c r="C25" s="1704"/>
      <c r="D25" s="1705"/>
      <c r="E25" s="1701"/>
      <c r="F25" s="2007">
        <f>VLOOKUP(F24,基礎情報!$B$22:$G$28,4,FALSE)</f>
        <v>0</v>
      </c>
      <c r="G25" s="2007">
        <f>VLOOKUP(G24,基礎情報!$B$22:$G$28,4,FALSE)</f>
        <v>0</v>
      </c>
      <c r="H25" s="2007">
        <f>VLOOKUP(H24,基礎情報!$B$22:$G$28,4,FALSE)</f>
        <v>0</v>
      </c>
      <c r="I25" s="2007">
        <f>VLOOKUP(I24,基礎情報!$B$22:$G$28,4,FALSE)</f>
        <v>0</v>
      </c>
      <c r="J25" s="2007">
        <f>VLOOKUP(J24,基礎情報!$B$22:$G$28,4,FALSE)</f>
        <v>0</v>
      </c>
      <c r="K25" s="2007">
        <f>VLOOKUP(K24,基礎情報!$B$22:$G$28,4,FALSE)</f>
        <v>0</v>
      </c>
      <c r="L25" s="2007">
        <f>VLOOKUP(L24,基礎情報!$B$22:$G$28,4,FALSE)</f>
        <v>0</v>
      </c>
      <c r="M25" s="2007">
        <f>VLOOKUP(M24,基礎情報!$B$22:$G$28,4,FALSE)</f>
        <v>0</v>
      </c>
      <c r="N25" s="2007">
        <f>VLOOKUP(N24,基礎情報!$B$22:$G$28,4,FALSE)</f>
        <v>0</v>
      </c>
      <c r="O25" s="2007">
        <f>VLOOKUP(O24,基礎情報!$B$22:$G$28,4,FALSE)</f>
        <v>0</v>
      </c>
      <c r="P25" s="2007">
        <f>VLOOKUP(P24,基礎情報!$B$22:$G$28,4,FALSE)</f>
        <v>0</v>
      </c>
      <c r="Q25" s="2007">
        <f>VLOOKUP(Q24,基礎情報!$B$22:$G$28,4,FALSE)</f>
        <v>0</v>
      </c>
      <c r="R25" s="2007">
        <f>VLOOKUP(R24,基礎情報!$B$22:$G$28,4,FALSE)</f>
        <v>0</v>
      </c>
      <c r="S25" s="2007">
        <f>VLOOKUP(S24,基礎情報!$B$22:$G$28,4,FALSE)</f>
        <v>0</v>
      </c>
      <c r="T25" s="2007">
        <f>VLOOKUP(T24,基礎情報!$B$22:$G$28,4,FALSE)</f>
        <v>0</v>
      </c>
      <c r="U25" s="2007">
        <f>VLOOKUP(U24,基礎情報!$B$22:$G$28,4,FALSE)</f>
        <v>0</v>
      </c>
      <c r="V25" s="2007">
        <f>VLOOKUP(V24,基礎情報!$B$22:$G$28,4,FALSE)</f>
        <v>0</v>
      </c>
      <c r="W25" s="2007">
        <f>VLOOKUP(W24,基礎情報!$B$22:$G$28,4,FALSE)</f>
        <v>0</v>
      </c>
      <c r="X25" s="2007">
        <f>VLOOKUP(X24,基礎情報!$B$22:$G$28,4,FALSE)</f>
        <v>0</v>
      </c>
      <c r="Y25" s="2007">
        <f>VLOOKUP(Y24,基礎情報!$B$22:$G$28,4,FALSE)</f>
        <v>0</v>
      </c>
      <c r="Z25" s="2007">
        <f>VLOOKUP(Z24,基礎情報!$B$22:$G$28,4,FALSE)</f>
        <v>0</v>
      </c>
      <c r="AA25" s="2007">
        <f>VLOOKUP(AA24,基礎情報!$B$22:$G$28,4,FALSE)</f>
        <v>0</v>
      </c>
      <c r="AB25" s="2007">
        <f>VLOOKUP(AB24,基礎情報!$B$22:$G$28,4,FALSE)</f>
        <v>0</v>
      </c>
      <c r="AC25" s="2007">
        <f>VLOOKUP(AC24,基礎情報!$B$22:$G$28,4,FALSE)</f>
        <v>0</v>
      </c>
      <c r="AD25" s="2007">
        <f>VLOOKUP(AD24,基礎情報!$B$22:$G$28,4,FALSE)</f>
        <v>0</v>
      </c>
      <c r="AE25" s="2007">
        <f>VLOOKUP(AE24,基礎情報!$B$22:$G$28,4,FALSE)</f>
        <v>0</v>
      </c>
      <c r="AF25" s="2007">
        <f>VLOOKUP(AF24,基礎情報!$B$22:$G$28,4,FALSE)</f>
        <v>0</v>
      </c>
      <c r="AG25" s="2007">
        <f>VLOOKUP(AG24,基礎情報!$B$22:$G$28,4,FALSE)</f>
        <v>0</v>
      </c>
      <c r="AH25" s="2007">
        <f>VLOOKUP(AH24,基礎情報!$B$22:$G$28,4,FALSE)</f>
        <v>0</v>
      </c>
      <c r="AI25" s="2007">
        <f>VLOOKUP(AI24,基礎情報!$B$22:$G$28,4,FALSE)</f>
        <v>0</v>
      </c>
      <c r="AJ25" s="2007">
        <f>VLOOKUP(AJ24,基礎情報!$B$22:$G$28,4,FALSE)</f>
        <v>0</v>
      </c>
      <c r="AK25" s="2007">
        <f>VLOOKUP(AK24,基礎情報!$B$22:$G$28,4,FALSE)</f>
        <v>0</v>
      </c>
      <c r="AL25" s="2007">
        <f>VLOOKUP(AL24,基礎情報!$B$22:$G$28,4,FALSE)</f>
        <v>0</v>
      </c>
      <c r="AM25" s="2007">
        <f>VLOOKUP(AM24,基礎情報!$B$22:$G$28,4,FALSE)</f>
        <v>0</v>
      </c>
      <c r="AN25" s="2007">
        <f>VLOOKUP(AN24,基礎情報!$B$22:$G$28,4,FALSE)</f>
        <v>0</v>
      </c>
      <c r="AO25" s="2007">
        <f>VLOOKUP(AO24,基礎情報!$B$22:$G$28,4,FALSE)</f>
        <v>0</v>
      </c>
      <c r="AP25" s="2007">
        <f>VLOOKUP(AP24,基礎情報!$B$22:$G$28,4,FALSE)</f>
        <v>0</v>
      </c>
      <c r="AQ25" s="2007">
        <f>VLOOKUP(AQ24,基礎情報!$B$22:$G$28,4,FALSE)</f>
        <v>0</v>
      </c>
      <c r="AR25" s="2007">
        <f>VLOOKUP(AR24,基礎情報!$B$22:$G$28,4,FALSE)</f>
        <v>0</v>
      </c>
      <c r="AS25" s="2007">
        <f>VLOOKUP(AS24,基礎情報!$B$22:$G$28,4,FALSE)</f>
        <v>0</v>
      </c>
      <c r="AT25" s="2007">
        <f>VLOOKUP(AT24,基礎情報!$B$22:$G$28,4,FALSE)</f>
        <v>0</v>
      </c>
      <c r="AU25" s="2007">
        <f>VLOOKUP(AU24,基礎情報!$B$22:$G$28,4,FALSE)</f>
        <v>0</v>
      </c>
      <c r="AV25" s="2007">
        <f>VLOOKUP(AV24,基礎情報!$B$22:$G$28,4,FALSE)</f>
        <v>0</v>
      </c>
      <c r="AW25" s="2007">
        <f>VLOOKUP(AW24,基礎情報!$B$22:$G$28,4,FALSE)</f>
        <v>0</v>
      </c>
      <c r="AX25" s="2007">
        <f>VLOOKUP(AX24,基礎情報!$B$22:$G$28,4,FALSE)</f>
        <v>0</v>
      </c>
      <c r="AY25" s="2007">
        <f>VLOOKUP(AY24,基礎情報!$B$22:$G$28,4,FALSE)</f>
        <v>0</v>
      </c>
      <c r="AZ25" s="2007">
        <f>VLOOKUP(AZ24,基礎情報!$B$22:$G$28,4,FALSE)</f>
        <v>0</v>
      </c>
      <c r="BA25" s="2007">
        <f>VLOOKUP(BA24,基礎情報!$B$22:$G$28,4,FALSE)</f>
        <v>0</v>
      </c>
      <c r="BB25" s="2007">
        <f>VLOOKUP(BB24,基礎情報!$B$22:$G$28,4,FALSE)</f>
        <v>0</v>
      </c>
      <c r="BC25" s="2007">
        <f>VLOOKUP(BC24,基礎情報!$B$22:$G$28,4,FALSE)</f>
        <v>0</v>
      </c>
      <c r="BD25" s="2007">
        <f>VLOOKUP(BD24,基礎情報!$B$22:$G$28,4,FALSE)</f>
        <v>0</v>
      </c>
      <c r="BE25" s="2007">
        <f>VLOOKUP(BE24,基礎情報!$B$22:$G$28,4,FALSE)</f>
        <v>0</v>
      </c>
      <c r="BF25" s="2007">
        <f>VLOOKUP(BF24,基礎情報!$B$22:$G$28,4,FALSE)</f>
        <v>0</v>
      </c>
      <c r="BG25" s="2007">
        <f>VLOOKUP(BG24,基礎情報!$B$22:$G$28,4,FALSE)</f>
        <v>0</v>
      </c>
      <c r="BH25" s="2007">
        <f>VLOOKUP(BH24,基礎情報!$B$22:$G$28,4,FALSE)</f>
        <v>0</v>
      </c>
      <c r="BI25" s="2007">
        <f>VLOOKUP(BI24,基礎情報!$B$22:$G$28,4,FALSE)</f>
        <v>0</v>
      </c>
      <c r="BJ25" s="2007">
        <f>VLOOKUP(BJ24,基礎情報!$B$22:$G$28,4,FALSE)</f>
        <v>0</v>
      </c>
      <c r="BK25" s="2007">
        <f>VLOOKUP(BK24,基礎情報!$B$22:$G$28,4,FALSE)</f>
        <v>0</v>
      </c>
      <c r="BL25" s="2007">
        <f>VLOOKUP(BL24,基礎情報!$B$22:$G$28,4,FALSE)</f>
        <v>0</v>
      </c>
      <c r="BM25" s="2007">
        <f>VLOOKUP(BM24,基礎情報!$B$22:$G$28,4,FALSE)</f>
        <v>0</v>
      </c>
      <c r="BN25" s="2007">
        <f>VLOOKUP(BN24,基礎情報!$B$22:$G$28,4,FALSE)</f>
        <v>0</v>
      </c>
      <c r="BO25" s="2007">
        <f>VLOOKUP(BO24,基礎情報!$B$22:$G$28,4,FALSE)</f>
        <v>0</v>
      </c>
      <c r="BP25" s="2007">
        <f>VLOOKUP(BP24,基礎情報!$B$22:$G$28,4,FALSE)</f>
        <v>0</v>
      </c>
      <c r="BQ25" s="2007">
        <f>VLOOKUP(BQ24,基礎情報!$B$22:$G$28,4,FALSE)</f>
        <v>0</v>
      </c>
      <c r="BR25" s="2007">
        <f>VLOOKUP(BR24,基礎情報!$B$22:$G$28,4,FALSE)</f>
        <v>0</v>
      </c>
      <c r="BS25" s="2007">
        <f>VLOOKUP(BS24,基礎情報!$B$22:$G$28,4,FALSE)</f>
        <v>0</v>
      </c>
      <c r="BT25" s="2007">
        <f>VLOOKUP(BT24,基礎情報!$B$22:$G$28,4,FALSE)</f>
        <v>0</v>
      </c>
      <c r="BU25" s="2007">
        <f>VLOOKUP(BU24,基礎情報!$B$22:$G$28,4,FALSE)</f>
        <v>0</v>
      </c>
      <c r="BV25" s="2007">
        <f>VLOOKUP(BV24,基礎情報!$B$22:$G$28,4,FALSE)</f>
        <v>0</v>
      </c>
      <c r="BW25" s="2007">
        <f>VLOOKUP(BW24,基礎情報!$B$22:$G$28,4,FALSE)</f>
        <v>0</v>
      </c>
      <c r="BX25" s="2007">
        <f>VLOOKUP(BX24,基礎情報!$B$22:$G$28,4,FALSE)</f>
        <v>0</v>
      </c>
      <c r="BY25" s="2007">
        <f>VLOOKUP(BY24,基礎情報!$B$22:$G$28,4,FALSE)</f>
        <v>0</v>
      </c>
      <c r="BZ25" s="2007">
        <f>VLOOKUP(BZ24,基礎情報!$B$22:$G$28,4,FALSE)</f>
        <v>0</v>
      </c>
      <c r="CA25" s="2007">
        <f>VLOOKUP(CA24,基礎情報!$B$22:$G$28,4,FALSE)</f>
        <v>0</v>
      </c>
      <c r="CB25" s="2007">
        <f>VLOOKUP(CB24,基礎情報!$B$22:$G$28,4,FALSE)</f>
        <v>0</v>
      </c>
      <c r="CC25" s="2007">
        <f>VLOOKUP(CC24,基礎情報!$B$22:$G$28,4,FALSE)</f>
        <v>0</v>
      </c>
      <c r="CD25" s="2007">
        <f>VLOOKUP(CD24,基礎情報!$B$22:$G$28,4,FALSE)</f>
        <v>0</v>
      </c>
      <c r="CE25" s="2007">
        <f>VLOOKUP(CE24,基礎情報!$B$22:$G$28,4,FALSE)</f>
        <v>0</v>
      </c>
      <c r="CF25" s="2007">
        <f>VLOOKUP(CF24,基礎情報!$B$22:$G$28,4,FALSE)</f>
        <v>0</v>
      </c>
      <c r="CG25" s="2007">
        <f>VLOOKUP(CG24,基礎情報!$B$22:$G$28,4,FALSE)</f>
        <v>0</v>
      </c>
      <c r="CH25" s="2007">
        <f>VLOOKUP(CH24,基礎情報!$B$22:$G$28,4,FALSE)</f>
        <v>0</v>
      </c>
      <c r="CI25" s="2007">
        <f>VLOOKUP(CI24,基礎情報!$B$22:$G$28,4,FALSE)</f>
        <v>0</v>
      </c>
      <c r="CJ25" s="2007">
        <f>VLOOKUP(CJ24,基礎情報!$B$22:$G$28,4,FALSE)</f>
        <v>0</v>
      </c>
      <c r="CK25" s="2007">
        <f>VLOOKUP(CK24,基礎情報!$B$22:$G$28,4,FALSE)</f>
        <v>0</v>
      </c>
      <c r="CL25" s="2007">
        <f>VLOOKUP(CL24,基礎情報!$B$22:$G$28,4,FALSE)</f>
        <v>0</v>
      </c>
      <c r="CM25" s="2007">
        <f>VLOOKUP(CM24,基礎情報!$B$22:$G$28,4,FALSE)</f>
        <v>0</v>
      </c>
      <c r="CN25" s="2007">
        <f>VLOOKUP(CN24,基礎情報!$B$22:$G$28,4,FALSE)</f>
        <v>0</v>
      </c>
      <c r="CO25" s="2007">
        <f>VLOOKUP(CO24,基礎情報!$B$22:$G$28,4,FALSE)</f>
        <v>0</v>
      </c>
      <c r="CP25" s="2007">
        <f>VLOOKUP(CP24,基礎情報!$B$22:$G$28,4,FALSE)</f>
        <v>0</v>
      </c>
      <c r="CQ25" s="2007">
        <f>VLOOKUP(CQ24,基礎情報!$B$22:$G$28,4,FALSE)</f>
        <v>0</v>
      </c>
      <c r="CR25" s="2007">
        <f>VLOOKUP(CR24,基礎情報!$B$22:$G$28,4,FALSE)</f>
        <v>0</v>
      </c>
      <c r="CS25" s="2007">
        <f>VLOOKUP(CS24,基礎情報!$B$22:$G$28,4,FALSE)</f>
        <v>0</v>
      </c>
      <c r="CT25" s="2007">
        <f>VLOOKUP(CT24,基礎情報!$B$22:$G$28,4,FALSE)</f>
        <v>0</v>
      </c>
      <c r="CU25" s="2007">
        <f>VLOOKUP(CU24,基礎情報!$B$22:$G$28,4,FALSE)</f>
        <v>0</v>
      </c>
      <c r="CV25" s="2007">
        <f>VLOOKUP(CV24,基礎情報!$B$22:$G$28,4,FALSE)</f>
        <v>0</v>
      </c>
      <c r="CW25" s="2007">
        <f>VLOOKUP(CW24,基礎情報!$B$22:$G$28,4,FALSE)</f>
        <v>0</v>
      </c>
      <c r="CX25" s="2007">
        <f>VLOOKUP(CX24,基礎情報!$B$22:$G$28,4,FALSE)</f>
        <v>0</v>
      </c>
      <c r="CY25" s="2007">
        <f>VLOOKUP(CY24,基礎情報!$B$22:$G$28,4,FALSE)</f>
        <v>0</v>
      </c>
      <c r="CZ25" s="2007">
        <f>VLOOKUP(CZ24,基礎情報!$B$22:$G$28,4,FALSE)</f>
        <v>0</v>
      </c>
      <c r="DA25" s="2007">
        <f>VLOOKUP(DA24,基礎情報!$B$22:$G$28,4,FALSE)</f>
        <v>0</v>
      </c>
      <c r="DB25" s="2007">
        <f>VLOOKUP(DB24,基礎情報!$B$22:$G$28,4,FALSE)</f>
        <v>0</v>
      </c>
      <c r="DC25" s="2007">
        <f>VLOOKUP(DC24,基礎情報!$B$22:$G$28,4,FALSE)</f>
        <v>0</v>
      </c>
      <c r="DD25" s="2007">
        <f>VLOOKUP(DD24,基礎情報!$B$22:$G$28,4,FALSE)</f>
        <v>0</v>
      </c>
      <c r="DE25" s="2007">
        <f>VLOOKUP(DE24,基礎情報!$B$22:$G$28,4,FALSE)</f>
        <v>0</v>
      </c>
      <c r="DF25" s="2007">
        <f>VLOOKUP(DF24,基礎情報!$B$22:$G$28,4,FALSE)</f>
        <v>0</v>
      </c>
      <c r="DG25" s="2007">
        <f>VLOOKUP(DG24,基礎情報!$B$22:$G$28,4,FALSE)</f>
        <v>0</v>
      </c>
      <c r="DH25" s="2007">
        <f>VLOOKUP(DH24,基礎情報!$B$22:$G$28,4,FALSE)</f>
        <v>0</v>
      </c>
      <c r="DI25" s="2007">
        <f>VLOOKUP(DI24,基礎情報!$B$22:$G$28,4,FALSE)</f>
        <v>0</v>
      </c>
      <c r="DJ25" s="2007">
        <f>VLOOKUP(DJ24,基礎情報!$B$22:$G$28,4,FALSE)</f>
        <v>0</v>
      </c>
      <c r="DK25" s="2007">
        <f>VLOOKUP(DK24,基礎情報!$B$22:$G$28,4,FALSE)</f>
        <v>0</v>
      </c>
      <c r="DL25" s="2007">
        <f>VLOOKUP(DL24,基礎情報!$B$22:$G$28,4,FALSE)</f>
        <v>0</v>
      </c>
      <c r="DM25" s="2007">
        <f>VLOOKUP(DM24,基礎情報!$B$22:$G$28,4,FALSE)</f>
        <v>0</v>
      </c>
      <c r="DN25" s="2007">
        <f>VLOOKUP(DN24,基礎情報!$B$22:$G$28,4,FALSE)</f>
        <v>0</v>
      </c>
      <c r="DO25" s="2007">
        <f>VLOOKUP(DO24,基礎情報!$B$22:$G$28,4,FALSE)</f>
        <v>0</v>
      </c>
      <c r="DP25" s="2007">
        <f>VLOOKUP(DP24,基礎情報!$B$22:$G$28,4,FALSE)</f>
        <v>0</v>
      </c>
      <c r="DQ25" s="2007">
        <f>VLOOKUP(DQ24,基礎情報!$B$22:$G$28,4,FALSE)</f>
        <v>0</v>
      </c>
      <c r="DR25" s="2007">
        <f>VLOOKUP(DR24,基礎情報!$B$22:$G$28,4,FALSE)</f>
        <v>0</v>
      </c>
      <c r="DS25" s="2007">
        <f>VLOOKUP(DS24,基礎情報!$B$22:$G$28,4,FALSE)</f>
        <v>0</v>
      </c>
      <c r="DT25" s="2007">
        <f>VLOOKUP(DT24,基礎情報!$B$22:$G$28,4,FALSE)</f>
        <v>0</v>
      </c>
      <c r="DU25" s="2007">
        <f>VLOOKUP(DU24,基礎情報!$B$22:$G$28,4,FALSE)</f>
        <v>0</v>
      </c>
      <c r="DV25" s="2007">
        <f>VLOOKUP(DV24,基礎情報!$B$22:$G$28,4,FALSE)</f>
        <v>0</v>
      </c>
      <c r="DW25" s="2007">
        <f>VLOOKUP(DW24,基礎情報!$B$22:$G$28,4,FALSE)</f>
        <v>0</v>
      </c>
      <c r="DX25" s="2007">
        <f>VLOOKUP(DX24,基礎情報!$B$22:$G$28,4,FALSE)</f>
        <v>0</v>
      </c>
      <c r="DY25" s="2007">
        <f>VLOOKUP(DY24,基礎情報!$B$22:$G$28,4,FALSE)</f>
        <v>0</v>
      </c>
      <c r="DZ25" s="2007">
        <f>VLOOKUP(DZ24,基礎情報!$B$22:$G$28,4,FALSE)</f>
        <v>0</v>
      </c>
      <c r="EA25" s="2007">
        <f>VLOOKUP(EA24,基礎情報!$B$22:$G$28,4,FALSE)</f>
        <v>0</v>
      </c>
      <c r="EB25" s="2007">
        <f>VLOOKUP(EB24,基礎情報!$B$22:$G$28,4,FALSE)</f>
        <v>0</v>
      </c>
      <c r="EC25" s="2007">
        <f>VLOOKUP(EC24,基礎情報!$B$22:$G$28,4,FALSE)</f>
        <v>0</v>
      </c>
      <c r="ED25" s="2007">
        <f>VLOOKUP(ED24,基礎情報!$B$22:$G$28,4,FALSE)</f>
        <v>0</v>
      </c>
      <c r="EE25" s="2007">
        <f>VLOOKUP(EE24,基礎情報!$B$22:$G$28,4,FALSE)</f>
        <v>0</v>
      </c>
      <c r="EF25" s="2007">
        <f>VLOOKUP(EF24,基礎情報!$B$22:$G$28,4,FALSE)</f>
        <v>0</v>
      </c>
      <c r="EG25" s="2007">
        <f>VLOOKUP(EG24,基礎情報!$B$22:$G$28,4,FALSE)</f>
        <v>0</v>
      </c>
      <c r="EH25" s="2007">
        <f>VLOOKUP(EH24,基礎情報!$B$22:$G$28,4,FALSE)</f>
        <v>0</v>
      </c>
      <c r="EI25" s="2007">
        <f>VLOOKUP(EI24,基礎情報!$B$22:$G$28,4,FALSE)</f>
        <v>0</v>
      </c>
      <c r="EJ25" s="2007">
        <f>VLOOKUP(EJ24,基礎情報!$B$22:$G$28,4,FALSE)</f>
        <v>0</v>
      </c>
      <c r="EK25" s="2007">
        <f>VLOOKUP(EK24,基礎情報!$B$22:$G$28,4,FALSE)</f>
        <v>0</v>
      </c>
      <c r="EL25" s="2007">
        <f>VLOOKUP(EL24,基礎情報!$B$22:$G$28,4,FALSE)</f>
        <v>0</v>
      </c>
      <c r="EM25" s="2007">
        <f>VLOOKUP(EM24,基礎情報!$B$22:$G$28,4,FALSE)</f>
        <v>0</v>
      </c>
      <c r="EN25" s="2007">
        <f>VLOOKUP(EN24,基礎情報!$B$22:$G$28,4,FALSE)</f>
        <v>0</v>
      </c>
      <c r="EO25" s="2007">
        <f>VLOOKUP(EO24,基礎情報!$B$22:$G$28,4,FALSE)</f>
        <v>0</v>
      </c>
      <c r="EP25" s="2007">
        <f>VLOOKUP(EP24,基礎情報!$B$22:$G$28,4,FALSE)</f>
        <v>0</v>
      </c>
      <c r="EQ25" s="2007">
        <f>VLOOKUP(EQ24,基礎情報!$B$22:$G$28,4,FALSE)</f>
        <v>0</v>
      </c>
      <c r="ER25" s="2007">
        <f>VLOOKUP(ER24,基礎情報!$B$22:$G$28,4,FALSE)</f>
        <v>0</v>
      </c>
      <c r="ES25" s="2007">
        <f>VLOOKUP(ES24,基礎情報!$B$22:$G$28,4,FALSE)</f>
        <v>0</v>
      </c>
      <c r="ET25" s="2007">
        <f>VLOOKUP(ET24,基礎情報!$B$22:$G$28,4,FALSE)</f>
        <v>0</v>
      </c>
      <c r="EU25" s="2007">
        <f>VLOOKUP(EU24,基礎情報!$B$22:$G$28,4,FALSE)</f>
        <v>0</v>
      </c>
      <c r="EV25" s="2007">
        <f>VLOOKUP(EV24,基礎情報!$B$22:$G$28,4,FALSE)</f>
        <v>0</v>
      </c>
      <c r="EW25" s="2007">
        <f>VLOOKUP(EW24,基礎情報!$B$22:$G$28,4,FALSE)</f>
        <v>0</v>
      </c>
      <c r="EX25" s="2007">
        <f>VLOOKUP(EX24,基礎情報!$B$22:$G$28,4,FALSE)</f>
        <v>0</v>
      </c>
      <c r="EY25" s="2007">
        <f>VLOOKUP(EY24,基礎情報!$B$22:$G$28,4,FALSE)</f>
        <v>0</v>
      </c>
      <c r="EZ25" s="2007">
        <f>VLOOKUP(EZ24,基礎情報!$B$22:$G$28,4,FALSE)</f>
        <v>0</v>
      </c>
      <c r="FA25" s="2007">
        <f>VLOOKUP(FA24,基礎情報!$B$22:$G$28,4,FALSE)</f>
        <v>0</v>
      </c>
      <c r="FB25" s="2007">
        <f>VLOOKUP(FB24,基礎情報!$B$22:$G$28,4,FALSE)</f>
        <v>0</v>
      </c>
      <c r="FC25" s="2007">
        <f>VLOOKUP(FC24,基礎情報!$B$22:$G$28,4,FALSE)</f>
        <v>0</v>
      </c>
      <c r="FD25" s="2007">
        <f>VLOOKUP(FD24,基礎情報!$B$22:$G$28,4,FALSE)</f>
        <v>0</v>
      </c>
      <c r="FE25" s="2007">
        <f>VLOOKUP(FE24,基礎情報!$B$22:$G$28,4,FALSE)</f>
        <v>0</v>
      </c>
      <c r="FF25" s="2007">
        <f>VLOOKUP(FF24,基礎情報!$B$22:$G$28,4,FALSE)</f>
        <v>0</v>
      </c>
      <c r="FG25" s="2007">
        <f>VLOOKUP(FG24,基礎情報!$B$22:$G$28,4,FALSE)</f>
        <v>0</v>
      </c>
      <c r="FH25" s="2007">
        <f>VLOOKUP(FH24,基礎情報!$B$22:$G$28,4,FALSE)</f>
        <v>0</v>
      </c>
      <c r="FI25" s="2007">
        <f>VLOOKUP(FI24,基礎情報!$B$22:$G$28,4,FALSE)</f>
        <v>0</v>
      </c>
      <c r="FJ25" s="2007">
        <f>VLOOKUP(FJ24,基礎情報!$B$22:$G$28,4,FALSE)</f>
        <v>0</v>
      </c>
      <c r="FK25" s="2007">
        <f>VLOOKUP(FK24,基礎情報!$B$22:$G$28,4,FALSE)</f>
        <v>0</v>
      </c>
      <c r="FL25" s="2007">
        <f>VLOOKUP(FL24,基礎情報!$B$22:$G$28,4,FALSE)</f>
        <v>0</v>
      </c>
      <c r="FM25" s="2007">
        <f>VLOOKUP(FM24,基礎情報!$B$22:$G$28,4,FALSE)</f>
        <v>0</v>
      </c>
      <c r="FN25" s="2007">
        <f>VLOOKUP(FN24,基礎情報!$B$22:$G$28,4,FALSE)</f>
        <v>0</v>
      </c>
      <c r="FO25" s="2007">
        <f>VLOOKUP(FO24,基礎情報!$B$22:$G$28,4,FALSE)</f>
        <v>0</v>
      </c>
      <c r="FP25" s="2007">
        <f>VLOOKUP(FP24,基礎情報!$B$22:$G$28,4,FALSE)</f>
        <v>0</v>
      </c>
      <c r="FQ25" s="2007">
        <f>VLOOKUP(FQ24,基礎情報!$B$22:$G$28,4,FALSE)</f>
        <v>0</v>
      </c>
      <c r="FR25" s="2007">
        <f>VLOOKUP(FR24,基礎情報!$B$22:$G$28,4,FALSE)</f>
        <v>0</v>
      </c>
      <c r="FS25" s="2007">
        <f>VLOOKUP(FS24,基礎情報!$B$22:$G$28,4,FALSE)</f>
        <v>0</v>
      </c>
      <c r="FT25" s="2007">
        <f>VLOOKUP(FT24,基礎情報!$B$22:$G$28,4,FALSE)</f>
        <v>0</v>
      </c>
      <c r="FU25" s="2007">
        <f>VLOOKUP(FU24,基礎情報!$B$22:$G$28,4,FALSE)</f>
        <v>0</v>
      </c>
      <c r="FV25" s="2007">
        <f>VLOOKUP(FV24,基礎情報!$B$22:$G$28,4,FALSE)</f>
        <v>0</v>
      </c>
      <c r="FW25" s="2007">
        <f>VLOOKUP(FW24,基礎情報!$B$22:$G$28,4,FALSE)</f>
        <v>0</v>
      </c>
      <c r="FX25" s="2007">
        <f>VLOOKUP(FX24,基礎情報!$B$22:$G$28,4,FALSE)</f>
        <v>0</v>
      </c>
      <c r="FY25" s="2007">
        <f>VLOOKUP(FY24,基礎情報!$B$22:$G$28,4,FALSE)</f>
        <v>0</v>
      </c>
      <c r="FZ25" s="2007">
        <f>VLOOKUP(FZ24,基礎情報!$B$22:$G$28,4,FALSE)</f>
        <v>0</v>
      </c>
      <c r="GA25" s="2007">
        <f>VLOOKUP(GA24,基礎情報!$B$22:$G$28,4,FALSE)</f>
        <v>0</v>
      </c>
      <c r="GB25" s="2007">
        <f>VLOOKUP(GB24,基礎情報!$B$22:$G$28,4,FALSE)</f>
        <v>0</v>
      </c>
      <c r="GC25" s="2007">
        <f>VLOOKUP(GC24,基礎情報!$B$22:$G$28,4,FALSE)</f>
        <v>0</v>
      </c>
      <c r="GD25" s="2007">
        <f>VLOOKUP(GD24,基礎情報!$B$22:$G$28,4,FALSE)</f>
        <v>0</v>
      </c>
      <c r="GE25" s="2007">
        <f>VLOOKUP(GE24,基礎情報!$B$22:$G$28,4,FALSE)</f>
        <v>0</v>
      </c>
      <c r="GF25" s="2007">
        <f>VLOOKUP(GF24,基礎情報!$B$22:$G$28,4,FALSE)</f>
        <v>0</v>
      </c>
    </row>
    <row r="26" spans="1:189" s="630" customFormat="1" ht="18" x14ac:dyDescent="0.4">
      <c r="A26" s="2001"/>
      <c r="B26" s="2011" t="s">
        <v>1334</v>
      </c>
      <c r="C26" s="2012"/>
      <c r="D26" s="2013"/>
      <c r="E26" s="2014"/>
      <c r="F26" s="2015">
        <v>0</v>
      </c>
      <c r="G26" s="2015">
        <v>0</v>
      </c>
      <c r="H26" s="2015">
        <v>0</v>
      </c>
      <c r="I26" s="2015">
        <v>0</v>
      </c>
      <c r="J26" s="2015">
        <v>0</v>
      </c>
      <c r="K26" s="2015">
        <v>0</v>
      </c>
      <c r="L26" s="2015">
        <v>0</v>
      </c>
      <c r="M26" s="2015">
        <v>0</v>
      </c>
      <c r="N26" s="2015">
        <v>0</v>
      </c>
      <c r="O26" s="2015">
        <v>0</v>
      </c>
      <c r="P26" s="2015">
        <v>0</v>
      </c>
      <c r="Q26" s="2015">
        <v>0</v>
      </c>
      <c r="R26" s="2015">
        <v>0</v>
      </c>
      <c r="S26" s="2015">
        <v>0</v>
      </c>
      <c r="T26" s="2015">
        <v>0</v>
      </c>
      <c r="U26" s="2015">
        <v>0</v>
      </c>
      <c r="V26" s="2015">
        <v>0</v>
      </c>
      <c r="W26" s="2015">
        <v>0</v>
      </c>
      <c r="X26" s="2015">
        <v>0</v>
      </c>
      <c r="Y26" s="2015">
        <v>0</v>
      </c>
      <c r="Z26" s="2015">
        <v>0</v>
      </c>
      <c r="AA26" s="2015">
        <v>0</v>
      </c>
      <c r="AB26" s="2015">
        <v>0</v>
      </c>
      <c r="AC26" s="2015">
        <v>0</v>
      </c>
      <c r="AD26" s="2015">
        <v>0</v>
      </c>
      <c r="AE26" s="2015">
        <v>0</v>
      </c>
      <c r="AF26" s="2015">
        <v>0</v>
      </c>
      <c r="AG26" s="2015">
        <v>0</v>
      </c>
      <c r="AH26" s="2015">
        <v>0</v>
      </c>
      <c r="AI26" s="2015">
        <v>0</v>
      </c>
      <c r="AJ26" s="2015">
        <v>0</v>
      </c>
      <c r="AK26" s="2015">
        <v>0</v>
      </c>
      <c r="AL26" s="2015">
        <v>0</v>
      </c>
      <c r="AM26" s="2015">
        <v>0</v>
      </c>
      <c r="AN26" s="2015">
        <v>0</v>
      </c>
      <c r="AO26" s="2015">
        <v>0</v>
      </c>
      <c r="AP26" s="2015">
        <v>0</v>
      </c>
      <c r="AQ26" s="2015">
        <v>0</v>
      </c>
      <c r="AR26" s="2015">
        <v>0</v>
      </c>
      <c r="AS26" s="2015">
        <v>0</v>
      </c>
      <c r="AT26" s="2015">
        <v>0</v>
      </c>
      <c r="AU26" s="2015">
        <v>0</v>
      </c>
      <c r="AV26" s="2015">
        <v>0</v>
      </c>
      <c r="AW26" s="2015">
        <v>0</v>
      </c>
      <c r="AX26" s="2015">
        <v>0</v>
      </c>
      <c r="AY26" s="2015">
        <v>0</v>
      </c>
      <c r="AZ26" s="2015">
        <v>0</v>
      </c>
      <c r="BA26" s="2015">
        <v>0</v>
      </c>
      <c r="BB26" s="2015">
        <v>0</v>
      </c>
      <c r="BC26" s="2015">
        <v>0</v>
      </c>
      <c r="BD26" s="2015">
        <v>0</v>
      </c>
      <c r="BE26" s="2015">
        <v>0</v>
      </c>
      <c r="BF26" s="2015">
        <v>0</v>
      </c>
      <c r="BG26" s="2015">
        <v>0</v>
      </c>
      <c r="BH26" s="2015">
        <v>0</v>
      </c>
      <c r="BI26" s="2015">
        <v>0</v>
      </c>
      <c r="BJ26" s="2015">
        <v>0</v>
      </c>
      <c r="BK26" s="2015">
        <v>0</v>
      </c>
      <c r="BL26" s="2015">
        <v>0</v>
      </c>
      <c r="BM26" s="2015">
        <v>0</v>
      </c>
      <c r="BN26" s="2015">
        <v>0</v>
      </c>
      <c r="BO26" s="2015">
        <v>0</v>
      </c>
      <c r="BP26" s="2015">
        <v>0</v>
      </c>
      <c r="BQ26" s="2015">
        <v>0</v>
      </c>
      <c r="BR26" s="2015">
        <v>0</v>
      </c>
      <c r="BS26" s="2015">
        <v>0</v>
      </c>
      <c r="BT26" s="2015">
        <v>0</v>
      </c>
      <c r="BU26" s="2015">
        <v>0</v>
      </c>
      <c r="BV26" s="2015">
        <v>0</v>
      </c>
      <c r="BW26" s="2015">
        <v>0</v>
      </c>
      <c r="BX26" s="2015">
        <v>0</v>
      </c>
      <c r="BY26" s="2015">
        <v>0</v>
      </c>
      <c r="BZ26" s="2015">
        <v>0</v>
      </c>
      <c r="CA26" s="2015">
        <v>0</v>
      </c>
      <c r="CB26" s="2015">
        <v>0</v>
      </c>
      <c r="CC26" s="2015">
        <v>0</v>
      </c>
      <c r="CD26" s="2015">
        <v>0</v>
      </c>
      <c r="CE26" s="2015">
        <v>0</v>
      </c>
      <c r="CF26" s="2015">
        <v>0</v>
      </c>
      <c r="CG26" s="2015">
        <v>0</v>
      </c>
      <c r="CH26" s="2015">
        <v>0</v>
      </c>
      <c r="CI26" s="2015">
        <v>0</v>
      </c>
      <c r="CJ26" s="2015">
        <v>0</v>
      </c>
      <c r="CK26" s="2015">
        <v>0</v>
      </c>
      <c r="CL26" s="2015">
        <v>0</v>
      </c>
      <c r="CM26" s="2015">
        <v>0</v>
      </c>
      <c r="CN26" s="2015">
        <v>0</v>
      </c>
      <c r="CO26" s="2015">
        <v>0</v>
      </c>
      <c r="CP26" s="2015">
        <v>0</v>
      </c>
      <c r="CQ26" s="2015">
        <v>0</v>
      </c>
      <c r="CR26" s="2015">
        <v>0</v>
      </c>
      <c r="CS26" s="2015">
        <v>0</v>
      </c>
      <c r="CT26" s="2015">
        <v>0</v>
      </c>
      <c r="CU26" s="2015">
        <v>0</v>
      </c>
      <c r="CV26" s="2015">
        <v>0</v>
      </c>
      <c r="CW26" s="2015">
        <v>0</v>
      </c>
      <c r="CX26" s="2015">
        <v>0</v>
      </c>
      <c r="CY26" s="2015">
        <v>0</v>
      </c>
      <c r="CZ26" s="2015">
        <v>0</v>
      </c>
      <c r="DA26" s="2015">
        <v>0</v>
      </c>
      <c r="DB26" s="2015">
        <v>0</v>
      </c>
      <c r="DC26" s="2015">
        <v>0</v>
      </c>
      <c r="DD26" s="2015">
        <v>0</v>
      </c>
      <c r="DE26" s="2015">
        <v>0</v>
      </c>
      <c r="DF26" s="2015">
        <v>0</v>
      </c>
      <c r="DG26" s="2015">
        <v>0</v>
      </c>
      <c r="DH26" s="2015">
        <v>0</v>
      </c>
      <c r="DI26" s="2015">
        <v>0</v>
      </c>
      <c r="DJ26" s="2015">
        <v>0</v>
      </c>
      <c r="DK26" s="2015">
        <v>0</v>
      </c>
      <c r="DL26" s="2015">
        <v>0</v>
      </c>
      <c r="DM26" s="2015">
        <v>0</v>
      </c>
      <c r="DN26" s="2015">
        <v>0</v>
      </c>
      <c r="DO26" s="2015">
        <v>0</v>
      </c>
      <c r="DP26" s="2015">
        <v>0</v>
      </c>
      <c r="DQ26" s="2015">
        <v>1</v>
      </c>
      <c r="DR26" s="2015">
        <v>1</v>
      </c>
      <c r="DS26" s="2015">
        <v>1</v>
      </c>
      <c r="DT26" s="2015">
        <v>1</v>
      </c>
      <c r="DU26" s="2015">
        <v>1</v>
      </c>
      <c r="DV26" s="2015">
        <v>1</v>
      </c>
      <c r="DW26" s="2015">
        <v>1</v>
      </c>
      <c r="DX26" s="2015">
        <v>1</v>
      </c>
      <c r="DY26" s="2015">
        <v>1</v>
      </c>
      <c r="DZ26" s="2015">
        <v>1</v>
      </c>
      <c r="EA26" s="2015">
        <v>1</v>
      </c>
      <c r="EB26" s="2015">
        <v>1</v>
      </c>
      <c r="EC26" s="2015">
        <v>1</v>
      </c>
      <c r="ED26" s="2015">
        <v>1</v>
      </c>
      <c r="EE26" s="2015">
        <v>1</v>
      </c>
      <c r="EF26" s="2015">
        <v>1</v>
      </c>
      <c r="EG26" s="2015">
        <v>1</v>
      </c>
      <c r="EH26" s="2015">
        <v>1</v>
      </c>
      <c r="EI26" s="2015">
        <v>1</v>
      </c>
      <c r="EJ26" s="2015">
        <v>1</v>
      </c>
      <c r="EK26" s="2015">
        <v>1</v>
      </c>
      <c r="EL26" s="2015">
        <v>1</v>
      </c>
      <c r="EM26" s="2015">
        <v>1</v>
      </c>
      <c r="EN26" s="2015">
        <v>1</v>
      </c>
      <c r="EO26" s="2015">
        <v>1</v>
      </c>
      <c r="EP26" s="2015">
        <v>1</v>
      </c>
      <c r="EQ26" s="2015">
        <v>1</v>
      </c>
      <c r="ER26" s="2015">
        <v>1</v>
      </c>
      <c r="ES26" s="2015">
        <v>1</v>
      </c>
      <c r="ET26" s="2015">
        <v>1</v>
      </c>
      <c r="EU26" s="2015">
        <v>1</v>
      </c>
      <c r="EV26" s="2015">
        <v>1</v>
      </c>
      <c r="EW26" s="2015">
        <v>1</v>
      </c>
      <c r="EX26" s="2015">
        <v>1</v>
      </c>
      <c r="EY26" s="2015">
        <v>1</v>
      </c>
      <c r="EZ26" s="2015">
        <v>1</v>
      </c>
      <c r="FA26" s="2015">
        <v>1</v>
      </c>
      <c r="FB26" s="2015">
        <v>1</v>
      </c>
      <c r="FC26" s="2015">
        <v>1</v>
      </c>
      <c r="FD26" s="2015">
        <v>1</v>
      </c>
      <c r="FE26" s="2015">
        <v>1</v>
      </c>
      <c r="FF26" s="2015">
        <v>1</v>
      </c>
      <c r="FG26" s="2015">
        <v>1</v>
      </c>
      <c r="FH26" s="2015">
        <v>1</v>
      </c>
      <c r="FI26" s="2015">
        <v>1</v>
      </c>
      <c r="FJ26" s="2015">
        <v>1</v>
      </c>
      <c r="FK26" s="2015">
        <v>1</v>
      </c>
      <c r="FL26" s="2015">
        <v>1</v>
      </c>
      <c r="FM26" s="2015">
        <v>1</v>
      </c>
      <c r="FN26" s="2015">
        <v>1</v>
      </c>
      <c r="FO26" s="2015">
        <v>1</v>
      </c>
      <c r="FP26" s="2015">
        <v>1</v>
      </c>
      <c r="FQ26" s="2015">
        <v>1</v>
      </c>
      <c r="FR26" s="2015">
        <v>1</v>
      </c>
      <c r="FS26" s="2015">
        <v>1</v>
      </c>
      <c r="FT26" s="2015">
        <v>1</v>
      </c>
      <c r="FU26" s="2015">
        <v>1</v>
      </c>
      <c r="FV26" s="2015">
        <v>1</v>
      </c>
      <c r="FW26" s="2015">
        <v>1</v>
      </c>
      <c r="FX26" s="2015">
        <v>1</v>
      </c>
      <c r="FY26" s="2015">
        <v>1</v>
      </c>
      <c r="FZ26" s="2015">
        <v>1</v>
      </c>
      <c r="GA26" s="2015">
        <v>1</v>
      </c>
      <c r="GB26" s="2015">
        <v>1</v>
      </c>
      <c r="GC26" s="2015">
        <v>1</v>
      </c>
      <c r="GD26" s="2015">
        <v>1</v>
      </c>
      <c r="GE26" s="2015">
        <v>1</v>
      </c>
      <c r="GF26" s="2016">
        <v>1</v>
      </c>
      <c r="GG26" s="2004"/>
    </row>
    <row r="27" spans="1:189" s="634" customFormat="1" ht="18.75" x14ac:dyDescent="0.4">
      <c r="A27" s="2002"/>
      <c r="B27" s="2017" t="s">
        <v>1333</v>
      </c>
      <c r="C27" s="1688">
        <f>SUM(F27:GF27)</f>
        <v>0</v>
      </c>
      <c r="D27" s="1689"/>
      <c r="E27" s="632"/>
      <c r="F27" s="2085">
        <f>IFERROR(IF(F25="休診日",0,VLOOKUP(F22,$F$96:$I$101,3,FALSE)),0)</f>
        <v>0</v>
      </c>
      <c r="G27" s="2085">
        <f>IFERROR(IF(G25="休診日",0,VLOOKUP(G22,$F$96:$I$101,3,FALSE)),0)</f>
        <v>0</v>
      </c>
      <c r="H27" s="2085">
        <f t="shared" ref="H27:BR27" si="17">IFERROR(IF(H25="休診日",0,VLOOKUP(H22,$F$96:$I$101,3,FALSE)),0)</f>
        <v>0</v>
      </c>
      <c r="I27" s="2085">
        <f t="shared" si="17"/>
        <v>0</v>
      </c>
      <c r="J27" s="2085">
        <f t="shared" si="17"/>
        <v>0</v>
      </c>
      <c r="K27" s="2085">
        <f t="shared" si="17"/>
        <v>0</v>
      </c>
      <c r="L27" s="2085">
        <f t="shared" si="17"/>
        <v>0</v>
      </c>
      <c r="M27" s="2085">
        <f t="shared" si="17"/>
        <v>0</v>
      </c>
      <c r="N27" s="2085">
        <f t="shared" si="17"/>
        <v>0</v>
      </c>
      <c r="O27" s="2085">
        <f t="shared" si="17"/>
        <v>0</v>
      </c>
      <c r="P27" s="2085">
        <f t="shared" si="17"/>
        <v>0</v>
      </c>
      <c r="Q27" s="2085">
        <f t="shared" si="17"/>
        <v>0</v>
      </c>
      <c r="R27" s="2085">
        <f t="shared" si="17"/>
        <v>0</v>
      </c>
      <c r="S27" s="2085">
        <f t="shared" si="17"/>
        <v>0</v>
      </c>
      <c r="T27" s="2085">
        <f t="shared" si="17"/>
        <v>0</v>
      </c>
      <c r="U27" s="2085">
        <f t="shared" si="17"/>
        <v>0</v>
      </c>
      <c r="V27" s="2085">
        <f t="shared" si="17"/>
        <v>0</v>
      </c>
      <c r="W27" s="2085">
        <f t="shared" si="17"/>
        <v>0</v>
      </c>
      <c r="X27" s="2085">
        <f t="shared" si="17"/>
        <v>0</v>
      </c>
      <c r="Y27" s="2085">
        <f t="shared" si="17"/>
        <v>0</v>
      </c>
      <c r="Z27" s="2085">
        <f t="shared" si="17"/>
        <v>0</v>
      </c>
      <c r="AA27" s="2085">
        <f t="shared" si="17"/>
        <v>0</v>
      </c>
      <c r="AB27" s="2085">
        <f t="shared" si="17"/>
        <v>0</v>
      </c>
      <c r="AC27" s="2085">
        <f t="shared" si="17"/>
        <v>0</v>
      </c>
      <c r="AD27" s="2085">
        <f t="shared" si="17"/>
        <v>0</v>
      </c>
      <c r="AE27" s="2085">
        <f t="shared" si="17"/>
        <v>0</v>
      </c>
      <c r="AF27" s="2085">
        <f t="shared" si="17"/>
        <v>0</v>
      </c>
      <c r="AG27" s="2085">
        <f t="shared" si="17"/>
        <v>0</v>
      </c>
      <c r="AH27" s="2085">
        <f t="shared" si="17"/>
        <v>0</v>
      </c>
      <c r="AI27" s="2085">
        <f t="shared" si="17"/>
        <v>0</v>
      </c>
      <c r="AJ27" s="2085">
        <f t="shared" si="17"/>
        <v>0</v>
      </c>
      <c r="AK27" s="2085">
        <f t="shared" si="17"/>
        <v>0</v>
      </c>
      <c r="AL27" s="2085">
        <f t="shared" si="17"/>
        <v>0</v>
      </c>
      <c r="AM27" s="2085">
        <f t="shared" si="17"/>
        <v>0</v>
      </c>
      <c r="AN27" s="2085">
        <f t="shared" si="17"/>
        <v>0</v>
      </c>
      <c r="AO27" s="2085">
        <f t="shared" si="17"/>
        <v>0</v>
      </c>
      <c r="AP27" s="2085">
        <f t="shared" si="17"/>
        <v>0</v>
      </c>
      <c r="AQ27" s="2085">
        <f>IFERROR(IF(AQ25="休診日",0,VLOOKUP(AQ22,$F$96:$I$101,3,FALSE)),0)</f>
        <v>0</v>
      </c>
      <c r="AR27" s="2085">
        <f t="shared" si="17"/>
        <v>0</v>
      </c>
      <c r="AS27" s="2085">
        <f t="shared" si="17"/>
        <v>0</v>
      </c>
      <c r="AT27" s="2085">
        <f t="shared" si="17"/>
        <v>0</v>
      </c>
      <c r="AU27" s="2085">
        <f t="shared" si="17"/>
        <v>0</v>
      </c>
      <c r="AV27" s="2085">
        <f t="shared" si="17"/>
        <v>0</v>
      </c>
      <c r="AW27" s="2085">
        <f t="shared" si="17"/>
        <v>0</v>
      </c>
      <c r="AX27" s="2085">
        <f t="shared" si="17"/>
        <v>0</v>
      </c>
      <c r="AY27" s="2085">
        <f t="shared" si="17"/>
        <v>0</v>
      </c>
      <c r="AZ27" s="2085">
        <f t="shared" si="17"/>
        <v>0</v>
      </c>
      <c r="BA27" s="2085">
        <f t="shared" si="17"/>
        <v>0</v>
      </c>
      <c r="BB27" s="2085">
        <f t="shared" si="17"/>
        <v>0</v>
      </c>
      <c r="BC27" s="2085">
        <f t="shared" si="17"/>
        <v>0</v>
      </c>
      <c r="BD27" s="2085">
        <f t="shared" si="17"/>
        <v>0</v>
      </c>
      <c r="BE27" s="2085">
        <f t="shared" si="17"/>
        <v>0</v>
      </c>
      <c r="BF27" s="2085">
        <f t="shared" si="17"/>
        <v>0</v>
      </c>
      <c r="BG27" s="2085">
        <f t="shared" si="17"/>
        <v>0</v>
      </c>
      <c r="BH27" s="2085">
        <f t="shared" si="17"/>
        <v>0</v>
      </c>
      <c r="BI27" s="2085">
        <f t="shared" si="17"/>
        <v>0</v>
      </c>
      <c r="BJ27" s="2085">
        <f t="shared" si="17"/>
        <v>0</v>
      </c>
      <c r="BK27" s="2085">
        <f t="shared" si="17"/>
        <v>0</v>
      </c>
      <c r="BL27" s="2085">
        <f t="shared" si="17"/>
        <v>0</v>
      </c>
      <c r="BM27" s="2085">
        <f t="shared" si="17"/>
        <v>0</v>
      </c>
      <c r="BN27" s="2085">
        <f t="shared" si="17"/>
        <v>0</v>
      </c>
      <c r="BO27" s="2085">
        <f t="shared" si="17"/>
        <v>0</v>
      </c>
      <c r="BP27" s="2085">
        <f t="shared" si="17"/>
        <v>0</v>
      </c>
      <c r="BQ27" s="2085">
        <f t="shared" si="17"/>
        <v>0</v>
      </c>
      <c r="BR27" s="2085">
        <f t="shared" si="17"/>
        <v>0</v>
      </c>
      <c r="BS27" s="2085">
        <f t="shared" ref="BS27:ED27" si="18">IFERROR(IF(BS25="休診日",0,VLOOKUP(BS22,$F$96:$I$101,3,FALSE)),0)</f>
        <v>0</v>
      </c>
      <c r="BT27" s="2085">
        <f t="shared" si="18"/>
        <v>0</v>
      </c>
      <c r="BU27" s="2085">
        <f t="shared" si="18"/>
        <v>0</v>
      </c>
      <c r="BV27" s="2085">
        <f t="shared" si="18"/>
        <v>0</v>
      </c>
      <c r="BW27" s="2085">
        <f t="shared" si="18"/>
        <v>0</v>
      </c>
      <c r="BX27" s="2085">
        <f t="shared" si="18"/>
        <v>0</v>
      </c>
      <c r="BY27" s="2085">
        <f t="shared" si="18"/>
        <v>0</v>
      </c>
      <c r="BZ27" s="2085">
        <f t="shared" si="18"/>
        <v>0</v>
      </c>
      <c r="CA27" s="2085">
        <f t="shared" si="18"/>
        <v>0</v>
      </c>
      <c r="CB27" s="2085">
        <f t="shared" si="18"/>
        <v>0</v>
      </c>
      <c r="CC27" s="2085">
        <f t="shared" si="18"/>
        <v>0</v>
      </c>
      <c r="CD27" s="2085">
        <f t="shared" si="18"/>
        <v>0</v>
      </c>
      <c r="CE27" s="2085">
        <f t="shared" si="18"/>
        <v>0</v>
      </c>
      <c r="CF27" s="2085">
        <f t="shared" si="18"/>
        <v>0</v>
      </c>
      <c r="CG27" s="2085">
        <f t="shared" si="18"/>
        <v>0</v>
      </c>
      <c r="CH27" s="2085">
        <f t="shared" si="18"/>
        <v>0</v>
      </c>
      <c r="CI27" s="2085">
        <f t="shared" si="18"/>
        <v>0</v>
      </c>
      <c r="CJ27" s="2085">
        <f t="shared" si="18"/>
        <v>0</v>
      </c>
      <c r="CK27" s="2085">
        <f t="shared" si="18"/>
        <v>0</v>
      </c>
      <c r="CL27" s="2085">
        <f t="shared" si="18"/>
        <v>0</v>
      </c>
      <c r="CM27" s="2085">
        <f t="shared" si="18"/>
        <v>0</v>
      </c>
      <c r="CN27" s="2085">
        <f t="shared" si="18"/>
        <v>0</v>
      </c>
      <c r="CO27" s="2085">
        <f t="shared" si="18"/>
        <v>0</v>
      </c>
      <c r="CP27" s="2085">
        <f t="shared" si="18"/>
        <v>0</v>
      </c>
      <c r="CQ27" s="2085">
        <f t="shared" si="18"/>
        <v>0</v>
      </c>
      <c r="CR27" s="2085">
        <f t="shared" si="18"/>
        <v>0</v>
      </c>
      <c r="CS27" s="2085">
        <f t="shared" si="18"/>
        <v>0</v>
      </c>
      <c r="CT27" s="2085">
        <f t="shared" si="18"/>
        <v>0</v>
      </c>
      <c r="CU27" s="2085">
        <f t="shared" si="18"/>
        <v>0</v>
      </c>
      <c r="CV27" s="2085">
        <f t="shared" si="18"/>
        <v>0</v>
      </c>
      <c r="CW27" s="2085">
        <f t="shared" si="18"/>
        <v>0</v>
      </c>
      <c r="CX27" s="2085">
        <f t="shared" si="18"/>
        <v>0</v>
      </c>
      <c r="CY27" s="2085">
        <f t="shared" si="18"/>
        <v>0</v>
      </c>
      <c r="CZ27" s="2085">
        <f t="shared" si="18"/>
        <v>0</v>
      </c>
      <c r="DA27" s="2085">
        <f t="shared" si="18"/>
        <v>0</v>
      </c>
      <c r="DB27" s="2085">
        <f t="shared" si="18"/>
        <v>0</v>
      </c>
      <c r="DC27" s="2085">
        <f t="shared" si="18"/>
        <v>0</v>
      </c>
      <c r="DD27" s="2085">
        <f t="shared" si="18"/>
        <v>0</v>
      </c>
      <c r="DE27" s="2085">
        <f t="shared" si="18"/>
        <v>0</v>
      </c>
      <c r="DF27" s="2085">
        <f t="shared" si="18"/>
        <v>0</v>
      </c>
      <c r="DG27" s="2085">
        <f t="shared" si="18"/>
        <v>0</v>
      </c>
      <c r="DH27" s="2085">
        <f t="shared" si="18"/>
        <v>0</v>
      </c>
      <c r="DI27" s="2085">
        <f t="shared" si="18"/>
        <v>0</v>
      </c>
      <c r="DJ27" s="2085">
        <f t="shared" si="18"/>
        <v>0</v>
      </c>
      <c r="DK27" s="2085">
        <f t="shared" si="18"/>
        <v>0</v>
      </c>
      <c r="DL27" s="2085">
        <f t="shared" si="18"/>
        <v>0</v>
      </c>
      <c r="DM27" s="2085">
        <f t="shared" si="18"/>
        <v>0</v>
      </c>
      <c r="DN27" s="2085">
        <f t="shared" si="18"/>
        <v>0</v>
      </c>
      <c r="DO27" s="2085">
        <f t="shared" si="18"/>
        <v>0</v>
      </c>
      <c r="DP27" s="2085">
        <f t="shared" si="18"/>
        <v>0</v>
      </c>
      <c r="DQ27" s="2085">
        <f t="shared" si="18"/>
        <v>0</v>
      </c>
      <c r="DR27" s="2085">
        <f t="shared" si="18"/>
        <v>0</v>
      </c>
      <c r="DS27" s="2085">
        <f t="shared" si="18"/>
        <v>0</v>
      </c>
      <c r="DT27" s="2085">
        <f t="shared" si="18"/>
        <v>0</v>
      </c>
      <c r="DU27" s="2085">
        <f t="shared" si="18"/>
        <v>0</v>
      </c>
      <c r="DV27" s="2085">
        <f t="shared" si="18"/>
        <v>0</v>
      </c>
      <c r="DW27" s="2085">
        <f t="shared" si="18"/>
        <v>0</v>
      </c>
      <c r="DX27" s="2085">
        <f t="shared" si="18"/>
        <v>0</v>
      </c>
      <c r="DY27" s="2085">
        <f t="shared" si="18"/>
        <v>0</v>
      </c>
      <c r="DZ27" s="2085">
        <f t="shared" si="18"/>
        <v>0</v>
      </c>
      <c r="EA27" s="2085">
        <f t="shared" si="18"/>
        <v>0</v>
      </c>
      <c r="EB27" s="2085">
        <f t="shared" si="18"/>
        <v>0</v>
      </c>
      <c r="EC27" s="2085">
        <f t="shared" si="18"/>
        <v>0</v>
      </c>
      <c r="ED27" s="2085">
        <f t="shared" si="18"/>
        <v>0</v>
      </c>
      <c r="EE27" s="2085">
        <f t="shared" ref="EE27:EJ27" si="19">IFERROR(IF(EE25="休診日",0,VLOOKUP(EE22,$F$96:$I$101,3,FALSE)),0)</f>
        <v>0</v>
      </c>
      <c r="EF27" s="2085">
        <f t="shared" si="19"/>
        <v>0</v>
      </c>
      <c r="EG27" s="2085">
        <f t="shared" si="19"/>
        <v>0</v>
      </c>
      <c r="EH27" s="2085">
        <f t="shared" si="19"/>
        <v>0</v>
      </c>
      <c r="EI27" s="2085">
        <f t="shared" si="19"/>
        <v>0</v>
      </c>
      <c r="EJ27" s="2085">
        <f t="shared" si="19"/>
        <v>0</v>
      </c>
      <c r="EK27" s="2085">
        <f>IFERROR(IF(EK25="休診日",0,VLOOKUP(EK22,$F$96:$I$101,3,FALSE)),0)</f>
        <v>0</v>
      </c>
      <c r="EL27" s="2085">
        <f t="shared" ref="EL27:GF27" si="20">IFERROR(IF(EL25="休診日",0,VLOOKUP(EL22,$F$96:$I$101,3,FALSE)),0)</f>
        <v>0</v>
      </c>
      <c r="EM27" s="2085">
        <f t="shared" si="20"/>
        <v>0</v>
      </c>
      <c r="EN27" s="2085">
        <f t="shared" si="20"/>
        <v>0</v>
      </c>
      <c r="EO27" s="2085">
        <f t="shared" si="20"/>
        <v>0</v>
      </c>
      <c r="EP27" s="2085">
        <f t="shared" si="20"/>
        <v>0</v>
      </c>
      <c r="EQ27" s="2085">
        <f t="shared" si="20"/>
        <v>0</v>
      </c>
      <c r="ER27" s="2085">
        <f t="shared" si="20"/>
        <v>0</v>
      </c>
      <c r="ES27" s="2085">
        <f t="shared" si="20"/>
        <v>0</v>
      </c>
      <c r="ET27" s="2085">
        <f t="shared" si="20"/>
        <v>0</v>
      </c>
      <c r="EU27" s="2085">
        <f t="shared" si="20"/>
        <v>0</v>
      </c>
      <c r="EV27" s="2085">
        <f t="shared" si="20"/>
        <v>0</v>
      </c>
      <c r="EW27" s="2085">
        <f t="shared" si="20"/>
        <v>0</v>
      </c>
      <c r="EX27" s="2085">
        <f t="shared" si="20"/>
        <v>0</v>
      </c>
      <c r="EY27" s="2085">
        <f t="shared" si="20"/>
        <v>0</v>
      </c>
      <c r="EZ27" s="2085">
        <f t="shared" si="20"/>
        <v>0</v>
      </c>
      <c r="FA27" s="2085">
        <f t="shared" si="20"/>
        <v>0</v>
      </c>
      <c r="FB27" s="2085">
        <f t="shared" si="20"/>
        <v>0</v>
      </c>
      <c r="FC27" s="2085">
        <f t="shared" si="20"/>
        <v>0</v>
      </c>
      <c r="FD27" s="2085">
        <f t="shared" si="20"/>
        <v>0</v>
      </c>
      <c r="FE27" s="2085">
        <f t="shared" si="20"/>
        <v>0</v>
      </c>
      <c r="FF27" s="2085">
        <f t="shared" si="20"/>
        <v>0</v>
      </c>
      <c r="FG27" s="2085">
        <f t="shared" si="20"/>
        <v>0</v>
      </c>
      <c r="FH27" s="2085">
        <f t="shared" si="20"/>
        <v>0</v>
      </c>
      <c r="FI27" s="2085">
        <f t="shared" si="20"/>
        <v>0</v>
      </c>
      <c r="FJ27" s="2085">
        <f t="shared" si="20"/>
        <v>0</v>
      </c>
      <c r="FK27" s="2085">
        <f t="shared" si="20"/>
        <v>0</v>
      </c>
      <c r="FL27" s="2085">
        <f t="shared" si="20"/>
        <v>0</v>
      </c>
      <c r="FM27" s="2085">
        <f t="shared" si="20"/>
        <v>0</v>
      </c>
      <c r="FN27" s="2085">
        <f t="shared" si="20"/>
        <v>0</v>
      </c>
      <c r="FO27" s="2085">
        <f t="shared" si="20"/>
        <v>0</v>
      </c>
      <c r="FP27" s="2085">
        <f t="shared" si="20"/>
        <v>0</v>
      </c>
      <c r="FQ27" s="2085">
        <f t="shared" si="20"/>
        <v>0</v>
      </c>
      <c r="FR27" s="2085">
        <f t="shared" si="20"/>
        <v>0</v>
      </c>
      <c r="FS27" s="2085">
        <f t="shared" si="20"/>
        <v>0</v>
      </c>
      <c r="FT27" s="2085">
        <f t="shared" si="20"/>
        <v>0</v>
      </c>
      <c r="FU27" s="2085">
        <f t="shared" si="20"/>
        <v>0</v>
      </c>
      <c r="FV27" s="2085">
        <f>IFERROR(IF(FV25="休診日",0,VLOOKUP(FV22,$F$96:$I$101,3,FALSE)),0)</f>
        <v>0</v>
      </c>
      <c r="FW27" s="2085">
        <f t="shared" si="20"/>
        <v>0</v>
      </c>
      <c r="FX27" s="2085">
        <f t="shared" si="20"/>
        <v>0</v>
      </c>
      <c r="FY27" s="2085">
        <f t="shared" si="20"/>
        <v>0</v>
      </c>
      <c r="FZ27" s="2085">
        <f t="shared" si="20"/>
        <v>0</v>
      </c>
      <c r="GA27" s="2085">
        <f t="shared" si="20"/>
        <v>0</v>
      </c>
      <c r="GB27" s="2085">
        <f t="shared" si="20"/>
        <v>0</v>
      </c>
      <c r="GC27" s="2085">
        <f t="shared" si="20"/>
        <v>0</v>
      </c>
      <c r="GD27" s="2085">
        <f t="shared" si="20"/>
        <v>0</v>
      </c>
      <c r="GE27" s="2085">
        <f t="shared" si="20"/>
        <v>0</v>
      </c>
      <c r="GF27" s="2086">
        <f t="shared" si="20"/>
        <v>0</v>
      </c>
      <c r="GG27" s="2005"/>
    </row>
    <row r="28" spans="1:189" s="634" customFormat="1" ht="18.75" hidden="1" x14ac:dyDescent="0.4">
      <c r="A28" s="2002"/>
      <c r="B28" s="2017" t="s">
        <v>1389</v>
      </c>
      <c r="C28" s="1688">
        <f>SUM(F28:GF28)</f>
        <v>0</v>
      </c>
      <c r="D28" s="1689"/>
      <c r="E28" s="632"/>
      <c r="F28" s="633"/>
      <c r="G28" s="633"/>
      <c r="H28" s="633"/>
      <c r="I28" s="633"/>
      <c r="J28" s="633"/>
      <c r="K28" s="633"/>
      <c r="L28" s="633"/>
      <c r="M28" s="633"/>
      <c r="N28" s="633"/>
      <c r="O28" s="633"/>
      <c r="P28" s="633"/>
      <c r="Q28" s="633"/>
      <c r="R28" s="633"/>
      <c r="S28" s="633"/>
      <c r="T28" s="633"/>
      <c r="U28" s="633"/>
      <c r="V28" s="633"/>
      <c r="W28" s="633"/>
      <c r="X28" s="633"/>
      <c r="Y28" s="633"/>
      <c r="Z28" s="633"/>
      <c r="AA28" s="633"/>
      <c r="AB28" s="633"/>
      <c r="AC28" s="633"/>
      <c r="AD28" s="633"/>
      <c r="AE28" s="633"/>
      <c r="AF28" s="633"/>
      <c r="AG28" s="633"/>
      <c r="AH28" s="633"/>
      <c r="AI28" s="633"/>
      <c r="AJ28" s="633"/>
      <c r="AK28" s="633"/>
      <c r="AL28" s="633"/>
      <c r="AM28" s="633"/>
      <c r="AN28" s="633"/>
      <c r="AO28" s="633"/>
      <c r="AP28" s="633"/>
      <c r="AQ28" s="633"/>
      <c r="AR28" s="633"/>
      <c r="AS28" s="633"/>
      <c r="AT28" s="633"/>
      <c r="AU28" s="633"/>
      <c r="AV28" s="633"/>
      <c r="AW28" s="633"/>
      <c r="AX28" s="633"/>
      <c r="AY28" s="633"/>
      <c r="AZ28" s="633"/>
      <c r="BA28" s="633"/>
      <c r="BB28" s="633"/>
      <c r="BC28" s="633"/>
      <c r="BD28" s="633"/>
      <c r="BE28" s="633"/>
      <c r="BF28" s="633"/>
      <c r="BG28" s="633"/>
      <c r="BH28" s="633"/>
      <c r="BI28" s="633"/>
      <c r="BJ28" s="633"/>
      <c r="BK28" s="633"/>
      <c r="BL28" s="633"/>
      <c r="BM28" s="633"/>
      <c r="BN28" s="633"/>
      <c r="BO28" s="633"/>
      <c r="BP28" s="633"/>
      <c r="BQ28" s="633"/>
      <c r="BR28" s="633"/>
      <c r="BS28" s="633"/>
      <c r="BT28" s="633"/>
      <c r="BU28" s="633"/>
      <c r="BV28" s="633"/>
      <c r="BW28" s="633"/>
      <c r="BX28" s="633"/>
      <c r="BY28" s="633"/>
      <c r="BZ28" s="633"/>
      <c r="CA28" s="633"/>
      <c r="CB28" s="633"/>
      <c r="CC28" s="633"/>
      <c r="CD28" s="633"/>
      <c r="CE28" s="633"/>
      <c r="CF28" s="633"/>
      <c r="CG28" s="633"/>
      <c r="CH28" s="633"/>
      <c r="CI28" s="633"/>
      <c r="CJ28" s="633"/>
      <c r="CK28" s="633"/>
      <c r="CL28" s="633"/>
      <c r="CM28" s="633"/>
      <c r="CN28" s="633"/>
      <c r="CO28" s="633"/>
      <c r="CP28" s="633"/>
      <c r="CQ28" s="633"/>
      <c r="CR28" s="633"/>
      <c r="CS28" s="633"/>
      <c r="CT28" s="633"/>
      <c r="CU28" s="633"/>
      <c r="CV28" s="633"/>
      <c r="CW28" s="633"/>
      <c r="CX28" s="633"/>
      <c r="CY28" s="633"/>
      <c r="CZ28" s="633"/>
      <c r="DA28" s="633"/>
      <c r="DB28" s="633"/>
      <c r="DC28" s="633"/>
      <c r="DD28" s="633"/>
      <c r="DE28" s="633"/>
      <c r="DF28" s="633"/>
      <c r="DG28" s="633"/>
      <c r="DH28" s="633"/>
      <c r="DI28" s="633"/>
      <c r="DJ28" s="633"/>
      <c r="DK28" s="633"/>
      <c r="DL28" s="633"/>
      <c r="DM28" s="633"/>
      <c r="DN28" s="633"/>
      <c r="DO28" s="633"/>
      <c r="DP28" s="633"/>
      <c r="DQ28" s="633"/>
      <c r="DR28" s="633"/>
      <c r="DS28" s="633"/>
      <c r="DT28" s="633"/>
      <c r="DU28" s="633"/>
      <c r="DV28" s="633"/>
      <c r="DW28" s="633"/>
      <c r="DX28" s="633"/>
      <c r="DY28" s="633"/>
      <c r="DZ28" s="633"/>
      <c r="EA28" s="633"/>
      <c r="EB28" s="633"/>
      <c r="EC28" s="633"/>
      <c r="ED28" s="633"/>
      <c r="EE28" s="633"/>
      <c r="EF28" s="633"/>
      <c r="EG28" s="633"/>
      <c r="EH28" s="633"/>
      <c r="EI28" s="633"/>
      <c r="EJ28" s="633"/>
      <c r="EK28" s="633"/>
      <c r="EL28" s="633"/>
      <c r="EM28" s="633"/>
      <c r="EN28" s="633"/>
      <c r="EO28" s="633"/>
      <c r="EP28" s="633"/>
      <c r="EQ28" s="633"/>
      <c r="ER28" s="633"/>
      <c r="ES28" s="633"/>
      <c r="ET28" s="633"/>
      <c r="EU28" s="633"/>
      <c r="EV28" s="633"/>
      <c r="EW28" s="633"/>
      <c r="EX28" s="633"/>
      <c r="EY28" s="633"/>
      <c r="EZ28" s="633"/>
      <c r="FA28" s="633"/>
      <c r="FB28" s="633"/>
      <c r="FC28" s="633"/>
      <c r="FD28" s="633"/>
      <c r="FE28" s="633"/>
      <c r="FF28" s="633"/>
      <c r="FG28" s="633"/>
      <c r="FH28" s="633"/>
      <c r="FI28" s="633"/>
      <c r="FJ28" s="633"/>
      <c r="FK28" s="633"/>
      <c r="FL28" s="633"/>
      <c r="FM28" s="633"/>
      <c r="FN28" s="633"/>
      <c r="FO28" s="633"/>
      <c r="FP28" s="633"/>
      <c r="FQ28" s="633"/>
      <c r="FR28" s="633"/>
      <c r="FS28" s="633"/>
      <c r="FT28" s="633"/>
      <c r="FU28" s="633"/>
      <c r="FV28" s="633"/>
      <c r="FW28" s="633"/>
      <c r="FX28" s="633"/>
      <c r="FY28" s="633"/>
      <c r="FZ28" s="633"/>
      <c r="GA28" s="633"/>
      <c r="GB28" s="633"/>
      <c r="GC28" s="633"/>
      <c r="GD28" s="633"/>
      <c r="GE28" s="633"/>
      <c r="GF28" s="2026"/>
      <c r="GG28" s="2005"/>
    </row>
    <row r="29" spans="1:189" s="638" customFormat="1" ht="18.75" x14ac:dyDescent="0.4">
      <c r="A29" s="2003"/>
      <c r="B29" s="2018" t="s">
        <v>1001</v>
      </c>
      <c r="C29" s="1690">
        <f>SUM(F29:GF29)</f>
        <v>0</v>
      </c>
      <c r="D29" s="1691"/>
      <c r="E29" s="637"/>
      <c r="F29" s="1997">
        <f>IFERROR(
IF(テーブル!$B$3="交付申請",F45,
IF(AND(テーブル!$B$3="変更申請",F$26=0),0,
IF(AND(テーブル!$B$3="変更申請",F$26&gt;=0),F45,
IF(テーブル!$B$3="実績報告（１次）",F45,
IF(AND(テーブル!$B$3="交付申請（２次）",F$26=0),0,
IF(AND(テーブル!$B$3="交付申請（２次）",F$26&gt;=0),F45,
IF(AND(テーブル!$B$3="交付申請兼実績報告（２次）",F$26=0),0,
IF(AND(テーブル!$B$3="交付申請兼実績報告（２次）",F$26&gt;=0),F45,
IF(AND(テーブル!$B$3="実績報告（２次）",F$26=0),0,
IF(AND(テーブル!$B$3="実績報告（２次）",F$26&gt;=0),F45)))))))))),0)</f>
        <v>0</v>
      </c>
      <c r="G29" s="1997">
        <f>IFERROR(
IF(テーブル!$B$3="交付申請",G45,
IF(AND(テーブル!$B$3="変更申請",G$26=0),0,
IF(AND(テーブル!$B$3="変更申請",G$26&gt;=0),G45,
IF(テーブル!$B$3="実績報告（１次）",G45,
IF(AND(テーブル!$B$3="交付申請（２次）",G$26=0),0,
IF(AND(テーブル!$B$3="交付申請（２次）",G$26&gt;=0),G45,
IF(AND(テーブル!$B$3="交付申請兼実績報告（２次）",G$26=0),0,
IF(AND(テーブル!$B$3="交付申請兼実績報告（２次）",G$26&gt;=0),G45,
IF(AND(テーブル!$B$3="実績報告（２次）",G$26=0),0,
IF(AND(テーブル!$B$3="実績報告（２次）",G$26&gt;=0),G45)))))))))),0)</f>
        <v>0</v>
      </c>
      <c r="H29" s="1997">
        <f>IFERROR(
IF(テーブル!$B$3="交付申請",H45,
IF(AND(テーブル!$B$3="変更申請",H$26=0),0,
IF(AND(テーブル!$B$3="変更申請",H$26&gt;=0),H45,
IF(テーブル!$B$3="実績報告（１次）",H45,
IF(AND(テーブル!$B$3="交付申請（２次）",H$26=0),0,
IF(AND(テーブル!$B$3="交付申請（２次）",H$26&gt;=0),H45,
IF(AND(テーブル!$B$3="交付申請兼実績報告（２次）",H$26=0),0,
IF(AND(テーブル!$B$3="交付申請兼実績報告（２次）",H$26&gt;=0),H45,
IF(AND(テーブル!$B$3="実績報告（２次）",H$26=0),0,
IF(AND(テーブル!$B$3="実績報告（２次）",H$26&gt;=0),H45)))))))))),0)</f>
        <v>0</v>
      </c>
      <c r="I29" s="1997">
        <f>IFERROR(
IF(テーブル!$B$3="交付申請",I45,
IF(AND(テーブル!$B$3="変更申請",I$26=0),0,
IF(AND(テーブル!$B$3="変更申請",I$26&gt;=0),I45,
IF(テーブル!$B$3="実績報告（１次）",I45,
IF(AND(テーブル!$B$3="交付申請（２次）",I$26=0),0,
IF(AND(テーブル!$B$3="交付申請（２次）",I$26&gt;=0),I45,
IF(AND(テーブル!$B$3="交付申請兼実績報告（２次）",I$26=0),0,
IF(AND(テーブル!$B$3="交付申請兼実績報告（２次）",I$26&gt;=0),I45,
IF(AND(テーブル!$B$3="実績報告（２次）",I$26=0),0,
IF(AND(テーブル!$B$3="実績報告（２次）",I$26&gt;=0),I45)))))))))),0)</f>
        <v>0</v>
      </c>
      <c r="J29" s="1997">
        <f>IFERROR(
IF(テーブル!$B$3="交付申請",J45,
IF(AND(テーブル!$B$3="変更申請",J$26=0),0,
IF(AND(テーブル!$B$3="変更申請",J$26&gt;=0),J45,
IF(テーブル!$B$3="実績報告（１次）",J45,
IF(AND(テーブル!$B$3="交付申請（２次）",J$26=0),0,
IF(AND(テーブル!$B$3="交付申請（２次）",J$26&gt;=0),J45,
IF(AND(テーブル!$B$3="交付申請兼実績報告（２次）",J$26=0),0,
IF(AND(テーブル!$B$3="交付申請兼実績報告（２次）",J$26&gt;=0),J45,
IF(AND(テーブル!$B$3="実績報告（２次）",J$26=0),0,
IF(AND(テーブル!$B$3="実績報告（２次）",J$26&gt;=0),J45)))))))))),0)</f>
        <v>0</v>
      </c>
      <c r="K29" s="1997">
        <f>IFERROR(
IF(テーブル!$B$3="交付申請",K45,
IF(AND(テーブル!$B$3="変更申請",K$26=0),0,
IF(AND(テーブル!$B$3="変更申請",K$26&gt;=0),K45,
IF(テーブル!$B$3="実績報告（１次）",K45,
IF(AND(テーブル!$B$3="交付申請（２次）",K$26=0),0,
IF(AND(テーブル!$B$3="交付申請（２次）",K$26&gt;=0),K45,
IF(AND(テーブル!$B$3="交付申請兼実績報告（２次）",K$26=0),0,
IF(AND(テーブル!$B$3="交付申請兼実績報告（２次）",K$26&gt;=0),K45,
IF(AND(テーブル!$B$3="実績報告（２次）",K$26=0),0,
IF(AND(テーブル!$B$3="実績報告（２次）",K$26&gt;=0),K45)))))))))),0)</f>
        <v>0</v>
      </c>
      <c r="L29" s="1997">
        <f>IFERROR(
IF(テーブル!$B$3="交付申請",L45,
IF(AND(テーブル!$B$3="変更申請",L$26=0),0,
IF(AND(テーブル!$B$3="変更申請",L$26&gt;=0),L45,
IF(テーブル!$B$3="実績報告（１次）",L45,
IF(AND(テーブル!$B$3="交付申請（２次）",L$26=0),0,
IF(AND(テーブル!$B$3="交付申請（２次）",L$26&gt;=0),L45,
IF(AND(テーブル!$B$3="交付申請兼実績報告（２次）",L$26=0),0,
IF(AND(テーブル!$B$3="交付申請兼実績報告（２次）",L$26&gt;=0),L45,
IF(AND(テーブル!$B$3="実績報告（２次）",L$26=0),0,
IF(AND(テーブル!$B$3="実績報告（２次）",L$26&gt;=0),L45)))))))))),0)</f>
        <v>0</v>
      </c>
      <c r="M29" s="1997">
        <f>IFERROR(
IF(テーブル!$B$3="交付申請",M45,
IF(AND(テーブル!$B$3="変更申請",M$26=0),0,
IF(AND(テーブル!$B$3="変更申請",M$26&gt;=0),M45,
IF(テーブル!$B$3="実績報告（１次）",M45,
IF(AND(テーブル!$B$3="交付申請（２次）",M$26=0),0,
IF(AND(テーブル!$B$3="交付申請（２次）",M$26&gt;=0),M45,
IF(AND(テーブル!$B$3="交付申請兼実績報告（２次）",M$26=0),0,
IF(AND(テーブル!$B$3="交付申請兼実績報告（２次）",M$26&gt;=0),M45,
IF(AND(テーブル!$B$3="実績報告（２次）",M$26=0),0,
IF(AND(テーブル!$B$3="実績報告（２次）",M$26&gt;=0),M45)))))))))),0)</f>
        <v>0</v>
      </c>
      <c r="N29" s="1997">
        <f>IFERROR(
IF(テーブル!$B$3="交付申請",N45,
IF(AND(テーブル!$B$3="変更申請",N$26=0),0,
IF(AND(テーブル!$B$3="変更申請",N$26&gt;=0),N45,
IF(テーブル!$B$3="実績報告（１次）",N45,
IF(AND(テーブル!$B$3="交付申請（２次）",N$26=0),0,
IF(AND(テーブル!$B$3="交付申請（２次）",N$26&gt;=0),N45,
IF(AND(テーブル!$B$3="交付申請兼実績報告（２次）",N$26=0),0,
IF(AND(テーブル!$B$3="交付申請兼実績報告（２次）",N$26&gt;=0),N45,
IF(AND(テーブル!$B$3="実績報告（２次）",N$26=0),0,
IF(AND(テーブル!$B$3="実績報告（２次）",N$26&gt;=0),N45)))))))))),0)</f>
        <v>0</v>
      </c>
      <c r="O29" s="1997">
        <f>IFERROR(
IF(テーブル!$B$3="交付申請",O45,
IF(AND(テーブル!$B$3="変更申請",O$26=0),0,
IF(AND(テーブル!$B$3="変更申請",O$26&gt;=0),O45,
IF(テーブル!$B$3="実績報告（１次）",O45,
IF(AND(テーブル!$B$3="交付申請（２次）",O$26=0),0,
IF(AND(テーブル!$B$3="交付申請（２次）",O$26&gt;=0),O45,
IF(AND(テーブル!$B$3="交付申請兼実績報告（２次）",O$26=0),0,
IF(AND(テーブル!$B$3="交付申請兼実績報告（２次）",O$26&gt;=0),O45,
IF(AND(テーブル!$B$3="実績報告（２次）",O$26=0),0,
IF(AND(テーブル!$B$3="実績報告（２次）",O$26&gt;=0),O45)))))))))),0)</f>
        <v>0</v>
      </c>
      <c r="P29" s="1997">
        <f>IFERROR(
IF(テーブル!$B$3="交付申請",P45,
IF(AND(テーブル!$B$3="変更申請",P$26=0),0,
IF(AND(テーブル!$B$3="変更申請",P$26&gt;=0),P45,
IF(テーブル!$B$3="実績報告（１次）",P45,
IF(AND(テーブル!$B$3="交付申請（２次）",P$26=0),0,
IF(AND(テーブル!$B$3="交付申請（２次）",P$26&gt;=0),P45,
IF(AND(テーブル!$B$3="交付申請兼実績報告（２次）",P$26=0),0,
IF(AND(テーブル!$B$3="交付申請兼実績報告（２次）",P$26&gt;=0),P45,
IF(AND(テーブル!$B$3="実績報告（２次）",P$26=0),0,
IF(AND(テーブル!$B$3="実績報告（２次）",P$26&gt;=0),P45)))))))))),0)</f>
        <v>0</v>
      </c>
      <c r="Q29" s="1997">
        <f>IFERROR(
IF(テーブル!$B$3="交付申請",Q45,
IF(AND(テーブル!$B$3="変更申請",Q$26=0),0,
IF(AND(テーブル!$B$3="変更申請",Q$26&gt;=0),Q45,
IF(テーブル!$B$3="実績報告（１次）",Q45,
IF(AND(テーブル!$B$3="交付申請（２次）",Q$26=0),0,
IF(AND(テーブル!$B$3="交付申請（２次）",Q$26&gt;=0),Q45,
IF(AND(テーブル!$B$3="交付申請兼実績報告（２次）",Q$26=0),0,
IF(AND(テーブル!$B$3="交付申請兼実績報告（２次）",Q$26&gt;=0),Q45,
IF(AND(テーブル!$B$3="実績報告（２次）",Q$26=0),0,
IF(AND(テーブル!$B$3="実績報告（２次）",Q$26&gt;=0),Q45)))))))))),0)</f>
        <v>0</v>
      </c>
      <c r="R29" s="1997">
        <f>IFERROR(
IF(テーブル!$B$3="交付申請",R45,
IF(AND(テーブル!$B$3="変更申請",R$26=0),0,
IF(AND(テーブル!$B$3="変更申請",R$26&gt;=0),R45,
IF(テーブル!$B$3="実績報告（１次）",R45,
IF(AND(テーブル!$B$3="交付申請（２次）",R$26=0),0,
IF(AND(テーブル!$B$3="交付申請（２次）",R$26&gt;=0),R45,
IF(AND(テーブル!$B$3="交付申請兼実績報告（２次）",R$26=0),0,
IF(AND(テーブル!$B$3="交付申請兼実績報告（２次）",R$26&gt;=0),R45,
IF(AND(テーブル!$B$3="実績報告（２次）",R$26=0),0,
IF(AND(テーブル!$B$3="実績報告（２次）",R$26&gt;=0),R45)))))))))),0)</f>
        <v>0</v>
      </c>
      <c r="S29" s="1997">
        <f>IFERROR(
IF(テーブル!$B$3="交付申請",S45,
IF(AND(テーブル!$B$3="変更申請",S$26=0),0,
IF(AND(テーブル!$B$3="変更申請",S$26&gt;=0),S45,
IF(テーブル!$B$3="実績報告（１次）",S45,
IF(AND(テーブル!$B$3="交付申請（２次）",S$26=0),0,
IF(AND(テーブル!$B$3="交付申請（２次）",S$26&gt;=0),S45,
IF(AND(テーブル!$B$3="交付申請兼実績報告（２次）",S$26=0),0,
IF(AND(テーブル!$B$3="交付申請兼実績報告（２次）",S$26&gt;=0),S45,
IF(AND(テーブル!$B$3="実績報告（２次）",S$26=0),0,
IF(AND(テーブル!$B$3="実績報告（２次）",S$26&gt;=0),S45)))))))))),0)</f>
        <v>0</v>
      </c>
      <c r="T29" s="1997">
        <f>IFERROR(
IF(テーブル!$B$3="交付申請",T45,
IF(AND(テーブル!$B$3="変更申請",T$26=0),0,
IF(AND(テーブル!$B$3="変更申請",T$26&gt;=0),T45,
IF(テーブル!$B$3="実績報告（１次）",T45,
IF(AND(テーブル!$B$3="交付申請（２次）",T$26=0),0,
IF(AND(テーブル!$B$3="交付申請（２次）",T$26&gt;=0),T45,
IF(AND(テーブル!$B$3="交付申請兼実績報告（２次）",T$26=0),0,
IF(AND(テーブル!$B$3="交付申請兼実績報告（２次）",T$26&gt;=0),T45,
IF(AND(テーブル!$B$3="実績報告（２次）",T$26=0),0,
IF(AND(テーブル!$B$3="実績報告（２次）",T$26&gt;=0),T45)))))))))),0)</f>
        <v>0</v>
      </c>
      <c r="U29" s="1997">
        <f>IFERROR(
IF(テーブル!$B$3="交付申請",U45,
IF(AND(テーブル!$B$3="変更申請",U$26=0),0,
IF(AND(テーブル!$B$3="変更申請",U$26&gt;=0),U45,
IF(テーブル!$B$3="実績報告（１次）",U45,
IF(AND(テーブル!$B$3="交付申請（２次）",U$26=0),0,
IF(AND(テーブル!$B$3="交付申請（２次）",U$26&gt;=0),U45,
IF(AND(テーブル!$B$3="交付申請兼実績報告（２次）",U$26=0),0,
IF(AND(テーブル!$B$3="交付申請兼実績報告（２次）",U$26&gt;=0),U45,
IF(AND(テーブル!$B$3="実績報告（２次）",U$26=0),0,
IF(AND(テーブル!$B$3="実績報告（２次）",U$26&gt;=0),U45)))))))))),0)</f>
        <v>0</v>
      </c>
      <c r="V29" s="1997">
        <f>IFERROR(
IF(テーブル!$B$3="交付申請",V45,
IF(AND(テーブル!$B$3="変更申請",V$26=0),0,
IF(AND(テーブル!$B$3="変更申請",V$26&gt;=0),V45,
IF(テーブル!$B$3="実績報告（１次）",V45,
IF(AND(テーブル!$B$3="交付申請（２次）",V$26=0),0,
IF(AND(テーブル!$B$3="交付申請（２次）",V$26&gt;=0),V45,
IF(AND(テーブル!$B$3="交付申請兼実績報告（２次）",V$26=0),0,
IF(AND(テーブル!$B$3="交付申請兼実績報告（２次）",V$26&gt;=0),V45,
IF(AND(テーブル!$B$3="実績報告（２次）",V$26=0),0,
IF(AND(テーブル!$B$3="実績報告（２次）",V$26&gt;=0),V45)))))))))),0)</f>
        <v>0</v>
      </c>
      <c r="W29" s="1997">
        <f>IFERROR(
IF(テーブル!$B$3="交付申請",W45,
IF(AND(テーブル!$B$3="変更申請",W$26=0),0,
IF(AND(テーブル!$B$3="変更申請",W$26&gt;=0),W45,
IF(テーブル!$B$3="実績報告（１次）",W45,
IF(AND(テーブル!$B$3="交付申請（２次）",W$26=0),0,
IF(AND(テーブル!$B$3="交付申請（２次）",W$26&gt;=0),W45,
IF(AND(テーブル!$B$3="交付申請兼実績報告（２次）",W$26=0),0,
IF(AND(テーブル!$B$3="交付申請兼実績報告（２次）",W$26&gt;=0),W45,
IF(AND(テーブル!$B$3="実績報告（２次）",W$26=0),0,
IF(AND(テーブル!$B$3="実績報告（２次）",W$26&gt;=0),W45)))))))))),0)</f>
        <v>0</v>
      </c>
      <c r="X29" s="1997">
        <f>IFERROR(
IF(テーブル!$B$3="交付申請",X45,
IF(AND(テーブル!$B$3="変更申請",X$26=0),0,
IF(AND(テーブル!$B$3="変更申請",X$26&gt;=0),X45,
IF(テーブル!$B$3="実績報告（１次）",X45,
IF(AND(テーブル!$B$3="交付申請（２次）",X$26=0),0,
IF(AND(テーブル!$B$3="交付申請（２次）",X$26&gt;=0),X45,
IF(AND(テーブル!$B$3="交付申請兼実績報告（２次）",X$26=0),0,
IF(AND(テーブル!$B$3="交付申請兼実績報告（２次）",X$26&gt;=0),X45,
IF(AND(テーブル!$B$3="実績報告（２次）",X$26=0),0,
IF(AND(テーブル!$B$3="実績報告（２次）",X$26&gt;=0),X45)))))))))),0)</f>
        <v>0</v>
      </c>
      <c r="Y29" s="1997">
        <f>IFERROR(
IF(テーブル!$B$3="交付申請",Y45,
IF(AND(テーブル!$B$3="変更申請",Y$26=0),0,
IF(AND(テーブル!$B$3="変更申請",Y$26&gt;=0),Y45,
IF(テーブル!$B$3="実績報告（１次）",Y45,
IF(AND(テーブル!$B$3="交付申請（２次）",Y$26=0),0,
IF(AND(テーブル!$B$3="交付申請（２次）",Y$26&gt;=0),Y45,
IF(AND(テーブル!$B$3="交付申請兼実績報告（２次）",Y$26=0),0,
IF(AND(テーブル!$B$3="交付申請兼実績報告（２次）",Y$26&gt;=0),Y45,
IF(AND(テーブル!$B$3="実績報告（２次）",Y$26=0),0,
IF(AND(テーブル!$B$3="実績報告（２次）",Y$26&gt;=0),Y45)))))))))),0)</f>
        <v>0</v>
      </c>
      <c r="Z29" s="1997">
        <f>IFERROR(
IF(テーブル!$B$3="交付申請",Z45,
IF(AND(テーブル!$B$3="変更申請",Z$26=0),0,
IF(AND(テーブル!$B$3="変更申請",Z$26&gt;=0),Z45,
IF(テーブル!$B$3="実績報告（１次）",Z45,
IF(AND(テーブル!$B$3="交付申請（２次）",Z$26=0),0,
IF(AND(テーブル!$B$3="交付申請（２次）",Z$26&gt;=0),Z45,
IF(AND(テーブル!$B$3="交付申請兼実績報告（２次）",Z$26=0),0,
IF(AND(テーブル!$B$3="交付申請兼実績報告（２次）",Z$26&gt;=0),Z45,
IF(AND(テーブル!$B$3="実績報告（２次）",Z$26=0),0,
IF(AND(テーブル!$B$3="実績報告（２次）",Z$26&gt;=0),Z45)))))))))),0)</f>
        <v>0</v>
      </c>
      <c r="AA29" s="1997">
        <f>IFERROR(
IF(テーブル!$B$3="交付申請",AA45,
IF(AND(テーブル!$B$3="変更申請",AA$26=0),0,
IF(AND(テーブル!$B$3="変更申請",AA$26&gt;=0),AA45,
IF(テーブル!$B$3="実績報告（１次）",AA45,
IF(AND(テーブル!$B$3="交付申請（２次）",AA$26=0),0,
IF(AND(テーブル!$B$3="交付申請（２次）",AA$26&gt;=0),AA45,
IF(AND(テーブル!$B$3="交付申請兼実績報告（２次）",AA$26=0),0,
IF(AND(テーブル!$B$3="交付申請兼実績報告（２次）",AA$26&gt;=0),AA45,
IF(AND(テーブル!$B$3="実績報告（２次）",AA$26=0),0,
IF(AND(テーブル!$B$3="実績報告（２次）",AA$26&gt;=0),AA45)))))))))),0)</f>
        <v>0</v>
      </c>
      <c r="AB29" s="1997">
        <f>IFERROR(
IF(テーブル!$B$3="交付申請",AB45,
IF(AND(テーブル!$B$3="変更申請",AB$26=0),0,
IF(AND(テーブル!$B$3="変更申請",AB$26&gt;=0),AB45,
IF(テーブル!$B$3="実績報告（１次）",AB45,
IF(AND(テーブル!$B$3="交付申請（２次）",AB$26=0),0,
IF(AND(テーブル!$B$3="交付申請（２次）",AB$26&gt;=0),AB45,
IF(AND(テーブル!$B$3="交付申請兼実績報告（２次）",AB$26=0),0,
IF(AND(テーブル!$B$3="交付申請兼実績報告（２次）",AB$26&gt;=0),AB45,
IF(AND(テーブル!$B$3="実績報告（２次）",AB$26=0),0,
IF(AND(テーブル!$B$3="実績報告（２次）",AB$26&gt;=0),AB45)))))))))),0)</f>
        <v>0</v>
      </c>
      <c r="AC29" s="1997">
        <f>IFERROR(
IF(テーブル!$B$3="交付申請",AC45,
IF(AND(テーブル!$B$3="変更申請",AC$26=0),0,
IF(AND(テーブル!$B$3="変更申請",AC$26&gt;=0),AC45,
IF(テーブル!$B$3="実績報告（１次）",AC45,
IF(AND(テーブル!$B$3="交付申請（２次）",AC$26=0),0,
IF(AND(テーブル!$B$3="交付申請（２次）",AC$26&gt;=0),AC45,
IF(AND(テーブル!$B$3="交付申請兼実績報告（２次）",AC$26=0),0,
IF(AND(テーブル!$B$3="交付申請兼実績報告（２次）",AC$26&gt;=0),AC45,
IF(AND(テーブル!$B$3="実績報告（２次）",AC$26=0),0,
IF(AND(テーブル!$B$3="実績報告（２次）",AC$26&gt;=0),AC45)))))))))),0)</f>
        <v>0</v>
      </c>
      <c r="AD29" s="1997">
        <f>IFERROR(
IF(テーブル!$B$3="交付申請",AD45,
IF(AND(テーブル!$B$3="変更申請",AD$26=0),0,
IF(AND(テーブル!$B$3="変更申請",AD$26&gt;=0),AD45,
IF(テーブル!$B$3="実績報告（１次）",AD45,
IF(AND(テーブル!$B$3="交付申請（２次）",AD$26=0),0,
IF(AND(テーブル!$B$3="交付申請（２次）",AD$26&gt;=0),AD45,
IF(AND(テーブル!$B$3="交付申請兼実績報告（２次）",AD$26=0),0,
IF(AND(テーブル!$B$3="交付申請兼実績報告（２次）",AD$26&gt;=0),AD45,
IF(AND(テーブル!$B$3="実績報告（２次）",AD$26=0),0,
IF(AND(テーブル!$B$3="実績報告（２次）",AD$26&gt;=0),AD45)))))))))),0)</f>
        <v>0</v>
      </c>
      <c r="AE29" s="1997">
        <f>IFERROR(
IF(テーブル!$B$3="交付申請",AE45,
IF(AND(テーブル!$B$3="変更申請",AE$26=0),0,
IF(AND(テーブル!$B$3="変更申請",AE$26&gt;=0),AE45,
IF(テーブル!$B$3="実績報告（１次）",AE45,
IF(AND(テーブル!$B$3="交付申請（２次）",AE$26=0),0,
IF(AND(テーブル!$B$3="交付申請（２次）",AE$26&gt;=0),AE45,
IF(AND(テーブル!$B$3="交付申請兼実績報告（２次）",AE$26=0),0,
IF(AND(テーブル!$B$3="交付申請兼実績報告（２次）",AE$26&gt;=0),AE45,
IF(AND(テーブル!$B$3="実績報告（２次）",AE$26=0),0,
IF(AND(テーブル!$B$3="実績報告（２次）",AE$26&gt;=0),AE45)))))))))),0)</f>
        <v>0</v>
      </c>
      <c r="AF29" s="1997">
        <f>IFERROR(
IF(テーブル!$B$3="交付申請",AF45,
IF(AND(テーブル!$B$3="変更申請",AF$26=0),0,
IF(AND(テーブル!$B$3="変更申請",AF$26&gt;=0),AF45,
IF(テーブル!$B$3="実績報告（１次）",AF45,
IF(AND(テーブル!$B$3="交付申請（２次）",AF$26=0),0,
IF(AND(テーブル!$B$3="交付申請（２次）",AF$26&gt;=0),AF45,
IF(AND(テーブル!$B$3="交付申請兼実績報告（２次）",AF$26=0),0,
IF(AND(テーブル!$B$3="交付申請兼実績報告（２次）",AF$26&gt;=0),AF45,
IF(AND(テーブル!$B$3="実績報告（２次）",AF$26=0),0,
IF(AND(テーブル!$B$3="実績報告（２次）",AF$26&gt;=0),AF45)))))))))),0)</f>
        <v>0</v>
      </c>
      <c r="AG29" s="1997">
        <f>IFERROR(
IF(テーブル!$B$3="交付申請",AG45,
IF(AND(テーブル!$B$3="変更申請",AG$26=0),0,
IF(AND(テーブル!$B$3="変更申請",AG$26&gt;=0),AG45,
IF(テーブル!$B$3="実績報告（１次）",AG45,
IF(AND(テーブル!$B$3="交付申請（２次）",AG$26=0),0,
IF(AND(テーブル!$B$3="交付申請（２次）",AG$26&gt;=0),AG45,
IF(AND(テーブル!$B$3="交付申請兼実績報告（２次）",AG$26=0),0,
IF(AND(テーブル!$B$3="交付申請兼実績報告（２次）",AG$26&gt;=0),AG45,
IF(AND(テーブル!$B$3="実績報告（２次）",AG$26=0),0,
IF(AND(テーブル!$B$3="実績報告（２次）",AG$26&gt;=0),AG45)))))))))),0)</f>
        <v>0</v>
      </c>
      <c r="AH29" s="1997">
        <f>IFERROR(
IF(テーブル!$B$3="交付申請",AH45,
IF(AND(テーブル!$B$3="変更申請",AH$26=0),0,
IF(AND(テーブル!$B$3="変更申請",AH$26&gt;=0),AH45,
IF(テーブル!$B$3="実績報告（１次）",AH45,
IF(AND(テーブル!$B$3="交付申請（２次）",AH$26=0),0,
IF(AND(テーブル!$B$3="交付申請（２次）",AH$26&gt;=0),AH45,
IF(AND(テーブル!$B$3="交付申請兼実績報告（２次）",AH$26=0),0,
IF(AND(テーブル!$B$3="交付申請兼実績報告（２次）",AH$26&gt;=0),AH45,
IF(AND(テーブル!$B$3="実績報告（２次）",AH$26=0),0,
IF(AND(テーブル!$B$3="実績報告（２次）",AH$26&gt;=0),AH45)))))))))),0)</f>
        <v>0</v>
      </c>
      <c r="AI29" s="1997">
        <f>IFERROR(
IF(テーブル!$B$3="交付申請",AI45,
IF(AND(テーブル!$B$3="変更申請",AI$26=0),0,
IF(AND(テーブル!$B$3="変更申請",AI$26&gt;=0),AI45,
IF(テーブル!$B$3="実績報告（１次）",AI45,
IF(AND(テーブル!$B$3="交付申請（２次）",AI$26=0),0,
IF(AND(テーブル!$B$3="交付申請（２次）",AI$26&gt;=0),AI45,
IF(AND(テーブル!$B$3="交付申請兼実績報告（２次）",AI$26=0),0,
IF(AND(テーブル!$B$3="交付申請兼実績報告（２次）",AI$26&gt;=0),AI45,
IF(AND(テーブル!$B$3="実績報告（２次）",AI$26=0),0,
IF(AND(テーブル!$B$3="実績報告（２次）",AI$26&gt;=0),AI45)))))))))),0)</f>
        <v>0</v>
      </c>
      <c r="AJ29" s="1997">
        <f>IFERROR(
IF(テーブル!$B$3="交付申請",AJ45,
IF(AND(テーブル!$B$3="変更申請",AJ$26=0),0,
IF(AND(テーブル!$B$3="変更申請",AJ$26&gt;=0),AJ45,
IF(テーブル!$B$3="実績報告（１次）",AJ45,
IF(AND(テーブル!$B$3="交付申請（２次）",AJ$26=0),0,
IF(AND(テーブル!$B$3="交付申請（２次）",AJ$26&gt;=0),AJ45,
IF(AND(テーブル!$B$3="交付申請兼実績報告（２次）",AJ$26=0),0,
IF(AND(テーブル!$B$3="交付申請兼実績報告（２次）",AJ$26&gt;=0),AJ45,
IF(AND(テーブル!$B$3="実績報告（２次）",AJ$26=0),0,
IF(AND(テーブル!$B$3="実績報告（２次）",AJ$26&gt;=0),AJ45)))))))))),0)</f>
        <v>0</v>
      </c>
      <c r="AK29" s="1997">
        <f>IFERROR(
IF(テーブル!$B$3="交付申請",AK45,
IF(AND(テーブル!$B$3="変更申請",AK$26=0),0,
IF(AND(テーブル!$B$3="変更申請",AK$26&gt;=0),AK45,
IF(テーブル!$B$3="実績報告（１次）",AK45,
IF(AND(テーブル!$B$3="交付申請（２次）",AK$26=0),0,
IF(AND(テーブル!$B$3="交付申請（２次）",AK$26&gt;=0),AK45,
IF(AND(テーブル!$B$3="交付申請兼実績報告（２次）",AK$26=0),0,
IF(AND(テーブル!$B$3="交付申請兼実績報告（２次）",AK$26&gt;=0),AK45,
IF(AND(テーブル!$B$3="実績報告（２次）",AK$26=0),0,
IF(AND(テーブル!$B$3="実績報告（２次）",AK$26&gt;=0),AK45)))))))))),0)</f>
        <v>0</v>
      </c>
      <c r="AL29" s="1997">
        <f>IFERROR(
IF(テーブル!$B$3="交付申請",AL45,
IF(AND(テーブル!$B$3="変更申請",AL$26=0),0,
IF(AND(テーブル!$B$3="変更申請",AL$26&gt;=0),AL45,
IF(テーブル!$B$3="実績報告（１次）",AL45,
IF(AND(テーブル!$B$3="交付申請（２次）",AL$26=0),0,
IF(AND(テーブル!$B$3="交付申請（２次）",AL$26&gt;=0),AL45,
IF(AND(テーブル!$B$3="交付申請兼実績報告（２次）",AL$26=0),0,
IF(AND(テーブル!$B$3="交付申請兼実績報告（２次）",AL$26&gt;=0),AL45,
IF(AND(テーブル!$B$3="実績報告（２次）",AL$26=0),0,
IF(AND(テーブル!$B$3="実績報告（２次）",AL$26&gt;=0),AL45)))))))))),0)</f>
        <v>0</v>
      </c>
      <c r="AM29" s="1997">
        <f>IFERROR(
IF(テーブル!$B$3="交付申請",AM45,
IF(AND(テーブル!$B$3="変更申請",AM$26=0),0,
IF(AND(テーブル!$B$3="変更申請",AM$26&gt;=0),AM45,
IF(テーブル!$B$3="実績報告（１次）",AM45,
IF(AND(テーブル!$B$3="交付申請（２次）",AM$26=0),0,
IF(AND(テーブル!$B$3="交付申請（２次）",AM$26&gt;=0),AM45,
IF(AND(テーブル!$B$3="交付申請兼実績報告（２次）",AM$26=0),0,
IF(AND(テーブル!$B$3="交付申請兼実績報告（２次）",AM$26&gt;=0),AM45,
IF(AND(テーブル!$B$3="実績報告（２次）",AM$26=0),0,
IF(AND(テーブル!$B$3="実績報告（２次）",AM$26&gt;=0),AM45)))))))))),0)</f>
        <v>0</v>
      </c>
      <c r="AN29" s="1997">
        <f>IFERROR(
IF(テーブル!$B$3="交付申請",AN45,
IF(AND(テーブル!$B$3="変更申請",AN$26=0),0,
IF(AND(テーブル!$B$3="変更申請",AN$26&gt;=0),AN45,
IF(テーブル!$B$3="実績報告（１次）",AN45,
IF(AND(テーブル!$B$3="交付申請（２次）",AN$26=0),0,
IF(AND(テーブル!$B$3="交付申請（２次）",AN$26&gt;=0),AN45,
IF(AND(テーブル!$B$3="交付申請兼実績報告（２次）",AN$26=0),0,
IF(AND(テーブル!$B$3="交付申請兼実績報告（２次）",AN$26&gt;=0),AN45,
IF(AND(テーブル!$B$3="実績報告（２次）",AN$26=0),0,
IF(AND(テーブル!$B$3="実績報告（２次）",AN$26&gt;=0),AN45)))))))))),0)</f>
        <v>0</v>
      </c>
      <c r="AO29" s="1997">
        <f>IFERROR(
IF(テーブル!$B$3="交付申請",AO45,
IF(AND(テーブル!$B$3="変更申請",AO$26=0),0,
IF(AND(テーブル!$B$3="変更申請",AO$26&gt;=0),AO45,
IF(テーブル!$B$3="実績報告（１次）",AO45,
IF(AND(テーブル!$B$3="交付申請（２次）",AO$26=0),0,
IF(AND(テーブル!$B$3="交付申請（２次）",AO$26&gt;=0),AO45,
IF(AND(テーブル!$B$3="交付申請兼実績報告（２次）",AO$26=0),0,
IF(AND(テーブル!$B$3="交付申請兼実績報告（２次）",AO$26&gt;=0),AO45,
IF(AND(テーブル!$B$3="実績報告（２次）",AO$26=0),0,
IF(AND(テーブル!$B$3="実績報告（２次）",AO$26&gt;=0),AO45)))))))))),0)</f>
        <v>0</v>
      </c>
      <c r="AP29" s="1997">
        <f>IFERROR(
IF(テーブル!$B$3="交付申請",AP45,
IF(AND(テーブル!$B$3="変更申請",AP$26=0),0,
IF(AND(テーブル!$B$3="変更申請",AP$26&gt;=0),AP45,
IF(テーブル!$B$3="実績報告（１次）",AP45,
IF(AND(テーブル!$B$3="交付申請（２次）",AP$26=0),0,
IF(AND(テーブル!$B$3="交付申請（２次）",AP$26&gt;=0),AP45,
IF(AND(テーブル!$B$3="交付申請兼実績報告（２次）",AP$26=0),0,
IF(AND(テーブル!$B$3="交付申請兼実績報告（２次）",AP$26&gt;=0),AP45,
IF(AND(テーブル!$B$3="実績報告（２次）",AP$26=0),0,
IF(AND(テーブル!$B$3="実績報告（２次）",AP$26&gt;=0),AP45)))))))))),0)</f>
        <v>0</v>
      </c>
      <c r="AQ29" s="1997">
        <f>IFERROR(
IF(テーブル!$B$3="交付申請",AQ45,
IF(AND(テーブル!$B$3="変更申請",AQ$26=0),0,
IF(AND(テーブル!$B$3="変更申請",AQ$26&gt;=0),AQ45,
IF(テーブル!$B$3="実績報告（１次）",AQ45,
IF(AND(テーブル!$B$3="交付申請（２次）",AQ$26=0),0,
IF(AND(テーブル!$B$3="交付申請（２次）",AQ$26&gt;=0),AQ45,
IF(AND(テーブル!$B$3="交付申請兼実績報告（２次）",AQ$26=0),0,
IF(AND(テーブル!$B$3="交付申請兼実績報告（２次）",AQ$26&gt;=0),AQ45,
IF(AND(テーブル!$B$3="実績報告（２次）",AQ$26=0),0,
IF(AND(テーブル!$B$3="実績報告（２次）",AQ$26&gt;=0),AQ45)))))))))),0)</f>
        <v>0</v>
      </c>
      <c r="AR29" s="1997">
        <f>IFERROR(
IF(テーブル!$B$3="交付申請",AR45,
IF(AND(テーブル!$B$3="変更申請",AR$26=0),0,
IF(AND(テーブル!$B$3="変更申請",AR$26&gt;=0),AR45,
IF(テーブル!$B$3="実績報告（１次）",AR45,
IF(AND(テーブル!$B$3="交付申請（２次）",AR$26=0),0,
IF(AND(テーブル!$B$3="交付申請（２次）",AR$26&gt;=0),AR45,
IF(AND(テーブル!$B$3="交付申請兼実績報告（２次）",AR$26=0),0,
IF(AND(テーブル!$B$3="交付申請兼実績報告（２次）",AR$26&gt;=0),AR45,
IF(AND(テーブル!$B$3="実績報告（２次）",AR$26=0),0,
IF(AND(テーブル!$B$3="実績報告（２次）",AR$26&gt;=0),AR45)))))))))),0)</f>
        <v>0</v>
      </c>
      <c r="AS29" s="1997">
        <f>IFERROR(
IF(テーブル!$B$3="交付申請",AS45,
IF(AND(テーブル!$B$3="変更申請",AS$26=0),0,
IF(AND(テーブル!$B$3="変更申請",AS$26&gt;=0),AS45,
IF(テーブル!$B$3="実績報告（１次）",AS45,
IF(AND(テーブル!$B$3="交付申請（２次）",AS$26=0),0,
IF(AND(テーブル!$B$3="交付申請（２次）",AS$26&gt;=0),AS45,
IF(AND(テーブル!$B$3="交付申請兼実績報告（２次）",AS$26=0),0,
IF(AND(テーブル!$B$3="交付申請兼実績報告（２次）",AS$26&gt;=0),AS45,
IF(AND(テーブル!$B$3="実績報告（２次）",AS$26=0),0,
IF(AND(テーブル!$B$3="実績報告（２次）",AS$26&gt;=0),AS45)))))))))),0)</f>
        <v>0</v>
      </c>
      <c r="AT29" s="1997">
        <f>IFERROR(
IF(テーブル!$B$3="交付申請",AT45,
IF(AND(テーブル!$B$3="変更申請",AT$26=0),0,
IF(AND(テーブル!$B$3="変更申請",AT$26&gt;=0),AT45,
IF(テーブル!$B$3="実績報告（１次）",AT45,
IF(AND(テーブル!$B$3="交付申請（２次）",AT$26=0),0,
IF(AND(テーブル!$B$3="交付申請（２次）",AT$26&gt;=0),AT45,
IF(AND(テーブル!$B$3="交付申請兼実績報告（２次）",AT$26=0),0,
IF(AND(テーブル!$B$3="交付申請兼実績報告（２次）",AT$26&gt;=0),AT45,
IF(AND(テーブル!$B$3="実績報告（２次）",AT$26=0),0,
IF(AND(テーブル!$B$3="実績報告（２次）",AT$26&gt;=0),AT45)))))))))),0)</f>
        <v>0</v>
      </c>
      <c r="AU29" s="1997">
        <f>IFERROR(
IF(テーブル!$B$3="交付申請",AU45,
IF(AND(テーブル!$B$3="変更申請",AU$26=0),0,
IF(AND(テーブル!$B$3="変更申請",AU$26&gt;=0),AU45,
IF(テーブル!$B$3="実績報告（１次）",AU45,
IF(AND(テーブル!$B$3="交付申請（２次）",AU$26=0),0,
IF(AND(テーブル!$B$3="交付申請（２次）",AU$26&gt;=0),AU45,
IF(AND(テーブル!$B$3="交付申請兼実績報告（２次）",AU$26=0),0,
IF(AND(テーブル!$B$3="交付申請兼実績報告（２次）",AU$26&gt;=0),AU45,
IF(AND(テーブル!$B$3="実績報告（２次）",AU$26=0),0,
IF(AND(テーブル!$B$3="実績報告（２次）",AU$26&gt;=0),AU45)))))))))),0)</f>
        <v>0</v>
      </c>
      <c r="AV29" s="1997">
        <f>IFERROR(
IF(テーブル!$B$3="交付申請",AV45,
IF(AND(テーブル!$B$3="変更申請",AV$26=0),0,
IF(AND(テーブル!$B$3="変更申請",AV$26&gt;=0),AV45,
IF(テーブル!$B$3="実績報告（１次）",AV45,
IF(AND(テーブル!$B$3="交付申請（２次）",AV$26=0),0,
IF(AND(テーブル!$B$3="交付申請（２次）",AV$26&gt;=0),AV45,
IF(AND(テーブル!$B$3="交付申請兼実績報告（２次）",AV$26=0),0,
IF(AND(テーブル!$B$3="交付申請兼実績報告（２次）",AV$26&gt;=0),AV45,
IF(AND(テーブル!$B$3="実績報告（２次）",AV$26=0),0,
IF(AND(テーブル!$B$3="実績報告（２次）",AV$26&gt;=0),AV45)))))))))),0)</f>
        <v>0</v>
      </c>
      <c r="AW29" s="1997">
        <f>IFERROR(
IF(テーブル!$B$3="交付申請",AW45,
IF(AND(テーブル!$B$3="変更申請",AW$26=0),0,
IF(AND(テーブル!$B$3="変更申請",AW$26&gt;=0),AW45,
IF(テーブル!$B$3="実績報告（１次）",AW45,
IF(AND(テーブル!$B$3="交付申請（２次）",AW$26=0),0,
IF(AND(テーブル!$B$3="交付申請（２次）",AW$26&gt;=0),AW45,
IF(AND(テーブル!$B$3="交付申請兼実績報告（２次）",AW$26=0),0,
IF(AND(テーブル!$B$3="交付申請兼実績報告（２次）",AW$26&gt;=0),AW45,
IF(AND(テーブル!$B$3="実績報告（２次）",AW$26=0),0,
IF(AND(テーブル!$B$3="実績報告（２次）",AW$26&gt;=0),AW45)))))))))),0)</f>
        <v>0</v>
      </c>
      <c r="AX29" s="1997">
        <f>IFERROR(
IF(テーブル!$B$3="交付申請",AX45,
IF(AND(テーブル!$B$3="変更申請",AX$26=0),0,
IF(AND(テーブル!$B$3="変更申請",AX$26&gt;=0),AX45,
IF(テーブル!$B$3="実績報告（１次）",AX45,
IF(AND(テーブル!$B$3="交付申請（２次）",AX$26=0),0,
IF(AND(テーブル!$B$3="交付申請（２次）",AX$26&gt;=0),AX45,
IF(AND(テーブル!$B$3="交付申請兼実績報告（２次）",AX$26=0),0,
IF(AND(テーブル!$B$3="交付申請兼実績報告（２次）",AX$26&gt;=0),AX45,
IF(AND(テーブル!$B$3="実績報告（２次）",AX$26=0),0,
IF(AND(テーブル!$B$3="実績報告（２次）",AX$26&gt;=0),AX45)))))))))),0)</f>
        <v>0</v>
      </c>
      <c r="AY29" s="1997">
        <f>IFERROR(
IF(テーブル!$B$3="交付申請",AY45,
IF(AND(テーブル!$B$3="変更申請",AY$26=0),0,
IF(AND(テーブル!$B$3="変更申請",AY$26&gt;=0),AY45,
IF(テーブル!$B$3="実績報告（１次）",AY45,
IF(AND(テーブル!$B$3="交付申請（２次）",AY$26=0),0,
IF(AND(テーブル!$B$3="交付申請（２次）",AY$26&gt;=0),AY45,
IF(AND(テーブル!$B$3="交付申請兼実績報告（２次）",AY$26=0),0,
IF(AND(テーブル!$B$3="交付申請兼実績報告（２次）",AY$26&gt;=0),AY45,
IF(AND(テーブル!$B$3="実績報告（２次）",AY$26=0),0,
IF(AND(テーブル!$B$3="実績報告（２次）",AY$26&gt;=0),AY45)))))))))),0)</f>
        <v>0</v>
      </c>
      <c r="AZ29" s="1997">
        <f>IFERROR(
IF(テーブル!$B$3="交付申請",AZ45,
IF(AND(テーブル!$B$3="変更申請",AZ$26=0),0,
IF(AND(テーブル!$B$3="変更申請",AZ$26&gt;=0),AZ45,
IF(テーブル!$B$3="実績報告（１次）",AZ45,
IF(AND(テーブル!$B$3="交付申請（２次）",AZ$26=0),0,
IF(AND(テーブル!$B$3="交付申請（２次）",AZ$26&gt;=0),AZ45,
IF(AND(テーブル!$B$3="交付申請兼実績報告（２次）",AZ$26=0),0,
IF(AND(テーブル!$B$3="交付申請兼実績報告（２次）",AZ$26&gt;=0),AZ45,
IF(AND(テーブル!$B$3="実績報告（２次）",AZ$26=0),0,
IF(AND(テーブル!$B$3="実績報告（２次）",AZ$26&gt;=0),AZ45)))))))))),0)</f>
        <v>0</v>
      </c>
      <c r="BA29" s="1997">
        <f>IFERROR(
IF(テーブル!$B$3="交付申請",BA45,
IF(AND(テーブル!$B$3="変更申請",BA$26=0),0,
IF(AND(テーブル!$B$3="変更申請",BA$26&gt;=0),BA45,
IF(テーブル!$B$3="実績報告（１次）",BA45,
IF(AND(テーブル!$B$3="交付申請（２次）",BA$26=0),0,
IF(AND(テーブル!$B$3="交付申請（２次）",BA$26&gt;=0),BA45,
IF(AND(テーブル!$B$3="交付申請兼実績報告（２次）",BA$26=0),0,
IF(AND(テーブル!$B$3="交付申請兼実績報告（２次）",BA$26&gt;=0),BA45,
IF(AND(テーブル!$B$3="実績報告（２次）",BA$26=0),0,
IF(AND(テーブル!$B$3="実績報告（２次）",BA$26&gt;=0),BA45)))))))))),0)</f>
        <v>0</v>
      </c>
      <c r="BB29" s="1997">
        <f>IFERROR(
IF(テーブル!$B$3="交付申請",BB45,
IF(AND(テーブル!$B$3="変更申請",BB$26=0),0,
IF(AND(テーブル!$B$3="変更申請",BB$26&gt;=0),BB45,
IF(テーブル!$B$3="実績報告（１次）",BB45,
IF(AND(テーブル!$B$3="交付申請（２次）",BB$26=0),0,
IF(AND(テーブル!$B$3="交付申請（２次）",BB$26&gt;=0),BB45,
IF(AND(テーブル!$B$3="交付申請兼実績報告（２次）",BB$26=0),0,
IF(AND(テーブル!$B$3="交付申請兼実績報告（２次）",BB$26&gt;=0),BB45,
IF(AND(テーブル!$B$3="実績報告（２次）",BB$26=0),0,
IF(AND(テーブル!$B$3="実績報告（２次）",BB$26&gt;=0),BB45)))))))))),0)</f>
        <v>0</v>
      </c>
      <c r="BC29" s="1997">
        <f>IFERROR(
IF(テーブル!$B$3="交付申請",BC45,
IF(AND(テーブル!$B$3="変更申請",BC$26=0),0,
IF(AND(テーブル!$B$3="変更申請",BC$26&gt;=0),BC45,
IF(テーブル!$B$3="実績報告（１次）",BC45,
IF(AND(テーブル!$B$3="交付申請（２次）",BC$26=0),0,
IF(AND(テーブル!$B$3="交付申請（２次）",BC$26&gt;=0),BC45,
IF(AND(テーブル!$B$3="交付申請兼実績報告（２次）",BC$26=0),0,
IF(AND(テーブル!$B$3="交付申請兼実績報告（２次）",BC$26&gt;=0),BC45,
IF(AND(テーブル!$B$3="実績報告（２次）",BC$26=0),0,
IF(AND(テーブル!$B$3="実績報告（２次）",BC$26&gt;=0),BC45)))))))))),0)</f>
        <v>0</v>
      </c>
      <c r="BD29" s="1997">
        <f>IFERROR(
IF(テーブル!$B$3="交付申請",BD45,
IF(AND(テーブル!$B$3="変更申請",BD$26=0),0,
IF(AND(テーブル!$B$3="変更申請",BD$26&gt;=0),BD45,
IF(テーブル!$B$3="実績報告（１次）",BD45,
IF(AND(テーブル!$B$3="交付申請（２次）",BD$26=0),0,
IF(AND(テーブル!$B$3="交付申請（２次）",BD$26&gt;=0),BD45,
IF(AND(テーブル!$B$3="交付申請兼実績報告（２次）",BD$26=0),0,
IF(AND(テーブル!$B$3="交付申請兼実績報告（２次）",BD$26&gt;=0),BD45,
IF(AND(テーブル!$B$3="実績報告（２次）",BD$26=0),0,
IF(AND(テーブル!$B$3="実績報告（２次）",BD$26&gt;=0),BD45)))))))))),0)</f>
        <v>0</v>
      </c>
      <c r="BE29" s="1997">
        <f>IFERROR(
IF(テーブル!$B$3="交付申請",BE45,
IF(AND(テーブル!$B$3="変更申請",BE$26=0),0,
IF(AND(テーブル!$B$3="変更申請",BE$26&gt;=0),BE45,
IF(テーブル!$B$3="実績報告（１次）",BE45,
IF(AND(テーブル!$B$3="交付申請（２次）",BE$26=0),0,
IF(AND(テーブル!$B$3="交付申請（２次）",BE$26&gt;=0),BE45,
IF(AND(テーブル!$B$3="交付申請兼実績報告（２次）",BE$26=0),0,
IF(AND(テーブル!$B$3="交付申請兼実績報告（２次）",BE$26&gt;=0),BE45,
IF(AND(テーブル!$B$3="実績報告（２次）",BE$26=0),0,
IF(AND(テーブル!$B$3="実績報告（２次）",BE$26&gt;=0),BE45)))))))))),0)</f>
        <v>0</v>
      </c>
      <c r="BF29" s="1997">
        <f>IFERROR(
IF(テーブル!$B$3="交付申請",BF45,
IF(AND(テーブル!$B$3="変更申請",BF$26=0),0,
IF(AND(テーブル!$B$3="変更申請",BF$26&gt;=0),BF45,
IF(テーブル!$B$3="実績報告（１次）",BF45,
IF(AND(テーブル!$B$3="交付申請（２次）",BF$26=0),0,
IF(AND(テーブル!$B$3="交付申請（２次）",BF$26&gt;=0),BF45,
IF(AND(テーブル!$B$3="交付申請兼実績報告（２次）",BF$26=0),0,
IF(AND(テーブル!$B$3="交付申請兼実績報告（２次）",BF$26&gt;=0),BF45,
IF(AND(テーブル!$B$3="実績報告（２次）",BF$26=0),0,
IF(AND(テーブル!$B$3="実績報告（２次）",BF$26&gt;=0),BF45)))))))))),0)</f>
        <v>0</v>
      </c>
      <c r="BG29" s="1997">
        <f>IFERROR(
IF(テーブル!$B$3="交付申請",BG45,
IF(AND(テーブル!$B$3="変更申請",BG$26=0),0,
IF(AND(テーブル!$B$3="変更申請",BG$26&gt;=0),BG45,
IF(テーブル!$B$3="実績報告（１次）",BG45,
IF(AND(テーブル!$B$3="交付申請（２次）",BG$26=0),0,
IF(AND(テーブル!$B$3="交付申請（２次）",BG$26&gt;=0),BG45,
IF(AND(テーブル!$B$3="交付申請兼実績報告（２次）",BG$26=0),0,
IF(AND(テーブル!$B$3="交付申請兼実績報告（２次）",BG$26&gt;=0),BG45,
IF(AND(テーブル!$B$3="実績報告（２次）",BG$26=0),0,
IF(AND(テーブル!$B$3="実績報告（２次）",BG$26&gt;=0),BG45)))))))))),0)</f>
        <v>0</v>
      </c>
      <c r="BH29" s="1997">
        <f>IFERROR(
IF(テーブル!$B$3="交付申請",BH45,
IF(AND(テーブル!$B$3="変更申請",BH$26=0),0,
IF(AND(テーブル!$B$3="変更申請",BH$26&gt;=0),BH45,
IF(テーブル!$B$3="実績報告（１次）",BH45,
IF(AND(テーブル!$B$3="交付申請（２次）",BH$26=0),0,
IF(AND(テーブル!$B$3="交付申請（２次）",BH$26&gt;=0),BH45,
IF(AND(テーブル!$B$3="交付申請兼実績報告（２次）",BH$26=0),0,
IF(AND(テーブル!$B$3="交付申請兼実績報告（２次）",BH$26&gt;=0),BH45,
IF(AND(テーブル!$B$3="実績報告（２次）",BH$26=0),0,
IF(AND(テーブル!$B$3="実績報告（２次）",BH$26&gt;=0),BH45)))))))))),0)</f>
        <v>0</v>
      </c>
      <c r="BI29" s="1997">
        <f>IFERROR(
IF(テーブル!$B$3="交付申請",BI45,
IF(AND(テーブル!$B$3="変更申請",BI$26=0),0,
IF(AND(テーブル!$B$3="変更申請",BI$26&gt;=0),BI45,
IF(テーブル!$B$3="実績報告（１次）",BI45,
IF(AND(テーブル!$B$3="交付申請（２次）",BI$26=0),0,
IF(AND(テーブル!$B$3="交付申請（２次）",BI$26&gt;=0),BI45,
IF(AND(テーブル!$B$3="交付申請兼実績報告（２次）",BI$26=0),0,
IF(AND(テーブル!$B$3="交付申請兼実績報告（２次）",BI$26&gt;=0),BI45,
IF(AND(テーブル!$B$3="実績報告（２次）",BI$26=0),0,
IF(AND(テーブル!$B$3="実績報告（２次）",BI$26&gt;=0),BI45)))))))))),0)</f>
        <v>0</v>
      </c>
      <c r="BJ29" s="1997">
        <f>IFERROR(
IF(テーブル!$B$3="交付申請",BJ45,
IF(AND(テーブル!$B$3="変更申請",BJ$26=0),0,
IF(AND(テーブル!$B$3="変更申請",BJ$26&gt;=0),BJ45,
IF(テーブル!$B$3="実績報告（１次）",BJ45,
IF(AND(テーブル!$B$3="交付申請（２次）",BJ$26=0),0,
IF(AND(テーブル!$B$3="交付申請（２次）",BJ$26&gt;=0),BJ45,
IF(AND(テーブル!$B$3="交付申請兼実績報告（２次）",BJ$26=0),0,
IF(AND(テーブル!$B$3="交付申請兼実績報告（２次）",BJ$26&gt;=0),BJ45,
IF(AND(テーブル!$B$3="実績報告（２次）",BJ$26=0),0,
IF(AND(テーブル!$B$3="実績報告（２次）",BJ$26&gt;=0),BJ45)))))))))),0)</f>
        <v>0</v>
      </c>
      <c r="BK29" s="1997">
        <f>IFERROR(
IF(テーブル!$B$3="交付申請",BK45,
IF(AND(テーブル!$B$3="変更申請",BK$26=0),0,
IF(AND(テーブル!$B$3="変更申請",BK$26&gt;=0),BK45,
IF(テーブル!$B$3="実績報告（１次）",BK45,
IF(AND(テーブル!$B$3="交付申請（２次）",BK$26=0),0,
IF(AND(テーブル!$B$3="交付申請（２次）",BK$26&gt;=0),BK45,
IF(AND(テーブル!$B$3="交付申請兼実績報告（２次）",BK$26=0),0,
IF(AND(テーブル!$B$3="交付申請兼実績報告（２次）",BK$26&gt;=0),BK45,
IF(AND(テーブル!$B$3="実績報告（２次）",BK$26=0),0,
IF(AND(テーブル!$B$3="実績報告（２次）",BK$26&gt;=0),BK45)))))))))),0)</f>
        <v>0</v>
      </c>
      <c r="BL29" s="1997">
        <f>IFERROR(
IF(テーブル!$B$3="交付申請",BL45,
IF(AND(テーブル!$B$3="変更申請",BL$26=0),0,
IF(AND(テーブル!$B$3="変更申請",BL$26&gt;=0),BL45,
IF(テーブル!$B$3="実績報告（１次）",BL45,
IF(AND(テーブル!$B$3="交付申請（２次）",BL$26=0),0,
IF(AND(テーブル!$B$3="交付申請（２次）",BL$26&gt;=0),BL45,
IF(AND(テーブル!$B$3="交付申請兼実績報告（２次）",BL$26=0),0,
IF(AND(テーブル!$B$3="交付申請兼実績報告（２次）",BL$26&gt;=0),BL45,
IF(AND(テーブル!$B$3="実績報告（２次）",BL$26=0),0,
IF(AND(テーブル!$B$3="実績報告（２次）",BL$26&gt;=0),BL45)))))))))),0)</f>
        <v>0</v>
      </c>
      <c r="BM29" s="1997">
        <f>IFERROR(
IF(テーブル!$B$3="交付申請",BM45,
IF(AND(テーブル!$B$3="変更申請",BM$26=0),0,
IF(AND(テーブル!$B$3="変更申請",BM$26&gt;=0),BM45,
IF(テーブル!$B$3="実績報告（１次）",BM45,
IF(AND(テーブル!$B$3="交付申請（２次）",BM$26=0),0,
IF(AND(テーブル!$B$3="交付申請（２次）",BM$26&gt;=0),BM45,
IF(AND(テーブル!$B$3="交付申請兼実績報告（２次）",BM$26=0),0,
IF(AND(テーブル!$B$3="交付申請兼実績報告（２次）",BM$26&gt;=0),BM45,
IF(AND(テーブル!$B$3="実績報告（２次）",BM$26=0),0,
IF(AND(テーブル!$B$3="実績報告（２次）",BM$26&gt;=0),BM45)))))))))),0)</f>
        <v>0</v>
      </c>
      <c r="BN29" s="1997">
        <f>IFERROR(
IF(テーブル!$B$3="交付申請",BN45,
IF(AND(テーブル!$B$3="変更申請",BN$26=0),0,
IF(AND(テーブル!$B$3="変更申請",BN$26&gt;=0),BN45,
IF(テーブル!$B$3="実績報告（１次）",BN45,
IF(AND(テーブル!$B$3="交付申請（２次）",BN$26=0),0,
IF(AND(テーブル!$B$3="交付申請（２次）",BN$26&gt;=0),BN45,
IF(AND(テーブル!$B$3="交付申請兼実績報告（２次）",BN$26=0),0,
IF(AND(テーブル!$B$3="交付申請兼実績報告（２次）",BN$26&gt;=0),BN45,
IF(AND(テーブル!$B$3="実績報告（２次）",BN$26=0),0,
IF(AND(テーブル!$B$3="実績報告（２次）",BN$26&gt;=0),BN45)))))))))),0)</f>
        <v>0</v>
      </c>
      <c r="BO29" s="1997">
        <f>IFERROR(
IF(テーブル!$B$3="交付申請",BO45,
IF(AND(テーブル!$B$3="変更申請",BO$26=0),0,
IF(AND(テーブル!$B$3="変更申請",BO$26&gt;=0),BO45,
IF(テーブル!$B$3="実績報告（１次）",BO45,
IF(AND(テーブル!$B$3="交付申請（２次）",BO$26=0),0,
IF(AND(テーブル!$B$3="交付申請（２次）",BO$26&gt;=0),BO45,
IF(AND(テーブル!$B$3="交付申請兼実績報告（２次）",BO$26=0),0,
IF(AND(テーブル!$B$3="交付申請兼実績報告（２次）",BO$26&gt;=0),BO45,
IF(AND(テーブル!$B$3="実績報告（２次）",BO$26=0),0,
IF(AND(テーブル!$B$3="実績報告（２次）",BO$26&gt;=0),BO45)))))))))),0)</f>
        <v>0</v>
      </c>
      <c r="BP29" s="1997">
        <f>IFERROR(
IF(テーブル!$B$3="交付申請",BP45,
IF(AND(テーブル!$B$3="変更申請",BP$26=0),0,
IF(AND(テーブル!$B$3="変更申請",BP$26&gt;=0),BP45,
IF(テーブル!$B$3="実績報告（１次）",BP45,
IF(AND(テーブル!$B$3="交付申請（２次）",BP$26=0),0,
IF(AND(テーブル!$B$3="交付申請（２次）",BP$26&gt;=0),BP45,
IF(AND(テーブル!$B$3="交付申請兼実績報告（２次）",BP$26=0),0,
IF(AND(テーブル!$B$3="交付申請兼実績報告（２次）",BP$26&gt;=0),BP45,
IF(AND(テーブル!$B$3="実績報告（２次）",BP$26=0),0,
IF(AND(テーブル!$B$3="実績報告（２次）",BP$26&gt;=0),BP45)))))))))),0)</f>
        <v>0</v>
      </c>
      <c r="BQ29" s="1997">
        <f>IFERROR(
IF(テーブル!$B$3="交付申請",BQ45,
IF(AND(テーブル!$B$3="変更申請",BQ$26=0),0,
IF(AND(テーブル!$B$3="変更申請",BQ$26&gt;=0),BQ45,
IF(テーブル!$B$3="実績報告（１次）",BQ45,
IF(AND(テーブル!$B$3="交付申請（２次）",BQ$26=0),0,
IF(AND(テーブル!$B$3="交付申請（２次）",BQ$26&gt;=0),BQ45,
IF(AND(テーブル!$B$3="交付申請兼実績報告（２次）",BQ$26=0),0,
IF(AND(テーブル!$B$3="交付申請兼実績報告（２次）",BQ$26&gt;=0),BQ45,
IF(AND(テーブル!$B$3="実績報告（２次）",BQ$26=0),0,
IF(AND(テーブル!$B$3="実績報告（２次）",BQ$26&gt;=0),BQ45)))))))))),0)</f>
        <v>0</v>
      </c>
      <c r="BR29" s="1997">
        <f>IFERROR(
IF(テーブル!$B$3="交付申請",BR45,
IF(AND(テーブル!$B$3="変更申請",BR$26=0),0,
IF(AND(テーブル!$B$3="変更申請",BR$26&gt;=0),BR45,
IF(テーブル!$B$3="実績報告（１次）",BR45,
IF(AND(テーブル!$B$3="交付申請（２次）",BR$26=0),0,
IF(AND(テーブル!$B$3="交付申請（２次）",BR$26&gt;=0),BR45,
IF(AND(テーブル!$B$3="交付申請兼実績報告（２次）",BR$26=0),0,
IF(AND(テーブル!$B$3="交付申請兼実績報告（２次）",BR$26&gt;=0),BR45,
IF(AND(テーブル!$B$3="実績報告（２次）",BR$26=0),0,
IF(AND(テーブル!$B$3="実績報告（２次）",BR$26&gt;=0),BR45)))))))))),0)</f>
        <v>0</v>
      </c>
      <c r="BS29" s="1997">
        <f>IFERROR(
IF(テーブル!$B$3="交付申請",BS45,
IF(AND(テーブル!$B$3="変更申請",BS$26=0),0,
IF(AND(テーブル!$B$3="変更申請",BS$26&gt;=0),BS45,
IF(テーブル!$B$3="実績報告（１次）",BS45,
IF(AND(テーブル!$B$3="交付申請（２次）",BS$26=0),0,
IF(AND(テーブル!$B$3="交付申請（２次）",BS$26&gt;=0),BS45,
IF(AND(テーブル!$B$3="交付申請兼実績報告（２次）",BS$26=0),0,
IF(AND(テーブル!$B$3="交付申請兼実績報告（２次）",BS$26&gt;=0),BS45,
IF(AND(テーブル!$B$3="実績報告（２次）",BS$26=0),0,
IF(AND(テーブル!$B$3="実績報告（２次）",BS$26&gt;=0),BS45)))))))))),0)</f>
        <v>0</v>
      </c>
      <c r="BT29" s="1997">
        <f>IFERROR(
IF(テーブル!$B$3="交付申請",BT45,
IF(AND(テーブル!$B$3="変更申請",BT$26=0),0,
IF(AND(テーブル!$B$3="変更申請",BT$26&gt;=0),BT45,
IF(テーブル!$B$3="実績報告（１次）",BT45,
IF(AND(テーブル!$B$3="交付申請（２次）",BT$26=0),0,
IF(AND(テーブル!$B$3="交付申請（２次）",BT$26&gt;=0),BT45,
IF(AND(テーブル!$B$3="交付申請兼実績報告（２次）",BT$26=0),0,
IF(AND(テーブル!$B$3="交付申請兼実績報告（２次）",BT$26&gt;=0),BT45,
IF(AND(テーブル!$B$3="実績報告（２次）",BT$26=0),0,
IF(AND(テーブル!$B$3="実績報告（２次）",BT$26&gt;=0),BT45)))))))))),0)</f>
        <v>0</v>
      </c>
      <c r="BU29" s="1997">
        <f>IFERROR(
IF(テーブル!$B$3="交付申請",BU45,
IF(AND(テーブル!$B$3="変更申請",BU$26=0),0,
IF(AND(テーブル!$B$3="変更申請",BU$26&gt;=0),BU45,
IF(テーブル!$B$3="実績報告（１次）",BU45,
IF(AND(テーブル!$B$3="交付申請（２次）",BU$26=0),0,
IF(AND(テーブル!$B$3="交付申請（２次）",BU$26&gt;=0),BU45,
IF(AND(テーブル!$B$3="交付申請兼実績報告（２次）",BU$26=0),0,
IF(AND(テーブル!$B$3="交付申請兼実績報告（２次）",BU$26&gt;=0),BU45,
IF(AND(テーブル!$B$3="実績報告（２次）",BU$26=0),0,
IF(AND(テーブル!$B$3="実績報告（２次）",BU$26&gt;=0),BU45)))))))))),0)</f>
        <v>0</v>
      </c>
      <c r="BV29" s="1997">
        <f>IFERROR(
IF(テーブル!$B$3="交付申請",BV45,
IF(AND(テーブル!$B$3="変更申請",BV$26=0),0,
IF(AND(テーブル!$B$3="変更申請",BV$26&gt;=0),BV45,
IF(テーブル!$B$3="実績報告（１次）",BV45,
IF(AND(テーブル!$B$3="交付申請（２次）",BV$26=0),0,
IF(AND(テーブル!$B$3="交付申請（２次）",BV$26&gt;=0),BV45,
IF(AND(テーブル!$B$3="交付申請兼実績報告（２次）",BV$26=0),0,
IF(AND(テーブル!$B$3="交付申請兼実績報告（２次）",BV$26&gt;=0),BV45,
IF(AND(テーブル!$B$3="実績報告（２次）",BV$26=0),0,
IF(AND(テーブル!$B$3="実績報告（２次）",BV$26&gt;=0),BV45)))))))))),0)</f>
        <v>0</v>
      </c>
      <c r="BW29" s="1997">
        <f>IFERROR(
IF(テーブル!$B$3="交付申請",BW45,
IF(AND(テーブル!$B$3="変更申請",BW$26=0),0,
IF(AND(テーブル!$B$3="変更申請",BW$26&gt;=0),BW45,
IF(テーブル!$B$3="実績報告（１次）",BW45,
IF(AND(テーブル!$B$3="交付申請（２次）",BW$26=0),0,
IF(AND(テーブル!$B$3="交付申請（２次）",BW$26&gt;=0),BW45,
IF(AND(テーブル!$B$3="交付申請兼実績報告（２次）",BW$26=0),0,
IF(AND(テーブル!$B$3="交付申請兼実績報告（２次）",BW$26&gt;=0),BW45,
IF(AND(テーブル!$B$3="実績報告（２次）",BW$26=0),0,
IF(AND(テーブル!$B$3="実績報告（２次）",BW$26&gt;=0),BW45)))))))))),0)</f>
        <v>0</v>
      </c>
      <c r="BX29" s="1997">
        <f>IFERROR(
IF(テーブル!$B$3="交付申請",BX45,
IF(AND(テーブル!$B$3="変更申請",BX$26=0),0,
IF(AND(テーブル!$B$3="変更申請",BX$26&gt;=0),BX45,
IF(テーブル!$B$3="実績報告（１次）",BX45,
IF(AND(テーブル!$B$3="交付申請（２次）",BX$26=0),0,
IF(AND(テーブル!$B$3="交付申請（２次）",BX$26&gt;=0),BX45,
IF(AND(テーブル!$B$3="交付申請兼実績報告（２次）",BX$26=0),0,
IF(AND(テーブル!$B$3="交付申請兼実績報告（２次）",BX$26&gt;=0),BX45,
IF(AND(テーブル!$B$3="実績報告（２次）",BX$26=0),0,
IF(AND(テーブル!$B$3="実績報告（２次）",BX$26&gt;=0),BX45)))))))))),0)</f>
        <v>0</v>
      </c>
      <c r="BY29" s="1997">
        <f>IFERROR(
IF(テーブル!$B$3="交付申請",BY45,
IF(AND(テーブル!$B$3="変更申請",BY$26=0),0,
IF(AND(テーブル!$B$3="変更申請",BY$26&gt;=0),BY45,
IF(テーブル!$B$3="実績報告（１次）",BY45,
IF(AND(テーブル!$B$3="交付申請（２次）",BY$26=0),0,
IF(AND(テーブル!$B$3="交付申請（２次）",BY$26&gt;=0),BY45,
IF(AND(テーブル!$B$3="交付申請兼実績報告（２次）",BY$26=0),0,
IF(AND(テーブル!$B$3="交付申請兼実績報告（２次）",BY$26&gt;=0),BY45,
IF(AND(テーブル!$B$3="実績報告（２次）",BY$26=0),0,
IF(AND(テーブル!$B$3="実績報告（２次）",BY$26&gt;=0),BY45)))))))))),0)</f>
        <v>0</v>
      </c>
      <c r="BZ29" s="1997">
        <f>IFERROR(
IF(テーブル!$B$3="交付申請",BZ45,
IF(AND(テーブル!$B$3="変更申請",BZ$26=0),0,
IF(AND(テーブル!$B$3="変更申請",BZ$26&gt;=0),BZ45,
IF(テーブル!$B$3="実績報告（１次）",BZ45,
IF(AND(テーブル!$B$3="交付申請（２次）",BZ$26=0),0,
IF(AND(テーブル!$B$3="交付申請（２次）",BZ$26&gt;=0),BZ45,
IF(AND(テーブル!$B$3="交付申請兼実績報告（２次）",BZ$26=0),0,
IF(AND(テーブル!$B$3="交付申請兼実績報告（２次）",BZ$26&gt;=0),BZ45,
IF(AND(テーブル!$B$3="実績報告（２次）",BZ$26=0),0,
IF(AND(テーブル!$B$3="実績報告（２次）",BZ$26&gt;=0),BZ45)))))))))),0)</f>
        <v>0</v>
      </c>
      <c r="CA29" s="1997">
        <f>IFERROR(
IF(テーブル!$B$3="交付申請",CA45,
IF(AND(テーブル!$B$3="変更申請",CA$26=0),0,
IF(AND(テーブル!$B$3="変更申請",CA$26&gt;=0),CA45,
IF(テーブル!$B$3="実績報告（１次）",CA45,
IF(AND(テーブル!$B$3="交付申請（２次）",CA$26=0),0,
IF(AND(テーブル!$B$3="交付申請（２次）",CA$26&gt;=0),CA45,
IF(AND(テーブル!$B$3="交付申請兼実績報告（２次）",CA$26=0),0,
IF(AND(テーブル!$B$3="交付申請兼実績報告（２次）",CA$26&gt;=0),CA45,
IF(AND(テーブル!$B$3="実績報告（２次）",CA$26=0),0,
IF(AND(テーブル!$B$3="実績報告（２次）",CA$26&gt;=0),CA45)))))))))),0)</f>
        <v>0</v>
      </c>
      <c r="CB29" s="1997">
        <f>IFERROR(
IF(テーブル!$B$3="交付申請",CB45,
IF(AND(テーブル!$B$3="変更申請",CB$26=0),0,
IF(AND(テーブル!$B$3="変更申請",CB$26&gt;=0),CB45,
IF(テーブル!$B$3="実績報告（１次）",CB45,
IF(AND(テーブル!$B$3="交付申請（２次）",CB$26=0),0,
IF(AND(テーブル!$B$3="交付申請（２次）",CB$26&gt;=0),CB45,
IF(AND(テーブル!$B$3="交付申請兼実績報告（２次）",CB$26=0),0,
IF(AND(テーブル!$B$3="交付申請兼実績報告（２次）",CB$26&gt;=0),CB45,
IF(AND(テーブル!$B$3="実績報告（２次）",CB$26=0),0,
IF(AND(テーブル!$B$3="実績報告（２次）",CB$26&gt;=0),CB45)))))))))),0)</f>
        <v>0</v>
      </c>
      <c r="CC29" s="1997">
        <f>IFERROR(
IF(テーブル!$B$3="交付申請",CC45,
IF(AND(テーブル!$B$3="変更申請",CC$26=0),0,
IF(AND(テーブル!$B$3="変更申請",CC$26&gt;=0),CC45,
IF(テーブル!$B$3="実績報告（１次）",CC45,
IF(AND(テーブル!$B$3="交付申請（２次）",CC$26=0),0,
IF(AND(テーブル!$B$3="交付申請（２次）",CC$26&gt;=0),CC45,
IF(AND(テーブル!$B$3="交付申請兼実績報告（２次）",CC$26=0),0,
IF(AND(テーブル!$B$3="交付申請兼実績報告（２次）",CC$26&gt;=0),CC45,
IF(AND(テーブル!$B$3="実績報告（２次）",CC$26=0),0,
IF(AND(テーブル!$B$3="実績報告（２次）",CC$26&gt;=0),CC45)))))))))),0)</f>
        <v>0</v>
      </c>
      <c r="CD29" s="1997">
        <f>IFERROR(
IF(テーブル!$B$3="交付申請",CD45,
IF(AND(テーブル!$B$3="変更申請",CD$26=0),0,
IF(AND(テーブル!$B$3="変更申請",CD$26&gt;=0),CD45,
IF(テーブル!$B$3="実績報告（１次）",CD45,
IF(AND(テーブル!$B$3="交付申請（２次）",CD$26=0),0,
IF(AND(テーブル!$B$3="交付申請（２次）",CD$26&gt;=0),CD45,
IF(AND(テーブル!$B$3="交付申請兼実績報告（２次）",CD$26=0),0,
IF(AND(テーブル!$B$3="交付申請兼実績報告（２次）",CD$26&gt;=0),CD45,
IF(AND(テーブル!$B$3="実績報告（２次）",CD$26=0),0,
IF(AND(テーブル!$B$3="実績報告（２次）",CD$26&gt;=0),CD45)))))))))),0)</f>
        <v>0</v>
      </c>
      <c r="CE29" s="1997">
        <f>IFERROR(
IF(テーブル!$B$3="交付申請",CE45,
IF(AND(テーブル!$B$3="変更申請",CE$26=0),0,
IF(AND(テーブル!$B$3="変更申請",CE$26&gt;=0),CE45,
IF(テーブル!$B$3="実績報告（１次）",CE45,
IF(AND(テーブル!$B$3="交付申請（２次）",CE$26=0),0,
IF(AND(テーブル!$B$3="交付申請（２次）",CE$26&gt;=0),CE45,
IF(AND(テーブル!$B$3="交付申請兼実績報告（２次）",CE$26=0),0,
IF(AND(テーブル!$B$3="交付申請兼実績報告（２次）",CE$26&gt;=0),CE45,
IF(AND(テーブル!$B$3="実績報告（２次）",CE$26=0),0,
IF(AND(テーブル!$B$3="実績報告（２次）",CE$26&gt;=0),CE45)))))))))),0)</f>
        <v>0</v>
      </c>
      <c r="CF29" s="1997">
        <f>IFERROR(
IF(テーブル!$B$3="交付申請",CF45,
IF(AND(テーブル!$B$3="変更申請",CF$26=0),0,
IF(AND(テーブル!$B$3="変更申請",CF$26&gt;=0),CF45,
IF(テーブル!$B$3="実績報告（１次）",CF45,
IF(AND(テーブル!$B$3="交付申請（２次）",CF$26=0),0,
IF(AND(テーブル!$B$3="交付申請（２次）",CF$26&gt;=0),CF45,
IF(AND(テーブル!$B$3="交付申請兼実績報告（２次）",CF$26=0),0,
IF(AND(テーブル!$B$3="交付申請兼実績報告（２次）",CF$26&gt;=0),CF45,
IF(AND(テーブル!$B$3="実績報告（２次）",CF$26=0),0,
IF(AND(テーブル!$B$3="実績報告（２次）",CF$26&gt;=0),CF45)))))))))),0)</f>
        <v>0</v>
      </c>
      <c r="CG29" s="1997">
        <f>IFERROR(
IF(テーブル!$B$3="交付申請",CG45,
IF(AND(テーブル!$B$3="変更申請",CG$26=0),0,
IF(AND(テーブル!$B$3="変更申請",CG$26&gt;=0),CG45,
IF(テーブル!$B$3="実績報告（１次）",CG45,
IF(AND(テーブル!$B$3="交付申請（２次）",CG$26=0),0,
IF(AND(テーブル!$B$3="交付申請（２次）",CG$26&gt;=0),CG45,
IF(AND(テーブル!$B$3="交付申請兼実績報告（２次）",CG$26=0),0,
IF(AND(テーブル!$B$3="交付申請兼実績報告（２次）",CG$26&gt;=0),CG45,
IF(AND(テーブル!$B$3="実績報告（２次）",CG$26=0),0,
IF(AND(テーブル!$B$3="実績報告（２次）",CG$26&gt;=0),CG45)))))))))),0)</f>
        <v>0</v>
      </c>
      <c r="CH29" s="1997">
        <f>IFERROR(
IF(テーブル!$B$3="交付申請",CH45,
IF(AND(テーブル!$B$3="変更申請",CH$26=0),0,
IF(AND(テーブル!$B$3="変更申請",CH$26&gt;=0),CH45,
IF(テーブル!$B$3="実績報告（１次）",CH45,
IF(AND(テーブル!$B$3="交付申請（２次）",CH$26=0),0,
IF(AND(テーブル!$B$3="交付申請（２次）",CH$26&gt;=0),CH45,
IF(AND(テーブル!$B$3="交付申請兼実績報告（２次）",CH$26=0),0,
IF(AND(テーブル!$B$3="交付申請兼実績報告（２次）",CH$26&gt;=0),CH45,
IF(AND(テーブル!$B$3="実績報告（２次）",CH$26=0),0,
IF(AND(テーブル!$B$3="実績報告（２次）",CH$26&gt;=0),CH45)))))))))),0)</f>
        <v>0</v>
      </c>
      <c r="CI29" s="1997">
        <f>IFERROR(
IF(テーブル!$B$3="交付申請",CI45,
IF(AND(テーブル!$B$3="変更申請",CI$26=0),0,
IF(AND(テーブル!$B$3="変更申請",CI$26&gt;=0),CI45,
IF(テーブル!$B$3="実績報告（１次）",CI45,
IF(AND(テーブル!$B$3="交付申請（２次）",CI$26=0),0,
IF(AND(テーブル!$B$3="交付申請（２次）",CI$26&gt;=0),CI45,
IF(AND(テーブル!$B$3="交付申請兼実績報告（２次）",CI$26=0),0,
IF(AND(テーブル!$B$3="交付申請兼実績報告（２次）",CI$26&gt;=0),CI45,
IF(AND(テーブル!$B$3="実績報告（２次）",CI$26=0),0,
IF(AND(テーブル!$B$3="実績報告（２次）",CI$26&gt;=0),CI45)))))))))),0)</f>
        <v>0</v>
      </c>
      <c r="CJ29" s="1997">
        <f>IFERROR(
IF(テーブル!$B$3="交付申請",CJ45,
IF(AND(テーブル!$B$3="変更申請",CJ$26=0),0,
IF(AND(テーブル!$B$3="変更申請",CJ$26&gt;=0),CJ45,
IF(テーブル!$B$3="実績報告（１次）",CJ45,
IF(AND(テーブル!$B$3="交付申請（２次）",CJ$26=0),0,
IF(AND(テーブル!$B$3="交付申請（２次）",CJ$26&gt;=0),CJ45,
IF(AND(テーブル!$B$3="交付申請兼実績報告（２次）",CJ$26=0),0,
IF(AND(テーブル!$B$3="交付申請兼実績報告（２次）",CJ$26&gt;=0),CJ45,
IF(AND(テーブル!$B$3="実績報告（２次）",CJ$26=0),0,
IF(AND(テーブル!$B$3="実績報告（２次）",CJ$26&gt;=0),CJ45)))))))))),0)</f>
        <v>0</v>
      </c>
      <c r="CK29" s="1997">
        <f>IFERROR(
IF(テーブル!$B$3="交付申請",CK45,
IF(AND(テーブル!$B$3="変更申請",CK$26=0),0,
IF(AND(テーブル!$B$3="変更申請",CK$26&gt;=0),CK45,
IF(テーブル!$B$3="実績報告（１次）",CK45,
IF(AND(テーブル!$B$3="交付申請（２次）",CK$26=0),0,
IF(AND(テーブル!$B$3="交付申請（２次）",CK$26&gt;=0),CK45,
IF(AND(テーブル!$B$3="交付申請兼実績報告（２次）",CK$26=0),0,
IF(AND(テーブル!$B$3="交付申請兼実績報告（２次）",CK$26&gt;=0),CK45,
IF(AND(テーブル!$B$3="実績報告（２次）",CK$26=0),0,
IF(AND(テーブル!$B$3="実績報告（２次）",CK$26&gt;=0),CK45)))))))))),0)</f>
        <v>0</v>
      </c>
      <c r="CL29" s="1997">
        <f>IFERROR(
IF(テーブル!$B$3="交付申請",CL45,
IF(AND(テーブル!$B$3="変更申請",CL$26=0),0,
IF(AND(テーブル!$B$3="変更申請",CL$26&gt;=0),CL45,
IF(テーブル!$B$3="実績報告（１次）",CL45,
IF(AND(テーブル!$B$3="交付申請（２次）",CL$26=0),0,
IF(AND(テーブル!$B$3="交付申請（２次）",CL$26&gt;=0),CL45,
IF(AND(テーブル!$B$3="交付申請兼実績報告（２次）",CL$26=0),0,
IF(AND(テーブル!$B$3="交付申請兼実績報告（２次）",CL$26&gt;=0),CL45,
IF(AND(テーブル!$B$3="実績報告（２次）",CL$26=0),0,
IF(AND(テーブル!$B$3="実績報告（２次）",CL$26&gt;=0),CL45)))))))))),0)</f>
        <v>0</v>
      </c>
      <c r="CM29" s="1997">
        <f>IFERROR(
IF(テーブル!$B$3="交付申請",CM45,
IF(AND(テーブル!$B$3="変更申請",CM$26=0),0,
IF(AND(テーブル!$B$3="変更申請",CM$26&gt;=0),CM45,
IF(テーブル!$B$3="実績報告（１次）",CM45,
IF(AND(テーブル!$B$3="交付申請（２次）",CM$26=0),0,
IF(AND(テーブル!$B$3="交付申請（２次）",CM$26&gt;=0),CM45,
IF(AND(テーブル!$B$3="交付申請兼実績報告（２次）",CM$26=0),0,
IF(AND(テーブル!$B$3="交付申請兼実績報告（２次）",CM$26&gt;=0),CM45,
IF(AND(テーブル!$B$3="実績報告（２次）",CM$26=0),0,
IF(AND(テーブル!$B$3="実績報告（２次）",CM$26&gt;=0),CM45)))))))))),0)</f>
        <v>0</v>
      </c>
      <c r="CN29" s="1997">
        <f>IFERROR(
IF(テーブル!$B$3="交付申請",CN45,
IF(AND(テーブル!$B$3="変更申請",CN$26=0),0,
IF(AND(テーブル!$B$3="変更申請",CN$26&gt;=0),CN45,
IF(テーブル!$B$3="実績報告（１次）",CN45,
IF(AND(テーブル!$B$3="交付申請（２次）",CN$26=0),0,
IF(AND(テーブル!$B$3="交付申請（２次）",CN$26&gt;=0),CN45,
IF(AND(テーブル!$B$3="交付申請兼実績報告（２次）",CN$26=0),0,
IF(AND(テーブル!$B$3="交付申請兼実績報告（２次）",CN$26&gt;=0),CN45,
IF(AND(テーブル!$B$3="実績報告（２次）",CN$26=0),0,
IF(AND(テーブル!$B$3="実績報告（２次）",CN$26&gt;=0),CN45)))))))))),0)</f>
        <v>0</v>
      </c>
      <c r="CO29" s="1997">
        <f>IFERROR(
IF(テーブル!$B$3="交付申請",CO45,
IF(AND(テーブル!$B$3="変更申請",CO$26=0),0,
IF(AND(テーブル!$B$3="変更申請",CO$26&gt;=0),CO45,
IF(テーブル!$B$3="実績報告（１次）",CO45,
IF(AND(テーブル!$B$3="交付申請（２次）",CO$26=0),0,
IF(AND(テーブル!$B$3="交付申請（２次）",CO$26&gt;=0),CO45,
IF(AND(テーブル!$B$3="交付申請兼実績報告（２次）",CO$26=0),0,
IF(AND(テーブル!$B$3="交付申請兼実績報告（２次）",CO$26&gt;=0),CO45,
IF(AND(テーブル!$B$3="実績報告（２次）",CO$26=0),0,
IF(AND(テーブル!$B$3="実績報告（２次）",CO$26&gt;=0),CO45)))))))))),0)</f>
        <v>0</v>
      </c>
      <c r="CP29" s="1997">
        <f>IFERROR(
IF(テーブル!$B$3="交付申請",CP45,
IF(AND(テーブル!$B$3="変更申請",CP$26=0),0,
IF(AND(テーブル!$B$3="変更申請",CP$26&gt;=0),CP45,
IF(テーブル!$B$3="実績報告（１次）",CP45,
IF(AND(テーブル!$B$3="交付申請（２次）",CP$26=0),0,
IF(AND(テーブル!$B$3="交付申請（２次）",CP$26&gt;=0),CP45,
IF(AND(テーブル!$B$3="交付申請兼実績報告（２次）",CP$26=0),0,
IF(AND(テーブル!$B$3="交付申請兼実績報告（２次）",CP$26&gt;=0),CP45,
IF(AND(テーブル!$B$3="実績報告（２次）",CP$26=0),0,
IF(AND(テーブル!$B$3="実績報告（２次）",CP$26&gt;=0),CP45)))))))))),0)</f>
        <v>0</v>
      </c>
      <c r="CQ29" s="1997">
        <f>IFERROR(
IF(テーブル!$B$3="交付申請",CQ45,
IF(AND(テーブル!$B$3="変更申請",CQ$26=0),0,
IF(AND(テーブル!$B$3="変更申請",CQ$26&gt;=0),CQ45,
IF(テーブル!$B$3="実績報告（１次）",CQ45,
IF(AND(テーブル!$B$3="交付申請（２次）",CQ$26=0),0,
IF(AND(テーブル!$B$3="交付申請（２次）",CQ$26&gt;=0),CQ45,
IF(AND(テーブル!$B$3="交付申請兼実績報告（２次）",CQ$26=0),0,
IF(AND(テーブル!$B$3="交付申請兼実績報告（２次）",CQ$26&gt;=0),CQ45,
IF(AND(テーブル!$B$3="実績報告（２次）",CQ$26=0),0,
IF(AND(テーブル!$B$3="実績報告（２次）",CQ$26&gt;=0),CQ45)))))))))),0)</f>
        <v>0</v>
      </c>
      <c r="CR29" s="1997">
        <f>IFERROR(
IF(テーブル!$B$3="交付申請",CR45,
IF(AND(テーブル!$B$3="変更申請",CR$26=0),0,
IF(AND(テーブル!$B$3="変更申請",CR$26&gt;=0),CR45,
IF(テーブル!$B$3="実績報告（１次）",CR45,
IF(AND(テーブル!$B$3="交付申請（２次）",CR$26=0),0,
IF(AND(テーブル!$B$3="交付申請（２次）",CR$26&gt;=0),CR45,
IF(AND(テーブル!$B$3="交付申請兼実績報告（２次）",CR$26=0),0,
IF(AND(テーブル!$B$3="交付申請兼実績報告（２次）",CR$26&gt;=0),CR45,
IF(AND(テーブル!$B$3="実績報告（２次）",CR$26=0),0,
IF(AND(テーブル!$B$3="実績報告（２次）",CR$26&gt;=0),CR45)))))))))),0)</f>
        <v>0</v>
      </c>
      <c r="CS29" s="1997">
        <f>IFERROR(
IF(テーブル!$B$3="交付申請",CS45,
IF(AND(テーブル!$B$3="変更申請",CS$26=0),0,
IF(AND(テーブル!$B$3="変更申請",CS$26&gt;=0),CS45,
IF(テーブル!$B$3="実績報告（１次）",CS45,
IF(AND(テーブル!$B$3="交付申請（２次）",CS$26=0),0,
IF(AND(テーブル!$B$3="交付申請（２次）",CS$26&gt;=0),CS45,
IF(AND(テーブル!$B$3="交付申請兼実績報告（２次）",CS$26=0),0,
IF(AND(テーブル!$B$3="交付申請兼実績報告（２次）",CS$26&gt;=0),CS45,
IF(AND(テーブル!$B$3="実績報告（２次）",CS$26=0),0,
IF(AND(テーブル!$B$3="実績報告（２次）",CS$26&gt;=0),CS45)))))))))),0)</f>
        <v>0</v>
      </c>
      <c r="CT29" s="1997">
        <f>IFERROR(
IF(テーブル!$B$3="交付申請",CT45,
IF(AND(テーブル!$B$3="変更申請",CT$26=0),0,
IF(AND(テーブル!$B$3="変更申請",CT$26&gt;=0),CT45,
IF(テーブル!$B$3="実績報告（１次）",CT45,
IF(AND(テーブル!$B$3="交付申請（２次）",CT$26=0),0,
IF(AND(テーブル!$B$3="交付申請（２次）",CT$26&gt;=0),CT45,
IF(AND(テーブル!$B$3="交付申請兼実績報告（２次）",CT$26=0),0,
IF(AND(テーブル!$B$3="交付申請兼実績報告（２次）",CT$26&gt;=0),CT45,
IF(AND(テーブル!$B$3="実績報告（２次）",CT$26=0),0,
IF(AND(テーブル!$B$3="実績報告（２次）",CT$26&gt;=0),CT45)))))))))),0)</f>
        <v>0</v>
      </c>
      <c r="CU29" s="1997">
        <f>IFERROR(
IF(テーブル!$B$3="交付申請",CU45,
IF(AND(テーブル!$B$3="変更申請",CU$26=0),0,
IF(AND(テーブル!$B$3="変更申請",CU$26&gt;=0),CU45,
IF(テーブル!$B$3="実績報告（１次）",CU45,
IF(AND(テーブル!$B$3="交付申請（２次）",CU$26=0),0,
IF(AND(テーブル!$B$3="交付申請（２次）",CU$26&gt;=0),CU45,
IF(AND(テーブル!$B$3="交付申請兼実績報告（２次）",CU$26=0),0,
IF(AND(テーブル!$B$3="交付申請兼実績報告（２次）",CU$26&gt;=0),CU45,
IF(AND(テーブル!$B$3="実績報告（２次）",CU$26=0),0,
IF(AND(テーブル!$B$3="実績報告（２次）",CU$26&gt;=0),CU45)))))))))),0)</f>
        <v>0</v>
      </c>
      <c r="CV29" s="1997">
        <f>IFERROR(
IF(テーブル!$B$3="交付申請",CV45,
IF(AND(テーブル!$B$3="変更申請",CV$26=0),0,
IF(AND(テーブル!$B$3="変更申請",CV$26&gt;=0),CV45,
IF(テーブル!$B$3="実績報告（１次）",CV45,
IF(AND(テーブル!$B$3="交付申請（２次）",CV$26=0),0,
IF(AND(テーブル!$B$3="交付申請（２次）",CV$26&gt;=0),CV45,
IF(AND(テーブル!$B$3="交付申請兼実績報告（２次）",CV$26=0),0,
IF(AND(テーブル!$B$3="交付申請兼実績報告（２次）",CV$26&gt;=0),CV45,
IF(AND(テーブル!$B$3="実績報告（２次）",CV$26=0),0,
IF(AND(テーブル!$B$3="実績報告（２次）",CV$26&gt;=0),CV45)))))))))),0)</f>
        <v>0</v>
      </c>
      <c r="CW29" s="1997">
        <f>IFERROR(
IF(テーブル!$B$3="交付申請",CW45,
IF(AND(テーブル!$B$3="変更申請",CW$26=0),0,
IF(AND(テーブル!$B$3="変更申請",CW$26&gt;=0),CW45,
IF(テーブル!$B$3="実績報告（１次）",CW45,
IF(AND(テーブル!$B$3="交付申請（２次）",CW$26=0),0,
IF(AND(テーブル!$B$3="交付申請（２次）",CW$26&gt;=0),CW45,
IF(AND(テーブル!$B$3="交付申請兼実績報告（２次）",CW$26=0),0,
IF(AND(テーブル!$B$3="交付申請兼実績報告（２次）",CW$26&gt;=0),CW45,
IF(AND(テーブル!$B$3="実績報告（２次）",CW$26=0),0,
IF(AND(テーブル!$B$3="実績報告（２次）",CW$26&gt;=0),CW45)))))))))),0)</f>
        <v>0</v>
      </c>
      <c r="CX29" s="1997">
        <f>IFERROR(
IF(テーブル!$B$3="交付申請",CX45,
IF(AND(テーブル!$B$3="変更申請",CX$26=0),0,
IF(AND(テーブル!$B$3="変更申請",CX$26&gt;=0),CX45,
IF(テーブル!$B$3="実績報告（１次）",CX45,
IF(AND(テーブル!$B$3="交付申請（２次）",CX$26=0),0,
IF(AND(テーブル!$B$3="交付申請（２次）",CX$26&gt;=0),CX45,
IF(AND(テーブル!$B$3="交付申請兼実績報告（２次）",CX$26=0),0,
IF(AND(テーブル!$B$3="交付申請兼実績報告（２次）",CX$26&gt;=0),CX45,
IF(AND(テーブル!$B$3="実績報告（２次）",CX$26=0),0,
IF(AND(テーブル!$B$3="実績報告（２次）",CX$26&gt;=0),CX45)))))))))),0)</f>
        <v>0</v>
      </c>
      <c r="CY29" s="1997">
        <f>IFERROR(
IF(テーブル!$B$3="交付申請",CY45,
IF(AND(テーブル!$B$3="変更申請",CY$26=0),0,
IF(AND(テーブル!$B$3="変更申請",CY$26&gt;=0),CY45,
IF(テーブル!$B$3="実績報告（１次）",CY45,
IF(AND(テーブル!$B$3="交付申請（２次）",CY$26=0),0,
IF(AND(テーブル!$B$3="交付申請（２次）",CY$26&gt;=0),CY45,
IF(AND(テーブル!$B$3="交付申請兼実績報告（２次）",CY$26=0),0,
IF(AND(テーブル!$B$3="交付申請兼実績報告（２次）",CY$26&gt;=0),CY45,
IF(AND(テーブル!$B$3="実績報告（２次）",CY$26=0),0,
IF(AND(テーブル!$B$3="実績報告（２次）",CY$26&gt;=0),CY45)))))))))),0)</f>
        <v>0</v>
      </c>
      <c r="CZ29" s="1997">
        <f>IFERROR(
IF(テーブル!$B$3="交付申請",CZ45,
IF(AND(テーブル!$B$3="変更申請",CZ$26=0),0,
IF(AND(テーブル!$B$3="変更申請",CZ$26&gt;=0),CZ45,
IF(テーブル!$B$3="実績報告（１次）",CZ45,
IF(AND(テーブル!$B$3="交付申請（２次）",CZ$26=0),0,
IF(AND(テーブル!$B$3="交付申請（２次）",CZ$26&gt;=0),CZ45,
IF(AND(テーブル!$B$3="交付申請兼実績報告（２次）",CZ$26=0),0,
IF(AND(テーブル!$B$3="交付申請兼実績報告（２次）",CZ$26&gt;=0),CZ45,
IF(AND(テーブル!$B$3="実績報告（２次）",CZ$26=0),0,
IF(AND(テーブル!$B$3="実績報告（２次）",CZ$26&gt;=0),CZ45)))))))))),0)</f>
        <v>0</v>
      </c>
      <c r="DA29" s="1997">
        <f>IFERROR(
IF(テーブル!$B$3="交付申請",DA45,
IF(AND(テーブル!$B$3="変更申請",DA$26=0),0,
IF(AND(テーブル!$B$3="変更申請",DA$26&gt;=0),DA45,
IF(テーブル!$B$3="実績報告（１次）",DA45,
IF(AND(テーブル!$B$3="交付申請（２次）",DA$26=0),0,
IF(AND(テーブル!$B$3="交付申請（２次）",DA$26&gt;=0),DA45,
IF(AND(テーブル!$B$3="交付申請兼実績報告（２次）",DA$26=0),0,
IF(AND(テーブル!$B$3="交付申請兼実績報告（２次）",DA$26&gt;=0),DA45,
IF(AND(テーブル!$B$3="実績報告（２次）",DA$26=0),0,
IF(AND(テーブル!$B$3="実績報告（２次）",DA$26&gt;=0),DA45)))))))))),0)</f>
        <v>0</v>
      </c>
      <c r="DB29" s="1997">
        <f>IFERROR(
IF(テーブル!$B$3="交付申請",DB45,
IF(AND(テーブル!$B$3="変更申請",DB$26=0),0,
IF(AND(テーブル!$B$3="変更申請",DB$26&gt;=0),DB45,
IF(テーブル!$B$3="実績報告（１次）",DB45,
IF(AND(テーブル!$B$3="交付申請（２次）",DB$26=0),0,
IF(AND(テーブル!$B$3="交付申請（２次）",DB$26&gt;=0),DB45,
IF(AND(テーブル!$B$3="交付申請兼実績報告（２次）",DB$26=0),0,
IF(AND(テーブル!$B$3="交付申請兼実績報告（２次）",DB$26&gt;=0),DB45,
IF(AND(テーブル!$B$3="実績報告（２次）",DB$26=0),0,
IF(AND(テーブル!$B$3="実績報告（２次）",DB$26&gt;=0),DB45)))))))))),0)</f>
        <v>0</v>
      </c>
      <c r="DC29" s="1997">
        <f>IFERROR(
IF(テーブル!$B$3="交付申請",DC45,
IF(AND(テーブル!$B$3="変更申請",DC$26=0),0,
IF(AND(テーブル!$B$3="変更申請",DC$26&gt;=0),DC45,
IF(テーブル!$B$3="実績報告（１次）",DC45,
IF(AND(テーブル!$B$3="交付申請（２次）",DC$26=0),0,
IF(AND(テーブル!$B$3="交付申請（２次）",DC$26&gt;=0),DC45,
IF(AND(テーブル!$B$3="交付申請兼実績報告（２次）",DC$26=0),0,
IF(AND(テーブル!$B$3="交付申請兼実績報告（２次）",DC$26&gt;=0),DC45,
IF(AND(テーブル!$B$3="実績報告（２次）",DC$26=0),0,
IF(AND(テーブル!$B$3="実績報告（２次）",DC$26&gt;=0),DC45)))))))))),0)</f>
        <v>0</v>
      </c>
      <c r="DD29" s="1997">
        <f>IFERROR(
IF(テーブル!$B$3="交付申請",DD45,
IF(AND(テーブル!$B$3="変更申請",DD$26=0),0,
IF(AND(テーブル!$B$3="変更申請",DD$26&gt;=0),DD45,
IF(テーブル!$B$3="実績報告（１次）",DD45,
IF(AND(テーブル!$B$3="交付申請（２次）",DD$26=0),0,
IF(AND(テーブル!$B$3="交付申請（２次）",DD$26&gt;=0),DD45,
IF(AND(テーブル!$B$3="交付申請兼実績報告（２次）",DD$26=0),0,
IF(AND(テーブル!$B$3="交付申請兼実績報告（２次）",DD$26&gt;=0),DD45,
IF(AND(テーブル!$B$3="実績報告（２次）",DD$26=0),0,
IF(AND(テーブル!$B$3="実績報告（２次）",DD$26&gt;=0),DD45)))))))))),0)</f>
        <v>0</v>
      </c>
      <c r="DE29" s="1997">
        <f>IFERROR(
IF(テーブル!$B$3="交付申請",DE45,
IF(AND(テーブル!$B$3="変更申請",DE$26=0),0,
IF(AND(テーブル!$B$3="変更申請",DE$26&gt;=0),DE45,
IF(テーブル!$B$3="実績報告（１次）",DE45,
IF(AND(テーブル!$B$3="交付申請（２次）",DE$26=0),0,
IF(AND(テーブル!$B$3="交付申請（２次）",DE$26&gt;=0),DE45,
IF(AND(テーブル!$B$3="交付申請兼実績報告（２次）",DE$26=0),0,
IF(AND(テーブル!$B$3="交付申請兼実績報告（２次）",DE$26&gt;=0),DE45,
IF(AND(テーブル!$B$3="実績報告（２次）",DE$26=0),0,
IF(AND(テーブル!$B$3="実績報告（２次）",DE$26&gt;=0),DE45)))))))))),0)</f>
        <v>0</v>
      </c>
      <c r="DF29" s="1997">
        <f>IFERROR(
IF(テーブル!$B$3="交付申請",DF45,
IF(AND(テーブル!$B$3="変更申請",DF$26=0),0,
IF(AND(テーブル!$B$3="変更申請",DF$26&gt;=0),DF45,
IF(テーブル!$B$3="実績報告（１次）",DF45,
IF(AND(テーブル!$B$3="交付申請（２次）",DF$26=0),0,
IF(AND(テーブル!$B$3="交付申請（２次）",DF$26&gt;=0),DF45,
IF(AND(テーブル!$B$3="交付申請兼実績報告（２次）",DF$26=0),0,
IF(AND(テーブル!$B$3="交付申請兼実績報告（２次）",DF$26&gt;=0),DF45,
IF(AND(テーブル!$B$3="実績報告（２次）",DF$26=0),0,
IF(AND(テーブル!$B$3="実績報告（２次）",DF$26&gt;=0),DF45)))))))))),0)</f>
        <v>0</v>
      </c>
      <c r="DG29" s="1997">
        <f>IFERROR(
IF(テーブル!$B$3="交付申請",DG45,
IF(AND(テーブル!$B$3="変更申請",DG$26=0),0,
IF(AND(テーブル!$B$3="変更申請",DG$26&gt;=0),DG45,
IF(テーブル!$B$3="実績報告（１次）",DG45,
IF(AND(テーブル!$B$3="交付申請（２次）",DG$26=0),0,
IF(AND(テーブル!$B$3="交付申請（２次）",DG$26&gt;=0),DG45,
IF(AND(テーブル!$B$3="交付申請兼実績報告（２次）",DG$26=0),0,
IF(AND(テーブル!$B$3="交付申請兼実績報告（２次）",DG$26&gt;=0),DG45,
IF(AND(テーブル!$B$3="実績報告（２次）",DG$26=0),0,
IF(AND(テーブル!$B$3="実績報告（２次）",DG$26&gt;=0),DG45)))))))))),0)</f>
        <v>0</v>
      </c>
      <c r="DH29" s="1997">
        <f>IFERROR(
IF(テーブル!$B$3="交付申請",DH45,
IF(AND(テーブル!$B$3="変更申請",DH$26=0),0,
IF(AND(テーブル!$B$3="変更申請",DH$26&gt;=0),DH45,
IF(テーブル!$B$3="実績報告（１次）",DH45,
IF(AND(テーブル!$B$3="交付申請（２次）",DH$26=0),0,
IF(AND(テーブル!$B$3="交付申請（２次）",DH$26&gt;=0),DH45,
IF(AND(テーブル!$B$3="交付申請兼実績報告（２次）",DH$26=0),0,
IF(AND(テーブル!$B$3="交付申請兼実績報告（２次）",DH$26&gt;=0),DH45,
IF(AND(テーブル!$B$3="実績報告（２次）",DH$26=0),0,
IF(AND(テーブル!$B$3="実績報告（２次）",DH$26&gt;=0),DH45)))))))))),0)</f>
        <v>0</v>
      </c>
      <c r="DI29" s="1997">
        <f>IFERROR(
IF(テーブル!$B$3="交付申請",DI45,
IF(AND(テーブル!$B$3="変更申請",DI$26=0),0,
IF(AND(テーブル!$B$3="変更申請",DI$26&gt;=0),DI45,
IF(テーブル!$B$3="実績報告（１次）",DI45,
IF(AND(テーブル!$B$3="交付申請（２次）",DI$26=0),0,
IF(AND(テーブル!$B$3="交付申請（２次）",DI$26&gt;=0),DI45,
IF(AND(テーブル!$B$3="交付申請兼実績報告（２次）",DI$26=0),0,
IF(AND(テーブル!$B$3="交付申請兼実績報告（２次）",DI$26&gt;=0),DI45,
IF(AND(テーブル!$B$3="実績報告（２次）",DI$26=0),0,
IF(AND(テーブル!$B$3="実績報告（２次）",DI$26&gt;=0),DI45)))))))))),0)</f>
        <v>0</v>
      </c>
      <c r="DJ29" s="1997">
        <f>IFERROR(
IF(テーブル!$B$3="交付申請",DJ45,
IF(AND(テーブル!$B$3="変更申請",DJ$26=0),0,
IF(AND(テーブル!$B$3="変更申請",DJ$26&gt;=0),DJ45,
IF(テーブル!$B$3="実績報告（１次）",DJ45,
IF(AND(テーブル!$B$3="交付申請（２次）",DJ$26=0),0,
IF(AND(テーブル!$B$3="交付申請（２次）",DJ$26&gt;=0),DJ45,
IF(AND(テーブル!$B$3="交付申請兼実績報告（２次）",DJ$26=0),0,
IF(AND(テーブル!$B$3="交付申請兼実績報告（２次）",DJ$26&gt;=0),DJ45,
IF(AND(テーブル!$B$3="実績報告（２次）",DJ$26=0),0,
IF(AND(テーブル!$B$3="実績報告（２次）",DJ$26&gt;=0),DJ45)))))))))),0)</f>
        <v>0</v>
      </c>
      <c r="DK29" s="1997">
        <f>IFERROR(
IF(テーブル!$B$3="交付申請",DK45,
IF(AND(テーブル!$B$3="変更申請",DK$26=0),0,
IF(AND(テーブル!$B$3="変更申請",DK$26&gt;=0),DK45,
IF(テーブル!$B$3="実績報告（１次）",DK45,
IF(AND(テーブル!$B$3="交付申請（２次）",DK$26=0),0,
IF(AND(テーブル!$B$3="交付申請（２次）",DK$26&gt;=0),DK45,
IF(AND(テーブル!$B$3="交付申請兼実績報告（２次）",DK$26=0),0,
IF(AND(テーブル!$B$3="交付申請兼実績報告（２次）",DK$26&gt;=0),DK45,
IF(AND(テーブル!$B$3="実績報告（２次）",DK$26=0),0,
IF(AND(テーブル!$B$3="実績報告（２次）",DK$26&gt;=0),DK45)))))))))),0)</f>
        <v>0</v>
      </c>
      <c r="DL29" s="1997">
        <f>IFERROR(
IF(テーブル!$B$3="交付申請",DL45,
IF(AND(テーブル!$B$3="変更申請",DL$26=0),0,
IF(AND(テーブル!$B$3="変更申請",DL$26&gt;=0),DL45,
IF(テーブル!$B$3="実績報告（１次）",DL45,
IF(AND(テーブル!$B$3="交付申請（２次）",DL$26=0),0,
IF(AND(テーブル!$B$3="交付申請（２次）",DL$26&gt;=0),DL45,
IF(AND(テーブル!$B$3="交付申請兼実績報告（２次）",DL$26=0),0,
IF(AND(テーブル!$B$3="交付申請兼実績報告（２次）",DL$26&gt;=0),DL45,
IF(AND(テーブル!$B$3="実績報告（２次）",DL$26=0),0,
IF(AND(テーブル!$B$3="実績報告（２次）",DL$26&gt;=0),DL45)))))))))),0)</f>
        <v>0</v>
      </c>
      <c r="DM29" s="1997">
        <f>IFERROR(
IF(テーブル!$B$3="交付申請",DM45,
IF(AND(テーブル!$B$3="変更申請",DM$26=0),0,
IF(AND(テーブル!$B$3="変更申請",DM$26&gt;=0),DM45,
IF(テーブル!$B$3="実績報告（１次）",DM45,
IF(AND(テーブル!$B$3="交付申請（２次）",DM$26=0),0,
IF(AND(テーブル!$B$3="交付申請（２次）",DM$26&gt;=0),DM45,
IF(AND(テーブル!$B$3="交付申請兼実績報告（２次）",DM$26=0),0,
IF(AND(テーブル!$B$3="交付申請兼実績報告（２次）",DM$26&gt;=0),DM45,
IF(AND(テーブル!$B$3="実績報告（２次）",DM$26=0),0,
IF(AND(テーブル!$B$3="実績報告（２次）",DM$26&gt;=0),DM45)))))))))),0)</f>
        <v>0</v>
      </c>
      <c r="DN29" s="1997">
        <f>IFERROR(
IF(テーブル!$B$3="交付申請",DN45,
IF(AND(テーブル!$B$3="変更申請",DN$26=0),0,
IF(AND(テーブル!$B$3="変更申請",DN$26&gt;=0),DN45,
IF(テーブル!$B$3="実績報告（１次）",DN45,
IF(AND(テーブル!$B$3="交付申請（２次）",DN$26=0),0,
IF(AND(テーブル!$B$3="交付申請（２次）",DN$26&gt;=0),DN45,
IF(AND(テーブル!$B$3="交付申請兼実績報告（２次）",DN$26=0),0,
IF(AND(テーブル!$B$3="交付申請兼実績報告（２次）",DN$26&gt;=0),DN45,
IF(AND(テーブル!$B$3="実績報告（２次）",DN$26=0),0,
IF(AND(テーブル!$B$3="実績報告（２次）",DN$26&gt;=0),DN45)))))))))),0)</f>
        <v>0</v>
      </c>
      <c r="DO29" s="1997">
        <f>IFERROR(
IF(テーブル!$B$3="交付申請",DO45,
IF(AND(テーブル!$B$3="変更申請",DO$26=0),0,
IF(AND(テーブル!$B$3="変更申請",DO$26&gt;=0),DO45,
IF(テーブル!$B$3="実績報告（１次）",DO45,
IF(AND(テーブル!$B$3="交付申請（２次）",DO$26=0),0,
IF(AND(テーブル!$B$3="交付申請（２次）",DO$26&gt;=0),DO45,
IF(AND(テーブル!$B$3="交付申請兼実績報告（２次）",DO$26=0),0,
IF(AND(テーブル!$B$3="交付申請兼実績報告（２次）",DO$26&gt;=0),DO45,
IF(AND(テーブル!$B$3="実績報告（２次）",DO$26=0),0,
IF(AND(テーブル!$B$3="実績報告（２次）",DO$26&gt;=0),DO45)))))))))),0)</f>
        <v>0</v>
      </c>
      <c r="DP29" s="1997">
        <f>IFERROR(
IF(テーブル!$B$3="交付申請",DP45,
IF(AND(テーブル!$B$3="変更申請",DP$26=0),0,
IF(AND(テーブル!$B$3="変更申請",DP$26&gt;=0),DP45,
IF(テーブル!$B$3="実績報告（１次）",DP45,
IF(AND(テーブル!$B$3="交付申請（２次）",DP$26=0),0,
IF(AND(テーブル!$B$3="交付申請（２次）",DP$26&gt;=0),DP45,
IF(AND(テーブル!$B$3="交付申請兼実績報告（２次）",DP$26=0),0,
IF(AND(テーブル!$B$3="交付申請兼実績報告（２次）",DP$26&gt;=0),DP45,
IF(AND(テーブル!$B$3="実績報告（２次）",DP$26=0),0,
IF(AND(テーブル!$B$3="実績報告（２次）",DP$26&gt;=0),DP45)))))))))),0)</f>
        <v>0</v>
      </c>
      <c r="DQ29" s="1997">
        <f>IFERROR(
IF(テーブル!$B$3="交付申請",DQ45,
IF(AND(テーブル!$B$3="変更申請",DQ$26=0),0,
IF(AND(テーブル!$B$3="変更申請",DQ$26&gt;=0),DQ45,
IF(テーブル!$B$3="実績報告（１次）",DQ45,
IF(AND(テーブル!$B$3="交付申請（２次）",DQ$26=0),0,
IF(AND(テーブル!$B$3="交付申請（２次）",DQ$26&gt;=0),DQ45,
IF(AND(テーブル!$B$3="交付申請兼実績報告（２次）",DQ$26=0),0,
IF(AND(テーブル!$B$3="交付申請兼実績報告（２次）",DQ$26&gt;=0),DQ45,
IF(AND(テーブル!$B$3="実績報告（２次）",DQ$26=0),0,
IF(AND(テーブル!$B$3="実績報告（２次）",DQ$26&gt;=0),DQ45)))))))))),0)</f>
        <v>0</v>
      </c>
      <c r="DR29" s="1997">
        <f>IFERROR(
IF(テーブル!$B$3="交付申請",DR45,
IF(AND(テーブル!$B$3="変更申請",DR$26=0),0,
IF(AND(テーブル!$B$3="変更申請",DR$26&gt;=0),DR45,
IF(テーブル!$B$3="実績報告（１次）",DR45,
IF(AND(テーブル!$B$3="交付申請（２次）",DR$26=0),0,
IF(AND(テーブル!$B$3="交付申請（２次）",DR$26&gt;=0),DR45,
IF(AND(テーブル!$B$3="交付申請兼実績報告（２次）",DR$26=0),0,
IF(AND(テーブル!$B$3="交付申請兼実績報告（２次）",DR$26&gt;=0),DR45,
IF(AND(テーブル!$B$3="実績報告（２次）",DR$26=0),0,
IF(AND(テーブル!$B$3="実績報告（２次）",DR$26&gt;=0),DR45)))))))))),0)</f>
        <v>0</v>
      </c>
      <c r="DS29" s="1997">
        <f>IFERROR(
IF(テーブル!$B$3="交付申請",DS45,
IF(AND(テーブル!$B$3="変更申請",DS$26=0),0,
IF(AND(テーブル!$B$3="変更申請",DS$26&gt;=0),DS45,
IF(テーブル!$B$3="実績報告（１次）",DS45,
IF(AND(テーブル!$B$3="交付申請（２次）",DS$26=0),0,
IF(AND(テーブル!$B$3="交付申請（２次）",DS$26&gt;=0),DS45,
IF(AND(テーブル!$B$3="交付申請兼実績報告（２次）",DS$26=0),0,
IF(AND(テーブル!$B$3="交付申請兼実績報告（２次）",DS$26&gt;=0),DS45,
IF(AND(テーブル!$B$3="実績報告（２次）",DS$26=0),0,
IF(AND(テーブル!$B$3="実績報告（２次）",DS$26&gt;=0),DS45)))))))))),0)</f>
        <v>0</v>
      </c>
      <c r="DT29" s="1997">
        <f>IFERROR(
IF(テーブル!$B$3="交付申請",DT45,
IF(AND(テーブル!$B$3="変更申請",DT$26=0),0,
IF(AND(テーブル!$B$3="変更申請",DT$26&gt;=0),DT45,
IF(テーブル!$B$3="実績報告（１次）",DT45,
IF(AND(テーブル!$B$3="交付申請（２次）",DT$26=0),0,
IF(AND(テーブル!$B$3="交付申請（２次）",DT$26&gt;=0),DT45,
IF(AND(テーブル!$B$3="交付申請兼実績報告（２次）",DT$26=0),0,
IF(AND(テーブル!$B$3="交付申請兼実績報告（２次）",DT$26&gt;=0),DT45,
IF(AND(テーブル!$B$3="実績報告（２次）",DT$26=0),0,
IF(AND(テーブル!$B$3="実績報告（２次）",DT$26&gt;=0),DT45)))))))))),0)</f>
        <v>0</v>
      </c>
      <c r="DU29" s="1997">
        <f>IFERROR(
IF(テーブル!$B$3="交付申請",DU45,
IF(AND(テーブル!$B$3="変更申請",DU$26=0),0,
IF(AND(テーブル!$B$3="変更申請",DU$26&gt;=0),DU45,
IF(テーブル!$B$3="実績報告（１次）",DU45,
IF(AND(テーブル!$B$3="交付申請（２次）",DU$26=0),0,
IF(AND(テーブル!$B$3="交付申請（２次）",DU$26&gt;=0),DU45,
IF(AND(テーブル!$B$3="交付申請兼実績報告（２次）",DU$26=0),0,
IF(AND(テーブル!$B$3="交付申請兼実績報告（２次）",DU$26&gt;=0),DU45,
IF(AND(テーブル!$B$3="実績報告（２次）",DU$26=0),0,
IF(AND(テーブル!$B$3="実績報告（２次）",DU$26&gt;=0),DU45)))))))))),0)</f>
        <v>0</v>
      </c>
      <c r="DV29" s="1997">
        <f>IFERROR(
IF(テーブル!$B$3="交付申請",DV45,
IF(AND(テーブル!$B$3="変更申請",DV$26=0),0,
IF(AND(テーブル!$B$3="変更申請",DV$26&gt;=0),DV45,
IF(テーブル!$B$3="実績報告（１次）",DV45,
IF(AND(テーブル!$B$3="交付申請（２次）",DV$26=0),0,
IF(AND(テーブル!$B$3="交付申請（２次）",DV$26&gt;=0),DV45,
IF(AND(テーブル!$B$3="交付申請兼実績報告（２次）",DV$26=0),0,
IF(AND(テーブル!$B$3="交付申請兼実績報告（２次）",DV$26&gt;=0),DV45,
IF(AND(テーブル!$B$3="実績報告（２次）",DV$26=0),0,
IF(AND(テーブル!$B$3="実績報告（２次）",DV$26&gt;=0),DV45)))))))))),0)</f>
        <v>0</v>
      </c>
      <c r="DW29" s="1997">
        <f>IFERROR(
IF(テーブル!$B$3="交付申請",DW45,
IF(AND(テーブル!$B$3="変更申請",DW$26=0),0,
IF(AND(テーブル!$B$3="変更申請",DW$26&gt;=0),DW45,
IF(テーブル!$B$3="実績報告（１次）",DW45,
IF(AND(テーブル!$B$3="交付申請（２次）",DW$26=0),0,
IF(AND(テーブル!$B$3="交付申請（２次）",DW$26&gt;=0),DW45,
IF(AND(テーブル!$B$3="交付申請兼実績報告（２次）",DW$26=0),0,
IF(AND(テーブル!$B$3="交付申請兼実績報告（２次）",DW$26&gt;=0),DW45,
IF(AND(テーブル!$B$3="実績報告（２次）",DW$26=0),0,
IF(AND(テーブル!$B$3="実績報告（２次）",DW$26&gt;=0),DW45)))))))))),0)</f>
        <v>0</v>
      </c>
      <c r="DX29" s="1997">
        <f>IFERROR(
IF(テーブル!$B$3="交付申請",DX45,
IF(AND(テーブル!$B$3="変更申請",DX$26=0),0,
IF(AND(テーブル!$B$3="変更申請",DX$26&gt;=0),DX45,
IF(テーブル!$B$3="実績報告（１次）",DX45,
IF(AND(テーブル!$B$3="交付申請（２次）",DX$26=0),0,
IF(AND(テーブル!$B$3="交付申請（２次）",DX$26&gt;=0),DX45,
IF(AND(テーブル!$B$3="交付申請兼実績報告（２次）",DX$26=0),0,
IF(AND(テーブル!$B$3="交付申請兼実績報告（２次）",DX$26&gt;=0),DX45,
IF(AND(テーブル!$B$3="実績報告（２次）",DX$26=0),0,
IF(AND(テーブル!$B$3="実績報告（２次）",DX$26&gt;=0),DX45)))))))))),0)</f>
        <v>0</v>
      </c>
      <c r="DY29" s="1997">
        <f>IFERROR(
IF(テーブル!$B$3="交付申請",DY45,
IF(AND(テーブル!$B$3="変更申請",DY$26=0),0,
IF(AND(テーブル!$B$3="変更申請",DY$26&gt;=0),DY45,
IF(テーブル!$B$3="実績報告（１次）",DY45,
IF(AND(テーブル!$B$3="交付申請（２次）",DY$26=0),0,
IF(AND(テーブル!$B$3="交付申請（２次）",DY$26&gt;=0),DY45,
IF(AND(テーブル!$B$3="交付申請兼実績報告（２次）",DY$26=0),0,
IF(AND(テーブル!$B$3="交付申請兼実績報告（２次）",DY$26&gt;=0),DY45,
IF(AND(テーブル!$B$3="実績報告（２次）",DY$26=0),0,
IF(AND(テーブル!$B$3="実績報告（２次）",DY$26&gt;=0),DY45)))))))))),0)</f>
        <v>0</v>
      </c>
      <c r="DZ29" s="1997">
        <f>IFERROR(
IF(テーブル!$B$3="交付申請",DZ45,
IF(AND(テーブル!$B$3="変更申請",DZ$26=0),0,
IF(AND(テーブル!$B$3="変更申請",DZ$26&gt;=0),DZ45,
IF(テーブル!$B$3="実績報告（１次）",DZ45,
IF(AND(テーブル!$B$3="交付申請（２次）",DZ$26=0),0,
IF(AND(テーブル!$B$3="交付申請（２次）",DZ$26&gt;=0),DZ45,
IF(AND(テーブル!$B$3="交付申請兼実績報告（２次）",DZ$26=0),0,
IF(AND(テーブル!$B$3="交付申請兼実績報告（２次）",DZ$26&gt;=0),DZ45,
IF(AND(テーブル!$B$3="実績報告（２次）",DZ$26=0),0,
IF(AND(テーブル!$B$3="実績報告（２次）",DZ$26&gt;=0),DZ45)))))))))),0)</f>
        <v>0</v>
      </c>
      <c r="EA29" s="1997">
        <f>IFERROR(
IF(テーブル!$B$3="交付申請",EA45,
IF(AND(テーブル!$B$3="変更申請",EA$26=0),0,
IF(AND(テーブル!$B$3="変更申請",EA$26&gt;=0),EA45,
IF(テーブル!$B$3="実績報告（１次）",EA45,
IF(AND(テーブル!$B$3="交付申請（２次）",EA$26=0),0,
IF(AND(テーブル!$B$3="交付申請（２次）",EA$26&gt;=0),EA45,
IF(AND(テーブル!$B$3="交付申請兼実績報告（２次）",EA$26=0),0,
IF(AND(テーブル!$B$3="交付申請兼実績報告（２次）",EA$26&gt;=0),EA45,
IF(AND(テーブル!$B$3="実績報告（２次）",EA$26=0),0,
IF(AND(テーブル!$B$3="実績報告（２次）",EA$26&gt;=0),EA45)))))))))),0)</f>
        <v>0</v>
      </c>
      <c r="EB29" s="1997">
        <f>IFERROR(
IF(テーブル!$B$3="交付申請",EB45,
IF(AND(テーブル!$B$3="変更申請",EB$26=0),0,
IF(AND(テーブル!$B$3="変更申請",EB$26&gt;=0),EB45,
IF(テーブル!$B$3="実績報告（１次）",EB45,
IF(AND(テーブル!$B$3="交付申請（２次）",EB$26=0),0,
IF(AND(テーブル!$B$3="交付申請（２次）",EB$26&gt;=0),EB45,
IF(AND(テーブル!$B$3="交付申請兼実績報告（２次）",EB$26=0),0,
IF(AND(テーブル!$B$3="交付申請兼実績報告（２次）",EB$26&gt;=0),EB45,
IF(AND(テーブル!$B$3="実績報告（２次）",EB$26=0),0,
IF(AND(テーブル!$B$3="実績報告（２次）",EB$26&gt;=0),EB45)))))))))),0)</f>
        <v>0</v>
      </c>
      <c r="EC29" s="1997">
        <f>IFERROR(
IF(テーブル!$B$3="交付申請",EC45,
IF(AND(テーブル!$B$3="変更申請",EC$26=0),0,
IF(AND(テーブル!$B$3="変更申請",EC$26&gt;=0),EC45,
IF(テーブル!$B$3="実績報告（１次）",EC45,
IF(AND(テーブル!$B$3="交付申請（２次）",EC$26=0),0,
IF(AND(テーブル!$B$3="交付申請（２次）",EC$26&gt;=0),EC45,
IF(AND(テーブル!$B$3="交付申請兼実績報告（２次）",EC$26=0),0,
IF(AND(テーブル!$B$3="交付申請兼実績報告（２次）",EC$26&gt;=0),EC45,
IF(AND(テーブル!$B$3="実績報告（２次）",EC$26=0),0,
IF(AND(テーブル!$B$3="実績報告（２次）",EC$26&gt;=0),EC45)))))))))),0)</f>
        <v>0</v>
      </c>
      <c r="ED29" s="1997">
        <f>IFERROR(
IF(テーブル!$B$3="交付申請",ED45,
IF(AND(テーブル!$B$3="変更申請",ED$26=0),0,
IF(AND(テーブル!$B$3="変更申請",ED$26&gt;=0),ED45,
IF(テーブル!$B$3="実績報告（１次）",ED45,
IF(AND(テーブル!$B$3="交付申請（２次）",ED$26=0),0,
IF(AND(テーブル!$B$3="交付申請（２次）",ED$26&gt;=0),ED45,
IF(AND(テーブル!$B$3="交付申請兼実績報告（２次）",ED$26=0),0,
IF(AND(テーブル!$B$3="交付申請兼実績報告（２次）",ED$26&gt;=0),ED45,
IF(AND(テーブル!$B$3="実績報告（２次）",ED$26=0),0,
IF(AND(テーブル!$B$3="実績報告（２次）",ED$26&gt;=0),ED45)))))))))),0)</f>
        <v>0</v>
      </c>
      <c r="EE29" s="1997">
        <f>IFERROR(
IF(テーブル!$B$3="交付申請",EE45,
IF(AND(テーブル!$B$3="変更申請",EE$26=0),0,
IF(AND(テーブル!$B$3="変更申請",EE$26&gt;=0),EE45,
IF(テーブル!$B$3="実績報告（１次）",EE45,
IF(AND(テーブル!$B$3="交付申請（２次）",EE$26=0),0,
IF(AND(テーブル!$B$3="交付申請（２次）",EE$26&gt;=0),EE45,
IF(AND(テーブル!$B$3="交付申請兼実績報告（２次）",EE$26=0),0,
IF(AND(テーブル!$B$3="交付申請兼実績報告（２次）",EE$26&gt;=0),EE45,
IF(AND(テーブル!$B$3="実績報告（２次）",EE$26=0),0,
IF(AND(テーブル!$B$3="実績報告（２次）",EE$26&gt;=0),EE45)))))))))),0)</f>
        <v>0</v>
      </c>
      <c r="EF29" s="1997">
        <f>IFERROR(
IF(テーブル!$B$3="交付申請",EF45,
IF(AND(テーブル!$B$3="変更申請",EF$26=0),0,
IF(AND(テーブル!$B$3="変更申請",EF$26&gt;=0),EF45,
IF(テーブル!$B$3="実績報告（１次）",EF45,
IF(AND(テーブル!$B$3="交付申請（２次）",EF$26=0),0,
IF(AND(テーブル!$B$3="交付申請（２次）",EF$26&gt;=0),EF45,
IF(AND(テーブル!$B$3="交付申請兼実績報告（２次）",EF$26=0),0,
IF(AND(テーブル!$B$3="交付申請兼実績報告（２次）",EF$26&gt;=0),EF45,
IF(AND(テーブル!$B$3="実績報告（２次）",EF$26=0),0,
IF(AND(テーブル!$B$3="実績報告（２次）",EF$26&gt;=0),EF45)))))))))),0)</f>
        <v>0</v>
      </c>
      <c r="EG29" s="1997">
        <f>IFERROR(
IF(テーブル!$B$3="交付申請",EG45,
IF(AND(テーブル!$B$3="変更申請",EG$26=0),0,
IF(AND(テーブル!$B$3="変更申請",EG$26&gt;=0),EG45,
IF(テーブル!$B$3="実績報告（１次）",EG45,
IF(AND(テーブル!$B$3="交付申請（２次）",EG$26=0),0,
IF(AND(テーブル!$B$3="交付申請（２次）",EG$26&gt;=0),EG45,
IF(AND(テーブル!$B$3="交付申請兼実績報告（２次）",EG$26=0),0,
IF(AND(テーブル!$B$3="交付申請兼実績報告（２次）",EG$26&gt;=0),EG45,
IF(AND(テーブル!$B$3="実績報告（２次）",EG$26=0),0,
IF(AND(テーブル!$B$3="実績報告（２次）",EG$26&gt;=0),EG45)))))))))),0)</f>
        <v>0</v>
      </c>
      <c r="EH29" s="1997">
        <f>IFERROR(
IF(テーブル!$B$3="交付申請",EH45,
IF(AND(テーブル!$B$3="変更申請",EH$26=0),0,
IF(AND(テーブル!$B$3="変更申請",EH$26&gt;=0),EH45,
IF(テーブル!$B$3="実績報告（１次）",EH45,
IF(AND(テーブル!$B$3="交付申請（２次）",EH$26=0),0,
IF(AND(テーブル!$B$3="交付申請（２次）",EH$26&gt;=0),EH45,
IF(AND(テーブル!$B$3="交付申請兼実績報告（２次）",EH$26=0),0,
IF(AND(テーブル!$B$3="交付申請兼実績報告（２次）",EH$26&gt;=0),EH45,
IF(AND(テーブル!$B$3="実績報告（２次）",EH$26=0),0,
IF(AND(テーブル!$B$3="実績報告（２次）",EH$26&gt;=0),EH45)))))))))),0)</f>
        <v>0</v>
      </c>
      <c r="EI29" s="1997">
        <f>IFERROR(
IF(テーブル!$B$3="交付申請",EI45,
IF(AND(テーブル!$B$3="変更申請",EI$26=0),0,
IF(AND(テーブル!$B$3="変更申請",EI$26&gt;=0),EI45,
IF(テーブル!$B$3="実績報告（１次）",EI45,
IF(AND(テーブル!$B$3="交付申請（２次）",EI$26=0),0,
IF(AND(テーブル!$B$3="交付申請（２次）",EI$26&gt;=0),EI45,
IF(AND(テーブル!$B$3="交付申請兼実績報告（２次）",EI$26=0),0,
IF(AND(テーブル!$B$3="交付申請兼実績報告（２次）",EI$26&gt;=0),EI45,
IF(AND(テーブル!$B$3="実績報告（２次）",EI$26=0),0,
IF(AND(テーブル!$B$3="実績報告（２次）",EI$26&gt;=0),EI45)))))))))),0)</f>
        <v>0</v>
      </c>
      <c r="EJ29" s="1997">
        <f>IFERROR(
IF(テーブル!$B$3="交付申請",EJ45,
IF(AND(テーブル!$B$3="変更申請",EJ$26=0),0,
IF(AND(テーブル!$B$3="変更申請",EJ$26&gt;=0),EJ45,
IF(テーブル!$B$3="実績報告（１次）",EJ45,
IF(AND(テーブル!$B$3="交付申請（２次）",EJ$26=0),0,
IF(AND(テーブル!$B$3="交付申請（２次）",EJ$26&gt;=0),EJ45,
IF(AND(テーブル!$B$3="交付申請兼実績報告（２次）",EJ$26=0),0,
IF(AND(テーブル!$B$3="交付申請兼実績報告（２次）",EJ$26&gt;=0),EJ45,
IF(AND(テーブル!$B$3="実績報告（２次）",EJ$26=0),0,
IF(AND(テーブル!$B$3="実績報告（２次）",EJ$26&gt;=0),EJ45)))))))))),0)</f>
        <v>0</v>
      </c>
      <c r="EK29" s="1997">
        <f>IFERROR(
IF(テーブル!$B$3="交付申請",EK45,
IF(AND(テーブル!$B$3="変更申請",EK$26=0),0,
IF(AND(テーブル!$B$3="変更申請",EK$26&gt;=0),EK45,
IF(テーブル!$B$3="実績報告（１次）",EK45,
IF(AND(テーブル!$B$3="交付申請（２次）",EK$26=0),0,
IF(AND(テーブル!$B$3="交付申請（２次）",EK$26&gt;=0),EK45,
IF(AND(テーブル!$B$3="交付申請兼実績報告（２次）",EK$26=0),0,
IF(AND(テーブル!$B$3="交付申請兼実績報告（２次）",EK$26&gt;=0),EK45,
IF(AND(テーブル!$B$3="実績報告（２次）",EK$26=0),0,
IF(AND(テーブル!$B$3="実績報告（２次）",EK$26&gt;=0),EK45)))))))))),0)</f>
        <v>0</v>
      </c>
      <c r="EL29" s="1997">
        <f>IFERROR(
IF(テーブル!$B$3="交付申請",EL45,
IF(AND(テーブル!$B$3="変更申請",EL$26=0),0,
IF(AND(テーブル!$B$3="変更申請",EL$26&gt;=0),EL45,
IF(テーブル!$B$3="実績報告（１次）",EL45,
IF(AND(テーブル!$B$3="交付申請（２次）",EL$26=0),0,
IF(AND(テーブル!$B$3="交付申請（２次）",EL$26&gt;=0),EL45,
IF(AND(テーブル!$B$3="交付申請兼実績報告（２次）",EL$26=0),0,
IF(AND(テーブル!$B$3="交付申請兼実績報告（２次）",EL$26&gt;=0),EL45,
IF(AND(テーブル!$B$3="実績報告（２次）",EL$26=0),0,
IF(AND(テーブル!$B$3="実績報告（２次）",EL$26&gt;=0),EL45)))))))))),0)</f>
        <v>0</v>
      </c>
      <c r="EM29" s="1997">
        <f>IFERROR(
IF(テーブル!$B$3="交付申請",EM45,
IF(AND(テーブル!$B$3="変更申請",EM$26=0),0,
IF(AND(テーブル!$B$3="変更申請",EM$26&gt;=0),EM45,
IF(テーブル!$B$3="実績報告（１次）",EM45,
IF(AND(テーブル!$B$3="交付申請（２次）",EM$26=0),0,
IF(AND(テーブル!$B$3="交付申請（２次）",EM$26&gt;=0),EM45,
IF(AND(テーブル!$B$3="交付申請兼実績報告（２次）",EM$26=0),0,
IF(AND(テーブル!$B$3="交付申請兼実績報告（２次）",EM$26&gt;=0),EM45,
IF(AND(テーブル!$B$3="実績報告（２次）",EM$26=0),0,
IF(AND(テーブル!$B$3="実績報告（２次）",EM$26&gt;=0),EM45)))))))))),0)</f>
        <v>0</v>
      </c>
      <c r="EN29" s="1997">
        <f>IFERROR(
IF(テーブル!$B$3="交付申請",EN45,
IF(AND(テーブル!$B$3="変更申請",EN$26=0),0,
IF(AND(テーブル!$B$3="変更申請",EN$26&gt;=0),EN45,
IF(テーブル!$B$3="実績報告（１次）",EN45,
IF(AND(テーブル!$B$3="交付申請（２次）",EN$26=0),0,
IF(AND(テーブル!$B$3="交付申請（２次）",EN$26&gt;=0),EN45,
IF(AND(テーブル!$B$3="交付申請兼実績報告（２次）",EN$26=0),0,
IF(AND(テーブル!$B$3="交付申請兼実績報告（２次）",EN$26&gt;=0),EN45,
IF(AND(テーブル!$B$3="実績報告（２次）",EN$26=0),0,
IF(AND(テーブル!$B$3="実績報告（２次）",EN$26&gt;=0),EN45)))))))))),0)</f>
        <v>0</v>
      </c>
      <c r="EO29" s="1997">
        <f>IFERROR(
IF(テーブル!$B$3="交付申請",EO45,
IF(AND(テーブル!$B$3="変更申請",EO$26=0),0,
IF(AND(テーブル!$B$3="変更申請",EO$26&gt;=0),EO45,
IF(テーブル!$B$3="実績報告（１次）",EO45,
IF(AND(テーブル!$B$3="交付申請（２次）",EO$26=0),0,
IF(AND(テーブル!$B$3="交付申請（２次）",EO$26&gt;=0),EO45,
IF(AND(テーブル!$B$3="交付申請兼実績報告（２次）",EO$26=0),0,
IF(AND(テーブル!$B$3="交付申請兼実績報告（２次）",EO$26&gt;=0),EO45,
IF(AND(テーブル!$B$3="実績報告（２次）",EO$26=0),0,
IF(AND(テーブル!$B$3="実績報告（２次）",EO$26&gt;=0),EO45)))))))))),0)</f>
        <v>0</v>
      </c>
      <c r="EP29" s="1997">
        <f>IFERROR(
IF(テーブル!$B$3="交付申請",EP45,
IF(AND(テーブル!$B$3="変更申請",EP$26=0),0,
IF(AND(テーブル!$B$3="変更申請",EP$26&gt;=0),EP45,
IF(テーブル!$B$3="実績報告（１次）",EP45,
IF(AND(テーブル!$B$3="交付申請（２次）",EP$26=0),0,
IF(AND(テーブル!$B$3="交付申請（２次）",EP$26&gt;=0),EP45,
IF(AND(テーブル!$B$3="交付申請兼実績報告（２次）",EP$26=0),0,
IF(AND(テーブル!$B$3="交付申請兼実績報告（２次）",EP$26&gt;=0),EP45,
IF(AND(テーブル!$B$3="実績報告（２次）",EP$26=0),0,
IF(AND(テーブル!$B$3="実績報告（２次）",EP$26&gt;=0),EP45)))))))))),0)</f>
        <v>0</v>
      </c>
      <c r="EQ29" s="1997">
        <f>IFERROR(
IF(テーブル!$B$3="交付申請",EQ45,
IF(AND(テーブル!$B$3="変更申請",EQ$26=0),0,
IF(AND(テーブル!$B$3="変更申請",EQ$26&gt;=0),EQ45,
IF(テーブル!$B$3="実績報告（１次）",EQ45,
IF(AND(テーブル!$B$3="交付申請（２次）",EQ$26=0),0,
IF(AND(テーブル!$B$3="交付申請（２次）",EQ$26&gt;=0),EQ45,
IF(AND(テーブル!$B$3="交付申請兼実績報告（２次）",EQ$26=0),0,
IF(AND(テーブル!$B$3="交付申請兼実績報告（２次）",EQ$26&gt;=0),EQ45,
IF(AND(テーブル!$B$3="実績報告（２次）",EQ$26=0),0,
IF(AND(テーブル!$B$3="実績報告（２次）",EQ$26&gt;=0),EQ45)))))))))),0)</f>
        <v>0</v>
      </c>
      <c r="ER29" s="1997">
        <f>IFERROR(
IF(テーブル!$B$3="交付申請",ER45,
IF(AND(テーブル!$B$3="変更申請",ER$26=0),0,
IF(AND(テーブル!$B$3="変更申請",ER$26&gt;=0),ER45,
IF(テーブル!$B$3="実績報告（１次）",ER45,
IF(AND(テーブル!$B$3="交付申請（２次）",ER$26=0),0,
IF(AND(テーブル!$B$3="交付申請（２次）",ER$26&gt;=0),ER45,
IF(AND(テーブル!$B$3="交付申請兼実績報告（２次）",ER$26=0),0,
IF(AND(テーブル!$B$3="交付申請兼実績報告（２次）",ER$26&gt;=0),ER45,
IF(AND(テーブル!$B$3="実績報告（２次）",ER$26=0),0,
IF(AND(テーブル!$B$3="実績報告（２次）",ER$26&gt;=0),ER45)))))))))),0)</f>
        <v>0</v>
      </c>
      <c r="ES29" s="1997">
        <f>IFERROR(
IF(テーブル!$B$3="交付申請",ES45,
IF(AND(テーブル!$B$3="変更申請",ES$26=0),0,
IF(AND(テーブル!$B$3="変更申請",ES$26&gt;=0),ES45,
IF(テーブル!$B$3="実績報告（１次）",ES45,
IF(AND(テーブル!$B$3="交付申請（２次）",ES$26=0),0,
IF(AND(テーブル!$B$3="交付申請（２次）",ES$26&gt;=0),ES45,
IF(AND(テーブル!$B$3="交付申請兼実績報告（２次）",ES$26=0),0,
IF(AND(テーブル!$B$3="交付申請兼実績報告（２次）",ES$26&gt;=0),ES45,
IF(AND(テーブル!$B$3="実績報告（２次）",ES$26=0),0,
IF(AND(テーブル!$B$3="実績報告（２次）",ES$26&gt;=0),ES45)))))))))),0)</f>
        <v>0</v>
      </c>
      <c r="ET29" s="1997">
        <f>IFERROR(
IF(テーブル!$B$3="交付申請",ET45,
IF(AND(テーブル!$B$3="変更申請",ET$26=0),0,
IF(AND(テーブル!$B$3="変更申請",ET$26&gt;=0),ET45,
IF(テーブル!$B$3="実績報告（１次）",ET45,
IF(AND(テーブル!$B$3="交付申請（２次）",ET$26=0),0,
IF(AND(テーブル!$B$3="交付申請（２次）",ET$26&gt;=0),ET45,
IF(AND(テーブル!$B$3="交付申請兼実績報告（２次）",ET$26=0),0,
IF(AND(テーブル!$B$3="交付申請兼実績報告（２次）",ET$26&gt;=0),ET45,
IF(AND(テーブル!$B$3="実績報告（２次）",ET$26=0),0,
IF(AND(テーブル!$B$3="実績報告（２次）",ET$26&gt;=0),ET45)))))))))),0)</f>
        <v>0</v>
      </c>
      <c r="EU29" s="1997">
        <f>IFERROR(
IF(テーブル!$B$3="交付申請",EU45,
IF(AND(テーブル!$B$3="変更申請",EU$26=0),0,
IF(AND(テーブル!$B$3="変更申請",EU$26&gt;=0),EU45,
IF(テーブル!$B$3="実績報告（１次）",EU45,
IF(AND(テーブル!$B$3="交付申請（２次）",EU$26=0),0,
IF(AND(テーブル!$B$3="交付申請（２次）",EU$26&gt;=0),EU45,
IF(AND(テーブル!$B$3="交付申請兼実績報告（２次）",EU$26=0),0,
IF(AND(テーブル!$B$3="交付申請兼実績報告（２次）",EU$26&gt;=0),EU45,
IF(AND(テーブル!$B$3="実績報告（２次）",EU$26=0),0,
IF(AND(テーブル!$B$3="実績報告（２次）",EU$26&gt;=0),EU45)))))))))),0)</f>
        <v>0</v>
      </c>
      <c r="EV29" s="1997">
        <f>IFERROR(
IF(テーブル!$B$3="交付申請",EV45,
IF(AND(テーブル!$B$3="変更申請",EV$26=0),0,
IF(AND(テーブル!$B$3="変更申請",EV$26&gt;=0),EV45,
IF(テーブル!$B$3="実績報告（１次）",EV45,
IF(AND(テーブル!$B$3="交付申請（２次）",EV$26=0),0,
IF(AND(テーブル!$B$3="交付申請（２次）",EV$26&gt;=0),EV45,
IF(AND(テーブル!$B$3="交付申請兼実績報告（２次）",EV$26=0),0,
IF(AND(テーブル!$B$3="交付申請兼実績報告（２次）",EV$26&gt;=0),EV45,
IF(AND(テーブル!$B$3="実績報告（２次）",EV$26=0),0,
IF(AND(テーブル!$B$3="実績報告（２次）",EV$26&gt;=0),EV45)))))))))),0)</f>
        <v>0</v>
      </c>
      <c r="EW29" s="1997">
        <f>IFERROR(
IF(テーブル!$B$3="交付申請",EW45,
IF(AND(テーブル!$B$3="変更申請",EW$26=0),0,
IF(AND(テーブル!$B$3="変更申請",EW$26&gt;=0),EW45,
IF(テーブル!$B$3="実績報告（１次）",EW45,
IF(AND(テーブル!$B$3="交付申請（２次）",EW$26=0),0,
IF(AND(テーブル!$B$3="交付申請（２次）",EW$26&gt;=0),EW45,
IF(AND(テーブル!$B$3="交付申請兼実績報告（２次）",EW$26=0),0,
IF(AND(テーブル!$B$3="交付申請兼実績報告（２次）",EW$26&gt;=0),EW45,
IF(AND(テーブル!$B$3="実績報告（２次）",EW$26=0),0,
IF(AND(テーブル!$B$3="実績報告（２次）",EW$26&gt;=0),EW45)))))))))),0)</f>
        <v>0</v>
      </c>
      <c r="EX29" s="1997">
        <f>IFERROR(
IF(テーブル!$B$3="交付申請",EX45,
IF(AND(テーブル!$B$3="変更申請",EX$26=0),0,
IF(AND(テーブル!$B$3="変更申請",EX$26&gt;=0),EX45,
IF(テーブル!$B$3="実績報告（１次）",EX45,
IF(AND(テーブル!$B$3="交付申請（２次）",EX$26=0),0,
IF(AND(テーブル!$B$3="交付申請（２次）",EX$26&gt;=0),EX45,
IF(AND(テーブル!$B$3="交付申請兼実績報告（２次）",EX$26=0),0,
IF(AND(テーブル!$B$3="交付申請兼実績報告（２次）",EX$26&gt;=0),EX45,
IF(AND(テーブル!$B$3="実績報告（２次）",EX$26=0),0,
IF(AND(テーブル!$B$3="実績報告（２次）",EX$26&gt;=0),EX45)))))))))),0)</f>
        <v>0</v>
      </c>
      <c r="EY29" s="1997">
        <f>IFERROR(
IF(テーブル!$B$3="交付申請",EY45,
IF(AND(テーブル!$B$3="変更申請",EY$26=0),0,
IF(AND(テーブル!$B$3="変更申請",EY$26&gt;=0),EY45,
IF(テーブル!$B$3="実績報告（１次）",EY45,
IF(AND(テーブル!$B$3="交付申請（２次）",EY$26=0),0,
IF(AND(テーブル!$B$3="交付申請（２次）",EY$26&gt;=0),EY45,
IF(AND(テーブル!$B$3="交付申請兼実績報告（２次）",EY$26=0),0,
IF(AND(テーブル!$B$3="交付申請兼実績報告（２次）",EY$26&gt;=0),EY45,
IF(AND(テーブル!$B$3="実績報告（２次）",EY$26=0),0,
IF(AND(テーブル!$B$3="実績報告（２次）",EY$26&gt;=0),EY45)))))))))),0)</f>
        <v>0</v>
      </c>
      <c r="EZ29" s="1997">
        <f>IFERROR(
IF(テーブル!$B$3="交付申請",EZ45,
IF(AND(テーブル!$B$3="変更申請",EZ$26=0),0,
IF(AND(テーブル!$B$3="変更申請",EZ$26&gt;=0),EZ45,
IF(テーブル!$B$3="実績報告（１次）",EZ45,
IF(AND(テーブル!$B$3="交付申請（２次）",EZ$26=0),0,
IF(AND(テーブル!$B$3="交付申請（２次）",EZ$26&gt;=0),EZ45,
IF(AND(テーブル!$B$3="交付申請兼実績報告（２次）",EZ$26=0),0,
IF(AND(テーブル!$B$3="交付申請兼実績報告（２次）",EZ$26&gt;=0),EZ45,
IF(AND(テーブル!$B$3="実績報告（２次）",EZ$26=0),0,
IF(AND(テーブル!$B$3="実績報告（２次）",EZ$26&gt;=0),EZ45)))))))))),0)</f>
        <v>0</v>
      </c>
      <c r="FA29" s="1997">
        <f>IFERROR(
IF(テーブル!$B$3="交付申請",FA45,
IF(AND(テーブル!$B$3="変更申請",FA$26=0),0,
IF(AND(テーブル!$B$3="変更申請",FA$26&gt;=0),FA45,
IF(テーブル!$B$3="実績報告（１次）",FA45,
IF(AND(テーブル!$B$3="交付申請（２次）",FA$26=0),0,
IF(AND(テーブル!$B$3="交付申請（２次）",FA$26&gt;=0),FA45,
IF(AND(テーブル!$B$3="交付申請兼実績報告（２次）",FA$26=0),0,
IF(AND(テーブル!$B$3="交付申請兼実績報告（２次）",FA$26&gt;=0),FA45,
IF(AND(テーブル!$B$3="実績報告（２次）",FA$26=0),0,
IF(AND(テーブル!$B$3="実績報告（２次）",FA$26&gt;=0),FA45)))))))))),0)</f>
        <v>0</v>
      </c>
      <c r="FB29" s="1997">
        <f>IFERROR(
IF(テーブル!$B$3="交付申請",FB45,
IF(AND(テーブル!$B$3="変更申請",FB$26=0),0,
IF(AND(テーブル!$B$3="変更申請",FB$26&gt;=0),FB45,
IF(テーブル!$B$3="実績報告（１次）",FB45,
IF(AND(テーブル!$B$3="交付申請（２次）",FB$26=0),0,
IF(AND(テーブル!$B$3="交付申請（２次）",FB$26&gt;=0),FB45,
IF(AND(テーブル!$B$3="交付申請兼実績報告（２次）",FB$26=0),0,
IF(AND(テーブル!$B$3="交付申請兼実績報告（２次）",FB$26&gt;=0),FB45,
IF(AND(テーブル!$B$3="実績報告（２次）",FB$26=0),0,
IF(AND(テーブル!$B$3="実績報告（２次）",FB$26&gt;=0),FB45)))))))))),0)</f>
        <v>0</v>
      </c>
      <c r="FC29" s="1997">
        <f>IFERROR(
IF(テーブル!$B$3="交付申請",FC45,
IF(AND(テーブル!$B$3="変更申請",FC$26=0),0,
IF(AND(テーブル!$B$3="変更申請",FC$26&gt;=0),FC45,
IF(テーブル!$B$3="実績報告（１次）",FC45,
IF(AND(テーブル!$B$3="交付申請（２次）",FC$26=0),0,
IF(AND(テーブル!$B$3="交付申請（２次）",FC$26&gt;=0),FC45,
IF(AND(テーブル!$B$3="交付申請兼実績報告（２次）",FC$26=0),0,
IF(AND(テーブル!$B$3="交付申請兼実績報告（２次）",FC$26&gt;=0),FC45,
IF(AND(テーブル!$B$3="実績報告（２次）",FC$26=0),0,
IF(AND(テーブル!$B$3="実績報告（２次）",FC$26&gt;=0),FC45)))))))))),0)</f>
        <v>0</v>
      </c>
      <c r="FD29" s="1997">
        <f>IFERROR(
IF(テーブル!$B$3="交付申請",FD45,
IF(AND(テーブル!$B$3="変更申請",FD$26=0),0,
IF(AND(テーブル!$B$3="変更申請",FD$26&gt;=0),FD45,
IF(テーブル!$B$3="実績報告（１次）",FD45,
IF(AND(テーブル!$B$3="交付申請（２次）",FD$26=0),0,
IF(AND(テーブル!$B$3="交付申請（２次）",FD$26&gt;=0),FD45,
IF(AND(テーブル!$B$3="交付申請兼実績報告（２次）",FD$26=0),0,
IF(AND(テーブル!$B$3="交付申請兼実績報告（２次）",FD$26&gt;=0),FD45,
IF(AND(テーブル!$B$3="実績報告（２次）",FD$26=0),0,
IF(AND(テーブル!$B$3="実績報告（２次）",FD$26&gt;=0),FD45)))))))))),0)</f>
        <v>0</v>
      </c>
      <c r="FE29" s="1997">
        <f>IFERROR(
IF(テーブル!$B$3="交付申請",FE45,
IF(AND(テーブル!$B$3="変更申請",FE$26=0),0,
IF(AND(テーブル!$B$3="変更申請",FE$26&gt;=0),FE45,
IF(テーブル!$B$3="実績報告（１次）",FE45,
IF(AND(テーブル!$B$3="交付申請（２次）",FE$26=0),0,
IF(AND(テーブル!$B$3="交付申請（２次）",FE$26&gt;=0),FE45,
IF(AND(テーブル!$B$3="交付申請兼実績報告（２次）",FE$26=0),0,
IF(AND(テーブル!$B$3="交付申請兼実績報告（２次）",FE$26&gt;=0),FE45,
IF(AND(テーブル!$B$3="実績報告（２次）",FE$26=0),0,
IF(AND(テーブル!$B$3="実績報告（２次）",FE$26&gt;=0),FE45)))))))))),0)</f>
        <v>0</v>
      </c>
      <c r="FF29" s="1997">
        <f>IFERROR(
IF(テーブル!$B$3="交付申請",FF45,
IF(AND(テーブル!$B$3="変更申請",FF$26=0),0,
IF(AND(テーブル!$B$3="変更申請",FF$26&gt;=0),FF45,
IF(テーブル!$B$3="実績報告（１次）",FF45,
IF(AND(テーブル!$B$3="交付申請（２次）",FF$26=0),0,
IF(AND(テーブル!$B$3="交付申請（２次）",FF$26&gt;=0),FF45,
IF(AND(テーブル!$B$3="交付申請兼実績報告（２次）",FF$26=0),0,
IF(AND(テーブル!$B$3="交付申請兼実績報告（２次）",FF$26&gt;=0),FF45,
IF(AND(テーブル!$B$3="実績報告（２次）",FF$26=0),0,
IF(AND(テーブル!$B$3="実績報告（２次）",FF$26&gt;=0),FF45)))))))))),0)</f>
        <v>0</v>
      </c>
      <c r="FG29" s="1997">
        <f>IFERROR(
IF(テーブル!$B$3="交付申請",FG45,
IF(AND(テーブル!$B$3="変更申請",FG$26=0),0,
IF(AND(テーブル!$B$3="変更申請",FG$26&gt;=0),FG45,
IF(テーブル!$B$3="実績報告（１次）",FG45,
IF(AND(テーブル!$B$3="交付申請（２次）",FG$26=0),0,
IF(AND(テーブル!$B$3="交付申請（２次）",FG$26&gt;=0),FG45,
IF(AND(テーブル!$B$3="交付申請兼実績報告（２次）",FG$26=0),0,
IF(AND(テーブル!$B$3="交付申請兼実績報告（２次）",FG$26&gt;=0),FG45,
IF(AND(テーブル!$B$3="実績報告（２次）",FG$26=0),0,
IF(AND(テーブル!$B$3="実績報告（２次）",FG$26&gt;=0),FG45)))))))))),0)</f>
        <v>0</v>
      </c>
      <c r="FH29" s="1997">
        <f>IFERROR(
IF(テーブル!$B$3="交付申請",FH45,
IF(AND(テーブル!$B$3="変更申請",FH$26=0),0,
IF(AND(テーブル!$B$3="変更申請",FH$26&gt;=0),FH45,
IF(テーブル!$B$3="実績報告（１次）",FH45,
IF(AND(テーブル!$B$3="交付申請（２次）",FH$26=0),0,
IF(AND(テーブル!$B$3="交付申請（２次）",FH$26&gt;=0),FH45,
IF(AND(テーブル!$B$3="交付申請兼実績報告（２次）",FH$26=0),0,
IF(AND(テーブル!$B$3="交付申請兼実績報告（２次）",FH$26&gt;=0),FH45,
IF(AND(テーブル!$B$3="実績報告（２次）",FH$26=0),0,
IF(AND(テーブル!$B$3="実績報告（２次）",FH$26&gt;=0),FH45)))))))))),0)</f>
        <v>0</v>
      </c>
      <c r="FI29" s="1997">
        <f>IFERROR(
IF(テーブル!$B$3="交付申請",FI45,
IF(AND(テーブル!$B$3="変更申請",FI$26=0),0,
IF(AND(テーブル!$B$3="変更申請",FI$26&gt;=0),FI45,
IF(テーブル!$B$3="実績報告（１次）",FI45,
IF(AND(テーブル!$B$3="交付申請（２次）",FI$26=0),0,
IF(AND(テーブル!$B$3="交付申請（２次）",FI$26&gt;=0),FI45,
IF(AND(テーブル!$B$3="交付申請兼実績報告（２次）",FI$26=0),0,
IF(AND(テーブル!$B$3="交付申請兼実績報告（２次）",FI$26&gt;=0),FI45,
IF(AND(テーブル!$B$3="実績報告（２次）",FI$26=0),0,
IF(AND(テーブル!$B$3="実績報告（２次）",FI$26&gt;=0),FI45)))))))))),0)</f>
        <v>0</v>
      </c>
      <c r="FJ29" s="1997">
        <f>IFERROR(
IF(テーブル!$B$3="交付申請",FJ45,
IF(AND(テーブル!$B$3="変更申請",FJ$26=0),0,
IF(AND(テーブル!$B$3="変更申請",FJ$26&gt;=0),FJ45,
IF(テーブル!$B$3="実績報告（１次）",FJ45,
IF(AND(テーブル!$B$3="交付申請（２次）",FJ$26=0),0,
IF(AND(テーブル!$B$3="交付申請（２次）",FJ$26&gt;=0),FJ45,
IF(AND(テーブル!$B$3="交付申請兼実績報告（２次）",FJ$26=0),0,
IF(AND(テーブル!$B$3="交付申請兼実績報告（２次）",FJ$26&gt;=0),FJ45,
IF(AND(テーブル!$B$3="実績報告（２次）",FJ$26=0),0,
IF(AND(テーブル!$B$3="実績報告（２次）",FJ$26&gt;=0),FJ45)))))))))),0)</f>
        <v>0</v>
      </c>
      <c r="FK29" s="1997">
        <f>IFERROR(
IF(テーブル!$B$3="交付申請",FK45,
IF(AND(テーブル!$B$3="変更申請",FK$26=0),0,
IF(AND(テーブル!$B$3="変更申請",FK$26&gt;=0),FK45,
IF(テーブル!$B$3="実績報告（１次）",FK45,
IF(AND(テーブル!$B$3="交付申請（２次）",FK$26=0),0,
IF(AND(テーブル!$B$3="交付申請（２次）",FK$26&gt;=0),FK45,
IF(AND(テーブル!$B$3="交付申請兼実績報告（２次）",FK$26=0),0,
IF(AND(テーブル!$B$3="交付申請兼実績報告（２次）",FK$26&gt;=0),FK45,
IF(AND(テーブル!$B$3="実績報告（２次）",FK$26=0),0,
IF(AND(テーブル!$B$3="実績報告（２次）",FK$26&gt;=0),FK45)))))))))),0)</f>
        <v>0</v>
      </c>
      <c r="FL29" s="1997">
        <f>IFERROR(
IF(テーブル!$B$3="交付申請",FL45,
IF(AND(テーブル!$B$3="変更申請",FL$26=0),0,
IF(AND(テーブル!$B$3="変更申請",FL$26&gt;=0),FL45,
IF(テーブル!$B$3="実績報告（１次）",FL45,
IF(AND(テーブル!$B$3="交付申請（２次）",FL$26=0),0,
IF(AND(テーブル!$B$3="交付申請（２次）",FL$26&gt;=0),FL45,
IF(AND(テーブル!$B$3="交付申請兼実績報告（２次）",FL$26=0),0,
IF(AND(テーブル!$B$3="交付申請兼実績報告（２次）",FL$26&gt;=0),FL45,
IF(AND(テーブル!$B$3="実績報告（２次）",FL$26=0),0,
IF(AND(テーブル!$B$3="実績報告（２次）",FL$26&gt;=0),FL45)))))))))),0)</f>
        <v>0</v>
      </c>
      <c r="FM29" s="1997">
        <f>IFERROR(
IF(テーブル!$B$3="交付申請",FM45,
IF(AND(テーブル!$B$3="変更申請",FM$26=0),0,
IF(AND(テーブル!$B$3="変更申請",FM$26&gt;=0),FM45,
IF(テーブル!$B$3="実績報告（１次）",FM45,
IF(AND(テーブル!$B$3="交付申請（２次）",FM$26=0),0,
IF(AND(テーブル!$B$3="交付申請（２次）",FM$26&gt;=0),FM45,
IF(AND(テーブル!$B$3="交付申請兼実績報告（２次）",FM$26=0),0,
IF(AND(テーブル!$B$3="交付申請兼実績報告（２次）",FM$26&gt;=0),FM45,
IF(AND(テーブル!$B$3="実績報告（２次）",FM$26=0),0,
IF(AND(テーブル!$B$3="実績報告（２次）",FM$26&gt;=0),FM45)))))))))),0)</f>
        <v>0</v>
      </c>
      <c r="FN29" s="1997">
        <f>IFERROR(
IF(テーブル!$B$3="交付申請",FN45,
IF(AND(テーブル!$B$3="変更申請",FN$26=0),0,
IF(AND(テーブル!$B$3="変更申請",FN$26&gt;=0),FN45,
IF(テーブル!$B$3="実績報告（１次）",FN45,
IF(AND(テーブル!$B$3="交付申請（２次）",FN$26=0),0,
IF(AND(テーブル!$B$3="交付申請（２次）",FN$26&gt;=0),FN45,
IF(AND(テーブル!$B$3="交付申請兼実績報告（２次）",FN$26=0),0,
IF(AND(テーブル!$B$3="交付申請兼実績報告（２次）",FN$26&gt;=0),FN45,
IF(AND(テーブル!$B$3="実績報告（２次）",FN$26=0),0,
IF(AND(テーブル!$B$3="実績報告（２次）",FN$26&gt;=0),FN45)))))))))),0)</f>
        <v>0</v>
      </c>
      <c r="FO29" s="1997">
        <f>IFERROR(
IF(テーブル!$B$3="交付申請",FO45,
IF(AND(テーブル!$B$3="変更申請",FO$26=0),0,
IF(AND(テーブル!$B$3="変更申請",FO$26&gt;=0),FO45,
IF(テーブル!$B$3="実績報告（１次）",FO45,
IF(AND(テーブル!$B$3="交付申請（２次）",FO$26=0),0,
IF(AND(テーブル!$B$3="交付申請（２次）",FO$26&gt;=0),FO45,
IF(AND(テーブル!$B$3="交付申請兼実績報告（２次）",FO$26=0),0,
IF(AND(テーブル!$B$3="交付申請兼実績報告（２次）",FO$26&gt;=0),FO45,
IF(AND(テーブル!$B$3="実績報告（２次）",FO$26=0),0,
IF(AND(テーブル!$B$3="実績報告（２次）",FO$26&gt;=0),FO45)))))))))),0)</f>
        <v>0</v>
      </c>
      <c r="FP29" s="1997">
        <f>IFERROR(
IF(テーブル!$B$3="交付申請",FP45,
IF(AND(テーブル!$B$3="変更申請",FP$26=0),0,
IF(AND(テーブル!$B$3="変更申請",FP$26&gt;=0),FP45,
IF(テーブル!$B$3="実績報告（１次）",FP45,
IF(AND(テーブル!$B$3="交付申請（２次）",FP$26=0),0,
IF(AND(テーブル!$B$3="交付申請（２次）",FP$26&gt;=0),FP45,
IF(AND(テーブル!$B$3="交付申請兼実績報告（２次）",FP$26=0),0,
IF(AND(テーブル!$B$3="交付申請兼実績報告（２次）",FP$26&gt;=0),FP45,
IF(AND(テーブル!$B$3="実績報告（２次）",FP$26=0),0,
IF(AND(テーブル!$B$3="実績報告（２次）",FP$26&gt;=0),FP45)))))))))),0)</f>
        <v>0</v>
      </c>
      <c r="FQ29" s="1997">
        <f>IFERROR(
IF(テーブル!$B$3="交付申請",FQ45,
IF(AND(テーブル!$B$3="変更申請",FQ$26=0),0,
IF(AND(テーブル!$B$3="変更申請",FQ$26&gt;=0),FQ45,
IF(テーブル!$B$3="実績報告（１次）",FQ45,
IF(AND(テーブル!$B$3="交付申請（２次）",FQ$26=0),0,
IF(AND(テーブル!$B$3="交付申請（２次）",FQ$26&gt;=0),FQ45,
IF(AND(テーブル!$B$3="交付申請兼実績報告（２次）",FQ$26=0),0,
IF(AND(テーブル!$B$3="交付申請兼実績報告（２次）",FQ$26&gt;=0),FQ45,
IF(AND(テーブル!$B$3="実績報告（２次）",FQ$26=0),0,
IF(AND(テーブル!$B$3="実績報告（２次）",FQ$26&gt;=0),FQ45)))))))))),0)</f>
        <v>0</v>
      </c>
      <c r="FR29" s="1997">
        <f>IFERROR(
IF(テーブル!$B$3="交付申請",FR45,
IF(AND(テーブル!$B$3="変更申請",FR$26=0),0,
IF(AND(テーブル!$B$3="変更申請",FR$26&gt;=0),FR45,
IF(テーブル!$B$3="実績報告（１次）",FR45,
IF(AND(テーブル!$B$3="交付申請（２次）",FR$26=0),0,
IF(AND(テーブル!$B$3="交付申請（２次）",FR$26&gt;=0),FR45,
IF(AND(テーブル!$B$3="交付申請兼実績報告（２次）",FR$26=0),0,
IF(AND(テーブル!$B$3="交付申請兼実績報告（２次）",FR$26&gt;=0),FR45,
IF(AND(テーブル!$B$3="実績報告（２次）",FR$26=0),0,
IF(AND(テーブル!$B$3="実績報告（２次）",FR$26&gt;=0),FR45)))))))))),0)</f>
        <v>0</v>
      </c>
      <c r="FS29" s="1997">
        <f>IFERROR(
IF(テーブル!$B$3="交付申請",FS45,
IF(AND(テーブル!$B$3="変更申請",FS$26=0),0,
IF(AND(テーブル!$B$3="変更申請",FS$26&gt;=0),FS45,
IF(テーブル!$B$3="実績報告（１次）",FS45,
IF(AND(テーブル!$B$3="交付申請（２次）",FS$26=0),0,
IF(AND(テーブル!$B$3="交付申請（２次）",FS$26&gt;=0),FS45,
IF(AND(テーブル!$B$3="交付申請兼実績報告（２次）",FS$26=0),0,
IF(AND(テーブル!$B$3="交付申請兼実績報告（２次）",FS$26&gt;=0),FS45,
IF(AND(テーブル!$B$3="実績報告（２次）",FS$26=0),0,
IF(AND(テーブル!$B$3="実績報告（２次）",FS$26&gt;=0),FS45)))))))))),0)</f>
        <v>0</v>
      </c>
      <c r="FT29" s="1997">
        <f>IFERROR(
IF(テーブル!$B$3="交付申請",FT45,
IF(AND(テーブル!$B$3="変更申請",FT$26=0),0,
IF(AND(テーブル!$B$3="変更申請",FT$26&gt;=0),FT45,
IF(テーブル!$B$3="実績報告（１次）",FT45,
IF(AND(テーブル!$B$3="交付申請（２次）",FT$26=0),0,
IF(AND(テーブル!$B$3="交付申請（２次）",FT$26&gt;=0),FT45,
IF(AND(テーブル!$B$3="交付申請兼実績報告（２次）",FT$26=0),0,
IF(AND(テーブル!$B$3="交付申請兼実績報告（２次）",FT$26&gt;=0),FT45,
IF(AND(テーブル!$B$3="実績報告（２次）",FT$26=0),0,
IF(AND(テーブル!$B$3="実績報告（２次）",FT$26&gt;=0),FT45)))))))))),0)</f>
        <v>0</v>
      </c>
      <c r="FU29" s="1997">
        <f>IFERROR(
IF(テーブル!$B$3="交付申請",FU45,
IF(AND(テーブル!$B$3="変更申請",FU$26=0),0,
IF(AND(テーブル!$B$3="変更申請",FU$26&gt;=0),FU45,
IF(テーブル!$B$3="実績報告（１次）",FU45,
IF(AND(テーブル!$B$3="交付申請（２次）",FU$26=0),0,
IF(AND(テーブル!$B$3="交付申請（２次）",FU$26&gt;=0),FU45,
IF(AND(テーブル!$B$3="交付申請兼実績報告（２次）",FU$26=0),0,
IF(AND(テーブル!$B$3="交付申請兼実績報告（２次）",FU$26&gt;=0),FU45,
IF(AND(テーブル!$B$3="実績報告（２次）",FU$26=0),0,
IF(AND(テーブル!$B$3="実績報告（２次）",FU$26&gt;=0),FU45)))))))))),0)</f>
        <v>0</v>
      </c>
      <c r="FV29" s="1997">
        <f>IFERROR(
IF(テーブル!$B$3="交付申請",FV45,
IF(AND(テーブル!$B$3="変更申請",FV$26=0),0,
IF(AND(テーブル!$B$3="変更申請",FV$26&gt;=0),FV45,
IF(テーブル!$B$3="実績報告（１次）",FV45,
IF(AND(テーブル!$B$3="交付申請（２次）",FV$26=0),0,
IF(AND(テーブル!$B$3="交付申請（２次）",FV$26&gt;=0),FV45,
IF(AND(テーブル!$B$3="交付申請兼実績報告（２次）",FV$26=0),0,
IF(AND(テーブル!$B$3="交付申請兼実績報告（２次）",FV$26&gt;=0),FV45,
IF(AND(テーブル!$B$3="実績報告（２次）",FV$26=0),0,
IF(AND(テーブル!$B$3="実績報告（２次）",FV$26&gt;=0),FV45)))))))))),0)</f>
        <v>0</v>
      </c>
      <c r="FW29" s="1997">
        <f>IFERROR(
IF(テーブル!$B$3="交付申請",FW45,
IF(AND(テーブル!$B$3="変更申請",FW$26=0),0,
IF(AND(テーブル!$B$3="変更申請",FW$26&gt;=0),FW45,
IF(テーブル!$B$3="実績報告（１次）",FW45,
IF(AND(テーブル!$B$3="交付申請（２次）",FW$26=0),0,
IF(AND(テーブル!$B$3="交付申請（２次）",FW$26&gt;=0),FW45,
IF(AND(テーブル!$B$3="交付申請兼実績報告（２次）",FW$26=0),0,
IF(AND(テーブル!$B$3="交付申請兼実績報告（２次）",FW$26&gt;=0),FW45,
IF(AND(テーブル!$B$3="実績報告（２次）",FW$26=0),0,
IF(AND(テーブル!$B$3="実績報告（２次）",FW$26&gt;=0),FW45)))))))))),0)</f>
        <v>0</v>
      </c>
      <c r="FX29" s="1997">
        <f>IFERROR(
IF(テーブル!$B$3="交付申請",FX45,
IF(AND(テーブル!$B$3="変更申請",FX$26=0),0,
IF(AND(テーブル!$B$3="変更申請",FX$26&gt;=0),FX45,
IF(テーブル!$B$3="実績報告（１次）",FX45,
IF(AND(テーブル!$B$3="交付申請（２次）",FX$26=0),0,
IF(AND(テーブル!$B$3="交付申請（２次）",FX$26&gt;=0),FX45,
IF(AND(テーブル!$B$3="交付申請兼実績報告（２次）",FX$26=0),0,
IF(AND(テーブル!$B$3="交付申請兼実績報告（２次）",FX$26&gt;=0),FX45,
IF(AND(テーブル!$B$3="実績報告（２次）",FX$26=0),0,
IF(AND(テーブル!$B$3="実績報告（２次）",FX$26&gt;=0),FX45)))))))))),0)</f>
        <v>0</v>
      </c>
      <c r="FY29" s="1997">
        <f>IFERROR(
IF(テーブル!$B$3="交付申請",FY45,
IF(AND(テーブル!$B$3="変更申請",FY$26=0),0,
IF(AND(テーブル!$B$3="変更申請",FY$26&gt;=0),FY45,
IF(テーブル!$B$3="実績報告（１次）",FY45,
IF(AND(テーブル!$B$3="交付申請（２次）",FY$26=0),0,
IF(AND(テーブル!$B$3="交付申請（２次）",FY$26&gt;=0),FY45,
IF(AND(テーブル!$B$3="交付申請兼実績報告（２次）",FY$26=0),0,
IF(AND(テーブル!$B$3="交付申請兼実績報告（２次）",FY$26&gt;=0),FY45,
IF(AND(テーブル!$B$3="実績報告（２次）",FY$26=0),0,
IF(AND(テーブル!$B$3="実績報告（２次）",FY$26&gt;=0),FY45)))))))))),0)</f>
        <v>0</v>
      </c>
      <c r="FZ29" s="1997">
        <f>IFERROR(
IF(テーブル!$B$3="交付申請",FZ45,
IF(AND(テーブル!$B$3="変更申請",FZ$26=0),0,
IF(AND(テーブル!$B$3="変更申請",FZ$26&gt;=0),FZ45,
IF(テーブル!$B$3="実績報告（１次）",FZ45,
IF(AND(テーブル!$B$3="交付申請（２次）",FZ$26=0),0,
IF(AND(テーブル!$B$3="交付申請（２次）",FZ$26&gt;=0),FZ45,
IF(AND(テーブル!$B$3="交付申請兼実績報告（２次）",FZ$26=0),0,
IF(AND(テーブル!$B$3="交付申請兼実績報告（２次）",FZ$26&gt;=0),FZ45,
IF(AND(テーブル!$B$3="実績報告（２次）",FZ$26=0),0,
IF(AND(テーブル!$B$3="実績報告（２次）",FZ$26&gt;=0),FZ45)))))))))),0)</f>
        <v>0</v>
      </c>
      <c r="GA29" s="1997">
        <f>IFERROR(
IF(テーブル!$B$3="交付申請",GA45,
IF(AND(テーブル!$B$3="変更申請",GA$26=0),0,
IF(AND(テーブル!$B$3="変更申請",GA$26&gt;=0),GA45,
IF(テーブル!$B$3="実績報告（１次）",GA45,
IF(AND(テーブル!$B$3="交付申請（２次）",GA$26=0),0,
IF(AND(テーブル!$B$3="交付申請（２次）",GA$26&gt;=0),GA45,
IF(AND(テーブル!$B$3="交付申請兼実績報告（２次）",GA$26=0),0,
IF(AND(テーブル!$B$3="交付申請兼実績報告（２次）",GA$26&gt;=0),GA45,
IF(AND(テーブル!$B$3="実績報告（２次）",GA$26=0),0,
IF(AND(テーブル!$B$3="実績報告（２次）",GA$26&gt;=0),GA45)))))))))),0)</f>
        <v>0</v>
      </c>
      <c r="GB29" s="1997">
        <f>IFERROR(
IF(テーブル!$B$3="交付申請",GB45,
IF(AND(テーブル!$B$3="変更申請",GB$26=0),0,
IF(AND(テーブル!$B$3="変更申請",GB$26&gt;=0),GB45,
IF(テーブル!$B$3="実績報告（１次）",GB45,
IF(AND(テーブル!$B$3="交付申請（２次）",GB$26=0),0,
IF(AND(テーブル!$B$3="交付申請（２次）",GB$26&gt;=0),GB45,
IF(AND(テーブル!$B$3="交付申請兼実績報告（２次）",GB$26=0),0,
IF(AND(テーブル!$B$3="交付申請兼実績報告（２次）",GB$26&gt;=0),GB45,
IF(AND(テーブル!$B$3="実績報告（２次）",GB$26=0),0,
IF(AND(テーブル!$B$3="実績報告（２次）",GB$26&gt;=0),GB45)))))))))),0)</f>
        <v>0</v>
      </c>
      <c r="GC29" s="1997">
        <f>IFERROR(
IF(テーブル!$B$3="交付申請",GC45,
IF(AND(テーブル!$B$3="変更申請",GC$26=0),0,
IF(AND(テーブル!$B$3="変更申請",GC$26&gt;=0),GC45,
IF(テーブル!$B$3="実績報告（１次）",GC45,
IF(AND(テーブル!$B$3="交付申請（２次）",GC$26=0),0,
IF(AND(テーブル!$B$3="交付申請（２次）",GC$26&gt;=0),GC45,
IF(AND(テーブル!$B$3="交付申請兼実績報告（２次）",GC$26=0),0,
IF(AND(テーブル!$B$3="交付申請兼実績報告（２次）",GC$26&gt;=0),GC45,
IF(AND(テーブル!$B$3="実績報告（２次）",GC$26=0),0,
IF(AND(テーブル!$B$3="実績報告（２次）",GC$26&gt;=0),GC45)))))))))),0)</f>
        <v>0</v>
      </c>
      <c r="GD29" s="1997">
        <f>IFERROR(
IF(テーブル!$B$3="交付申請",GD45,
IF(AND(テーブル!$B$3="変更申請",GD$26=0),0,
IF(AND(テーブル!$B$3="変更申請",GD$26&gt;=0),GD45,
IF(テーブル!$B$3="実績報告（１次）",GD45,
IF(AND(テーブル!$B$3="交付申請（２次）",GD$26=0),0,
IF(AND(テーブル!$B$3="交付申請（２次）",GD$26&gt;=0),GD45,
IF(AND(テーブル!$B$3="交付申請兼実績報告（２次）",GD$26=0),0,
IF(AND(テーブル!$B$3="交付申請兼実績報告（２次）",GD$26&gt;=0),GD45,
IF(AND(テーブル!$B$3="実績報告（２次）",GD$26=0),0,
IF(AND(テーブル!$B$3="実績報告（２次）",GD$26&gt;=0),GD45)))))))))),0)</f>
        <v>0</v>
      </c>
      <c r="GE29" s="1997">
        <f>IFERROR(
IF(テーブル!$B$3="交付申請",GE45,
IF(AND(テーブル!$B$3="変更申請",GE$26=0),0,
IF(AND(テーブル!$B$3="変更申請",GE$26&gt;=0),GE45,
IF(テーブル!$B$3="実績報告（１次）",GE45,
IF(AND(テーブル!$B$3="交付申請（２次）",GE$26=0),0,
IF(AND(テーブル!$B$3="交付申請（２次）",GE$26&gt;=0),GE45,
IF(AND(テーブル!$B$3="交付申請兼実績報告（２次）",GE$26=0),0,
IF(AND(テーブル!$B$3="交付申請兼実績報告（２次）",GE$26&gt;=0),GE45,
IF(AND(テーブル!$B$3="実績報告（２次）",GE$26=0),0,
IF(AND(テーブル!$B$3="実績報告（２次）",GE$26&gt;=0),GE45)))))))))),0)</f>
        <v>0</v>
      </c>
      <c r="GF29" s="2019">
        <f>IFERROR(
IF(テーブル!$B$3="交付申請",GF45,
IF(AND(テーブル!$B$3="変更申請",GF$26=0),0,
IF(AND(テーブル!$B$3="変更申請",GF$26&gt;=0),GF45,
IF(テーブル!$B$3="実績報告（１次）",GF45,
IF(AND(テーブル!$B$3="交付申請（２次）",GF$26=0),0,
IF(AND(テーブル!$B$3="交付申請（２次）",GF$26&gt;=0),GF45,
IF(AND(テーブル!$B$3="交付申請兼実績報告（２次）",GF$26=0),0,
IF(AND(テーブル!$B$3="交付申請兼実績報告（２次）",GF$26&gt;=0),GF45,
IF(AND(テーブル!$B$3="実績報告（２次）",GF$26=0),0,
IF(AND(テーブル!$B$3="実績報告（２次）",GF$26&gt;=0),GF45)))))))))),0)</f>
        <v>0</v>
      </c>
      <c r="GG29" s="2006"/>
    </row>
    <row r="30" spans="1:189" s="638" customFormat="1" ht="18.75" x14ac:dyDescent="0.4">
      <c r="A30" s="2003"/>
      <c r="B30" s="2018" t="s">
        <v>1002</v>
      </c>
      <c r="C30" s="1690">
        <f>SUM(F30:GF30)</f>
        <v>0</v>
      </c>
      <c r="D30" s="1691"/>
      <c r="E30" s="637"/>
      <c r="F30" s="1997">
        <f>IFERROR(
IF(テーブル!$B$3="交付申請",F48,
IF(AND(テーブル!$B$3="変更申請",F$26=0),0,
IF(AND(テーブル!$B$3="変更申請",F$26&gt;=0),F48,
IF(テーブル!$B$3="実績報告（１次）",F48,
IF(AND(テーブル!$B$3="交付申請（２次）",F$26=0),0,
IF(AND(テーブル!$B$3="交付申請（２次）",F$26&gt;=0),F48,
IF(AND(テーブル!$B$3="交付申請兼実績報告（２次）",F$26=0),0,
IF(AND(テーブル!$B$3="交付申請兼実績報告（２次）",F$26&gt;=0),F48,
IF(AND(テーブル!$B$3="実績報告（２次）",F$26=0),0,
IF(AND(テーブル!$B$3="実績報告（２次）",F$26&gt;=0),F48)))))))))),0)</f>
        <v>0</v>
      </c>
      <c r="G30" s="1997">
        <f>IFERROR(
IF(テーブル!$B$3="交付申請",G48,
IF(AND(テーブル!$B$3="変更申請",G$26=0),0,
IF(AND(テーブル!$B$3="変更申請",G$26&gt;=0),G48,
IF(テーブル!$B$3="実績報告（１次）",G48,
IF(AND(テーブル!$B$3="交付申請（２次）",G$26=0),0,
IF(AND(テーブル!$B$3="交付申請（２次）",G$26&gt;=0),G48,
IF(AND(テーブル!$B$3="交付申請兼実績報告（２次）",G$26=0),0,
IF(AND(テーブル!$B$3="交付申請兼実績報告（２次）",G$26&gt;=0),G48,
IF(AND(テーブル!$B$3="実績報告（２次）",G$26=0),0,
IF(AND(テーブル!$B$3="実績報告（２次）",G$26&gt;=0),G48)))))))))),0)</f>
        <v>0</v>
      </c>
      <c r="H30" s="1997">
        <f>IFERROR(
IF(テーブル!$B$3="交付申請",H48,
IF(AND(テーブル!$B$3="変更申請",H$26=0),0,
IF(AND(テーブル!$B$3="変更申請",H$26&gt;=0),H48,
IF(テーブル!$B$3="実績報告（１次）",H48,
IF(AND(テーブル!$B$3="交付申請（２次）",H$26=0),0,
IF(AND(テーブル!$B$3="交付申請（２次）",H$26&gt;=0),H48,
IF(AND(テーブル!$B$3="交付申請兼実績報告（２次）",H$26=0),0,
IF(AND(テーブル!$B$3="交付申請兼実績報告（２次）",H$26&gt;=0),H48,
IF(AND(テーブル!$B$3="実績報告（２次）",H$26=0),0,
IF(AND(テーブル!$B$3="実績報告（２次）",H$26&gt;=0),H48)))))))))),0)</f>
        <v>0</v>
      </c>
      <c r="I30" s="1997">
        <f>IFERROR(
IF(テーブル!$B$3="交付申請",I48,
IF(AND(テーブル!$B$3="変更申請",I$26=0),0,
IF(AND(テーブル!$B$3="変更申請",I$26&gt;=0),I48,
IF(テーブル!$B$3="実績報告（１次）",I48,
IF(AND(テーブル!$B$3="交付申請（２次）",I$26=0),0,
IF(AND(テーブル!$B$3="交付申請（２次）",I$26&gt;=0),I48,
IF(AND(テーブル!$B$3="交付申請兼実績報告（２次）",I$26=0),0,
IF(AND(テーブル!$B$3="交付申請兼実績報告（２次）",I$26&gt;=0),I48,
IF(AND(テーブル!$B$3="実績報告（２次）",I$26=0),0,
IF(AND(テーブル!$B$3="実績報告（２次）",I$26&gt;=0),I48)))))))))),0)</f>
        <v>0</v>
      </c>
      <c r="J30" s="1997">
        <f>IFERROR(
IF(テーブル!$B$3="交付申請",J48,
IF(AND(テーブル!$B$3="変更申請",J$26=0),0,
IF(AND(テーブル!$B$3="変更申請",J$26&gt;=0),J48,
IF(テーブル!$B$3="実績報告（１次）",J48,
IF(AND(テーブル!$B$3="交付申請（２次）",J$26=0),0,
IF(AND(テーブル!$B$3="交付申請（２次）",J$26&gt;=0),J48,
IF(AND(テーブル!$B$3="交付申請兼実績報告（２次）",J$26=0),0,
IF(AND(テーブル!$B$3="交付申請兼実績報告（２次）",J$26&gt;=0),J48,
IF(AND(テーブル!$B$3="実績報告（２次）",J$26=0),0,
IF(AND(テーブル!$B$3="実績報告（２次）",J$26&gt;=0),J48)))))))))),0)</f>
        <v>0</v>
      </c>
      <c r="K30" s="1997">
        <f>IFERROR(
IF(テーブル!$B$3="交付申請",K48,
IF(AND(テーブル!$B$3="変更申請",K$26=0),0,
IF(AND(テーブル!$B$3="変更申請",K$26&gt;=0),K48,
IF(テーブル!$B$3="実績報告（１次）",K48,
IF(AND(テーブル!$B$3="交付申請（２次）",K$26=0),0,
IF(AND(テーブル!$B$3="交付申請（２次）",K$26&gt;=0),K48,
IF(AND(テーブル!$B$3="交付申請兼実績報告（２次）",K$26=0),0,
IF(AND(テーブル!$B$3="交付申請兼実績報告（２次）",K$26&gt;=0),K48,
IF(AND(テーブル!$B$3="実績報告（２次）",K$26=0),0,
IF(AND(テーブル!$B$3="実績報告（２次）",K$26&gt;=0),K48)))))))))),0)</f>
        <v>0</v>
      </c>
      <c r="L30" s="1997">
        <f>IFERROR(
IF(テーブル!$B$3="交付申請",L48,
IF(AND(テーブル!$B$3="変更申請",L$26=0),0,
IF(AND(テーブル!$B$3="変更申請",L$26&gt;=0),L48,
IF(テーブル!$B$3="実績報告（１次）",L48,
IF(AND(テーブル!$B$3="交付申請（２次）",L$26=0),0,
IF(AND(テーブル!$B$3="交付申請（２次）",L$26&gt;=0),L48,
IF(AND(テーブル!$B$3="交付申請兼実績報告（２次）",L$26=0),0,
IF(AND(テーブル!$B$3="交付申請兼実績報告（２次）",L$26&gt;=0),L48,
IF(AND(テーブル!$B$3="実績報告（２次）",L$26=0),0,
IF(AND(テーブル!$B$3="実績報告（２次）",L$26&gt;=0),L48)))))))))),0)</f>
        <v>0</v>
      </c>
      <c r="M30" s="1997">
        <f>IFERROR(
IF(テーブル!$B$3="交付申請",M48,
IF(AND(テーブル!$B$3="変更申請",M$26=0),0,
IF(AND(テーブル!$B$3="変更申請",M$26&gt;=0),M48,
IF(テーブル!$B$3="実績報告（１次）",M48,
IF(AND(テーブル!$B$3="交付申請（２次）",M$26=0),0,
IF(AND(テーブル!$B$3="交付申請（２次）",M$26&gt;=0),M48,
IF(AND(テーブル!$B$3="交付申請兼実績報告（２次）",M$26=0),0,
IF(AND(テーブル!$B$3="交付申請兼実績報告（２次）",M$26&gt;=0),M48,
IF(AND(テーブル!$B$3="実績報告（２次）",M$26=0),0,
IF(AND(テーブル!$B$3="実績報告（２次）",M$26&gt;=0),M48)))))))))),0)</f>
        <v>0</v>
      </c>
      <c r="N30" s="1997">
        <f>IFERROR(
IF(テーブル!$B$3="交付申請",N48,
IF(AND(テーブル!$B$3="変更申請",N$26=0),0,
IF(AND(テーブル!$B$3="変更申請",N$26&gt;=0),N48,
IF(テーブル!$B$3="実績報告（１次）",N48,
IF(AND(テーブル!$B$3="交付申請（２次）",N$26=0),0,
IF(AND(テーブル!$B$3="交付申請（２次）",N$26&gt;=0),N48,
IF(AND(テーブル!$B$3="交付申請兼実績報告（２次）",N$26=0),0,
IF(AND(テーブル!$B$3="交付申請兼実績報告（２次）",N$26&gt;=0),N48,
IF(AND(テーブル!$B$3="実績報告（２次）",N$26=0),0,
IF(AND(テーブル!$B$3="実績報告（２次）",N$26&gt;=0),N48)))))))))),0)</f>
        <v>0</v>
      </c>
      <c r="O30" s="1997">
        <f>IFERROR(
IF(テーブル!$B$3="交付申請",O48,
IF(AND(テーブル!$B$3="変更申請",O$26=0),0,
IF(AND(テーブル!$B$3="変更申請",O$26&gt;=0),O48,
IF(テーブル!$B$3="実績報告（１次）",O48,
IF(AND(テーブル!$B$3="交付申請（２次）",O$26=0),0,
IF(AND(テーブル!$B$3="交付申請（２次）",O$26&gt;=0),O48,
IF(AND(テーブル!$B$3="交付申請兼実績報告（２次）",O$26=0),0,
IF(AND(テーブル!$B$3="交付申請兼実績報告（２次）",O$26&gt;=0),O48,
IF(AND(テーブル!$B$3="実績報告（２次）",O$26=0),0,
IF(AND(テーブル!$B$3="実績報告（２次）",O$26&gt;=0),O48)))))))))),0)</f>
        <v>0</v>
      </c>
      <c r="P30" s="1997">
        <f>IFERROR(
IF(テーブル!$B$3="交付申請",P48,
IF(AND(テーブル!$B$3="変更申請",P$26=0),0,
IF(AND(テーブル!$B$3="変更申請",P$26&gt;=0),P48,
IF(テーブル!$B$3="実績報告（１次）",P48,
IF(AND(テーブル!$B$3="交付申請（２次）",P$26=0),0,
IF(AND(テーブル!$B$3="交付申請（２次）",P$26&gt;=0),P48,
IF(AND(テーブル!$B$3="交付申請兼実績報告（２次）",P$26=0),0,
IF(AND(テーブル!$B$3="交付申請兼実績報告（２次）",P$26&gt;=0),P48,
IF(AND(テーブル!$B$3="実績報告（２次）",P$26=0),0,
IF(AND(テーブル!$B$3="実績報告（２次）",P$26&gt;=0),P48)))))))))),0)</f>
        <v>0</v>
      </c>
      <c r="Q30" s="1997">
        <f>IFERROR(
IF(テーブル!$B$3="交付申請",Q48,
IF(AND(テーブル!$B$3="変更申請",Q$26=0),0,
IF(AND(テーブル!$B$3="変更申請",Q$26&gt;=0),Q48,
IF(テーブル!$B$3="実績報告（１次）",Q48,
IF(AND(テーブル!$B$3="交付申請（２次）",Q$26=0),0,
IF(AND(テーブル!$B$3="交付申請（２次）",Q$26&gt;=0),Q48,
IF(AND(テーブル!$B$3="交付申請兼実績報告（２次）",Q$26=0),0,
IF(AND(テーブル!$B$3="交付申請兼実績報告（２次）",Q$26&gt;=0),Q48,
IF(AND(テーブル!$B$3="実績報告（２次）",Q$26=0),0,
IF(AND(テーブル!$B$3="実績報告（２次）",Q$26&gt;=0),Q48)))))))))),0)</f>
        <v>0</v>
      </c>
      <c r="R30" s="1997">
        <f>IFERROR(
IF(テーブル!$B$3="交付申請",R48,
IF(AND(テーブル!$B$3="変更申請",R$26=0),0,
IF(AND(テーブル!$B$3="変更申請",R$26&gt;=0),R48,
IF(テーブル!$B$3="実績報告（１次）",R48,
IF(AND(テーブル!$B$3="交付申請（２次）",R$26=0),0,
IF(AND(テーブル!$B$3="交付申請（２次）",R$26&gt;=0),R48,
IF(AND(テーブル!$B$3="交付申請兼実績報告（２次）",R$26=0),0,
IF(AND(テーブル!$B$3="交付申請兼実績報告（２次）",R$26&gt;=0),R48,
IF(AND(テーブル!$B$3="実績報告（２次）",R$26=0),0,
IF(AND(テーブル!$B$3="実績報告（２次）",R$26&gt;=0),R48)))))))))),0)</f>
        <v>0</v>
      </c>
      <c r="S30" s="1997">
        <f>IFERROR(
IF(テーブル!$B$3="交付申請",S48,
IF(AND(テーブル!$B$3="変更申請",S$26=0),0,
IF(AND(テーブル!$B$3="変更申請",S$26&gt;=0),S48,
IF(テーブル!$B$3="実績報告（１次）",S48,
IF(AND(テーブル!$B$3="交付申請（２次）",S$26=0),0,
IF(AND(テーブル!$B$3="交付申請（２次）",S$26&gt;=0),S48,
IF(AND(テーブル!$B$3="交付申請兼実績報告（２次）",S$26=0),0,
IF(AND(テーブル!$B$3="交付申請兼実績報告（２次）",S$26&gt;=0),S48,
IF(AND(テーブル!$B$3="実績報告（２次）",S$26=0),0,
IF(AND(テーブル!$B$3="実績報告（２次）",S$26&gt;=0),S48)))))))))),0)</f>
        <v>0</v>
      </c>
      <c r="T30" s="1997">
        <f>IFERROR(
IF(テーブル!$B$3="交付申請",T48,
IF(AND(テーブル!$B$3="変更申請",T$26=0),0,
IF(AND(テーブル!$B$3="変更申請",T$26&gt;=0),T48,
IF(テーブル!$B$3="実績報告（１次）",T48,
IF(AND(テーブル!$B$3="交付申請（２次）",T$26=0),0,
IF(AND(テーブル!$B$3="交付申請（２次）",T$26&gt;=0),T48,
IF(AND(テーブル!$B$3="交付申請兼実績報告（２次）",T$26=0),0,
IF(AND(テーブル!$B$3="交付申請兼実績報告（２次）",T$26&gt;=0),T48,
IF(AND(テーブル!$B$3="実績報告（２次）",T$26=0),0,
IF(AND(テーブル!$B$3="実績報告（２次）",T$26&gt;=0),T48)))))))))),0)</f>
        <v>0</v>
      </c>
      <c r="U30" s="1997">
        <f>IFERROR(
IF(テーブル!$B$3="交付申請",U48,
IF(AND(テーブル!$B$3="変更申請",U$26=0),0,
IF(AND(テーブル!$B$3="変更申請",U$26&gt;=0),U48,
IF(テーブル!$B$3="実績報告（１次）",U48,
IF(AND(テーブル!$B$3="交付申請（２次）",U$26=0),0,
IF(AND(テーブル!$B$3="交付申請（２次）",U$26&gt;=0),U48,
IF(AND(テーブル!$B$3="交付申請兼実績報告（２次）",U$26=0),0,
IF(AND(テーブル!$B$3="交付申請兼実績報告（２次）",U$26&gt;=0),U48,
IF(AND(テーブル!$B$3="実績報告（２次）",U$26=0),0,
IF(AND(テーブル!$B$3="実績報告（２次）",U$26&gt;=0),U48)))))))))),0)</f>
        <v>0</v>
      </c>
      <c r="V30" s="1997">
        <f>IFERROR(
IF(テーブル!$B$3="交付申請",V48,
IF(AND(テーブル!$B$3="変更申請",V$26=0),0,
IF(AND(テーブル!$B$3="変更申請",V$26&gt;=0),V48,
IF(テーブル!$B$3="実績報告（１次）",V48,
IF(AND(テーブル!$B$3="交付申請（２次）",V$26=0),0,
IF(AND(テーブル!$B$3="交付申請（２次）",V$26&gt;=0),V48,
IF(AND(テーブル!$B$3="交付申請兼実績報告（２次）",V$26=0),0,
IF(AND(テーブル!$B$3="交付申請兼実績報告（２次）",V$26&gt;=0),V48,
IF(AND(テーブル!$B$3="実績報告（２次）",V$26=0),0,
IF(AND(テーブル!$B$3="実績報告（２次）",V$26&gt;=0),V48)))))))))),0)</f>
        <v>0</v>
      </c>
      <c r="W30" s="1997">
        <f>IFERROR(
IF(テーブル!$B$3="交付申請",W48,
IF(AND(テーブル!$B$3="変更申請",W$26=0),0,
IF(AND(テーブル!$B$3="変更申請",W$26&gt;=0),W48,
IF(テーブル!$B$3="実績報告（１次）",W48,
IF(AND(テーブル!$B$3="交付申請（２次）",W$26=0),0,
IF(AND(テーブル!$B$3="交付申請（２次）",W$26&gt;=0),W48,
IF(AND(テーブル!$B$3="交付申請兼実績報告（２次）",W$26=0),0,
IF(AND(テーブル!$B$3="交付申請兼実績報告（２次）",W$26&gt;=0),W48,
IF(AND(テーブル!$B$3="実績報告（２次）",W$26=0),0,
IF(AND(テーブル!$B$3="実績報告（２次）",W$26&gt;=0),W48)))))))))),0)</f>
        <v>0</v>
      </c>
      <c r="X30" s="1997">
        <f>IFERROR(
IF(テーブル!$B$3="交付申請",X48,
IF(AND(テーブル!$B$3="変更申請",X$26=0),0,
IF(AND(テーブル!$B$3="変更申請",X$26&gt;=0),X48,
IF(テーブル!$B$3="実績報告（１次）",X48,
IF(AND(テーブル!$B$3="交付申請（２次）",X$26=0),0,
IF(AND(テーブル!$B$3="交付申請（２次）",X$26&gt;=0),X48,
IF(AND(テーブル!$B$3="交付申請兼実績報告（２次）",X$26=0),0,
IF(AND(テーブル!$B$3="交付申請兼実績報告（２次）",X$26&gt;=0),X48,
IF(AND(テーブル!$B$3="実績報告（２次）",X$26=0),0,
IF(AND(テーブル!$B$3="実績報告（２次）",X$26&gt;=0),X48)))))))))),0)</f>
        <v>0</v>
      </c>
      <c r="Y30" s="1997">
        <f>IFERROR(
IF(テーブル!$B$3="交付申請",Y48,
IF(AND(テーブル!$B$3="変更申請",Y$26=0),0,
IF(AND(テーブル!$B$3="変更申請",Y$26&gt;=0),Y48,
IF(テーブル!$B$3="実績報告（１次）",Y48,
IF(AND(テーブル!$B$3="交付申請（２次）",Y$26=0),0,
IF(AND(テーブル!$B$3="交付申請（２次）",Y$26&gt;=0),Y48,
IF(AND(テーブル!$B$3="交付申請兼実績報告（２次）",Y$26=0),0,
IF(AND(テーブル!$B$3="交付申請兼実績報告（２次）",Y$26&gt;=0),Y48,
IF(AND(テーブル!$B$3="実績報告（２次）",Y$26=0),0,
IF(AND(テーブル!$B$3="実績報告（２次）",Y$26&gt;=0),Y48)))))))))),0)</f>
        <v>0</v>
      </c>
      <c r="Z30" s="1997">
        <f>IFERROR(
IF(テーブル!$B$3="交付申請",Z48,
IF(AND(テーブル!$B$3="変更申請",Z$26=0),0,
IF(AND(テーブル!$B$3="変更申請",Z$26&gt;=0),Z48,
IF(テーブル!$B$3="実績報告（１次）",Z48,
IF(AND(テーブル!$B$3="交付申請（２次）",Z$26=0),0,
IF(AND(テーブル!$B$3="交付申請（２次）",Z$26&gt;=0),Z48,
IF(AND(テーブル!$B$3="交付申請兼実績報告（２次）",Z$26=0),0,
IF(AND(テーブル!$B$3="交付申請兼実績報告（２次）",Z$26&gt;=0),Z48,
IF(AND(テーブル!$B$3="実績報告（２次）",Z$26=0),0,
IF(AND(テーブル!$B$3="実績報告（２次）",Z$26&gt;=0),Z48)))))))))),0)</f>
        <v>0</v>
      </c>
      <c r="AA30" s="1997">
        <f>IFERROR(
IF(テーブル!$B$3="交付申請",AA48,
IF(AND(テーブル!$B$3="変更申請",AA$26=0),0,
IF(AND(テーブル!$B$3="変更申請",AA$26&gt;=0),AA48,
IF(テーブル!$B$3="実績報告（１次）",AA48,
IF(AND(テーブル!$B$3="交付申請（２次）",AA$26=0),0,
IF(AND(テーブル!$B$3="交付申請（２次）",AA$26&gt;=0),AA48,
IF(AND(テーブル!$B$3="交付申請兼実績報告（２次）",AA$26=0),0,
IF(AND(テーブル!$B$3="交付申請兼実績報告（２次）",AA$26&gt;=0),AA48,
IF(AND(テーブル!$B$3="実績報告（２次）",AA$26=0),0,
IF(AND(テーブル!$B$3="実績報告（２次）",AA$26&gt;=0),AA48)))))))))),0)</f>
        <v>0</v>
      </c>
      <c r="AB30" s="1997">
        <f>IFERROR(
IF(テーブル!$B$3="交付申請",AB48,
IF(AND(テーブル!$B$3="変更申請",AB$26=0),0,
IF(AND(テーブル!$B$3="変更申請",AB$26&gt;=0),AB48,
IF(テーブル!$B$3="実績報告（１次）",AB48,
IF(AND(テーブル!$B$3="交付申請（２次）",AB$26=0),0,
IF(AND(テーブル!$B$3="交付申請（２次）",AB$26&gt;=0),AB48,
IF(AND(テーブル!$B$3="交付申請兼実績報告（２次）",AB$26=0),0,
IF(AND(テーブル!$B$3="交付申請兼実績報告（２次）",AB$26&gt;=0),AB48,
IF(AND(テーブル!$B$3="実績報告（２次）",AB$26=0),0,
IF(AND(テーブル!$B$3="実績報告（２次）",AB$26&gt;=0),AB48)))))))))),0)</f>
        <v>0</v>
      </c>
      <c r="AC30" s="1997">
        <f>IFERROR(
IF(テーブル!$B$3="交付申請",AC48,
IF(AND(テーブル!$B$3="変更申請",AC$26=0),0,
IF(AND(テーブル!$B$3="変更申請",AC$26&gt;=0),AC48,
IF(テーブル!$B$3="実績報告（１次）",AC48,
IF(AND(テーブル!$B$3="交付申請（２次）",AC$26=0),0,
IF(AND(テーブル!$B$3="交付申請（２次）",AC$26&gt;=0),AC48,
IF(AND(テーブル!$B$3="交付申請兼実績報告（２次）",AC$26=0),0,
IF(AND(テーブル!$B$3="交付申請兼実績報告（２次）",AC$26&gt;=0),AC48,
IF(AND(テーブル!$B$3="実績報告（２次）",AC$26=0),0,
IF(AND(テーブル!$B$3="実績報告（２次）",AC$26&gt;=0),AC48)))))))))),0)</f>
        <v>0</v>
      </c>
      <c r="AD30" s="1997">
        <f>IFERROR(
IF(テーブル!$B$3="交付申請",AD48,
IF(AND(テーブル!$B$3="変更申請",AD$26=0),0,
IF(AND(テーブル!$B$3="変更申請",AD$26&gt;=0),AD48,
IF(テーブル!$B$3="実績報告（１次）",AD48,
IF(AND(テーブル!$B$3="交付申請（２次）",AD$26=0),0,
IF(AND(テーブル!$B$3="交付申請（２次）",AD$26&gt;=0),AD48,
IF(AND(テーブル!$B$3="交付申請兼実績報告（２次）",AD$26=0),0,
IF(AND(テーブル!$B$3="交付申請兼実績報告（２次）",AD$26&gt;=0),AD48,
IF(AND(テーブル!$B$3="実績報告（２次）",AD$26=0),0,
IF(AND(テーブル!$B$3="実績報告（２次）",AD$26&gt;=0),AD48)))))))))),0)</f>
        <v>0</v>
      </c>
      <c r="AE30" s="1997">
        <f>IFERROR(
IF(テーブル!$B$3="交付申請",AE48,
IF(AND(テーブル!$B$3="変更申請",AE$26=0),0,
IF(AND(テーブル!$B$3="変更申請",AE$26&gt;=0),AE48,
IF(テーブル!$B$3="実績報告（１次）",AE48,
IF(AND(テーブル!$B$3="交付申請（２次）",AE$26=0),0,
IF(AND(テーブル!$B$3="交付申請（２次）",AE$26&gt;=0),AE48,
IF(AND(テーブル!$B$3="交付申請兼実績報告（２次）",AE$26=0),0,
IF(AND(テーブル!$B$3="交付申請兼実績報告（２次）",AE$26&gt;=0),AE48,
IF(AND(テーブル!$B$3="実績報告（２次）",AE$26=0),0,
IF(AND(テーブル!$B$3="実績報告（２次）",AE$26&gt;=0),AE48)))))))))),0)</f>
        <v>0</v>
      </c>
      <c r="AF30" s="1997">
        <f>IFERROR(
IF(テーブル!$B$3="交付申請",AF48,
IF(AND(テーブル!$B$3="変更申請",AF$26=0),0,
IF(AND(テーブル!$B$3="変更申請",AF$26&gt;=0),AF48,
IF(テーブル!$B$3="実績報告（１次）",AF48,
IF(AND(テーブル!$B$3="交付申請（２次）",AF$26=0),0,
IF(AND(テーブル!$B$3="交付申請（２次）",AF$26&gt;=0),AF48,
IF(AND(テーブル!$B$3="交付申請兼実績報告（２次）",AF$26=0),0,
IF(AND(テーブル!$B$3="交付申請兼実績報告（２次）",AF$26&gt;=0),AF48,
IF(AND(テーブル!$B$3="実績報告（２次）",AF$26=0),0,
IF(AND(テーブル!$B$3="実績報告（２次）",AF$26&gt;=0),AF48)))))))))),0)</f>
        <v>0</v>
      </c>
      <c r="AG30" s="1997">
        <f>IFERROR(
IF(テーブル!$B$3="交付申請",AG48,
IF(AND(テーブル!$B$3="変更申請",AG$26=0),0,
IF(AND(テーブル!$B$3="変更申請",AG$26&gt;=0),AG48,
IF(テーブル!$B$3="実績報告（１次）",AG48,
IF(AND(テーブル!$B$3="交付申請（２次）",AG$26=0),0,
IF(AND(テーブル!$B$3="交付申請（２次）",AG$26&gt;=0),AG48,
IF(AND(テーブル!$B$3="交付申請兼実績報告（２次）",AG$26=0),0,
IF(AND(テーブル!$B$3="交付申請兼実績報告（２次）",AG$26&gt;=0),AG48,
IF(AND(テーブル!$B$3="実績報告（２次）",AG$26=0),0,
IF(AND(テーブル!$B$3="実績報告（２次）",AG$26&gt;=0),AG48)))))))))),0)</f>
        <v>0</v>
      </c>
      <c r="AH30" s="1997">
        <f>IFERROR(
IF(テーブル!$B$3="交付申請",AH48,
IF(AND(テーブル!$B$3="変更申請",AH$26=0),0,
IF(AND(テーブル!$B$3="変更申請",AH$26&gt;=0),AH48,
IF(テーブル!$B$3="実績報告（１次）",AH48,
IF(AND(テーブル!$B$3="交付申請（２次）",AH$26=0),0,
IF(AND(テーブル!$B$3="交付申請（２次）",AH$26&gt;=0),AH48,
IF(AND(テーブル!$B$3="交付申請兼実績報告（２次）",AH$26=0),0,
IF(AND(テーブル!$B$3="交付申請兼実績報告（２次）",AH$26&gt;=0),AH48,
IF(AND(テーブル!$B$3="実績報告（２次）",AH$26=0),0,
IF(AND(テーブル!$B$3="実績報告（２次）",AH$26&gt;=0),AH48)))))))))),0)</f>
        <v>0</v>
      </c>
      <c r="AI30" s="1997">
        <f>IFERROR(
IF(テーブル!$B$3="交付申請",AI48,
IF(AND(テーブル!$B$3="変更申請",AI$26=0),0,
IF(AND(テーブル!$B$3="変更申請",AI$26&gt;=0),AI48,
IF(テーブル!$B$3="実績報告（１次）",AI48,
IF(AND(テーブル!$B$3="交付申請（２次）",AI$26=0),0,
IF(AND(テーブル!$B$3="交付申請（２次）",AI$26&gt;=0),AI48,
IF(AND(テーブル!$B$3="交付申請兼実績報告（２次）",AI$26=0),0,
IF(AND(テーブル!$B$3="交付申請兼実績報告（２次）",AI$26&gt;=0),AI48,
IF(AND(テーブル!$B$3="実績報告（２次）",AI$26=0),0,
IF(AND(テーブル!$B$3="実績報告（２次）",AI$26&gt;=0),AI48)))))))))),0)</f>
        <v>0</v>
      </c>
      <c r="AJ30" s="1997">
        <f>IFERROR(
IF(テーブル!$B$3="交付申請",AJ48,
IF(AND(テーブル!$B$3="変更申請",AJ$26=0),0,
IF(AND(テーブル!$B$3="変更申請",AJ$26&gt;=0),AJ48,
IF(テーブル!$B$3="実績報告（１次）",AJ48,
IF(AND(テーブル!$B$3="交付申請（２次）",AJ$26=0),0,
IF(AND(テーブル!$B$3="交付申請（２次）",AJ$26&gt;=0),AJ48,
IF(AND(テーブル!$B$3="交付申請兼実績報告（２次）",AJ$26=0),0,
IF(AND(テーブル!$B$3="交付申請兼実績報告（２次）",AJ$26&gt;=0),AJ48,
IF(AND(テーブル!$B$3="実績報告（２次）",AJ$26=0),0,
IF(AND(テーブル!$B$3="実績報告（２次）",AJ$26&gt;=0),AJ48)))))))))),0)</f>
        <v>0</v>
      </c>
      <c r="AK30" s="1997">
        <f>IFERROR(
IF(テーブル!$B$3="交付申請",AK48,
IF(AND(テーブル!$B$3="変更申請",AK$26=0),0,
IF(AND(テーブル!$B$3="変更申請",AK$26&gt;=0),AK48,
IF(テーブル!$B$3="実績報告（１次）",AK48,
IF(AND(テーブル!$B$3="交付申請（２次）",AK$26=0),0,
IF(AND(テーブル!$B$3="交付申請（２次）",AK$26&gt;=0),AK48,
IF(AND(テーブル!$B$3="交付申請兼実績報告（２次）",AK$26=0),0,
IF(AND(テーブル!$B$3="交付申請兼実績報告（２次）",AK$26&gt;=0),AK48,
IF(AND(テーブル!$B$3="実績報告（２次）",AK$26=0),0,
IF(AND(テーブル!$B$3="実績報告（２次）",AK$26&gt;=0),AK48)))))))))),0)</f>
        <v>0</v>
      </c>
      <c r="AL30" s="1997">
        <f>IFERROR(
IF(テーブル!$B$3="交付申請",AL48,
IF(AND(テーブル!$B$3="変更申請",AL$26=0),0,
IF(AND(テーブル!$B$3="変更申請",AL$26&gt;=0),AL48,
IF(テーブル!$B$3="実績報告（１次）",AL48,
IF(AND(テーブル!$B$3="交付申請（２次）",AL$26=0),0,
IF(AND(テーブル!$B$3="交付申請（２次）",AL$26&gt;=0),AL48,
IF(AND(テーブル!$B$3="交付申請兼実績報告（２次）",AL$26=0),0,
IF(AND(テーブル!$B$3="交付申請兼実績報告（２次）",AL$26&gt;=0),AL48,
IF(AND(テーブル!$B$3="実績報告（２次）",AL$26=0),0,
IF(AND(テーブル!$B$3="実績報告（２次）",AL$26&gt;=0),AL48)))))))))),0)</f>
        <v>0</v>
      </c>
      <c r="AM30" s="1997">
        <f>IFERROR(
IF(テーブル!$B$3="交付申請",AM48,
IF(AND(テーブル!$B$3="変更申請",AM$26=0),0,
IF(AND(テーブル!$B$3="変更申請",AM$26&gt;=0),AM48,
IF(テーブル!$B$3="実績報告（１次）",AM48,
IF(AND(テーブル!$B$3="交付申請（２次）",AM$26=0),0,
IF(AND(テーブル!$B$3="交付申請（２次）",AM$26&gt;=0),AM48,
IF(AND(テーブル!$B$3="交付申請兼実績報告（２次）",AM$26=0),0,
IF(AND(テーブル!$B$3="交付申請兼実績報告（２次）",AM$26&gt;=0),AM48,
IF(AND(テーブル!$B$3="実績報告（２次）",AM$26=0),0,
IF(AND(テーブル!$B$3="実績報告（２次）",AM$26&gt;=0),AM48)))))))))),0)</f>
        <v>0</v>
      </c>
      <c r="AN30" s="1997">
        <f>IFERROR(
IF(テーブル!$B$3="交付申請",AN48,
IF(AND(テーブル!$B$3="変更申請",AN$26=0),0,
IF(AND(テーブル!$B$3="変更申請",AN$26&gt;=0),AN48,
IF(テーブル!$B$3="実績報告（１次）",AN48,
IF(AND(テーブル!$B$3="交付申請（２次）",AN$26=0),0,
IF(AND(テーブル!$B$3="交付申請（２次）",AN$26&gt;=0),AN48,
IF(AND(テーブル!$B$3="交付申請兼実績報告（２次）",AN$26=0),0,
IF(AND(テーブル!$B$3="交付申請兼実績報告（２次）",AN$26&gt;=0),AN48,
IF(AND(テーブル!$B$3="実績報告（２次）",AN$26=0),0,
IF(AND(テーブル!$B$3="実績報告（２次）",AN$26&gt;=0),AN48)))))))))),0)</f>
        <v>0</v>
      </c>
      <c r="AO30" s="1997">
        <f>IFERROR(
IF(テーブル!$B$3="交付申請",AO48,
IF(AND(テーブル!$B$3="変更申請",AO$26=0),0,
IF(AND(テーブル!$B$3="変更申請",AO$26&gt;=0),AO48,
IF(テーブル!$B$3="実績報告（１次）",AO48,
IF(AND(テーブル!$B$3="交付申請（２次）",AO$26=0),0,
IF(AND(テーブル!$B$3="交付申請（２次）",AO$26&gt;=0),AO48,
IF(AND(テーブル!$B$3="交付申請兼実績報告（２次）",AO$26=0),0,
IF(AND(テーブル!$B$3="交付申請兼実績報告（２次）",AO$26&gt;=0),AO48,
IF(AND(テーブル!$B$3="実績報告（２次）",AO$26=0),0,
IF(AND(テーブル!$B$3="実績報告（２次）",AO$26&gt;=0),AO48)))))))))),0)</f>
        <v>0</v>
      </c>
      <c r="AP30" s="1997">
        <f>IFERROR(
IF(テーブル!$B$3="交付申請",AP48,
IF(AND(テーブル!$B$3="変更申請",AP$26=0),0,
IF(AND(テーブル!$B$3="変更申請",AP$26&gt;=0),AP48,
IF(テーブル!$B$3="実績報告（１次）",AP48,
IF(AND(テーブル!$B$3="交付申請（２次）",AP$26=0),0,
IF(AND(テーブル!$B$3="交付申請（２次）",AP$26&gt;=0),AP48,
IF(AND(テーブル!$B$3="交付申請兼実績報告（２次）",AP$26=0),0,
IF(AND(テーブル!$B$3="交付申請兼実績報告（２次）",AP$26&gt;=0),AP48,
IF(AND(テーブル!$B$3="実績報告（２次）",AP$26=0),0,
IF(AND(テーブル!$B$3="実績報告（２次）",AP$26&gt;=0),AP48)))))))))),0)</f>
        <v>0</v>
      </c>
      <c r="AQ30" s="1997">
        <f>IFERROR(
IF(テーブル!$B$3="交付申請",AQ48,
IF(AND(テーブル!$B$3="変更申請",AQ$26=0),0,
IF(AND(テーブル!$B$3="変更申請",AQ$26&gt;=0),AQ48,
IF(テーブル!$B$3="実績報告（１次）",AQ48,
IF(AND(テーブル!$B$3="交付申請（２次）",AQ$26=0),0,
IF(AND(テーブル!$B$3="交付申請（２次）",AQ$26&gt;=0),AQ48,
IF(AND(テーブル!$B$3="交付申請兼実績報告（２次）",AQ$26=0),0,
IF(AND(テーブル!$B$3="交付申請兼実績報告（２次）",AQ$26&gt;=0),AQ48,
IF(AND(テーブル!$B$3="実績報告（２次）",AQ$26=0),0,
IF(AND(テーブル!$B$3="実績報告（２次）",AQ$26&gt;=0),AQ48)))))))))),0)</f>
        <v>0</v>
      </c>
      <c r="AR30" s="1997">
        <f>IFERROR(
IF(テーブル!$B$3="交付申請",AR48,
IF(AND(テーブル!$B$3="変更申請",AR$26=0),0,
IF(AND(テーブル!$B$3="変更申請",AR$26&gt;=0),AR48,
IF(テーブル!$B$3="実績報告（１次）",AR48,
IF(AND(テーブル!$B$3="交付申請（２次）",AR$26=0),0,
IF(AND(テーブル!$B$3="交付申請（２次）",AR$26&gt;=0),AR48,
IF(AND(テーブル!$B$3="交付申請兼実績報告（２次）",AR$26=0),0,
IF(AND(テーブル!$B$3="交付申請兼実績報告（２次）",AR$26&gt;=0),AR48,
IF(AND(テーブル!$B$3="実績報告（２次）",AR$26=0),0,
IF(AND(テーブル!$B$3="実績報告（２次）",AR$26&gt;=0),AR48)))))))))),0)</f>
        <v>0</v>
      </c>
      <c r="AS30" s="1997">
        <f>IFERROR(
IF(テーブル!$B$3="交付申請",AS48,
IF(AND(テーブル!$B$3="変更申請",AS$26=0),0,
IF(AND(テーブル!$B$3="変更申請",AS$26&gt;=0),AS48,
IF(テーブル!$B$3="実績報告（１次）",AS48,
IF(AND(テーブル!$B$3="交付申請（２次）",AS$26=0),0,
IF(AND(テーブル!$B$3="交付申請（２次）",AS$26&gt;=0),AS48,
IF(AND(テーブル!$B$3="交付申請兼実績報告（２次）",AS$26=0),0,
IF(AND(テーブル!$B$3="交付申請兼実績報告（２次）",AS$26&gt;=0),AS48,
IF(AND(テーブル!$B$3="実績報告（２次）",AS$26=0),0,
IF(AND(テーブル!$B$3="実績報告（２次）",AS$26&gt;=0),AS48)))))))))),0)</f>
        <v>0</v>
      </c>
      <c r="AT30" s="1997">
        <f>IFERROR(
IF(テーブル!$B$3="交付申請",AT48,
IF(AND(テーブル!$B$3="変更申請",AT$26=0),0,
IF(AND(テーブル!$B$3="変更申請",AT$26&gt;=0),AT48,
IF(テーブル!$B$3="実績報告（１次）",AT48,
IF(AND(テーブル!$B$3="交付申請（２次）",AT$26=0),0,
IF(AND(テーブル!$B$3="交付申請（２次）",AT$26&gt;=0),AT48,
IF(AND(テーブル!$B$3="交付申請兼実績報告（２次）",AT$26=0),0,
IF(AND(テーブル!$B$3="交付申請兼実績報告（２次）",AT$26&gt;=0),AT48,
IF(AND(テーブル!$B$3="実績報告（２次）",AT$26=0),0,
IF(AND(テーブル!$B$3="実績報告（２次）",AT$26&gt;=0),AT48)))))))))),0)</f>
        <v>0</v>
      </c>
      <c r="AU30" s="1997">
        <f>IFERROR(
IF(テーブル!$B$3="交付申請",AU48,
IF(AND(テーブル!$B$3="変更申請",AU$26=0),0,
IF(AND(テーブル!$B$3="変更申請",AU$26&gt;=0),AU48,
IF(テーブル!$B$3="実績報告（１次）",AU48,
IF(AND(テーブル!$B$3="交付申請（２次）",AU$26=0),0,
IF(AND(テーブル!$B$3="交付申請（２次）",AU$26&gt;=0),AU48,
IF(AND(テーブル!$B$3="交付申請兼実績報告（２次）",AU$26=0),0,
IF(AND(テーブル!$B$3="交付申請兼実績報告（２次）",AU$26&gt;=0),AU48,
IF(AND(テーブル!$B$3="実績報告（２次）",AU$26=0),0,
IF(AND(テーブル!$B$3="実績報告（２次）",AU$26&gt;=0),AU48)))))))))),0)</f>
        <v>0</v>
      </c>
      <c r="AV30" s="1997">
        <f>IFERROR(
IF(テーブル!$B$3="交付申請",AV48,
IF(AND(テーブル!$B$3="変更申請",AV$26=0),0,
IF(AND(テーブル!$B$3="変更申請",AV$26&gt;=0),AV48,
IF(テーブル!$B$3="実績報告（１次）",AV48,
IF(AND(テーブル!$B$3="交付申請（２次）",AV$26=0),0,
IF(AND(テーブル!$B$3="交付申請（２次）",AV$26&gt;=0),AV48,
IF(AND(テーブル!$B$3="交付申請兼実績報告（２次）",AV$26=0),0,
IF(AND(テーブル!$B$3="交付申請兼実績報告（２次）",AV$26&gt;=0),AV48,
IF(AND(テーブル!$B$3="実績報告（２次）",AV$26=0),0,
IF(AND(テーブル!$B$3="実績報告（２次）",AV$26&gt;=0),AV48)))))))))),0)</f>
        <v>0</v>
      </c>
      <c r="AW30" s="1997">
        <f>IFERROR(
IF(テーブル!$B$3="交付申請",AW48,
IF(AND(テーブル!$B$3="変更申請",AW$26=0),0,
IF(AND(テーブル!$B$3="変更申請",AW$26&gt;=0),AW48,
IF(テーブル!$B$3="実績報告（１次）",AW48,
IF(AND(テーブル!$B$3="交付申請（２次）",AW$26=0),0,
IF(AND(テーブル!$B$3="交付申請（２次）",AW$26&gt;=0),AW48,
IF(AND(テーブル!$B$3="交付申請兼実績報告（２次）",AW$26=0),0,
IF(AND(テーブル!$B$3="交付申請兼実績報告（２次）",AW$26&gt;=0),AW48,
IF(AND(テーブル!$B$3="実績報告（２次）",AW$26=0),0,
IF(AND(テーブル!$B$3="実績報告（２次）",AW$26&gt;=0),AW48)))))))))),0)</f>
        <v>0</v>
      </c>
      <c r="AX30" s="1997">
        <f>IFERROR(
IF(テーブル!$B$3="交付申請",AX48,
IF(AND(テーブル!$B$3="変更申請",AX$26=0),0,
IF(AND(テーブル!$B$3="変更申請",AX$26&gt;=0),AX48,
IF(テーブル!$B$3="実績報告（１次）",AX48,
IF(AND(テーブル!$B$3="交付申請（２次）",AX$26=0),0,
IF(AND(テーブル!$B$3="交付申請（２次）",AX$26&gt;=0),AX48,
IF(AND(テーブル!$B$3="交付申請兼実績報告（２次）",AX$26=0),0,
IF(AND(テーブル!$B$3="交付申請兼実績報告（２次）",AX$26&gt;=0),AX48,
IF(AND(テーブル!$B$3="実績報告（２次）",AX$26=0),0,
IF(AND(テーブル!$B$3="実績報告（２次）",AX$26&gt;=0),AX48)))))))))),0)</f>
        <v>0</v>
      </c>
      <c r="AY30" s="1997">
        <f>IFERROR(
IF(テーブル!$B$3="交付申請",AY48,
IF(AND(テーブル!$B$3="変更申請",AY$26=0),0,
IF(AND(テーブル!$B$3="変更申請",AY$26&gt;=0),AY48,
IF(テーブル!$B$3="実績報告（１次）",AY48,
IF(AND(テーブル!$B$3="交付申請（２次）",AY$26=0),0,
IF(AND(テーブル!$B$3="交付申請（２次）",AY$26&gt;=0),AY48,
IF(AND(テーブル!$B$3="交付申請兼実績報告（２次）",AY$26=0),0,
IF(AND(テーブル!$B$3="交付申請兼実績報告（２次）",AY$26&gt;=0),AY48,
IF(AND(テーブル!$B$3="実績報告（２次）",AY$26=0),0,
IF(AND(テーブル!$B$3="実績報告（２次）",AY$26&gt;=0),AY48)))))))))),0)</f>
        <v>0</v>
      </c>
      <c r="AZ30" s="1997">
        <f>IFERROR(
IF(テーブル!$B$3="交付申請",AZ48,
IF(AND(テーブル!$B$3="変更申請",AZ$26=0),0,
IF(AND(テーブル!$B$3="変更申請",AZ$26&gt;=0),AZ48,
IF(テーブル!$B$3="実績報告（１次）",AZ48,
IF(AND(テーブル!$B$3="交付申請（２次）",AZ$26=0),0,
IF(AND(テーブル!$B$3="交付申請（２次）",AZ$26&gt;=0),AZ48,
IF(AND(テーブル!$B$3="交付申請兼実績報告（２次）",AZ$26=0),0,
IF(AND(テーブル!$B$3="交付申請兼実績報告（２次）",AZ$26&gt;=0),AZ48,
IF(AND(テーブル!$B$3="実績報告（２次）",AZ$26=0),0,
IF(AND(テーブル!$B$3="実績報告（２次）",AZ$26&gt;=0),AZ48)))))))))),0)</f>
        <v>0</v>
      </c>
      <c r="BA30" s="1997">
        <f>IFERROR(
IF(テーブル!$B$3="交付申請",BA48,
IF(AND(テーブル!$B$3="変更申請",BA$26=0),0,
IF(AND(テーブル!$B$3="変更申請",BA$26&gt;=0),BA48,
IF(テーブル!$B$3="実績報告（１次）",BA48,
IF(AND(テーブル!$B$3="交付申請（２次）",BA$26=0),0,
IF(AND(テーブル!$B$3="交付申請（２次）",BA$26&gt;=0),BA48,
IF(AND(テーブル!$B$3="交付申請兼実績報告（２次）",BA$26=0),0,
IF(AND(テーブル!$B$3="交付申請兼実績報告（２次）",BA$26&gt;=0),BA48,
IF(AND(テーブル!$B$3="実績報告（２次）",BA$26=0),0,
IF(AND(テーブル!$B$3="実績報告（２次）",BA$26&gt;=0),BA48)))))))))),0)</f>
        <v>0</v>
      </c>
      <c r="BB30" s="1997">
        <f>IFERROR(
IF(テーブル!$B$3="交付申請",BB48,
IF(AND(テーブル!$B$3="変更申請",BB$26=0),0,
IF(AND(テーブル!$B$3="変更申請",BB$26&gt;=0),BB48,
IF(テーブル!$B$3="実績報告（１次）",BB48,
IF(AND(テーブル!$B$3="交付申請（２次）",BB$26=0),0,
IF(AND(テーブル!$B$3="交付申請（２次）",BB$26&gt;=0),BB48,
IF(AND(テーブル!$B$3="交付申請兼実績報告（２次）",BB$26=0),0,
IF(AND(テーブル!$B$3="交付申請兼実績報告（２次）",BB$26&gt;=0),BB48,
IF(AND(テーブル!$B$3="実績報告（２次）",BB$26=0),0,
IF(AND(テーブル!$B$3="実績報告（２次）",BB$26&gt;=0),BB48)))))))))),0)</f>
        <v>0</v>
      </c>
      <c r="BC30" s="1997">
        <f>IFERROR(
IF(テーブル!$B$3="交付申請",BC48,
IF(AND(テーブル!$B$3="変更申請",BC$26=0),0,
IF(AND(テーブル!$B$3="変更申請",BC$26&gt;=0),BC48,
IF(テーブル!$B$3="実績報告（１次）",BC48,
IF(AND(テーブル!$B$3="交付申請（２次）",BC$26=0),0,
IF(AND(テーブル!$B$3="交付申請（２次）",BC$26&gt;=0),BC48,
IF(AND(テーブル!$B$3="交付申請兼実績報告（２次）",BC$26=0),0,
IF(AND(テーブル!$B$3="交付申請兼実績報告（２次）",BC$26&gt;=0),BC48,
IF(AND(テーブル!$B$3="実績報告（２次）",BC$26=0),0,
IF(AND(テーブル!$B$3="実績報告（２次）",BC$26&gt;=0),BC48)))))))))),0)</f>
        <v>0</v>
      </c>
      <c r="BD30" s="1997">
        <f>IFERROR(
IF(テーブル!$B$3="交付申請",BD48,
IF(AND(テーブル!$B$3="変更申請",BD$26=0),0,
IF(AND(テーブル!$B$3="変更申請",BD$26&gt;=0),BD48,
IF(テーブル!$B$3="実績報告（１次）",BD48,
IF(AND(テーブル!$B$3="交付申請（２次）",BD$26=0),0,
IF(AND(テーブル!$B$3="交付申請（２次）",BD$26&gt;=0),BD48,
IF(AND(テーブル!$B$3="交付申請兼実績報告（２次）",BD$26=0),0,
IF(AND(テーブル!$B$3="交付申請兼実績報告（２次）",BD$26&gt;=0),BD48,
IF(AND(テーブル!$B$3="実績報告（２次）",BD$26=0),0,
IF(AND(テーブル!$B$3="実績報告（２次）",BD$26&gt;=0),BD48)))))))))),0)</f>
        <v>0</v>
      </c>
      <c r="BE30" s="1997">
        <f>IFERROR(
IF(テーブル!$B$3="交付申請",BE48,
IF(AND(テーブル!$B$3="変更申請",BE$26=0),0,
IF(AND(テーブル!$B$3="変更申請",BE$26&gt;=0),BE48,
IF(テーブル!$B$3="実績報告（１次）",BE48,
IF(AND(テーブル!$B$3="交付申請（２次）",BE$26=0),0,
IF(AND(テーブル!$B$3="交付申請（２次）",BE$26&gt;=0),BE48,
IF(AND(テーブル!$B$3="交付申請兼実績報告（２次）",BE$26=0),0,
IF(AND(テーブル!$B$3="交付申請兼実績報告（２次）",BE$26&gt;=0),BE48,
IF(AND(テーブル!$B$3="実績報告（２次）",BE$26=0),0,
IF(AND(テーブル!$B$3="実績報告（２次）",BE$26&gt;=0),BE48)))))))))),0)</f>
        <v>0</v>
      </c>
      <c r="BF30" s="1997">
        <f>IFERROR(
IF(テーブル!$B$3="交付申請",BF48,
IF(AND(テーブル!$B$3="変更申請",BF$26=0),0,
IF(AND(テーブル!$B$3="変更申請",BF$26&gt;=0),BF48,
IF(テーブル!$B$3="実績報告（１次）",BF48,
IF(AND(テーブル!$B$3="交付申請（２次）",BF$26=0),0,
IF(AND(テーブル!$B$3="交付申請（２次）",BF$26&gt;=0),BF48,
IF(AND(テーブル!$B$3="交付申請兼実績報告（２次）",BF$26=0),0,
IF(AND(テーブル!$B$3="交付申請兼実績報告（２次）",BF$26&gt;=0),BF48,
IF(AND(テーブル!$B$3="実績報告（２次）",BF$26=0),0,
IF(AND(テーブル!$B$3="実績報告（２次）",BF$26&gt;=0),BF48)))))))))),0)</f>
        <v>0</v>
      </c>
      <c r="BG30" s="1997">
        <f>IFERROR(
IF(テーブル!$B$3="交付申請",BG48,
IF(AND(テーブル!$B$3="変更申請",BG$26=0),0,
IF(AND(テーブル!$B$3="変更申請",BG$26&gt;=0),BG48,
IF(テーブル!$B$3="実績報告（１次）",BG48,
IF(AND(テーブル!$B$3="交付申請（２次）",BG$26=0),0,
IF(AND(テーブル!$B$3="交付申請（２次）",BG$26&gt;=0),BG48,
IF(AND(テーブル!$B$3="交付申請兼実績報告（２次）",BG$26=0),0,
IF(AND(テーブル!$B$3="交付申請兼実績報告（２次）",BG$26&gt;=0),BG48,
IF(AND(テーブル!$B$3="実績報告（２次）",BG$26=0),0,
IF(AND(テーブル!$B$3="実績報告（２次）",BG$26&gt;=0),BG48)))))))))),0)</f>
        <v>0</v>
      </c>
      <c r="BH30" s="1997">
        <f>IFERROR(
IF(テーブル!$B$3="交付申請",BH48,
IF(AND(テーブル!$B$3="変更申請",BH$26=0),0,
IF(AND(テーブル!$B$3="変更申請",BH$26&gt;=0),BH48,
IF(テーブル!$B$3="実績報告（１次）",BH48,
IF(AND(テーブル!$B$3="交付申請（２次）",BH$26=0),0,
IF(AND(テーブル!$B$3="交付申請（２次）",BH$26&gt;=0),BH48,
IF(AND(テーブル!$B$3="交付申請兼実績報告（２次）",BH$26=0),0,
IF(AND(テーブル!$B$3="交付申請兼実績報告（２次）",BH$26&gt;=0),BH48,
IF(AND(テーブル!$B$3="実績報告（２次）",BH$26=0),0,
IF(AND(テーブル!$B$3="実績報告（２次）",BH$26&gt;=0),BH48)))))))))),0)</f>
        <v>0</v>
      </c>
      <c r="BI30" s="1997">
        <f>IFERROR(
IF(テーブル!$B$3="交付申請",BI48,
IF(AND(テーブル!$B$3="変更申請",BI$26=0),0,
IF(AND(テーブル!$B$3="変更申請",BI$26&gt;=0),BI48,
IF(テーブル!$B$3="実績報告（１次）",BI48,
IF(AND(テーブル!$B$3="交付申請（２次）",BI$26=0),0,
IF(AND(テーブル!$B$3="交付申請（２次）",BI$26&gt;=0),BI48,
IF(AND(テーブル!$B$3="交付申請兼実績報告（２次）",BI$26=0),0,
IF(AND(テーブル!$B$3="交付申請兼実績報告（２次）",BI$26&gt;=0),BI48,
IF(AND(テーブル!$B$3="実績報告（２次）",BI$26=0),0,
IF(AND(テーブル!$B$3="実績報告（２次）",BI$26&gt;=0),BI48)))))))))),0)</f>
        <v>0</v>
      </c>
      <c r="BJ30" s="1997">
        <f>IFERROR(
IF(テーブル!$B$3="交付申請",BJ48,
IF(AND(テーブル!$B$3="変更申請",BJ$26=0),0,
IF(AND(テーブル!$B$3="変更申請",BJ$26&gt;=0),BJ48,
IF(テーブル!$B$3="実績報告（１次）",BJ48,
IF(AND(テーブル!$B$3="交付申請（２次）",BJ$26=0),0,
IF(AND(テーブル!$B$3="交付申請（２次）",BJ$26&gt;=0),BJ48,
IF(AND(テーブル!$B$3="交付申請兼実績報告（２次）",BJ$26=0),0,
IF(AND(テーブル!$B$3="交付申請兼実績報告（２次）",BJ$26&gt;=0),BJ48,
IF(AND(テーブル!$B$3="実績報告（２次）",BJ$26=0),0,
IF(AND(テーブル!$B$3="実績報告（２次）",BJ$26&gt;=0),BJ48)))))))))),0)</f>
        <v>0</v>
      </c>
      <c r="BK30" s="1997">
        <f>IFERROR(
IF(テーブル!$B$3="交付申請",BK48,
IF(AND(テーブル!$B$3="変更申請",BK$26=0),0,
IF(AND(テーブル!$B$3="変更申請",BK$26&gt;=0),BK48,
IF(テーブル!$B$3="実績報告（１次）",BK48,
IF(AND(テーブル!$B$3="交付申請（２次）",BK$26=0),0,
IF(AND(テーブル!$B$3="交付申請（２次）",BK$26&gt;=0),BK48,
IF(AND(テーブル!$B$3="交付申請兼実績報告（２次）",BK$26=0),0,
IF(AND(テーブル!$B$3="交付申請兼実績報告（２次）",BK$26&gt;=0),BK48,
IF(AND(テーブル!$B$3="実績報告（２次）",BK$26=0),0,
IF(AND(テーブル!$B$3="実績報告（２次）",BK$26&gt;=0),BK48)))))))))),0)</f>
        <v>0</v>
      </c>
      <c r="BL30" s="1997">
        <f>IFERROR(
IF(テーブル!$B$3="交付申請",BL48,
IF(AND(テーブル!$B$3="変更申請",BL$26=0),0,
IF(AND(テーブル!$B$3="変更申請",BL$26&gt;=0),BL48,
IF(テーブル!$B$3="実績報告（１次）",BL48,
IF(AND(テーブル!$B$3="交付申請（２次）",BL$26=0),0,
IF(AND(テーブル!$B$3="交付申請（２次）",BL$26&gt;=0),BL48,
IF(AND(テーブル!$B$3="交付申請兼実績報告（２次）",BL$26=0),0,
IF(AND(テーブル!$B$3="交付申請兼実績報告（２次）",BL$26&gt;=0),BL48,
IF(AND(テーブル!$B$3="実績報告（２次）",BL$26=0),0,
IF(AND(テーブル!$B$3="実績報告（２次）",BL$26&gt;=0),BL48)))))))))),0)</f>
        <v>0</v>
      </c>
      <c r="BM30" s="1997">
        <f>IFERROR(
IF(テーブル!$B$3="交付申請",BM48,
IF(AND(テーブル!$B$3="変更申請",BM$26=0),0,
IF(AND(テーブル!$B$3="変更申請",BM$26&gt;=0),BM48,
IF(テーブル!$B$3="実績報告（１次）",BM48,
IF(AND(テーブル!$B$3="交付申請（２次）",BM$26=0),0,
IF(AND(テーブル!$B$3="交付申請（２次）",BM$26&gt;=0),BM48,
IF(AND(テーブル!$B$3="交付申請兼実績報告（２次）",BM$26=0),0,
IF(AND(テーブル!$B$3="交付申請兼実績報告（２次）",BM$26&gt;=0),BM48,
IF(AND(テーブル!$B$3="実績報告（２次）",BM$26=0),0,
IF(AND(テーブル!$B$3="実績報告（２次）",BM$26&gt;=0),BM48)))))))))),0)</f>
        <v>0</v>
      </c>
      <c r="BN30" s="1997">
        <f>IFERROR(
IF(テーブル!$B$3="交付申請",BN48,
IF(AND(テーブル!$B$3="変更申請",BN$26=0),0,
IF(AND(テーブル!$B$3="変更申請",BN$26&gt;=0),BN48,
IF(テーブル!$B$3="実績報告（１次）",BN48,
IF(AND(テーブル!$B$3="交付申請（２次）",BN$26=0),0,
IF(AND(テーブル!$B$3="交付申請（２次）",BN$26&gt;=0),BN48,
IF(AND(テーブル!$B$3="交付申請兼実績報告（２次）",BN$26=0),0,
IF(AND(テーブル!$B$3="交付申請兼実績報告（２次）",BN$26&gt;=0),BN48,
IF(AND(テーブル!$B$3="実績報告（２次）",BN$26=0),0,
IF(AND(テーブル!$B$3="実績報告（２次）",BN$26&gt;=0),BN48)))))))))),0)</f>
        <v>0</v>
      </c>
      <c r="BO30" s="1997">
        <f>IFERROR(
IF(テーブル!$B$3="交付申請",BO48,
IF(AND(テーブル!$B$3="変更申請",BO$26=0),0,
IF(AND(テーブル!$B$3="変更申請",BO$26&gt;=0),BO48,
IF(テーブル!$B$3="実績報告（１次）",BO48,
IF(AND(テーブル!$B$3="交付申請（２次）",BO$26=0),0,
IF(AND(テーブル!$B$3="交付申請（２次）",BO$26&gt;=0),BO48,
IF(AND(テーブル!$B$3="交付申請兼実績報告（２次）",BO$26=0),0,
IF(AND(テーブル!$B$3="交付申請兼実績報告（２次）",BO$26&gt;=0),BO48,
IF(AND(テーブル!$B$3="実績報告（２次）",BO$26=0),0,
IF(AND(テーブル!$B$3="実績報告（２次）",BO$26&gt;=0),BO48)))))))))),0)</f>
        <v>0</v>
      </c>
      <c r="BP30" s="1997">
        <f>IFERROR(
IF(テーブル!$B$3="交付申請",BP48,
IF(AND(テーブル!$B$3="変更申請",BP$26=0),0,
IF(AND(テーブル!$B$3="変更申請",BP$26&gt;=0),BP48,
IF(テーブル!$B$3="実績報告（１次）",BP48,
IF(AND(テーブル!$B$3="交付申請（２次）",BP$26=0),0,
IF(AND(テーブル!$B$3="交付申請（２次）",BP$26&gt;=0),BP48,
IF(AND(テーブル!$B$3="交付申請兼実績報告（２次）",BP$26=0),0,
IF(AND(テーブル!$B$3="交付申請兼実績報告（２次）",BP$26&gt;=0),BP48,
IF(AND(テーブル!$B$3="実績報告（２次）",BP$26=0),0,
IF(AND(テーブル!$B$3="実績報告（２次）",BP$26&gt;=0),BP48)))))))))),0)</f>
        <v>0</v>
      </c>
      <c r="BQ30" s="1997">
        <f>IFERROR(
IF(テーブル!$B$3="交付申請",BQ48,
IF(AND(テーブル!$B$3="変更申請",BQ$26=0),0,
IF(AND(テーブル!$B$3="変更申請",BQ$26&gt;=0),BQ48,
IF(テーブル!$B$3="実績報告（１次）",BQ48,
IF(AND(テーブル!$B$3="交付申請（２次）",BQ$26=0),0,
IF(AND(テーブル!$B$3="交付申請（２次）",BQ$26&gt;=0),BQ48,
IF(AND(テーブル!$B$3="交付申請兼実績報告（２次）",BQ$26=0),0,
IF(AND(テーブル!$B$3="交付申請兼実績報告（２次）",BQ$26&gt;=0),BQ48,
IF(AND(テーブル!$B$3="実績報告（２次）",BQ$26=0),0,
IF(AND(テーブル!$B$3="実績報告（２次）",BQ$26&gt;=0),BQ48)))))))))),0)</f>
        <v>0</v>
      </c>
      <c r="BR30" s="1997">
        <f>IFERROR(
IF(テーブル!$B$3="交付申請",BR48,
IF(AND(テーブル!$B$3="変更申請",BR$26=0),0,
IF(AND(テーブル!$B$3="変更申請",BR$26&gt;=0),BR48,
IF(テーブル!$B$3="実績報告（１次）",BR48,
IF(AND(テーブル!$B$3="交付申請（２次）",BR$26=0),0,
IF(AND(テーブル!$B$3="交付申請（２次）",BR$26&gt;=0),BR48,
IF(AND(テーブル!$B$3="交付申請兼実績報告（２次）",BR$26=0),0,
IF(AND(テーブル!$B$3="交付申請兼実績報告（２次）",BR$26&gt;=0),BR48,
IF(AND(テーブル!$B$3="実績報告（２次）",BR$26=0),0,
IF(AND(テーブル!$B$3="実績報告（２次）",BR$26&gt;=0),BR48)))))))))),0)</f>
        <v>0</v>
      </c>
      <c r="BS30" s="1997">
        <f>IFERROR(
IF(テーブル!$B$3="交付申請",BS48,
IF(AND(テーブル!$B$3="変更申請",BS$26=0),0,
IF(AND(テーブル!$B$3="変更申請",BS$26&gt;=0),BS48,
IF(テーブル!$B$3="実績報告（１次）",BS48,
IF(AND(テーブル!$B$3="交付申請（２次）",BS$26=0),0,
IF(AND(テーブル!$B$3="交付申請（２次）",BS$26&gt;=0),BS48,
IF(AND(テーブル!$B$3="交付申請兼実績報告（２次）",BS$26=0),0,
IF(AND(テーブル!$B$3="交付申請兼実績報告（２次）",BS$26&gt;=0),BS48,
IF(AND(テーブル!$B$3="実績報告（２次）",BS$26=0),0,
IF(AND(テーブル!$B$3="実績報告（２次）",BS$26&gt;=0),BS48)))))))))),0)</f>
        <v>0</v>
      </c>
      <c r="BT30" s="1997">
        <f>IFERROR(
IF(テーブル!$B$3="交付申請",BT48,
IF(AND(テーブル!$B$3="変更申請",BT$26=0),0,
IF(AND(テーブル!$B$3="変更申請",BT$26&gt;=0),BT48,
IF(テーブル!$B$3="実績報告（１次）",BT48,
IF(AND(テーブル!$B$3="交付申請（２次）",BT$26=0),0,
IF(AND(テーブル!$B$3="交付申請（２次）",BT$26&gt;=0),BT48,
IF(AND(テーブル!$B$3="交付申請兼実績報告（２次）",BT$26=0),0,
IF(AND(テーブル!$B$3="交付申請兼実績報告（２次）",BT$26&gt;=0),BT48,
IF(AND(テーブル!$B$3="実績報告（２次）",BT$26=0),0,
IF(AND(テーブル!$B$3="実績報告（２次）",BT$26&gt;=0),BT48)))))))))),0)</f>
        <v>0</v>
      </c>
      <c r="BU30" s="1997">
        <f>IFERROR(
IF(テーブル!$B$3="交付申請",BU48,
IF(AND(テーブル!$B$3="変更申請",BU$26=0),0,
IF(AND(テーブル!$B$3="変更申請",BU$26&gt;=0),BU48,
IF(テーブル!$B$3="実績報告（１次）",BU48,
IF(AND(テーブル!$B$3="交付申請（２次）",BU$26=0),0,
IF(AND(テーブル!$B$3="交付申請（２次）",BU$26&gt;=0),BU48,
IF(AND(テーブル!$B$3="交付申請兼実績報告（２次）",BU$26=0),0,
IF(AND(テーブル!$B$3="交付申請兼実績報告（２次）",BU$26&gt;=0),BU48,
IF(AND(テーブル!$B$3="実績報告（２次）",BU$26=0),0,
IF(AND(テーブル!$B$3="実績報告（２次）",BU$26&gt;=0),BU48)))))))))),0)</f>
        <v>0</v>
      </c>
      <c r="BV30" s="1997">
        <f>IFERROR(
IF(テーブル!$B$3="交付申請",BV48,
IF(AND(テーブル!$B$3="変更申請",BV$26=0),0,
IF(AND(テーブル!$B$3="変更申請",BV$26&gt;=0),BV48,
IF(テーブル!$B$3="実績報告（１次）",BV48,
IF(AND(テーブル!$B$3="交付申請（２次）",BV$26=0),0,
IF(AND(テーブル!$B$3="交付申請（２次）",BV$26&gt;=0),BV48,
IF(AND(テーブル!$B$3="交付申請兼実績報告（２次）",BV$26=0),0,
IF(AND(テーブル!$B$3="交付申請兼実績報告（２次）",BV$26&gt;=0),BV48,
IF(AND(テーブル!$B$3="実績報告（２次）",BV$26=0),0,
IF(AND(テーブル!$B$3="実績報告（２次）",BV$26&gt;=0),BV48)))))))))),0)</f>
        <v>0</v>
      </c>
      <c r="BW30" s="1997">
        <f>IFERROR(
IF(テーブル!$B$3="交付申請",BW48,
IF(AND(テーブル!$B$3="変更申請",BW$26=0),0,
IF(AND(テーブル!$B$3="変更申請",BW$26&gt;=0),BW48,
IF(テーブル!$B$3="実績報告（１次）",BW48,
IF(AND(テーブル!$B$3="交付申請（２次）",BW$26=0),0,
IF(AND(テーブル!$B$3="交付申請（２次）",BW$26&gt;=0),BW48,
IF(AND(テーブル!$B$3="交付申請兼実績報告（２次）",BW$26=0),0,
IF(AND(テーブル!$B$3="交付申請兼実績報告（２次）",BW$26&gt;=0),BW48,
IF(AND(テーブル!$B$3="実績報告（２次）",BW$26=0),0,
IF(AND(テーブル!$B$3="実績報告（２次）",BW$26&gt;=0),BW48)))))))))),0)</f>
        <v>0</v>
      </c>
      <c r="BX30" s="1997">
        <f>IFERROR(
IF(テーブル!$B$3="交付申請",BX48,
IF(AND(テーブル!$B$3="変更申請",BX$26=0),0,
IF(AND(テーブル!$B$3="変更申請",BX$26&gt;=0),BX48,
IF(テーブル!$B$3="実績報告（１次）",BX48,
IF(AND(テーブル!$B$3="交付申請（２次）",BX$26=0),0,
IF(AND(テーブル!$B$3="交付申請（２次）",BX$26&gt;=0),BX48,
IF(AND(テーブル!$B$3="交付申請兼実績報告（２次）",BX$26=0),0,
IF(AND(テーブル!$B$3="交付申請兼実績報告（２次）",BX$26&gt;=0),BX48,
IF(AND(テーブル!$B$3="実績報告（２次）",BX$26=0),0,
IF(AND(テーブル!$B$3="実績報告（２次）",BX$26&gt;=0),BX48)))))))))),0)</f>
        <v>0</v>
      </c>
      <c r="BY30" s="1997">
        <f>IFERROR(
IF(テーブル!$B$3="交付申請",BY48,
IF(AND(テーブル!$B$3="変更申請",BY$26=0),0,
IF(AND(テーブル!$B$3="変更申請",BY$26&gt;=0),BY48,
IF(テーブル!$B$3="実績報告（１次）",BY48,
IF(AND(テーブル!$B$3="交付申請（２次）",BY$26=0),0,
IF(AND(テーブル!$B$3="交付申請（２次）",BY$26&gt;=0),BY48,
IF(AND(テーブル!$B$3="交付申請兼実績報告（２次）",BY$26=0),0,
IF(AND(テーブル!$B$3="交付申請兼実績報告（２次）",BY$26&gt;=0),BY48,
IF(AND(テーブル!$B$3="実績報告（２次）",BY$26=0),0,
IF(AND(テーブル!$B$3="実績報告（２次）",BY$26&gt;=0),BY48)))))))))),0)</f>
        <v>0</v>
      </c>
      <c r="BZ30" s="1997">
        <f>IFERROR(
IF(テーブル!$B$3="交付申請",BZ48,
IF(AND(テーブル!$B$3="変更申請",BZ$26=0),0,
IF(AND(テーブル!$B$3="変更申請",BZ$26&gt;=0),BZ48,
IF(テーブル!$B$3="実績報告（１次）",BZ48,
IF(AND(テーブル!$B$3="交付申請（２次）",BZ$26=0),0,
IF(AND(テーブル!$B$3="交付申請（２次）",BZ$26&gt;=0),BZ48,
IF(AND(テーブル!$B$3="交付申請兼実績報告（２次）",BZ$26=0),0,
IF(AND(テーブル!$B$3="交付申請兼実績報告（２次）",BZ$26&gt;=0),BZ48,
IF(AND(テーブル!$B$3="実績報告（２次）",BZ$26=0),0,
IF(AND(テーブル!$B$3="実績報告（２次）",BZ$26&gt;=0),BZ48)))))))))),0)</f>
        <v>0</v>
      </c>
      <c r="CA30" s="1997">
        <f>IFERROR(
IF(テーブル!$B$3="交付申請",CA48,
IF(AND(テーブル!$B$3="変更申請",CA$26=0),0,
IF(AND(テーブル!$B$3="変更申請",CA$26&gt;=0),CA48,
IF(テーブル!$B$3="実績報告（１次）",CA48,
IF(AND(テーブル!$B$3="交付申請（２次）",CA$26=0),0,
IF(AND(テーブル!$B$3="交付申請（２次）",CA$26&gt;=0),CA48,
IF(AND(テーブル!$B$3="交付申請兼実績報告（２次）",CA$26=0),0,
IF(AND(テーブル!$B$3="交付申請兼実績報告（２次）",CA$26&gt;=0),CA48,
IF(AND(テーブル!$B$3="実績報告（２次）",CA$26=0),0,
IF(AND(テーブル!$B$3="実績報告（２次）",CA$26&gt;=0),CA48)))))))))),0)</f>
        <v>0</v>
      </c>
      <c r="CB30" s="1997">
        <f>IFERROR(
IF(テーブル!$B$3="交付申請",CB48,
IF(AND(テーブル!$B$3="変更申請",CB$26=0),0,
IF(AND(テーブル!$B$3="変更申請",CB$26&gt;=0),CB48,
IF(テーブル!$B$3="実績報告（１次）",CB48,
IF(AND(テーブル!$B$3="交付申請（２次）",CB$26=0),0,
IF(AND(テーブル!$B$3="交付申請（２次）",CB$26&gt;=0),CB48,
IF(AND(テーブル!$B$3="交付申請兼実績報告（２次）",CB$26=0),0,
IF(AND(テーブル!$B$3="交付申請兼実績報告（２次）",CB$26&gt;=0),CB48,
IF(AND(テーブル!$B$3="実績報告（２次）",CB$26=0),0,
IF(AND(テーブル!$B$3="実績報告（２次）",CB$26&gt;=0),CB48)))))))))),0)</f>
        <v>0</v>
      </c>
      <c r="CC30" s="1997">
        <f>IFERROR(
IF(テーブル!$B$3="交付申請",CC48,
IF(AND(テーブル!$B$3="変更申請",CC$26=0),0,
IF(AND(テーブル!$B$3="変更申請",CC$26&gt;=0),CC48,
IF(テーブル!$B$3="実績報告（１次）",CC48,
IF(AND(テーブル!$B$3="交付申請（２次）",CC$26=0),0,
IF(AND(テーブル!$B$3="交付申請（２次）",CC$26&gt;=0),CC48,
IF(AND(テーブル!$B$3="交付申請兼実績報告（２次）",CC$26=0),0,
IF(AND(テーブル!$B$3="交付申請兼実績報告（２次）",CC$26&gt;=0),CC48,
IF(AND(テーブル!$B$3="実績報告（２次）",CC$26=0),0,
IF(AND(テーブル!$B$3="実績報告（２次）",CC$26&gt;=0),CC48)))))))))),0)</f>
        <v>0</v>
      </c>
      <c r="CD30" s="1997">
        <f>IFERROR(
IF(テーブル!$B$3="交付申請",CD48,
IF(AND(テーブル!$B$3="変更申請",CD$26=0),0,
IF(AND(テーブル!$B$3="変更申請",CD$26&gt;=0),CD48,
IF(テーブル!$B$3="実績報告（１次）",CD48,
IF(AND(テーブル!$B$3="交付申請（２次）",CD$26=0),0,
IF(AND(テーブル!$B$3="交付申請（２次）",CD$26&gt;=0),CD48,
IF(AND(テーブル!$B$3="交付申請兼実績報告（２次）",CD$26=0),0,
IF(AND(テーブル!$B$3="交付申請兼実績報告（２次）",CD$26&gt;=0),CD48,
IF(AND(テーブル!$B$3="実績報告（２次）",CD$26=0),0,
IF(AND(テーブル!$B$3="実績報告（２次）",CD$26&gt;=0),CD48)))))))))),0)</f>
        <v>0</v>
      </c>
      <c r="CE30" s="1997">
        <f>IFERROR(
IF(テーブル!$B$3="交付申請",CE48,
IF(AND(テーブル!$B$3="変更申請",CE$26=0),0,
IF(AND(テーブル!$B$3="変更申請",CE$26&gt;=0),CE48,
IF(テーブル!$B$3="実績報告（１次）",CE48,
IF(AND(テーブル!$B$3="交付申請（２次）",CE$26=0),0,
IF(AND(テーブル!$B$3="交付申請（２次）",CE$26&gt;=0),CE48,
IF(AND(テーブル!$B$3="交付申請兼実績報告（２次）",CE$26=0),0,
IF(AND(テーブル!$B$3="交付申請兼実績報告（２次）",CE$26&gt;=0),CE48,
IF(AND(テーブル!$B$3="実績報告（２次）",CE$26=0),0,
IF(AND(テーブル!$B$3="実績報告（２次）",CE$26&gt;=0),CE48)))))))))),0)</f>
        <v>0</v>
      </c>
      <c r="CF30" s="1997">
        <f>IFERROR(
IF(テーブル!$B$3="交付申請",CF48,
IF(AND(テーブル!$B$3="変更申請",CF$26=0),0,
IF(AND(テーブル!$B$3="変更申請",CF$26&gt;=0),CF48,
IF(テーブル!$B$3="実績報告（１次）",CF48,
IF(AND(テーブル!$B$3="交付申請（２次）",CF$26=0),0,
IF(AND(テーブル!$B$3="交付申請（２次）",CF$26&gt;=0),CF48,
IF(AND(テーブル!$B$3="交付申請兼実績報告（２次）",CF$26=0),0,
IF(AND(テーブル!$B$3="交付申請兼実績報告（２次）",CF$26&gt;=0),CF48,
IF(AND(テーブル!$B$3="実績報告（２次）",CF$26=0),0,
IF(AND(テーブル!$B$3="実績報告（２次）",CF$26&gt;=0),CF48)))))))))),0)</f>
        <v>0</v>
      </c>
      <c r="CG30" s="1997">
        <f>IFERROR(
IF(テーブル!$B$3="交付申請",CG48,
IF(AND(テーブル!$B$3="変更申請",CG$26=0),0,
IF(AND(テーブル!$B$3="変更申請",CG$26&gt;=0),CG48,
IF(テーブル!$B$3="実績報告（１次）",CG48,
IF(AND(テーブル!$B$3="交付申請（２次）",CG$26=0),0,
IF(AND(テーブル!$B$3="交付申請（２次）",CG$26&gt;=0),CG48,
IF(AND(テーブル!$B$3="交付申請兼実績報告（２次）",CG$26=0),0,
IF(AND(テーブル!$B$3="交付申請兼実績報告（２次）",CG$26&gt;=0),CG48,
IF(AND(テーブル!$B$3="実績報告（２次）",CG$26=0),0,
IF(AND(テーブル!$B$3="実績報告（２次）",CG$26&gt;=0),CG48)))))))))),0)</f>
        <v>0</v>
      </c>
      <c r="CH30" s="1997">
        <f>IFERROR(
IF(テーブル!$B$3="交付申請",CH48,
IF(AND(テーブル!$B$3="変更申請",CH$26=0),0,
IF(AND(テーブル!$B$3="変更申請",CH$26&gt;=0),CH48,
IF(テーブル!$B$3="実績報告（１次）",CH48,
IF(AND(テーブル!$B$3="交付申請（２次）",CH$26=0),0,
IF(AND(テーブル!$B$3="交付申請（２次）",CH$26&gt;=0),CH48,
IF(AND(テーブル!$B$3="交付申請兼実績報告（２次）",CH$26=0),0,
IF(AND(テーブル!$B$3="交付申請兼実績報告（２次）",CH$26&gt;=0),CH48,
IF(AND(テーブル!$B$3="実績報告（２次）",CH$26=0),0,
IF(AND(テーブル!$B$3="実績報告（２次）",CH$26&gt;=0),CH48)))))))))),0)</f>
        <v>0</v>
      </c>
      <c r="CI30" s="1997">
        <f>IFERROR(
IF(テーブル!$B$3="交付申請",CI48,
IF(AND(テーブル!$B$3="変更申請",CI$26=0),0,
IF(AND(テーブル!$B$3="変更申請",CI$26&gt;=0),CI48,
IF(テーブル!$B$3="実績報告（１次）",CI48,
IF(AND(テーブル!$B$3="交付申請（２次）",CI$26=0),0,
IF(AND(テーブル!$B$3="交付申請（２次）",CI$26&gt;=0),CI48,
IF(AND(テーブル!$B$3="交付申請兼実績報告（２次）",CI$26=0),0,
IF(AND(テーブル!$B$3="交付申請兼実績報告（２次）",CI$26&gt;=0),CI48,
IF(AND(テーブル!$B$3="実績報告（２次）",CI$26=0),0,
IF(AND(テーブル!$B$3="実績報告（２次）",CI$26&gt;=0),CI48)))))))))),0)</f>
        <v>0</v>
      </c>
      <c r="CJ30" s="1997">
        <f>IFERROR(
IF(テーブル!$B$3="交付申請",CJ48,
IF(AND(テーブル!$B$3="変更申請",CJ$26=0),0,
IF(AND(テーブル!$B$3="変更申請",CJ$26&gt;=0),CJ48,
IF(テーブル!$B$3="実績報告（１次）",CJ48,
IF(AND(テーブル!$B$3="交付申請（２次）",CJ$26=0),0,
IF(AND(テーブル!$B$3="交付申請（２次）",CJ$26&gt;=0),CJ48,
IF(AND(テーブル!$B$3="交付申請兼実績報告（２次）",CJ$26=0),0,
IF(AND(テーブル!$B$3="交付申請兼実績報告（２次）",CJ$26&gt;=0),CJ48,
IF(AND(テーブル!$B$3="実績報告（２次）",CJ$26=0),0,
IF(AND(テーブル!$B$3="実績報告（２次）",CJ$26&gt;=0),CJ48)))))))))),0)</f>
        <v>0</v>
      </c>
      <c r="CK30" s="1997">
        <f>IFERROR(
IF(テーブル!$B$3="交付申請",CK48,
IF(AND(テーブル!$B$3="変更申請",CK$26=0),0,
IF(AND(テーブル!$B$3="変更申請",CK$26&gt;=0),CK48,
IF(テーブル!$B$3="実績報告（１次）",CK48,
IF(AND(テーブル!$B$3="交付申請（２次）",CK$26=0),0,
IF(AND(テーブル!$B$3="交付申請（２次）",CK$26&gt;=0),CK48,
IF(AND(テーブル!$B$3="交付申請兼実績報告（２次）",CK$26=0),0,
IF(AND(テーブル!$B$3="交付申請兼実績報告（２次）",CK$26&gt;=0),CK48,
IF(AND(テーブル!$B$3="実績報告（２次）",CK$26=0),0,
IF(AND(テーブル!$B$3="実績報告（２次）",CK$26&gt;=0),CK48)))))))))),0)</f>
        <v>0</v>
      </c>
      <c r="CL30" s="1997">
        <f>IFERROR(
IF(テーブル!$B$3="交付申請",CL48,
IF(AND(テーブル!$B$3="変更申請",CL$26=0),0,
IF(AND(テーブル!$B$3="変更申請",CL$26&gt;=0),CL48,
IF(テーブル!$B$3="実績報告（１次）",CL48,
IF(AND(テーブル!$B$3="交付申請（２次）",CL$26=0),0,
IF(AND(テーブル!$B$3="交付申請（２次）",CL$26&gt;=0),CL48,
IF(AND(テーブル!$B$3="交付申請兼実績報告（２次）",CL$26=0),0,
IF(AND(テーブル!$B$3="交付申請兼実績報告（２次）",CL$26&gt;=0),CL48,
IF(AND(テーブル!$B$3="実績報告（２次）",CL$26=0),0,
IF(AND(テーブル!$B$3="実績報告（２次）",CL$26&gt;=0),CL48)))))))))),0)</f>
        <v>0</v>
      </c>
      <c r="CM30" s="1997">
        <f>IFERROR(
IF(テーブル!$B$3="交付申請",CM48,
IF(AND(テーブル!$B$3="変更申請",CM$26=0),0,
IF(AND(テーブル!$B$3="変更申請",CM$26&gt;=0),CM48,
IF(テーブル!$B$3="実績報告（１次）",CM48,
IF(AND(テーブル!$B$3="交付申請（２次）",CM$26=0),0,
IF(AND(テーブル!$B$3="交付申請（２次）",CM$26&gt;=0),CM48,
IF(AND(テーブル!$B$3="交付申請兼実績報告（２次）",CM$26=0),0,
IF(AND(テーブル!$B$3="交付申請兼実績報告（２次）",CM$26&gt;=0),CM48,
IF(AND(テーブル!$B$3="実績報告（２次）",CM$26=0),0,
IF(AND(テーブル!$B$3="実績報告（２次）",CM$26&gt;=0),CM48)))))))))),0)</f>
        <v>0</v>
      </c>
      <c r="CN30" s="1997">
        <f>IFERROR(
IF(テーブル!$B$3="交付申請",CN48,
IF(AND(テーブル!$B$3="変更申請",CN$26=0),0,
IF(AND(テーブル!$B$3="変更申請",CN$26&gt;=0),CN48,
IF(テーブル!$B$3="実績報告（１次）",CN48,
IF(AND(テーブル!$B$3="交付申請（２次）",CN$26=0),0,
IF(AND(テーブル!$B$3="交付申請（２次）",CN$26&gt;=0),CN48,
IF(AND(テーブル!$B$3="交付申請兼実績報告（２次）",CN$26=0),0,
IF(AND(テーブル!$B$3="交付申請兼実績報告（２次）",CN$26&gt;=0),CN48,
IF(AND(テーブル!$B$3="実績報告（２次）",CN$26=0),0,
IF(AND(テーブル!$B$3="実績報告（２次）",CN$26&gt;=0),CN48)))))))))),0)</f>
        <v>0</v>
      </c>
      <c r="CO30" s="1997">
        <f>IFERROR(
IF(テーブル!$B$3="交付申請",CO48,
IF(AND(テーブル!$B$3="変更申請",CO$26=0),0,
IF(AND(テーブル!$B$3="変更申請",CO$26&gt;=0),CO48,
IF(テーブル!$B$3="実績報告（１次）",CO48,
IF(AND(テーブル!$B$3="交付申請（２次）",CO$26=0),0,
IF(AND(テーブル!$B$3="交付申請（２次）",CO$26&gt;=0),CO48,
IF(AND(テーブル!$B$3="交付申請兼実績報告（２次）",CO$26=0),0,
IF(AND(テーブル!$B$3="交付申請兼実績報告（２次）",CO$26&gt;=0),CO48,
IF(AND(テーブル!$B$3="実績報告（２次）",CO$26=0),0,
IF(AND(テーブル!$B$3="実績報告（２次）",CO$26&gt;=0),CO48)))))))))),0)</f>
        <v>0</v>
      </c>
      <c r="CP30" s="1997">
        <f>IFERROR(
IF(テーブル!$B$3="交付申請",CP48,
IF(AND(テーブル!$B$3="変更申請",CP$26=0),0,
IF(AND(テーブル!$B$3="変更申請",CP$26&gt;=0),CP48,
IF(テーブル!$B$3="実績報告（１次）",CP48,
IF(AND(テーブル!$B$3="交付申請（２次）",CP$26=0),0,
IF(AND(テーブル!$B$3="交付申請（２次）",CP$26&gt;=0),CP48,
IF(AND(テーブル!$B$3="交付申請兼実績報告（２次）",CP$26=0),0,
IF(AND(テーブル!$B$3="交付申請兼実績報告（２次）",CP$26&gt;=0),CP48,
IF(AND(テーブル!$B$3="実績報告（２次）",CP$26=0),0,
IF(AND(テーブル!$B$3="実績報告（２次）",CP$26&gt;=0),CP48)))))))))),0)</f>
        <v>0</v>
      </c>
      <c r="CQ30" s="1997">
        <f>IFERROR(
IF(テーブル!$B$3="交付申請",CQ48,
IF(AND(テーブル!$B$3="変更申請",CQ$26=0),0,
IF(AND(テーブル!$B$3="変更申請",CQ$26&gt;=0),CQ48,
IF(テーブル!$B$3="実績報告（１次）",CQ48,
IF(AND(テーブル!$B$3="交付申請（２次）",CQ$26=0),0,
IF(AND(テーブル!$B$3="交付申請（２次）",CQ$26&gt;=0),CQ48,
IF(AND(テーブル!$B$3="交付申請兼実績報告（２次）",CQ$26=0),0,
IF(AND(テーブル!$B$3="交付申請兼実績報告（２次）",CQ$26&gt;=0),CQ48,
IF(AND(テーブル!$B$3="実績報告（２次）",CQ$26=0),0,
IF(AND(テーブル!$B$3="実績報告（２次）",CQ$26&gt;=0),CQ48)))))))))),0)</f>
        <v>0</v>
      </c>
      <c r="CR30" s="1997">
        <f>IFERROR(
IF(テーブル!$B$3="交付申請",CR48,
IF(AND(テーブル!$B$3="変更申請",CR$26=0),0,
IF(AND(テーブル!$B$3="変更申請",CR$26&gt;=0),CR48,
IF(テーブル!$B$3="実績報告（１次）",CR48,
IF(AND(テーブル!$B$3="交付申請（２次）",CR$26=0),0,
IF(AND(テーブル!$B$3="交付申請（２次）",CR$26&gt;=0),CR48,
IF(AND(テーブル!$B$3="交付申請兼実績報告（２次）",CR$26=0),0,
IF(AND(テーブル!$B$3="交付申請兼実績報告（２次）",CR$26&gt;=0),CR48,
IF(AND(テーブル!$B$3="実績報告（２次）",CR$26=0),0,
IF(AND(テーブル!$B$3="実績報告（２次）",CR$26&gt;=0),CR48)))))))))),0)</f>
        <v>0</v>
      </c>
      <c r="CS30" s="1997">
        <f>IFERROR(
IF(テーブル!$B$3="交付申請",CS48,
IF(AND(テーブル!$B$3="変更申請",CS$26=0),0,
IF(AND(テーブル!$B$3="変更申請",CS$26&gt;=0),CS48,
IF(テーブル!$B$3="実績報告（１次）",CS48,
IF(AND(テーブル!$B$3="交付申請（２次）",CS$26=0),0,
IF(AND(テーブル!$B$3="交付申請（２次）",CS$26&gt;=0),CS48,
IF(AND(テーブル!$B$3="交付申請兼実績報告（２次）",CS$26=0),0,
IF(AND(テーブル!$B$3="交付申請兼実績報告（２次）",CS$26&gt;=0),CS48,
IF(AND(テーブル!$B$3="実績報告（２次）",CS$26=0),0,
IF(AND(テーブル!$B$3="実績報告（２次）",CS$26&gt;=0),CS48)))))))))),0)</f>
        <v>0</v>
      </c>
      <c r="CT30" s="1997">
        <f>IFERROR(
IF(テーブル!$B$3="交付申請",CT48,
IF(AND(テーブル!$B$3="変更申請",CT$26=0),0,
IF(AND(テーブル!$B$3="変更申請",CT$26&gt;=0),CT48,
IF(テーブル!$B$3="実績報告（１次）",CT48,
IF(AND(テーブル!$B$3="交付申請（２次）",CT$26=0),0,
IF(AND(テーブル!$B$3="交付申請（２次）",CT$26&gt;=0),CT48,
IF(AND(テーブル!$B$3="交付申請兼実績報告（２次）",CT$26=0),0,
IF(AND(テーブル!$B$3="交付申請兼実績報告（２次）",CT$26&gt;=0),CT48,
IF(AND(テーブル!$B$3="実績報告（２次）",CT$26=0),0,
IF(AND(テーブル!$B$3="実績報告（２次）",CT$26&gt;=0),CT48)))))))))),0)</f>
        <v>0</v>
      </c>
      <c r="CU30" s="1997">
        <f>IFERROR(
IF(テーブル!$B$3="交付申請",CU48,
IF(AND(テーブル!$B$3="変更申請",CU$26=0),0,
IF(AND(テーブル!$B$3="変更申請",CU$26&gt;=0),CU48,
IF(テーブル!$B$3="実績報告（１次）",CU48,
IF(AND(テーブル!$B$3="交付申請（２次）",CU$26=0),0,
IF(AND(テーブル!$B$3="交付申請（２次）",CU$26&gt;=0),CU48,
IF(AND(テーブル!$B$3="交付申請兼実績報告（２次）",CU$26=0),0,
IF(AND(テーブル!$B$3="交付申請兼実績報告（２次）",CU$26&gt;=0),CU48,
IF(AND(テーブル!$B$3="実績報告（２次）",CU$26=0),0,
IF(AND(テーブル!$B$3="実績報告（２次）",CU$26&gt;=0),CU48)))))))))),0)</f>
        <v>0</v>
      </c>
      <c r="CV30" s="1997">
        <f>IFERROR(
IF(テーブル!$B$3="交付申請",CV48,
IF(AND(テーブル!$B$3="変更申請",CV$26=0),0,
IF(AND(テーブル!$B$3="変更申請",CV$26&gt;=0),CV48,
IF(テーブル!$B$3="実績報告（１次）",CV48,
IF(AND(テーブル!$B$3="交付申請（２次）",CV$26=0),0,
IF(AND(テーブル!$B$3="交付申請（２次）",CV$26&gt;=0),CV48,
IF(AND(テーブル!$B$3="交付申請兼実績報告（２次）",CV$26=0),0,
IF(AND(テーブル!$B$3="交付申請兼実績報告（２次）",CV$26&gt;=0),CV48,
IF(AND(テーブル!$B$3="実績報告（２次）",CV$26=0),0,
IF(AND(テーブル!$B$3="実績報告（２次）",CV$26&gt;=0),CV48)))))))))),0)</f>
        <v>0</v>
      </c>
      <c r="CW30" s="1997">
        <f>IFERROR(
IF(テーブル!$B$3="交付申請",CW48,
IF(AND(テーブル!$B$3="変更申請",CW$26=0),0,
IF(AND(テーブル!$B$3="変更申請",CW$26&gt;=0),CW48,
IF(テーブル!$B$3="実績報告（１次）",CW48,
IF(AND(テーブル!$B$3="交付申請（２次）",CW$26=0),0,
IF(AND(テーブル!$B$3="交付申請（２次）",CW$26&gt;=0),CW48,
IF(AND(テーブル!$B$3="交付申請兼実績報告（２次）",CW$26=0),0,
IF(AND(テーブル!$B$3="交付申請兼実績報告（２次）",CW$26&gt;=0),CW48,
IF(AND(テーブル!$B$3="実績報告（２次）",CW$26=0),0,
IF(AND(テーブル!$B$3="実績報告（２次）",CW$26&gt;=0),CW48)))))))))),0)</f>
        <v>0</v>
      </c>
      <c r="CX30" s="1997">
        <f>IFERROR(
IF(テーブル!$B$3="交付申請",CX48,
IF(AND(テーブル!$B$3="変更申請",CX$26=0),0,
IF(AND(テーブル!$B$3="変更申請",CX$26&gt;=0),CX48,
IF(テーブル!$B$3="実績報告（１次）",CX48,
IF(AND(テーブル!$B$3="交付申請（２次）",CX$26=0),0,
IF(AND(テーブル!$B$3="交付申請（２次）",CX$26&gt;=0),CX48,
IF(AND(テーブル!$B$3="交付申請兼実績報告（２次）",CX$26=0),0,
IF(AND(テーブル!$B$3="交付申請兼実績報告（２次）",CX$26&gt;=0),CX48,
IF(AND(テーブル!$B$3="実績報告（２次）",CX$26=0),0,
IF(AND(テーブル!$B$3="実績報告（２次）",CX$26&gt;=0),CX48)))))))))),0)</f>
        <v>0</v>
      </c>
      <c r="CY30" s="1997">
        <f>IFERROR(
IF(テーブル!$B$3="交付申請",CY48,
IF(AND(テーブル!$B$3="変更申請",CY$26=0),0,
IF(AND(テーブル!$B$3="変更申請",CY$26&gt;=0),CY48,
IF(テーブル!$B$3="実績報告（１次）",CY48,
IF(AND(テーブル!$B$3="交付申請（２次）",CY$26=0),0,
IF(AND(テーブル!$B$3="交付申請（２次）",CY$26&gt;=0),CY48,
IF(AND(テーブル!$B$3="交付申請兼実績報告（２次）",CY$26=0),0,
IF(AND(テーブル!$B$3="交付申請兼実績報告（２次）",CY$26&gt;=0),CY48,
IF(AND(テーブル!$B$3="実績報告（２次）",CY$26=0),0,
IF(AND(テーブル!$B$3="実績報告（２次）",CY$26&gt;=0),CY48)))))))))),0)</f>
        <v>0</v>
      </c>
      <c r="CZ30" s="1997">
        <f>IFERROR(
IF(テーブル!$B$3="交付申請",CZ48,
IF(AND(テーブル!$B$3="変更申請",CZ$26=0),0,
IF(AND(テーブル!$B$3="変更申請",CZ$26&gt;=0),CZ48,
IF(テーブル!$B$3="実績報告（１次）",CZ48,
IF(AND(テーブル!$B$3="交付申請（２次）",CZ$26=0),0,
IF(AND(テーブル!$B$3="交付申請（２次）",CZ$26&gt;=0),CZ48,
IF(AND(テーブル!$B$3="交付申請兼実績報告（２次）",CZ$26=0),0,
IF(AND(テーブル!$B$3="交付申請兼実績報告（２次）",CZ$26&gt;=0),CZ48,
IF(AND(テーブル!$B$3="実績報告（２次）",CZ$26=0),0,
IF(AND(テーブル!$B$3="実績報告（２次）",CZ$26&gt;=0),CZ48)))))))))),0)</f>
        <v>0</v>
      </c>
      <c r="DA30" s="1997">
        <f>IFERROR(
IF(テーブル!$B$3="交付申請",DA48,
IF(AND(テーブル!$B$3="変更申請",DA$26=0),0,
IF(AND(テーブル!$B$3="変更申請",DA$26&gt;=0),DA48,
IF(テーブル!$B$3="実績報告（１次）",DA48,
IF(AND(テーブル!$B$3="交付申請（２次）",DA$26=0),0,
IF(AND(テーブル!$B$3="交付申請（２次）",DA$26&gt;=0),DA48,
IF(AND(テーブル!$B$3="交付申請兼実績報告（２次）",DA$26=0),0,
IF(AND(テーブル!$B$3="交付申請兼実績報告（２次）",DA$26&gt;=0),DA48,
IF(AND(テーブル!$B$3="実績報告（２次）",DA$26=0),0,
IF(AND(テーブル!$B$3="実績報告（２次）",DA$26&gt;=0),DA48)))))))))),0)</f>
        <v>0</v>
      </c>
      <c r="DB30" s="1997">
        <f>IFERROR(
IF(テーブル!$B$3="交付申請",DB48,
IF(AND(テーブル!$B$3="変更申請",DB$26=0),0,
IF(AND(テーブル!$B$3="変更申請",DB$26&gt;=0),DB48,
IF(テーブル!$B$3="実績報告（１次）",DB48,
IF(AND(テーブル!$B$3="交付申請（２次）",DB$26=0),0,
IF(AND(テーブル!$B$3="交付申請（２次）",DB$26&gt;=0),DB48,
IF(AND(テーブル!$B$3="交付申請兼実績報告（２次）",DB$26=0),0,
IF(AND(テーブル!$B$3="交付申請兼実績報告（２次）",DB$26&gt;=0),DB48,
IF(AND(テーブル!$B$3="実績報告（２次）",DB$26=0),0,
IF(AND(テーブル!$B$3="実績報告（２次）",DB$26&gt;=0),DB48)))))))))),0)</f>
        <v>0</v>
      </c>
      <c r="DC30" s="1997">
        <f>IFERROR(
IF(テーブル!$B$3="交付申請",DC48,
IF(AND(テーブル!$B$3="変更申請",DC$26=0),0,
IF(AND(テーブル!$B$3="変更申請",DC$26&gt;=0),DC48,
IF(テーブル!$B$3="実績報告（１次）",DC48,
IF(AND(テーブル!$B$3="交付申請（２次）",DC$26=0),0,
IF(AND(テーブル!$B$3="交付申請（２次）",DC$26&gt;=0),DC48,
IF(AND(テーブル!$B$3="交付申請兼実績報告（２次）",DC$26=0),0,
IF(AND(テーブル!$B$3="交付申請兼実績報告（２次）",DC$26&gt;=0),DC48,
IF(AND(テーブル!$B$3="実績報告（２次）",DC$26=0),0,
IF(AND(テーブル!$B$3="実績報告（２次）",DC$26&gt;=0),DC48)))))))))),0)</f>
        <v>0</v>
      </c>
      <c r="DD30" s="1997">
        <f>IFERROR(
IF(テーブル!$B$3="交付申請",DD48,
IF(AND(テーブル!$B$3="変更申請",DD$26=0),0,
IF(AND(テーブル!$B$3="変更申請",DD$26&gt;=0),DD48,
IF(テーブル!$B$3="実績報告（１次）",DD48,
IF(AND(テーブル!$B$3="交付申請（２次）",DD$26=0),0,
IF(AND(テーブル!$B$3="交付申請（２次）",DD$26&gt;=0),DD48,
IF(AND(テーブル!$B$3="交付申請兼実績報告（２次）",DD$26=0),0,
IF(AND(テーブル!$B$3="交付申請兼実績報告（２次）",DD$26&gt;=0),DD48,
IF(AND(テーブル!$B$3="実績報告（２次）",DD$26=0),0,
IF(AND(テーブル!$B$3="実績報告（２次）",DD$26&gt;=0),DD48)))))))))),0)</f>
        <v>0</v>
      </c>
      <c r="DE30" s="1997">
        <f>IFERROR(
IF(テーブル!$B$3="交付申請",DE48,
IF(AND(テーブル!$B$3="変更申請",DE$26=0),0,
IF(AND(テーブル!$B$3="変更申請",DE$26&gt;=0),DE48,
IF(テーブル!$B$3="実績報告（１次）",DE48,
IF(AND(テーブル!$B$3="交付申請（２次）",DE$26=0),0,
IF(AND(テーブル!$B$3="交付申請（２次）",DE$26&gt;=0),DE48,
IF(AND(テーブル!$B$3="交付申請兼実績報告（２次）",DE$26=0),0,
IF(AND(テーブル!$B$3="交付申請兼実績報告（２次）",DE$26&gt;=0),DE48,
IF(AND(テーブル!$B$3="実績報告（２次）",DE$26=0),0,
IF(AND(テーブル!$B$3="実績報告（２次）",DE$26&gt;=0),DE48)))))))))),0)</f>
        <v>0</v>
      </c>
      <c r="DF30" s="1997">
        <f>IFERROR(
IF(テーブル!$B$3="交付申請",DF48,
IF(AND(テーブル!$B$3="変更申請",DF$26=0),0,
IF(AND(テーブル!$B$3="変更申請",DF$26&gt;=0),DF48,
IF(テーブル!$B$3="実績報告（１次）",DF48,
IF(AND(テーブル!$B$3="交付申請（２次）",DF$26=0),0,
IF(AND(テーブル!$B$3="交付申請（２次）",DF$26&gt;=0),DF48,
IF(AND(テーブル!$B$3="交付申請兼実績報告（２次）",DF$26=0),0,
IF(AND(テーブル!$B$3="交付申請兼実績報告（２次）",DF$26&gt;=0),DF48,
IF(AND(テーブル!$B$3="実績報告（２次）",DF$26=0),0,
IF(AND(テーブル!$B$3="実績報告（２次）",DF$26&gt;=0),DF48)))))))))),0)</f>
        <v>0</v>
      </c>
      <c r="DG30" s="1997">
        <f>IFERROR(
IF(テーブル!$B$3="交付申請",DG48,
IF(AND(テーブル!$B$3="変更申請",DG$26=0),0,
IF(AND(テーブル!$B$3="変更申請",DG$26&gt;=0),DG48,
IF(テーブル!$B$3="実績報告（１次）",DG48,
IF(AND(テーブル!$B$3="交付申請（２次）",DG$26=0),0,
IF(AND(テーブル!$B$3="交付申請（２次）",DG$26&gt;=0),DG48,
IF(AND(テーブル!$B$3="交付申請兼実績報告（２次）",DG$26=0),0,
IF(AND(テーブル!$B$3="交付申請兼実績報告（２次）",DG$26&gt;=0),DG48,
IF(AND(テーブル!$B$3="実績報告（２次）",DG$26=0),0,
IF(AND(テーブル!$B$3="実績報告（２次）",DG$26&gt;=0),DG48)))))))))),0)</f>
        <v>0</v>
      </c>
      <c r="DH30" s="1997">
        <f>IFERROR(
IF(テーブル!$B$3="交付申請",DH48,
IF(AND(テーブル!$B$3="変更申請",DH$26=0),0,
IF(AND(テーブル!$B$3="変更申請",DH$26&gt;=0),DH48,
IF(テーブル!$B$3="実績報告（１次）",DH48,
IF(AND(テーブル!$B$3="交付申請（２次）",DH$26=0),0,
IF(AND(テーブル!$B$3="交付申請（２次）",DH$26&gt;=0),DH48,
IF(AND(テーブル!$B$3="交付申請兼実績報告（２次）",DH$26=0),0,
IF(AND(テーブル!$B$3="交付申請兼実績報告（２次）",DH$26&gt;=0),DH48,
IF(AND(テーブル!$B$3="実績報告（２次）",DH$26=0),0,
IF(AND(テーブル!$B$3="実績報告（２次）",DH$26&gt;=0),DH48)))))))))),0)</f>
        <v>0</v>
      </c>
      <c r="DI30" s="1997">
        <f>IFERROR(
IF(テーブル!$B$3="交付申請",DI48,
IF(AND(テーブル!$B$3="変更申請",DI$26=0),0,
IF(AND(テーブル!$B$3="変更申請",DI$26&gt;=0),DI48,
IF(テーブル!$B$3="実績報告（１次）",DI48,
IF(AND(テーブル!$B$3="交付申請（２次）",DI$26=0),0,
IF(AND(テーブル!$B$3="交付申請（２次）",DI$26&gt;=0),DI48,
IF(AND(テーブル!$B$3="交付申請兼実績報告（２次）",DI$26=0),0,
IF(AND(テーブル!$B$3="交付申請兼実績報告（２次）",DI$26&gt;=0),DI48,
IF(AND(テーブル!$B$3="実績報告（２次）",DI$26=0),0,
IF(AND(テーブル!$B$3="実績報告（２次）",DI$26&gt;=0),DI48)))))))))),0)</f>
        <v>0</v>
      </c>
      <c r="DJ30" s="1997">
        <f>IFERROR(
IF(テーブル!$B$3="交付申請",DJ48,
IF(AND(テーブル!$B$3="変更申請",DJ$26=0),0,
IF(AND(テーブル!$B$3="変更申請",DJ$26&gt;=0),DJ48,
IF(テーブル!$B$3="実績報告（１次）",DJ48,
IF(AND(テーブル!$B$3="交付申請（２次）",DJ$26=0),0,
IF(AND(テーブル!$B$3="交付申請（２次）",DJ$26&gt;=0),DJ48,
IF(AND(テーブル!$B$3="交付申請兼実績報告（２次）",DJ$26=0),0,
IF(AND(テーブル!$B$3="交付申請兼実績報告（２次）",DJ$26&gt;=0),DJ48,
IF(AND(テーブル!$B$3="実績報告（２次）",DJ$26=0),0,
IF(AND(テーブル!$B$3="実績報告（２次）",DJ$26&gt;=0),DJ48)))))))))),0)</f>
        <v>0</v>
      </c>
      <c r="DK30" s="1997">
        <f>IFERROR(
IF(テーブル!$B$3="交付申請",DK48,
IF(AND(テーブル!$B$3="変更申請",DK$26=0),0,
IF(AND(テーブル!$B$3="変更申請",DK$26&gt;=0),DK48,
IF(テーブル!$B$3="実績報告（１次）",DK48,
IF(AND(テーブル!$B$3="交付申請（２次）",DK$26=0),0,
IF(AND(テーブル!$B$3="交付申請（２次）",DK$26&gt;=0),DK48,
IF(AND(テーブル!$B$3="交付申請兼実績報告（２次）",DK$26=0),0,
IF(AND(テーブル!$B$3="交付申請兼実績報告（２次）",DK$26&gt;=0),DK48,
IF(AND(テーブル!$B$3="実績報告（２次）",DK$26=0),0,
IF(AND(テーブル!$B$3="実績報告（２次）",DK$26&gt;=0),DK48)))))))))),0)</f>
        <v>0</v>
      </c>
      <c r="DL30" s="1997">
        <f>IFERROR(
IF(テーブル!$B$3="交付申請",DL48,
IF(AND(テーブル!$B$3="変更申請",DL$26=0),0,
IF(AND(テーブル!$B$3="変更申請",DL$26&gt;=0),DL48,
IF(テーブル!$B$3="実績報告（１次）",DL48,
IF(AND(テーブル!$B$3="交付申請（２次）",DL$26=0),0,
IF(AND(テーブル!$B$3="交付申請（２次）",DL$26&gt;=0),DL48,
IF(AND(テーブル!$B$3="交付申請兼実績報告（２次）",DL$26=0),0,
IF(AND(テーブル!$B$3="交付申請兼実績報告（２次）",DL$26&gt;=0),DL48,
IF(AND(テーブル!$B$3="実績報告（２次）",DL$26=0),0,
IF(AND(テーブル!$B$3="実績報告（２次）",DL$26&gt;=0),DL48)))))))))),0)</f>
        <v>0</v>
      </c>
      <c r="DM30" s="1997">
        <f>IFERROR(
IF(テーブル!$B$3="交付申請",DM48,
IF(AND(テーブル!$B$3="変更申請",DM$26=0),0,
IF(AND(テーブル!$B$3="変更申請",DM$26&gt;=0),DM48,
IF(テーブル!$B$3="実績報告（１次）",DM48,
IF(AND(テーブル!$B$3="交付申請（２次）",DM$26=0),0,
IF(AND(テーブル!$B$3="交付申請（２次）",DM$26&gt;=0),DM48,
IF(AND(テーブル!$B$3="交付申請兼実績報告（２次）",DM$26=0),0,
IF(AND(テーブル!$B$3="交付申請兼実績報告（２次）",DM$26&gt;=0),DM48,
IF(AND(テーブル!$B$3="実績報告（２次）",DM$26=0),0,
IF(AND(テーブル!$B$3="実績報告（２次）",DM$26&gt;=0),DM48)))))))))),0)</f>
        <v>0</v>
      </c>
      <c r="DN30" s="1997">
        <f>IFERROR(
IF(テーブル!$B$3="交付申請",DN48,
IF(AND(テーブル!$B$3="変更申請",DN$26=0),0,
IF(AND(テーブル!$B$3="変更申請",DN$26&gt;=0),DN48,
IF(テーブル!$B$3="実績報告（１次）",DN48,
IF(AND(テーブル!$B$3="交付申請（２次）",DN$26=0),0,
IF(AND(テーブル!$B$3="交付申請（２次）",DN$26&gt;=0),DN48,
IF(AND(テーブル!$B$3="交付申請兼実績報告（２次）",DN$26=0),0,
IF(AND(テーブル!$B$3="交付申請兼実績報告（２次）",DN$26&gt;=0),DN48,
IF(AND(テーブル!$B$3="実績報告（２次）",DN$26=0),0,
IF(AND(テーブル!$B$3="実績報告（２次）",DN$26&gt;=0),DN48)))))))))),0)</f>
        <v>0</v>
      </c>
      <c r="DO30" s="1997">
        <f>IFERROR(
IF(テーブル!$B$3="交付申請",DO48,
IF(AND(テーブル!$B$3="変更申請",DO$26=0),0,
IF(AND(テーブル!$B$3="変更申請",DO$26&gt;=0),DO48,
IF(テーブル!$B$3="実績報告（１次）",DO48,
IF(AND(テーブル!$B$3="交付申請（２次）",DO$26=0),0,
IF(AND(テーブル!$B$3="交付申請（２次）",DO$26&gt;=0),DO48,
IF(AND(テーブル!$B$3="交付申請兼実績報告（２次）",DO$26=0),0,
IF(AND(テーブル!$B$3="交付申請兼実績報告（２次）",DO$26&gt;=0),DO48,
IF(AND(テーブル!$B$3="実績報告（２次）",DO$26=0),0,
IF(AND(テーブル!$B$3="実績報告（２次）",DO$26&gt;=0),DO48)))))))))),0)</f>
        <v>0</v>
      </c>
      <c r="DP30" s="1997">
        <f>IFERROR(
IF(テーブル!$B$3="交付申請",DP48,
IF(AND(テーブル!$B$3="変更申請",DP$26=0),0,
IF(AND(テーブル!$B$3="変更申請",DP$26&gt;=0),DP48,
IF(テーブル!$B$3="実績報告（１次）",DP48,
IF(AND(テーブル!$B$3="交付申請（２次）",DP$26=0),0,
IF(AND(テーブル!$B$3="交付申請（２次）",DP$26&gt;=0),DP48,
IF(AND(テーブル!$B$3="交付申請兼実績報告（２次）",DP$26=0),0,
IF(AND(テーブル!$B$3="交付申請兼実績報告（２次）",DP$26&gt;=0),DP48,
IF(AND(テーブル!$B$3="実績報告（２次）",DP$26=0),0,
IF(AND(テーブル!$B$3="実績報告（２次）",DP$26&gt;=0),DP48)))))))))),0)</f>
        <v>0</v>
      </c>
      <c r="DQ30" s="1997">
        <f>IFERROR(
IF(テーブル!$B$3="交付申請",DQ48,
IF(AND(テーブル!$B$3="変更申請",DQ$26=0),0,
IF(AND(テーブル!$B$3="変更申請",DQ$26&gt;=0),DQ48,
IF(テーブル!$B$3="実績報告（１次）",DQ48,
IF(AND(テーブル!$B$3="交付申請（２次）",DQ$26=0),0,
IF(AND(テーブル!$B$3="交付申請（２次）",DQ$26&gt;=0),DQ48,
IF(AND(テーブル!$B$3="交付申請兼実績報告（２次）",DQ$26=0),0,
IF(AND(テーブル!$B$3="交付申請兼実績報告（２次）",DQ$26&gt;=0),DQ48,
IF(AND(テーブル!$B$3="実績報告（２次）",DQ$26=0),0,
IF(AND(テーブル!$B$3="実績報告（２次）",DQ$26&gt;=0),DQ48)))))))))),0)</f>
        <v>0</v>
      </c>
      <c r="DR30" s="1997">
        <f>IFERROR(
IF(テーブル!$B$3="交付申請",DR48,
IF(AND(テーブル!$B$3="変更申請",DR$26=0),0,
IF(AND(テーブル!$B$3="変更申請",DR$26&gt;=0),DR48,
IF(テーブル!$B$3="実績報告（１次）",DR48,
IF(AND(テーブル!$B$3="交付申請（２次）",DR$26=0),0,
IF(AND(テーブル!$B$3="交付申請（２次）",DR$26&gt;=0),DR48,
IF(AND(テーブル!$B$3="交付申請兼実績報告（２次）",DR$26=0),0,
IF(AND(テーブル!$B$3="交付申請兼実績報告（２次）",DR$26&gt;=0),DR48,
IF(AND(テーブル!$B$3="実績報告（２次）",DR$26=0),0,
IF(AND(テーブル!$B$3="実績報告（２次）",DR$26&gt;=0),DR48)))))))))),0)</f>
        <v>0</v>
      </c>
      <c r="DS30" s="1997">
        <f>IFERROR(
IF(テーブル!$B$3="交付申請",DS48,
IF(AND(テーブル!$B$3="変更申請",DS$26=0),0,
IF(AND(テーブル!$B$3="変更申請",DS$26&gt;=0),DS48,
IF(テーブル!$B$3="実績報告（１次）",DS48,
IF(AND(テーブル!$B$3="交付申請（２次）",DS$26=0),0,
IF(AND(テーブル!$B$3="交付申請（２次）",DS$26&gt;=0),DS48,
IF(AND(テーブル!$B$3="交付申請兼実績報告（２次）",DS$26=0),0,
IF(AND(テーブル!$B$3="交付申請兼実績報告（２次）",DS$26&gt;=0),DS48,
IF(AND(テーブル!$B$3="実績報告（２次）",DS$26=0),0,
IF(AND(テーブル!$B$3="実績報告（２次）",DS$26&gt;=0),DS48)))))))))),0)</f>
        <v>0</v>
      </c>
      <c r="DT30" s="1997">
        <f>IFERROR(
IF(テーブル!$B$3="交付申請",DT48,
IF(AND(テーブル!$B$3="変更申請",DT$26=0),0,
IF(AND(テーブル!$B$3="変更申請",DT$26&gt;=0),DT48,
IF(テーブル!$B$3="実績報告（１次）",DT48,
IF(AND(テーブル!$B$3="交付申請（２次）",DT$26=0),0,
IF(AND(テーブル!$B$3="交付申請（２次）",DT$26&gt;=0),DT48,
IF(AND(テーブル!$B$3="交付申請兼実績報告（２次）",DT$26=0),0,
IF(AND(テーブル!$B$3="交付申請兼実績報告（２次）",DT$26&gt;=0),DT48,
IF(AND(テーブル!$B$3="実績報告（２次）",DT$26=0),0,
IF(AND(テーブル!$B$3="実績報告（２次）",DT$26&gt;=0),DT48)))))))))),0)</f>
        <v>0</v>
      </c>
      <c r="DU30" s="1997">
        <f>IFERROR(
IF(テーブル!$B$3="交付申請",DU48,
IF(AND(テーブル!$B$3="変更申請",DU$26=0),0,
IF(AND(テーブル!$B$3="変更申請",DU$26&gt;=0),DU48,
IF(テーブル!$B$3="実績報告（１次）",DU48,
IF(AND(テーブル!$B$3="交付申請（２次）",DU$26=0),0,
IF(AND(テーブル!$B$3="交付申請（２次）",DU$26&gt;=0),DU48,
IF(AND(テーブル!$B$3="交付申請兼実績報告（２次）",DU$26=0),0,
IF(AND(テーブル!$B$3="交付申請兼実績報告（２次）",DU$26&gt;=0),DU48,
IF(AND(テーブル!$B$3="実績報告（２次）",DU$26=0),0,
IF(AND(テーブル!$B$3="実績報告（２次）",DU$26&gt;=0),DU48)))))))))),0)</f>
        <v>0</v>
      </c>
      <c r="DV30" s="1997">
        <f>IFERROR(
IF(テーブル!$B$3="交付申請",DV48,
IF(AND(テーブル!$B$3="変更申請",DV$26=0),0,
IF(AND(テーブル!$B$3="変更申請",DV$26&gt;=0),DV48,
IF(テーブル!$B$3="実績報告（１次）",DV48,
IF(AND(テーブル!$B$3="交付申請（２次）",DV$26=0),0,
IF(AND(テーブル!$B$3="交付申請（２次）",DV$26&gt;=0),DV48,
IF(AND(テーブル!$B$3="交付申請兼実績報告（２次）",DV$26=0),0,
IF(AND(テーブル!$B$3="交付申請兼実績報告（２次）",DV$26&gt;=0),DV48,
IF(AND(テーブル!$B$3="実績報告（２次）",DV$26=0),0,
IF(AND(テーブル!$B$3="実績報告（２次）",DV$26&gt;=0),DV48)))))))))),0)</f>
        <v>0</v>
      </c>
      <c r="DW30" s="1997">
        <f>IFERROR(
IF(テーブル!$B$3="交付申請",DW48,
IF(AND(テーブル!$B$3="変更申請",DW$26=0),0,
IF(AND(テーブル!$B$3="変更申請",DW$26&gt;=0),DW48,
IF(テーブル!$B$3="実績報告（１次）",DW48,
IF(AND(テーブル!$B$3="交付申請（２次）",DW$26=0),0,
IF(AND(テーブル!$B$3="交付申請（２次）",DW$26&gt;=0),DW48,
IF(AND(テーブル!$B$3="交付申請兼実績報告（２次）",DW$26=0),0,
IF(AND(テーブル!$B$3="交付申請兼実績報告（２次）",DW$26&gt;=0),DW48,
IF(AND(テーブル!$B$3="実績報告（２次）",DW$26=0),0,
IF(AND(テーブル!$B$3="実績報告（２次）",DW$26&gt;=0),DW48)))))))))),0)</f>
        <v>0</v>
      </c>
      <c r="DX30" s="1997">
        <f>IFERROR(
IF(テーブル!$B$3="交付申請",DX48,
IF(AND(テーブル!$B$3="変更申請",DX$26=0),0,
IF(AND(テーブル!$B$3="変更申請",DX$26&gt;=0),DX48,
IF(テーブル!$B$3="実績報告（１次）",DX48,
IF(AND(テーブル!$B$3="交付申請（２次）",DX$26=0),0,
IF(AND(テーブル!$B$3="交付申請（２次）",DX$26&gt;=0),DX48,
IF(AND(テーブル!$B$3="交付申請兼実績報告（２次）",DX$26=0),0,
IF(AND(テーブル!$B$3="交付申請兼実績報告（２次）",DX$26&gt;=0),DX48,
IF(AND(テーブル!$B$3="実績報告（２次）",DX$26=0),0,
IF(AND(テーブル!$B$3="実績報告（２次）",DX$26&gt;=0),DX48)))))))))),0)</f>
        <v>0</v>
      </c>
      <c r="DY30" s="1997">
        <f>IFERROR(
IF(テーブル!$B$3="交付申請",DY48,
IF(AND(テーブル!$B$3="変更申請",DY$26=0),0,
IF(AND(テーブル!$B$3="変更申請",DY$26&gt;=0),DY48,
IF(テーブル!$B$3="実績報告（１次）",DY48,
IF(AND(テーブル!$B$3="交付申請（２次）",DY$26=0),0,
IF(AND(テーブル!$B$3="交付申請（２次）",DY$26&gt;=0),DY48,
IF(AND(テーブル!$B$3="交付申請兼実績報告（２次）",DY$26=0),0,
IF(AND(テーブル!$B$3="交付申請兼実績報告（２次）",DY$26&gt;=0),DY48,
IF(AND(テーブル!$B$3="実績報告（２次）",DY$26=0),0,
IF(AND(テーブル!$B$3="実績報告（２次）",DY$26&gt;=0),DY48)))))))))),0)</f>
        <v>0</v>
      </c>
      <c r="DZ30" s="1997">
        <f>IFERROR(
IF(テーブル!$B$3="交付申請",DZ48,
IF(AND(テーブル!$B$3="変更申請",DZ$26=0),0,
IF(AND(テーブル!$B$3="変更申請",DZ$26&gt;=0),DZ48,
IF(テーブル!$B$3="実績報告（１次）",DZ48,
IF(AND(テーブル!$B$3="交付申請（２次）",DZ$26=0),0,
IF(AND(テーブル!$B$3="交付申請（２次）",DZ$26&gt;=0),DZ48,
IF(AND(テーブル!$B$3="交付申請兼実績報告（２次）",DZ$26=0),0,
IF(AND(テーブル!$B$3="交付申請兼実績報告（２次）",DZ$26&gt;=0),DZ48,
IF(AND(テーブル!$B$3="実績報告（２次）",DZ$26=0),0,
IF(AND(テーブル!$B$3="実績報告（２次）",DZ$26&gt;=0),DZ48)))))))))),0)</f>
        <v>0</v>
      </c>
      <c r="EA30" s="1997">
        <f>IFERROR(
IF(テーブル!$B$3="交付申請",EA48,
IF(AND(テーブル!$B$3="変更申請",EA$26=0),0,
IF(AND(テーブル!$B$3="変更申請",EA$26&gt;=0),EA48,
IF(テーブル!$B$3="実績報告（１次）",EA48,
IF(AND(テーブル!$B$3="交付申請（２次）",EA$26=0),0,
IF(AND(テーブル!$B$3="交付申請（２次）",EA$26&gt;=0),EA48,
IF(AND(テーブル!$B$3="交付申請兼実績報告（２次）",EA$26=0),0,
IF(AND(テーブル!$B$3="交付申請兼実績報告（２次）",EA$26&gt;=0),EA48,
IF(AND(テーブル!$B$3="実績報告（２次）",EA$26=0),0,
IF(AND(テーブル!$B$3="実績報告（２次）",EA$26&gt;=0),EA48)))))))))),0)</f>
        <v>0</v>
      </c>
      <c r="EB30" s="1997">
        <f>IFERROR(
IF(テーブル!$B$3="交付申請",EB48,
IF(AND(テーブル!$B$3="変更申請",EB$26=0),0,
IF(AND(テーブル!$B$3="変更申請",EB$26&gt;=0),EB48,
IF(テーブル!$B$3="実績報告（１次）",EB48,
IF(AND(テーブル!$B$3="交付申請（２次）",EB$26=0),0,
IF(AND(テーブル!$B$3="交付申請（２次）",EB$26&gt;=0),EB48,
IF(AND(テーブル!$B$3="交付申請兼実績報告（２次）",EB$26=0),0,
IF(AND(テーブル!$B$3="交付申請兼実績報告（２次）",EB$26&gt;=0),EB48,
IF(AND(テーブル!$B$3="実績報告（２次）",EB$26=0),0,
IF(AND(テーブル!$B$3="実績報告（２次）",EB$26&gt;=0),EB48)))))))))),0)</f>
        <v>0</v>
      </c>
      <c r="EC30" s="1997">
        <f>IFERROR(
IF(テーブル!$B$3="交付申請",EC48,
IF(AND(テーブル!$B$3="変更申請",EC$26=0),0,
IF(AND(テーブル!$B$3="変更申請",EC$26&gt;=0),EC48,
IF(テーブル!$B$3="実績報告（１次）",EC48,
IF(AND(テーブル!$B$3="交付申請（２次）",EC$26=0),0,
IF(AND(テーブル!$B$3="交付申請（２次）",EC$26&gt;=0),EC48,
IF(AND(テーブル!$B$3="交付申請兼実績報告（２次）",EC$26=0),0,
IF(AND(テーブル!$B$3="交付申請兼実績報告（２次）",EC$26&gt;=0),EC48,
IF(AND(テーブル!$B$3="実績報告（２次）",EC$26=0),0,
IF(AND(テーブル!$B$3="実績報告（２次）",EC$26&gt;=0),EC48)))))))))),0)</f>
        <v>0</v>
      </c>
      <c r="ED30" s="1997">
        <f>IFERROR(
IF(テーブル!$B$3="交付申請",ED48,
IF(AND(テーブル!$B$3="変更申請",ED$26=0),0,
IF(AND(テーブル!$B$3="変更申請",ED$26&gt;=0),ED48,
IF(テーブル!$B$3="実績報告（１次）",ED48,
IF(AND(テーブル!$B$3="交付申請（２次）",ED$26=0),0,
IF(AND(テーブル!$B$3="交付申請（２次）",ED$26&gt;=0),ED48,
IF(AND(テーブル!$B$3="交付申請兼実績報告（２次）",ED$26=0),0,
IF(AND(テーブル!$B$3="交付申請兼実績報告（２次）",ED$26&gt;=0),ED48,
IF(AND(テーブル!$B$3="実績報告（２次）",ED$26=0),0,
IF(AND(テーブル!$B$3="実績報告（２次）",ED$26&gt;=0),ED48)))))))))),0)</f>
        <v>0</v>
      </c>
      <c r="EE30" s="1997">
        <f>IFERROR(
IF(テーブル!$B$3="交付申請",EE48,
IF(AND(テーブル!$B$3="変更申請",EE$26=0),0,
IF(AND(テーブル!$B$3="変更申請",EE$26&gt;=0),EE48,
IF(テーブル!$B$3="実績報告（１次）",EE48,
IF(AND(テーブル!$B$3="交付申請（２次）",EE$26=0),0,
IF(AND(テーブル!$B$3="交付申請（２次）",EE$26&gt;=0),EE48,
IF(AND(テーブル!$B$3="交付申請兼実績報告（２次）",EE$26=0),0,
IF(AND(テーブル!$B$3="交付申請兼実績報告（２次）",EE$26&gt;=0),EE48,
IF(AND(テーブル!$B$3="実績報告（２次）",EE$26=0),0,
IF(AND(テーブル!$B$3="実績報告（２次）",EE$26&gt;=0),EE48)))))))))),0)</f>
        <v>0</v>
      </c>
      <c r="EF30" s="1997">
        <f>IFERROR(
IF(テーブル!$B$3="交付申請",EF48,
IF(AND(テーブル!$B$3="変更申請",EF$26=0),0,
IF(AND(テーブル!$B$3="変更申請",EF$26&gt;=0),EF48,
IF(テーブル!$B$3="実績報告（１次）",EF48,
IF(AND(テーブル!$B$3="交付申請（２次）",EF$26=0),0,
IF(AND(テーブル!$B$3="交付申請（２次）",EF$26&gt;=0),EF48,
IF(AND(テーブル!$B$3="交付申請兼実績報告（２次）",EF$26=0),0,
IF(AND(テーブル!$B$3="交付申請兼実績報告（２次）",EF$26&gt;=0),EF48,
IF(AND(テーブル!$B$3="実績報告（２次）",EF$26=0),0,
IF(AND(テーブル!$B$3="実績報告（２次）",EF$26&gt;=0),EF48)))))))))),0)</f>
        <v>0</v>
      </c>
      <c r="EG30" s="1997">
        <f>IFERROR(
IF(テーブル!$B$3="交付申請",EG48,
IF(AND(テーブル!$B$3="変更申請",EG$26=0),0,
IF(AND(テーブル!$B$3="変更申請",EG$26&gt;=0),EG48,
IF(テーブル!$B$3="実績報告（１次）",EG48,
IF(AND(テーブル!$B$3="交付申請（２次）",EG$26=0),0,
IF(AND(テーブル!$B$3="交付申請（２次）",EG$26&gt;=0),EG48,
IF(AND(テーブル!$B$3="交付申請兼実績報告（２次）",EG$26=0),0,
IF(AND(テーブル!$B$3="交付申請兼実績報告（２次）",EG$26&gt;=0),EG48,
IF(AND(テーブル!$B$3="実績報告（２次）",EG$26=0),0,
IF(AND(テーブル!$B$3="実績報告（２次）",EG$26&gt;=0),EG48)))))))))),0)</f>
        <v>0</v>
      </c>
      <c r="EH30" s="1997">
        <f>IFERROR(
IF(テーブル!$B$3="交付申請",EH48,
IF(AND(テーブル!$B$3="変更申請",EH$26=0),0,
IF(AND(テーブル!$B$3="変更申請",EH$26&gt;=0),EH48,
IF(テーブル!$B$3="実績報告（１次）",EH48,
IF(AND(テーブル!$B$3="交付申請（２次）",EH$26=0),0,
IF(AND(テーブル!$B$3="交付申請（２次）",EH$26&gt;=0),EH48,
IF(AND(テーブル!$B$3="交付申請兼実績報告（２次）",EH$26=0),0,
IF(AND(テーブル!$B$3="交付申請兼実績報告（２次）",EH$26&gt;=0),EH48,
IF(AND(テーブル!$B$3="実績報告（２次）",EH$26=0),0,
IF(AND(テーブル!$B$3="実績報告（２次）",EH$26&gt;=0),EH48)))))))))),0)</f>
        <v>0</v>
      </c>
      <c r="EI30" s="1997">
        <f>IFERROR(
IF(テーブル!$B$3="交付申請",EI48,
IF(AND(テーブル!$B$3="変更申請",EI$26=0),0,
IF(AND(テーブル!$B$3="変更申請",EI$26&gt;=0),EI48,
IF(テーブル!$B$3="実績報告（１次）",EI48,
IF(AND(テーブル!$B$3="交付申請（２次）",EI$26=0),0,
IF(AND(テーブル!$B$3="交付申請（２次）",EI$26&gt;=0),EI48,
IF(AND(テーブル!$B$3="交付申請兼実績報告（２次）",EI$26=0),0,
IF(AND(テーブル!$B$3="交付申請兼実績報告（２次）",EI$26&gt;=0),EI48,
IF(AND(テーブル!$B$3="実績報告（２次）",EI$26=0),0,
IF(AND(テーブル!$B$3="実績報告（２次）",EI$26&gt;=0),EI48)))))))))),0)</f>
        <v>0</v>
      </c>
      <c r="EJ30" s="1997">
        <f>IFERROR(
IF(テーブル!$B$3="交付申請",EJ48,
IF(AND(テーブル!$B$3="変更申請",EJ$26=0),0,
IF(AND(テーブル!$B$3="変更申請",EJ$26&gt;=0),EJ48,
IF(テーブル!$B$3="実績報告（１次）",EJ48,
IF(AND(テーブル!$B$3="交付申請（２次）",EJ$26=0),0,
IF(AND(テーブル!$B$3="交付申請（２次）",EJ$26&gt;=0),EJ48,
IF(AND(テーブル!$B$3="交付申請兼実績報告（２次）",EJ$26=0),0,
IF(AND(テーブル!$B$3="交付申請兼実績報告（２次）",EJ$26&gt;=0),EJ48,
IF(AND(テーブル!$B$3="実績報告（２次）",EJ$26=0),0,
IF(AND(テーブル!$B$3="実績報告（２次）",EJ$26&gt;=0),EJ48)))))))))),0)</f>
        <v>0</v>
      </c>
      <c r="EK30" s="1997">
        <f>IFERROR(
IF(テーブル!$B$3="交付申請",EK48,
IF(AND(テーブル!$B$3="変更申請",EK$26=0),0,
IF(AND(テーブル!$B$3="変更申請",EK$26&gt;=0),EK48,
IF(テーブル!$B$3="実績報告（１次）",EK48,
IF(AND(テーブル!$B$3="交付申請（２次）",EK$26=0),0,
IF(AND(テーブル!$B$3="交付申請（２次）",EK$26&gt;=0),EK48,
IF(AND(テーブル!$B$3="交付申請兼実績報告（２次）",EK$26=0),0,
IF(AND(テーブル!$B$3="交付申請兼実績報告（２次）",EK$26&gt;=0),EK48,
IF(AND(テーブル!$B$3="実績報告（２次）",EK$26=0),0,
IF(AND(テーブル!$B$3="実績報告（２次）",EK$26&gt;=0),EK48)))))))))),0)</f>
        <v>0</v>
      </c>
      <c r="EL30" s="1997">
        <f>IFERROR(
IF(テーブル!$B$3="交付申請",EL48,
IF(AND(テーブル!$B$3="変更申請",EL$26=0),0,
IF(AND(テーブル!$B$3="変更申請",EL$26&gt;=0),EL48,
IF(テーブル!$B$3="実績報告（１次）",EL48,
IF(AND(テーブル!$B$3="交付申請（２次）",EL$26=0),0,
IF(AND(テーブル!$B$3="交付申請（２次）",EL$26&gt;=0),EL48,
IF(AND(テーブル!$B$3="交付申請兼実績報告（２次）",EL$26=0),0,
IF(AND(テーブル!$B$3="交付申請兼実績報告（２次）",EL$26&gt;=0),EL48,
IF(AND(テーブル!$B$3="実績報告（２次）",EL$26=0),0,
IF(AND(テーブル!$B$3="実績報告（２次）",EL$26&gt;=0),EL48)))))))))),0)</f>
        <v>0</v>
      </c>
      <c r="EM30" s="1997">
        <f>IFERROR(
IF(テーブル!$B$3="交付申請",EM48,
IF(AND(テーブル!$B$3="変更申請",EM$26=0),0,
IF(AND(テーブル!$B$3="変更申請",EM$26&gt;=0),EM48,
IF(テーブル!$B$3="実績報告（１次）",EM48,
IF(AND(テーブル!$B$3="交付申請（２次）",EM$26=0),0,
IF(AND(テーブル!$B$3="交付申請（２次）",EM$26&gt;=0),EM48,
IF(AND(テーブル!$B$3="交付申請兼実績報告（２次）",EM$26=0),0,
IF(AND(テーブル!$B$3="交付申請兼実績報告（２次）",EM$26&gt;=0),EM48,
IF(AND(テーブル!$B$3="実績報告（２次）",EM$26=0),0,
IF(AND(テーブル!$B$3="実績報告（２次）",EM$26&gt;=0),EM48)))))))))),0)</f>
        <v>0</v>
      </c>
      <c r="EN30" s="1997">
        <f>IFERROR(
IF(テーブル!$B$3="交付申請",EN48,
IF(AND(テーブル!$B$3="変更申請",EN$26=0),0,
IF(AND(テーブル!$B$3="変更申請",EN$26&gt;=0),EN48,
IF(テーブル!$B$3="実績報告（１次）",EN48,
IF(AND(テーブル!$B$3="交付申請（２次）",EN$26=0),0,
IF(AND(テーブル!$B$3="交付申請（２次）",EN$26&gt;=0),EN48,
IF(AND(テーブル!$B$3="交付申請兼実績報告（２次）",EN$26=0),0,
IF(AND(テーブル!$B$3="交付申請兼実績報告（２次）",EN$26&gt;=0),EN48,
IF(AND(テーブル!$B$3="実績報告（２次）",EN$26=0),0,
IF(AND(テーブル!$B$3="実績報告（２次）",EN$26&gt;=0),EN48)))))))))),0)</f>
        <v>0</v>
      </c>
      <c r="EO30" s="1997">
        <f>IFERROR(
IF(テーブル!$B$3="交付申請",EO48,
IF(AND(テーブル!$B$3="変更申請",EO$26=0),0,
IF(AND(テーブル!$B$3="変更申請",EO$26&gt;=0),EO48,
IF(テーブル!$B$3="実績報告（１次）",EO48,
IF(AND(テーブル!$B$3="交付申請（２次）",EO$26=0),0,
IF(AND(テーブル!$B$3="交付申請（２次）",EO$26&gt;=0),EO48,
IF(AND(テーブル!$B$3="交付申請兼実績報告（２次）",EO$26=0),0,
IF(AND(テーブル!$B$3="交付申請兼実績報告（２次）",EO$26&gt;=0),EO48,
IF(AND(テーブル!$B$3="実績報告（２次）",EO$26=0),0,
IF(AND(テーブル!$B$3="実績報告（２次）",EO$26&gt;=0),EO48)))))))))),0)</f>
        <v>0</v>
      </c>
      <c r="EP30" s="1997">
        <f>IFERROR(
IF(テーブル!$B$3="交付申請",EP48,
IF(AND(テーブル!$B$3="変更申請",EP$26=0),0,
IF(AND(テーブル!$B$3="変更申請",EP$26&gt;=0),EP48,
IF(テーブル!$B$3="実績報告（１次）",EP48,
IF(AND(テーブル!$B$3="交付申請（２次）",EP$26=0),0,
IF(AND(テーブル!$B$3="交付申請（２次）",EP$26&gt;=0),EP48,
IF(AND(テーブル!$B$3="交付申請兼実績報告（２次）",EP$26=0),0,
IF(AND(テーブル!$B$3="交付申請兼実績報告（２次）",EP$26&gt;=0),EP48,
IF(AND(テーブル!$B$3="実績報告（２次）",EP$26=0),0,
IF(AND(テーブル!$B$3="実績報告（２次）",EP$26&gt;=0),EP48)))))))))),0)</f>
        <v>0</v>
      </c>
      <c r="EQ30" s="1997">
        <f>IFERROR(
IF(テーブル!$B$3="交付申請",EQ48,
IF(AND(テーブル!$B$3="変更申請",EQ$26=0),0,
IF(AND(テーブル!$B$3="変更申請",EQ$26&gt;=0),EQ48,
IF(テーブル!$B$3="実績報告（１次）",EQ48,
IF(AND(テーブル!$B$3="交付申請（２次）",EQ$26=0),0,
IF(AND(テーブル!$B$3="交付申請（２次）",EQ$26&gt;=0),EQ48,
IF(AND(テーブル!$B$3="交付申請兼実績報告（２次）",EQ$26=0),0,
IF(AND(テーブル!$B$3="交付申請兼実績報告（２次）",EQ$26&gt;=0),EQ48,
IF(AND(テーブル!$B$3="実績報告（２次）",EQ$26=0),0,
IF(AND(テーブル!$B$3="実績報告（２次）",EQ$26&gt;=0),EQ48)))))))))),0)</f>
        <v>0</v>
      </c>
      <c r="ER30" s="1997">
        <f>IFERROR(
IF(テーブル!$B$3="交付申請",ER48,
IF(AND(テーブル!$B$3="変更申請",ER$26=0),0,
IF(AND(テーブル!$B$3="変更申請",ER$26&gt;=0),ER48,
IF(テーブル!$B$3="実績報告（１次）",ER48,
IF(AND(テーブル!$B$3="交付申請（２次）",ER$26=0),0,
IF(AND(テーブル!$B$3="交付申請（２次）",ER$26&gt;=0),ER48,
IF(AND(テーブル!$B$3="交付申請兼実績報告（２次）",ER$26=0),0,
IF(AND(テーブル!$B$3="交付申請兼実績報告（２次）",ER$26&gt;=0),ER48,
IF(AND(テーブル!$B$3="実績報告（２次）",ER$26=0),0,
IF(AND(テーブル!$B$3="実績報告（２次）",ER$26&gt;=0),ER48)))))))))),0)</f>
        <v>0</v>
      </c>
      <c r="ES30" s="1997">
        <f>IFERROR(
IF(テーブル!$B$3="交付申請",ES48,
IF(AND(テーブル!$B$3="変更申請",ES$26=0),0,
IF(AND(テーブル!$B$3="変更申請",ES$26&gt;=0),ES48,
IF(テーブル!$B$3="実績報告（１次）",ES48,
IF(AND(テーブル!$B$3="交付申請（２次）",ES$26=0),0,
IF(AND(テーブル!$B$3="交付申請（２次）",ES$26&gt;=0),ES48,
IF(AND(テーブル!$B$3="交付申請兼実績報告（２次）",ES$26=0),0,
IF(AND(テーブル!$B$3="交付申請兼実績報告（２次）",ES$26&gt;=0),ES48,
IF(AND(テーブル!$B$3="実績報告（２次）",ES$26=0),0,
IF(AND(テーブル!$B$3="実績報告（２次）",ES$26&gt;=0),ES48)))))))))),0)</f>
        <v>0</v>
      </c>
      <c r="ET30" s="1997">
        <f>IFERROR(
IF(テーブル!$B$3="交付申請",ET48,
IF(AND(テーブル!$B$3="変更申請",ET$26=0),0,
IF(AND(テーブル!$B$3="変更申請",ET$26&gt;=0),ET48,
IF(テーブル!$B$3="実績報告（１次）",ET48,
IF(AND(テーブル!$B$3="交付申請（２次）",ET$26=0),0,
IF(AND(テーブル!$B$3="交付申請（２次）",ET$26&gt;=0),ET48,
IF(AND(テーブル!$B$3="交付申請兼実績報告（２次）",ET$26=0),0,
IF(AND(テーブル!$B$3="交付申請兼実績報告（２次）",ET$26&gt;=0),ET48,
IF(AND(テーブル!$B$3="実績報告（２次）",ET$26=0),0,
IF(AND(テーブル!$B$3="実績報告（２次）",ET$26&gt;=0),ET48)))))))))),0)</f>
        <v>0</v>
      </c>
      <c r="EU30" s="1997">
        <f>IFERROR(
IF(テーブル!$B$3="交付申請",EU48,
IF(AND(テーブル!$B$3="変更申請",EU$26=0),0,
IF(AND(テーブル!$B$3="変更申請",EU$26&gt;=0),EU48,
IF(テーブル!$B$3="実績報告（１次）",EU48,
IF(AND(テーブル!$B$3="交付申請（２次）",EU$26=0),0,
IF(AND(テーブル!$B$3="交付申請（２次）",EU$26&gt;=0),EU48,
IF(AND(テーブル!$B$3="交付申請兼実績報告（２次）",EU$26=0),0,
IF(AND(テーブル!$B$3="交付申請兼実績報告（２次）",EU$26&gt;=0),EU48,
IF(AND(テーブル!$B$3="実績報告（２次）",EU$26=0),0,
IF(AND(テーブル!$B$3="実績報告（２次）",EU$26&gt;=0),EU48)))))))))),0)</f>
        <v>0</v>
      </c>
      <c r="EV30" s="1997">
        <f>IFERROR(
IF(テーブル!$B$3="交付申請",EV48,
IF(AND(テーブル!$B$3="変更申請",EV$26=0),0,
IF(AND(テーブル!$B$3="変更申請",EV$26&gt;=0),EV48,
IF(テーブル!$B$3="実績報告（１次）",EV48,
IF(AND(テーブル!$B$3="交付申請（２次）",EV$26=0),0,
IF(AND(テーブル!$B$3="交付申請（２次）",EV$26&gt;=0),EV48,
IF(AND(テーブル!$B$3="交付申請兼実績報告（２次）",EV$26=0),0,
IF(AND(テーブル!$B$3="交付申請兼実績報告（２次）",EV$26&gt;=0),EV48,
IF(AND(テーブル!$B$3="実績報告（２次）",EV$26=0),0,
IF(AND(テーブル!$B$3="実績報告（２次）",EV$26&gt;=0),EV48)))))))))),0)</f>
        <v>0</v>
      </c>
      <c r="EW30" s="1997">
        <f>IFERROR(
IF(テーブル!$B$3="交付申請",EW48,
IF(AND(テーブル!$B$3="変更申請",EW$26=0),0,
IF(AND(テーブル!$B$3="変更申請",EW$26&gt;=0),EW48,
IF(テーブル!$B$3="実績報告（１次）",EW48,
IF(AND(テーブル!$B$3="交付申請（２次）",EW$26=0),0,
IF(AND(テーブル!$B$3="交付申請（２次）",EW$26&gt;=0),EW48,
IF(AND(テーブル!$B$3="交付申請兼実績報告（２次）",EW$26=0),0,
IF(AND(テーブル!$B$3="交付申請兼実績報告（２次）",EW$26&gt;=0),EW48,
IF(AND(テーブル!$B$3="実績報告（２次）",EW$26=0),0,
IF(AND(テーブル!$B$3="実績報告（２次）",EW$26&gt;=0),EW48)))))))))),0)</f>
        <v>0</v>
      </c>
      <c r="EX30" s="1997">
        <f>IFERROR(
IF(テーブル!$B$3="交付申請",EX48,
IF(AND(テーブル!$B$3="変更申請",EX$26=0),0,
IF(AND(テーブル!$B$3="変更申請",EX$26&gt;=0),EX48,
IF(テーブル!$B$3="実績報告（１次）",EX48,
IF(AND(テーブル!$B$3="交付申請（２次）",EX$26=0),0,
IF(AND(テーブル!$B$3="交付申請（２次）",EX$26&gt;=0),EX48,
IF(AND(テーブル!$B$3="交付申請兼実績報告（２次）",EX$26=0),0,
IF(AND(テーブル!$B$3="交付申請兼実績報告（２次）",EX$26&gt;=0),EX48,
IF(AND(テーブル!$B$3="実績報告（２次）",EX$26=0),0,
IF(AND(テーブル!$B$3="実績報告（２次）",EX$26&gt;=0),EX48)))))))))),0)</f>
        <v>0</v>
      </c>
      <c r="EY30" s="1997">
        <f>IFERROR(
IF(テーブル!$B$3="交付申請",EY48,
IF(AND(テーブル!$B$3="変更申請",EY$26=0),0,
IF(AND(テーブル!$B$3="変更申請",EY$26&gt;=0),EY48,
IF(テーブル!$B$3="実績報告（１次）",EY48,
IF(AND(テーブル!$B$3="交付申請（２次）",EY$26=0),0,
IF(AND(テーブル!$B$3="交付申請（２次）",EY$26&gt;=0),EY48,
IF(AND(テーブル!$B$3="交付申請兼実績報告（２次）",EY$26=0),0,
IF(AND(テーブル!$B$3="交付申請兼実績報告（２次）",EY$26&gt;=0),EY48,
IF(AND(テーブル!$B$3="実績報告（２次）",EY$26=0),0,
IF(AND(テーブル!$B$3="実績報告（２次）",EY$26&gt;=0),EY48)))))))))),0)</f>
        <v>0</v>
      </c>
      <c r="EZ30" s="1997">
        <f>IFERROR(
IF(テーブル!$B$3="交付申請",EZ48,
IF(AND(テーブル!$B$3="変更申請",EZ$26=0),0,
IF(AND(テーブル!$B$3="変更申請",EZ$26&gt;=0),EZ48,
IF(テーブル!$B$3="実績報告（１次）",EZ48,
IF(AND(テーブル!$B$3="交付申請（２次）",EZ$26=0),0,
IF(AND(テーブル!$B$3="交付申請（２次）",EZ$26&gt;=0),EZ48,
IF(AND(テーブル!$B$3="交付申請兼実績報告（２次）",EZ$26=0),0,
IF(AND(テーブル!$B$3="交付申請兼実績報告（２次）",EZ$26&gt;=0),EZ48,
IF(AND(テーブル!$B$3="実績報告（２次）",EZ$26=0),0,
IF(AND(テーブル!$B$3="実績報告（２次）",EZ$26&gt;=0),EZ48)))))))))),0)</f>
        <v>0</v>
      </c>
      <c r="FA30" s="1997">
        <f>IFERROR(
IF(テーブル!$B$3="交付申請",FA48,
IF(AND(テーブル!$B$3="変更申請",FA$26=0),0,
IF(AND(テーブル!$B$3="変更申請",FA$26&gt;=0),FA48,
IF(テーブル!$B$3="実績報告（１次）",FA48,
IF(AND(テーブル!$B$3="交付申請（２次）",FA$26=0),0,
IF(AND(テーブル!$B$3="交付申請（２次）",FA$26&gt;=0),FA48,
IF(AND(テーブル!$B$3="交付申請兼実績報告（２次）",FA$26=0),0,
IF(AND(テーブル!$B$3="交付申請兼実績報告（２次）",FA$26&gt;=0),FA48,
IF(AND(テーブル!$B$3="実績報告（２次）",FA$26=0),0,
IF(AND(テーブル!$B$3="実績報告（２次）",FA$26&gt;=0),FA48)))))))))),0)</f>
        <v>0</v>
      </c>
      <c r="FB30" s="1997">
        <f>IFERROR(
IF(テーブル!$B$3="交付申請",FB48,
IF(AND(テーブル!$B$3="変更申請",FB$26=0),0,
IF(AND(テーブル!$B$3="変更申請",FB$26&gt;=0),FB48,
IF(テーブル!$B$3="実績報告（１次）",FB48,
IF(AND(テーブル!$B$3="交付申請（２次）",FB$26=0),0,
IF(AND(テーブル!$B$3="交付申請（２次）",FB$26&gt;=0),FB48,
IF(AND(テーブル!$B$3="交付申請兼実績報告（２次）",FB$26=0),0,
IF(AND(テーブル!$B$3="交付申請兼実績報告（２次）",FB$26&gt;=0),FB48,
IF(AND(テーブル!$B$3="実績報告（２次）",FB$26=0),0,
IF(AND(テーブル!$B$3="実績報告（２次）",FB$26&gt;=0),FB48)))))))))),0)</f>
        <v>0</v>
      </c>
      <c r="FC30" s="1997">
        <f>IFERROR(
IF(テーブル!$B$3="交付申請",FC48,
IF(AND(テーブル!$B$3="変更申請",FC$26=0),0,
IF(AND(テーブル!$B$3="変更申請",FC$26&gt;=0),FC48,
IF(テーブル!$B$3="実績報告（１次）",FC48,
IF(AND(テーブル!$B$3="交付申請（２次）",FC$26=0),0,
IF(AND(テーブル!$B$3="交付申請（２次）",FC$26&gt;=0),FC48,
IF(AND(テーブル!$B$3="交付申請兼実績報告（２次）",FC$26=0),0,
IF(AND(テーブル!$B$3="交付申請兼実績報告（２次）",FC$26&gt;=0),FC48,
IF(AND(テーブル!$B$3="実績報告（２次）",FC$26=0),0,
IF(AND(テーブル!$B$3="実績報告（２次）",FC$26&gt;=0),FC48)))))))))),0)</f>
        <v>0</v>
      </c>
      <c r="FD30" s="1997">
        <f>IFERROR(
IF(テーブル!$B$3="交付申請",FD48,
IF(AND(テーブル!$B$3="変更申請",FD$26=0),0,
IF(AND(テーブル!$B$3="変更申請",FD$26&gt;=0),FD48,
IF(テーブル!$B$3="実績報告（１次）",FD48,
IF(AND(テーブル!$B$3="交付申請（２次）",FD$26=0),0,
IF(AND(テーブル!$B$3="交付申請（２次）",FD$26&gt;=0),FD48,
IF(AND(テーブル!$B$3="交付申請兼実績報告（２次）",FD$26=0),0,
IF(AND(テーブル!$B$3="交付申請兼実績報告（２次）",FD$26&gt;=0),FD48,
IF(AND(テーブル!$B$3="実績報告（２次）",FD$26=0),0,
IF(AND(テーブル!$B$3="実績報告（２次）",FD$26&gt;=0),FD48)))))))))),0)</f>
        <v>0</v>
      </c>
      <c r="FE30" s="1997">
        <f>IFERROR(
IF(テーブル!$B$3="交付申請",FE48,
IF(AND(テーブル!$B$3="変更申請",FE$26=0),0,
IF(AND(テーブル!$B$3="変更申請",FE$26&gt;=0),FE48,
IF(テーブル!$B$3="実績報告（１次）",FE48,
IF(AND(テーブル!$B$3="交付申請（２次）",FE$26=0),0,
IF(AND(テーブル!$B$3="交付申請（２次）",FE$26&gt;=0),FE48,
IF(AND(テーブル!$B$3="交付申請兼実績報告（２次）",FE$26=0),0,
IF(AND(テーブル!$B$3="交付申請兼実績報告（２次）",FE$26&gt;=0),FE48,
IF(AND(テーブル!$B$3="実績報告（２次）",FE$26=0),0,
IF(AND(テーブル!$B$3="実績報告（２次）",FE$26&gt;=0),FE48)))))))))),0)</f>
        <v>0</v>
      </c>
      <c r="FF30" s="1997">
        <f>IFERROR(
IF(テーブル!$B$3="交付申請",FF48,
IF(AND(テーブル!$B$3="変更申請",FF$26=0),0,
IF(AND(テーブル!$B$3="変更申請",FF$26&gt;=0),FF48,
IF(テーブル!$B$3="実績報告（１次）",FF48,
IF(AND(テーブル!$B$3="交付申請（２次）",FF$26=0),0,
IF(AND(テーブル!$B$3="交付申請（２次）",FF$26&gt;=0),FF48,
IF(AND(テーブル!$B$3="交付申請兼実績報告（２次）",FF$26=0),0,
IF(AND(テーブル!$B$3="交付申請兼実績報告（２次）",FF$26&gt;=0),FF48,
IF(AND(テーブル!$B$3="実績報告（２次）",FF$26=0),0,
IF(AND(テーブル!$B$3="実績報告（２次）",FF$26&gt;=0),FF48)))))))))),0)</f>
        <v>0</v>
      </c>
      <c r="FG30" s="1997">
        <f>IFERROR(
IF(テーブル!$B$3="交付申請",FG48,
IF(AND(テーブル!$B$3="変更申請",FG$26=0),0,
IF(AND(テーブル!$B$3="変更申請",FG$26&gt;=0),FG48,
IF(テーブル!$B$3="実績報告（１次）",FG48,
IF(AND(テーブル!$B$3="交付申請（２次）",FG$26=0),0,
IF(AND(テーブル!$B$3="交付申請（２次）",FG$26&gt;=0),FG48,
IF(AND(テーブル!$B$3="交付申請兼実績報告（２次）",FG$26=0),0,
IF(AND(テーブル!$B$3="交付申請兼実績報告（２次）",FG$26&gt;=0),FG48,
IF(AND(テーブル!$B$3="実績報告（２次）",FG$26=0),0,
IF(AND(テーブル!$B$3="実績報告（２次）",FG$26&gt;=0),FG48)))))))))),0)</f>
        <v>0</v>
      </c>
      <c r="FH30" s="1997">
        <f>IFERROR(
IF(テーブル!$B$3="交付申請",FH48,
IF(AND(テーブル!$B$3="変更申請",FH$26=0),0,
IF(AND(テーブル!$B$3="変更申請",FH$26&gt;=0),FH48,
IF(テーブル!$B$3="実績報告（１次）",FH48,
IF(AND(テーブル!$B$3="交付申請（２次）",FH$26=0),0,
IF(AND(テーブル!$B$3="交付申請（２次）",FH$26&gt;=0),FH48,
IF(AND(テーブル!$B$3="交付申請兼実績報告（２次）",FH$26=0),0,
IF(AND(テーブル!$B$3="交付申請兼実績報告（２次）",FH$26&gt;=0),FH48,
IF(AND(テーブル!$B$3="実績報告（２次）",FH$26=0),0,
IF(AND(テーブル!$B$3="実績報告（２次）",FH$26&gt;=0),FH48)))))))))),0)</f>
        <v>0</v>
      </c>
      <c r="FI30" s="1997">
        <f>IFERROR(
IF(テーブル!$B$3="交付申請",FI48,
IF(AND(テーブル!$B$3="変更申請",FI$26=0),0,
IF(AND(テーブル!$B$3="変更申請",FI$26&gt;=0),FI48,
IF(テーブル!$B$3="実績報告（１次）",FI48,
IF(AND(テーブル!$B$3="交付申請（２次）",FI$26=0),0,
IF(AND(テーブル!$B$3="交付申請（２次）",FI$26&gt;=0),FI48,
IF(AND(テーブル!$B$3="交付申請兼実績報告（２次）",FI$26=0),0,
IF(AND(テーブル!$B$3="交付申請兼実績報告（２次）",FI$26&gt;=0),FI48,
IF(AND(テーブル!$B$3="実績報告（２次）",FI$26=0),0,
IF(AND(テーブル!$B$3="実績報告（２次）",FI$26&gt;=0),FI48)))))))))),0)</f>
        <v>0</v>
      </c>
      <c r="FJ30" s="1997">
        <f>IFERROR(
IF(テーブル!$B$3="交付申請",FJ48,
IF(AND(テーブル!$B$3="変更申請",FJ$26=0),0,
IF(AND(テーブル!$B$3="変更申請",FJ$26&gt;=0),FJ48,
IF(テーブル!$B$3="実績報告（１次）",FJ48,
IF(AND(テーブル!$B$3="交付申請（２次）",FJ$26=0),0,
IF(AND(テーブル!$B$3="交付申請（２次）",FJ$26&gt;=0),FJ48,
IF(AND(テーブル!$B$3="交付申請兼実績報告（２次）",FJ$26=0),0,
IF(AND(テーブル!$B$3="交付申請兼実績報告（２次）",FJ$26&gt;=0),FJ48,
IF(AND(テーブル!$B$3="実績報告（２次）",FJ$26=0),0,
IF(AND(テーブル!$B$3="実績報告（２次）",FJ$26&gt;=0),FJ48)))))))))),0)</f>
        <v>0</v>
      </c>
      <c r="FK30" s="1997">
        <f>IFERROR(
IF(テーブル!$B$3="交付申請",FK48,
IF(AND(テーブル!$B$3="変更申請",FK$26=0),0,
IF(AND(テーブル!$B$3="変更申請",FK$26&gt;=0),FK48,
IF(テーブル!$B$3="実績報告（１次）",FK48,
IF(AND(テーブル!$B$3="交付申請（２次）",FK$26=0),0,
IF(AND(テーブル!$B$3="交付申請（２次）",FK$26&gt;=0),FK48,
IF(AND(テーブル!$B$3="交付申請兼実績報告（２次）",FK$26=0),0,
IF(AND(テーブル!$B$3="交付申請兼実績報告（２次）",FK$26&gt;=0),FK48,
IF(AND(テーブル!$B$3="実績報告（２次）",FK$26=0),0,
IF(AND(テーブル!$B$3="実績報告（２次）",FK$26&gt;=0),FK48)))))))))),0)</f>
        <v>0</v>
      </c>
      <c r="FL30" s="1997">
        <f>IFERROR(
IF(テーブル!$B$3="交付申請",FL48,
IF(AND(テーブル!$B$3="変更申請",FL$26=0),0,
IF(AND(テーブル!$B$3="変更申請",FL$26&gt;=0),FL48,
IF(テーブル!$B$3="実績報告（１次）",FL48,
IF(AND(テーブル!$B$3="交付申請（２次）",FL$26=0),0,
IF(AND(テーブル!$B$3="交付申請（２次）",FL$26&gt;=0),FL48,
IF(AND(テーブル!$B$3="交付申請兼実績報告（２次）",FL$26=0),0,
IF(AND(テーブル!$B$3="交付申請兼実績報告（２次）",FL$26&gt;=0),FL48,
IF(AND(テーブル!$B$3="実績報告（２次）",FL$26=0),0,
IF(AND(テーブル!$B$3="実績報告（２次）",FL$26&gt;=0),FL48)))))))))),0)</f>
        <v>0</v>
      </c>
      <c r="FM30" s="1997">
        <f>IFERROR(
IF(テーブル!$B$3="交付申請",FM48,
IF(AND(テーブル!$B$3="変更申請",FM$26=0),0,
IF(AND(テーブル!$B$3="変更申請",FM$26&gt;=0),FM48,
IF(テーブル!$B$3="実績報告（１次）",FM48,
IF(AND(テーブル!$B$3="交付申請（２次）",FM$26=0),0,
IF(AND(テーブル!$B$3="交付申請（２次）",FM$26&gt;=0),FM48,
IF(AND(テーブル!$B$3="交付申請兼実績報告（２次）",FM$26=0),0,
IF(AND(テーブル!$B$3="交付申請兼実績報告（２次）",FM$26&gt;=0),FM48,
IF(AND(テーブル!$B$3="実績報告（２次）",FM$26=0),0,
IF(AND(テーブル!$B$3="実績報告（２次）",FM$26&gt;=0),FM48)))))))))),0)</f>
        <v>0</v>
      </c>
      <c r="FN30" s="1997">
        <f>IFERROR(
IF(テーブル!$B$3="交付申請",FN48,
IF(AND(テーブル!$B$3="変更申請",FN$26=0),0,
IF(AND(テーブル!$B$3="変更申請",FN$26&gt;=0),FN48,
IF(テーブル!$B$3="実績報告（１次）",FN48,
IF(AND(テーブル!$B$3="交付申請（２次）",FN$26=0),0,
IF(AND(テーブル!$B$3="交付申請（２次）",FN$26&gt;=0),FN48,
IF(AND(テーブル!$B$3="交付申請兼実績報告（２次）",FN$26=0),0,
IF(AND(テーブル!$B$3="交付申請兼実績報告（２次）",FN$26&gt;=0),FN48,
IF(AND(テーブル!$B$3="実績報告（２次）",FN$26=0),0,
IF(AND(テーブル!$B$3="実績報告（２次）",FN$26&gt;=0),FN48)))))))))),0)</f>
        <v>0</v>
      </c>
      <c r="FO30" s="1997">
        <f>IFERROR(
IF(テーブル!$B$3="交付申請",FO48,
IF(AND(テーブル!$B$3="変更申請",FO$26=0),0,
IF(AND(テーブル!$B$3="変更申請",FO$26&gt;=0),FO48,
IF(テーブル!$B$3="実績報告（１次）",FO48,
IF(AND(テーブル!$B$3="交付申請（２次）",FO$26=0),0,
IF(AND(テーブル!$B$3="交付申請（２次）",FO$26&gt;=0),FO48,
IF(AND(テーブル!$B$3="交付申請兼実績報告（２次）",FO$26=0),0,
IF(AND(テーブル!$B$3="交付申請兼実績報告（２次）",FO$26&gt;=0),FO48,
IF(AND(テーブル!$B$3="実績報告（２次）",FO$26=0),0,
IF(AND(テーブル!$B$3="実績報告（２次）",FO$26&gt;=0),FO48)))))))))),0)</f>
        <v>0</v>
      </c>
      <c r="FP30" s="1997">
        <f>IFERROR(
IF(テーブル!$B$3="交付申請",FP48,
IF(AND(テーブル!$B$3="変更申請",FP$26=0),0,
IF(AND(テーブル!$B$3="変更申請",FP$26&gt;=0),FP48,
IF(テーブル!$B$3="実績報告（１次）",FP48,
IF(AND(テーブル!$B$3="交付申請（２次）",FP$26=0),0,
IF(AND(テーブル!$B$3="交付申請（２次）",FP$26&gt;=0),FP48,
IF(AND(テーブル!$B$3="交付申請兼実績報告（２次）",FP$26=0),0,
IF(AND(テーブル!$B$3="交付申請兼実績報告（２次）",FP$26&gt;=0),FP48,
IF(AND(テーブル!$B$3="実績報告（２次）",FP$26=0),0,
IF(AND(テーブル!$B$3="実績報告（２次）",FP$26&gt;=0),FP48)))))))))),0)</f>
        <v>0</v>
      </c>
      <c r="FQ30" s="1997">
        <f>IFERROR(
IF(テーブル!$B$3="交付申請",FQ48,
IF(AND(テーブル!$B$3="変更申請",FQ$26=0),0,
IF(AND(テーブル!$B$3="変更申請",FQ$26&gt;=0),FQ48,
IF(テーブル!$B$3="実績報告（１次）",FQ48,
IF(AND(テーブル!$B$3="交付申請（２次）",FQ$26=0),0,
IF(AND(テーブル!$B$3="交付申請（２次）",FQ$26&gt;=0),FQ48,
IF(AND(テーブル!$B$3="交付申請兼実績報告（２次）",FQ$26=0),0,
IF(AND(テーブル!$B$3="交付申請兼実績報告（２次）",FQ$26&gt;=0),FQ48,
IF(AND(テーブル!$B$3="実績報告（２次）",FQ$26=0),0,
IF(AND(テーブル!$B$3="実績報告（２次）",FQ$26&gt;=0),FQ48)))))))))),0)</f>
        <v>0</v>
      </c>
      <c r="FR30" s="1997">
        <f>IFERROR(
IF(テーブル!$B$3="交付申請",FR48,
IF(AND(テーブル!$B$3="変更申請",FR$26=0),0,
IF(AND(テーブル!$B$3="変更申請",FR$26&gt;=0),FR48,
IF(テーブル!$B$3="実績報告（１次）",FR48,
IF(AND(テーブル!$B$3="交付申請（２次）",FR$26=0),0,
IF(AND(テーブル!$B$3="交付申請（２次）",FR$26&gt;=0),FR48,
IF(AND(テーブル!$B$3="交付申請兼実績報告（２次）",FR$26=0),0,
IF(AND(テーブル!$B$3="交付申請兼実績報告（２次）",FR$26&gt;=0),FR48,
IF(AND(テーブル!$B$3="実績報告（２次）",FR$26=0),0,
IF(AND(テーブル!$B$3="実績報告（２次）",FR$26&gt;=0),FR48)))))))))),0)</f>
        <v>0</v>
      </c>
      <c r="FS30" s="1997">
        <f>IFERROR(
IF(テーブル!$B$3="交付申請",FS48,
IF(AND(テーブル!$B$3="変更申請",FS$26=0),0,
IF(AND(テーブル!$B$3="変更申請",FS$26&gt;=0),FS48,
IF(テーブル!$B$3="実績報告（１次）",FS48,
IF(AND(テーブル!$B$3="交付申請（２次）",FS$26=0),0,
IF(AND(テーブル!$B$3="交付申請（２次）",FS$26&gt;=0),FS48,
IF(AND(テーブル!$B$3="交付申請兼実績報告（２次）",FS$26=0),0,
IF(AND(テーブル!$B$3="交付申請兼実績報告（２次）",FS$26&gt;=0),FS48,
IF(AND(テーブル!$B$3="実績報告（２次）",FS$26=0),0,
IF(AND(テーブル!$B$3="実績報告（２次）",FS$26&gt;=0),FS48)))))))))),0)</f>
        <v>0</v>
      </c>
      <c r="FT30" s="1997">
        <f>IFERROR(
IF(テーブル!$B$3="交付申請",FT48,
IF(AND(テーブル!$B$3="変更申請",FT$26=0),0,
IF(AND(テーブル!$B$3="変更申請",FT$26&gt;=0),FT48,
IF(テーブル!$B$3="実績報告（１次）",FT48,
IF(AND(テーブル!$B$3="交付申請（２次）",FT$26=0),0,
IF(AND(テーブル!$B$3="交付申請（２次）",FT$26&gt;=0),FT48,
IF(AND(テーブル!$B$3="交付申請兼実績報告（２次）",FT$26=0),0,
IF(AND(テーブル!$B$3="交付申請兼実績報告（２次）",FT$26&gt;=0),FT48,
IF(AND(テーブル!$B$3="実績報告（２次）",FT$26=0),0,
IF(AND(テーブル!$B$3="実績報告（２次）",FT$26&gt;=0),FT48)))))))))),0)</f>
        <v>0</v>
      </c>
      <c r="FU30" s="1997">
        <f>IFERROR(
IF(テーブル!$B$3="交付申請",FU48,
IF(AND(テーブル!$B$3="変更申請",FU$26=0),0,
IF(AND(テーブル!$B$3="変更申請",FU$26&gt;=0),FU48,
IF(テーブル!$B$3="実績報告（１次）",FU48,
IF(AND(テーブル!$B$3="交付申請（２次）",FU$26=0),0,
IF(AND(テーブル!$B$3="交付申請（２次）",FU$26&gt;=0),FU48,
IF(AND(テーブル!$B$3="交付申請兼実績報告（２次）",FU$26=0),0,
IF(AND(テーブル!$B$3="交付申請兼実績報告（２次）",FU$26&gt;=0),FU48,
IF(AND(テーブル!$B$3="実績報告（２次）",FU$26=0),0,
IF(AND(テーブル!$B$3="実績報告（２次）",FU$26&gt;=0),FU48)))))))))),0)</f>
        <v>0</v>
      </c>
      <c r="FV30" s="1997">
        <f>IFERROR(
IF(テーブル!$B$3="交付申請",FV48,
IF(AND(テーブル!$B$3="変更申請",FV$26=0),0,
IF(AND(テーブル!$B$3="変更申請",FV$26&gt;=0),FV48,
IF(テーブル!$B$3="実績報告（１次）",FV48,
IF(AND(テーブル!$B$3="交付申請（２次）",FV$26=0),0,
IF(AND(テーブル!$B$3="交付申請（２次）",FV$26&gt;=0),FV48,
IF(AND(テーブル!$B$3="交付申請兼実績報告（２次）",FV$26=0),0,
IF(AND(テーブル!$B$3="交付申請兼実績報告（２次）",FV$26&gt;=0),FV48,
IF(AND(テーブル!$B$3="実績報告（２次）",FV$26=0),0,
IF(AND(テーブル!$B$3="実績報告（２次）",FV$26&gt;=0),FV48)))))))))),0)</f>
        <v>0</v>
      </c>
      <c r="FW30" s="1997">
        <f>IFERROR(
IF(テーブル!$B$3="交付申請",FW48,
IF(AND(テーブル!$B$3="変更申請",FW$26=0),0,
IF(AND(テーブル!$B$3="変更申請",FW$26&gt;=0),FW48,
IF(テーブル!$B$3="実績報告（１次）",FW48,
IF(AND(テーブル!$B$3="交付申請（２次）",FW$26=0),0,
IF(AND(テーブル!$B$3="交付申請（２次）",FW$26&gt;=0),FW48,
IF(AND(テーブル!$B$3="交付申請兼実績報告（２次）",FW$26=0),0,
IF(AND(テーブル!$B$3="交付申請兼実績報告（２次）",FW$26&gt;=0),FW48,
IF(AND(テーブル!$B$3="実績報告（２次）",FW$26=0),0,
IF(AND(テーブル!$B$3="実績報告（２次）",FW$26&gt;=0),FW48)))))))))),0)</f>
        <v>0</v>
      </c>
      <c r="FX30" s="1997">
        <f>IFERROR(
IF(テーブル!$B$3="交付申請",FX48,
IF(AND(テーブル!$B$3="変更申請",FX$26=0),0,
IF(AND(テーブル!$B$3="変更申請",FX$26&gt;=0),FX48,
IF(テーブル!$B$3="実績報告（１次）",FX48,
IF(AND(テーブル!$B$3="交付申請（２次）",FX$26=0),0,
IF(AND(テーブル!$B$3="交付申請（２次）",FX$26&gt;=0),FX48,
IF(AND(テーブル!$B$3="交付申請兼実績報告（２次）",FX$26=0),0,
IF(AND(テーブル!$B$3="交付申請兼実績報告（２次）",FX$26&gt;=0),FX48,
IF(AND(テーブル!$B$3="実績報告（２次）",FX$26=0),0,
IF(AND(テーブル!$B$3="実績報告（２次）",FX$26&gt;=0),FX48)))))))))),0)</f>
        <v>0</v>
      </c>
      <c r="FY30" s="1997">
        <f>IFERROR(
IF(テーブル!$B$3="交付申請",FY48,
IF(AND(テーブル!$B$3="変更申請",FY$26=0),0,
IF(AND(テーブル!$B$3="変更申請",FY$26&gt;=0),FY48,
IF(テーブル!$B$3="実績報告（１次）",FY48,
IF(AND(テーブル!$B$3="交付申請（２次）",FY$26=0),0,
IF(AND(テーブル!$B$3="交付申請（２次）",FY$26&gt;=0),FY48,
IF(AND(テーブル!$B$3="交付申請兼実績報告（２次）",FY$26=0),0,
IF(AND(テーブル!$B$3="交付申請兼実績報告（２次）",FY$26&gt;=0),FY48,
IF(AND(テーブル!$B$3="実績報告（２次）",FY$26=0),0,
IF(AND(テーブル!$B$3="実績報告（２次）",FY$26&gt;=0),FY48)))))))))),0)</f>
        <v>0</v>
      </c>
      <c r="FZ30" s="1997">
        <f>IFERROR(
IF(テーブル!$B$3="交付申請",FZ48,
IF(AND(テーブル!$B$3="変更申請",FZ$26=0),0,
IF(AND(テーブル!$B$3="変更申請",FZ$26&gt;=0),FZ48,
IF(テーブル!$B$3="実績報告（１次）",FZ48,
IF(AND(テーブル!$B$3="交付申請（２次）",FZ$26=0),0,
IF(AND(テーブル!$B$3="交付申請（２次）",FZ$26&gt;=0),FZ48,
IF(AND(テーブル!$B$3="交付申請兼実績報告（２次）",FZ$26=0),0,
IF(AND(テーブル!$B$3="交付申請兼実績報告（２次）",FZ$26&gt;=0),FZ48,
IF(AND(テーブル!$B$3="実績報告（２次）",FZ$26=0),0,
IF(AND(テーブル!$B$3="実績報告（２次）",FZ$26&gt;=0),FZ48)))))))))),0)</f>
        <v>0</v>
      </c>
      <c r="GA30" s="1997">
        <f>IFERROR(
IF(テーブル!$B$3="交付申請",GA48,
IF(AND(テーブル!$B$3="変更申請",GA$26=0),0,
IF(AND(テーブル!$B$3="変更申請",GA$26&gt;=0),GA48,
IF(テーブル!$B$3="実績報告（１次）",GA48,
IF(AND(テーブル!$B$3="交付申請（２次）",GA$26=0),0,
IF(AND(テーブル!$B$3="交付申請（２次）",GA$26&gt;=0),GA48,
IF(AND(テーブル!$B$3="交付申請兼実績報告（２次）",GA$26=0),0,
IF(AND(テーブル!$B$3="交付申請兼実績報告（２次）",GA$26&gt;=0),GA48,
IF(AND(テーブル!$B$3="実績報告（２次）",GA$26=0),0,
IF(AND(テーブル!$B$3="実績報告（２次）",GA$26&gt;=0),GA48)))))))))),0)</f>
        <v>0</v>
      </c>
      <c r="GB30" s="1997">
        <f>IFERROR(
IF(テーブル!$B$3="交付申請",GB48,
IF(AND(テーブル!$B$3="変更申請",GB$26=0),0,
IF(AND(テーブル!$B$3="変更申請",GB$26&gt;=0),GB48,
IF(テーブル!$B$3="実績報告（１次）",GB48,
IF(AND(テーブル!$B$3="交付申請（２次）",GB$26=0),0,
IF(AND(テーブル!$B$3="交付申請（２次）",GB$26&gt;=0),GB48,
IF(AND(テーブル!$B$3="交付申請兼実績報告（２次）",GB$26=0),0,
IF(AND(テーブル!$B$3="交付申請兼実績報告（２次）",GB$26&gt;=0),GB48,
IF(AND(テーブル!$B$3="実績報告（２次）",GB$26=0),0,
IF(AND(テーブル!$B$3="実績報告（２次）",GB$26&gt;=0),GB48)))))))))),0)</f>
        <v>0</v>
      </c>
      <c r="GC30" s="1997">
        <f>IFERROR(
IF(テーブル!$B$3="交付申請",GC48,
IF(AND(テーブル!$B$3="変更申請",GC$26=0),0,
IF(AND(テーブル!$B$3="変更申請",GC$26&gt;=0),GC48,
IF(テーブル!$B$3="実績報告（１次）",GC48,
IF(AND(テーブル!$B$3="交付申請（２次）",GC$26=0),0,
IF(AND(テーブル!$B$3="交付申請（２次）",GC$26&gt;=0),GC48,
IF(AND(テーブル!$B$3="交付申請兼実績報告（２次）",GC$26=0),0,
IF(AND(テーブル!$B$3="交付申請兼実績報告（２次）",GC$26&gt;=0),GC48,
IF(AND(テーブル!$B$3="実績報告（２次）",GC$26=0),0,
IF(AND(テーブル!$B$3="実績報告（２次）",GC$26&gt;=0),GC48)))))))))),0)</f>
        <v>0</v>
      </c>
      <c r="GD30" s="1997">
        <f>IFERROR(
IF(テーブル!$B$3="交付申請",GD48,
IF(AND(テーブル!$B$3="変更申請",GD$26=0),0,
IF(AND(テーブル!$B$3="変更申請",GD$26&gt;=0),GD48,
IF(テーブル!$B$3="実績報告（１次）",GD48,
IF(AND(テーブル!$B$3="交付申請（２次）",GD$26=0),0,
IF(AND(テーブル!$B$3="交付申請（２次）",GD$26&gt;=0),GD48,
IF(AND(テーブル!$B$3="交付申請兼実績報告（２次）",GD$26=0),0,
IF(AND(テーブル!$B$3="交付申請兼実績報告（２次）",GD$26&gt;=0),GD48,
IF(AND(テーブル!$B$3="実績報告（２次）",GD$26=0),0,
IF(AND(テーブル!$B$3="実績報告（２次）",GD$26&gt;=0),GD48)))))))))),0)</f>
        <v>0</v>
      </c>
      <c r="GE30" s="1997">
        <f>IFERROR(
IF(テーブル!$B$3="交付申請",GE48,
IF(AND(テーブル!$B$3="変更申請",GE$26=0),0,
IF(AND(テーブル!$B$3="変更申請",GE$26&gt;=0),GE48,
IF(テーブル!$B$3="実績報告（１次）",GE48,
IF(AND(テーブル!$B$3="交付申請（２次）",GE$26=0),0,
IF(AND(テーブル!$B$3="交付申請（２次）",GE$26&gt;=0),GE48,
IF(AND(テーブル!$B$3="交付申請兼実績報告（２次）",GE$26=0),0,
IF(AND(テーブル!$B$3="交付申請兼実績報告（２次）",GE$26&gt;=0),GE48,
IF(AND(テーブル!$B$3="実績報告（２次）",GE$26=0),0,
IF(AND(テーブル!$B$3="実績報告（２次）",GE$26&gt;=0),GE48)))))))))),0)</f>
        <v>0</v>
      </c>
      <c r="GF30" s="2019">
        <f>IFERROR(
IF(テーブル!$B$3="交付申請",GF48,
IF(AND(テーブル!$B$3="変更申請",GF$26=0),0,
IF(AND(テーブル!$B$3="変更申請",GF$26&gt;=0),GF48,
IF(テーブル!$B$3="実績報告（１次）",GF48,
IF(AND(テーブル!$B$3="交付申請（２次）",GF$26=0),0,
IF(AND(テーブル!$B$3="交付申請（２次）",GF$26&gt;=0),GF48,
IF(AND(テーブル!$B$3="交付申請兼実績報告（２次）",GF$26=0),0,
IF(AND(テーブル!$B$3="交付申請兼実績報告（２次）",GF$26&gt;=0),GF48,
IF(AND(テーブル!$B$3="実績報告（２次）",GF$26=0),0,
IF(AND(テーブル!$B$3="実績報告（２次）",GF$26&gt;=0),GF48)))))))))),0)</f>
        <v>0</v>
      </c>
      <c r="GG30" s="2006"/>
    </row>
    <row r="31" spans="1:189" s="638" customFormat="1" ht="18.75" x14ac:dyDescent="0.4">
      <c r="A31" s="2003"/>
      <c r="B31" s="2018" t="s">
        <v>1335</v>
      </c>
      <c r="C31" s="1690">
        <f>SUM(F31:GF31)</f>
        <v>0</v>
      </c>
      <c r="D31" s="1691"/>
      <c r="E31" s="637"/>
      <c r="F31" s="1997">
        <f>IFERROR(
IF(テーブル!$B$3="交付申請",F51,
IF(AND(テーブル!$B$3="変更申請",F$26=0),0,
IF(AND(テーブル!$B$3="変更申請",F$26&gt;=1),F51,
IF(テーブル!$B$3="実績報告（１次）",F51,
IF(AND(テーブル!$B$3="交付申請（２次）",F$26=0),0,
IF(AND(テーブル!$B$3="交付申請（２次）",F$26&gt;=1),F51,
IF(AND(テーブル!$B$3="交付申請兼実績報告（２次）",F$26=0),0,
IF(AND(テーブル!$B$3="交付申請兼実績報告（２次）",F$26&gt;=1),F51,
IF(AND(テーブル!$B$3="実績報告（２次）",F$26=0),0,
IF(AND(テーブル!$B$3="実績報告（２次）",F$26&gt;=1),F51)))))))))),0)</f>
        <v>0</v>
      </c>
      <c r="G31" s="1997">
        <f>IFERROR(
IF(テーブル!$B$3="交付申請",G51,
IF(AND(テーブル!$B$3="変更申請",G$26=0),0,
IF(AND(テーブル!$B$3="変更申請",G$26&gt;=1),G51,
IF(テーブル!$B$3="実績報告（１次）",G51,
IF(AND(テーブル!$B$3="交付申請（２次）",G$26=0),0,
IF(AND(テーブル!$B$3="交付申請（２次）",G$26&gt;=1),G51,
IF(AND(テーブル!$B$3="交付申請兼実績報告（２次）",G$26=0),0,
IF(AND(テーブル!$B$3="交付申請兼実績報告（２次）",G$26&gt;=1),G51,
IF(AND(テーブル!$B$3="実績報告（２次）",G$26=0),0,
IF(AND(テーブル!$B$3="実績報告（２次）",G$26&gt;=1),G51)))))))))),0)</f>
        <v>0</v>
      </c>
      <c r="H31" s="1997">
        <f>IFERROR(
IF(テーブル!$B$3="交付申請",H51,
IF(AND(テーブル!$B$3="変更申請",H$26=0),0,
IF(AND(テーブル!$B$3="変更申請",H$26&gt;=1),H51,
IF(テーブル!$B$3="実績報告（１次）",H51,
IF(AND(テーブル!$B$3="交付申請（２次）",H$26=0),0,
IF(AND(テーブル!$B$3="交付申請（２次）",H$26&gt;=1),H51,
IF(AND(テーブル!$B$3="交付申請兼実績報告（２次）",H$26=0),0,
IF(AND(テーブル!$B$3="交付申請兼実績報告（２次）",H$26&gt;=1),H51,
IF(AND(テーブル!$B$3="実績報告（２次）",H$26=0),0,
IF(AND(テーブル!$B$3="実績報告（２次）",H$26&gt;=1),H51)))))))))),0)</f>
        <v>0</v>
      </c>
      <c r="I31" s="1997">
        <f>IFERROR(
IF(テーブル!$B$3="交付申請",I51,
IF(AND(テーブル!$B$3="変更申請",I$26=0),0,
IF(AND(テーブル!$B$3="変更申請",I$26&gt;=1),I51,
IF(テーブル!$B$3="実績報告（１次）",I51,
IF(AND(テーブル!$B$3="交付申請（２次）",I$26=0),0,
IF(AND(テーブル!$B$3="交付申請（２次）",I$26&gt;=1),I51,
IF(AND(テーブル!$B$3="交付申請兼実績報告（２次）",I$26=0),0,
IF(AND(テーブル!$B$3="交付申請兼実績報告（２次）",I$26&gt;=1),I51,
IF(AND(テーブル!$B$3="実績報告（２次）",I$26=0),0,
IF(AND(テーブル!$B$3="実績報告（２次）",I$26&gt;=1),I51)))))))))),0)</f>
        <v>0</v>
      </c>
      <c r="J31" s="1997">
        <f>IFERROR(
IF(テーブル!$B$3="交付申請",J51,
IF(AND(テーブル!$B$3="変更申請",J$26=0),0,
IF(AND(テーブル!$B$3="変更申請",J$26&gt;=1),J51,
IF(テーブル!$B$3="実績報告（１次）",J51,
IF(AND(テーブル!$B$3="交付申請（２次）",J$26=0),0,
IF(AND(テーブル!$B$3="交付申請（２次）",J$26&gt;=1),J51,
IF(AND(テーブル!$B$3="交付申請兼実績報告（２次）",J$26=0),0,
IF(AND(テーブル!$B$3="交付申請兼実績報告（２次）",J$26&gt;=1),J51,
IF(AND(テーブル!$B$3="実績報告（２次）",J$26=0),0,
IF(AND(テーブル!$B$3="実績報告（２次）",J$26&gt;=1),J51)))))))))),0)</f>
        <v>0</v>
      </c>
      <c r="K31" s="1997">
        <f>IFERROR(
IF(テーブル!$B$3="交付申請",K51,
IF(AND(テーブル!$B$3="変更申請",K$26=0),0,
IF(AND(テーブル!$B$3="変更申請",K$26&gt;=1),K51,
IF(テーブル!$B$3="実績報告（１次）",K51,
IF(AND(テーブル!$B$3="交付申請（２次）",K$26=0),0,
IF(AND(テーブル!$B$3="交付申請（２次）",K$26&gt;=1),K51,
IF(AND(テーブル!$B$3="交付申請兼実績報告（２次）",K$26=0),0,
IF(AND(テーブル!$B$3="交付申請兼実績報告（２次）",K$26&gt;=1),K51,
IF(AND(テーブル!$B$3="実績報告（２次）",K$26=0),0,
IF(AND(テーブル!$B$3="実績報告（２次）",K$26&gt;=1),K51)))))))))),0)</f>
        <v>0</v>
      </c>
      <c r="L31" s="1997">
        <f>IFERROR(
IF(テーブル!$B$3="交付申請",L51,
IF(AND(テーブル!$B$3="変更申請",L$26=0),0,
IF(AND(テーブル!$B$3="変更申請",L$26&gt;=1),L51,
IF(テーブル!$B$3="実績報告（１次）",L51,
IF(AND(テーブル!$B$3="交付申請（２次）",L$26=0),0,
IF(AND(テーブル!$B$3="交付申請（２次）",L$26&gt;=1),L51,
IF(AND(テーブル!$B$3="交付申請兼実績報告（２次）",L$26=0),0,
IF(AND(テーブル!$B$3="交付申請兼実績報告（２次）",L$26&gt;=1),L51,
IF(AND(テーブル!$B$3="実績報告（２次）",L$26=0),0,
IF(AND(テーブル!$B$3="実績報告（２次）",L$26&gt;=1),L51)))))))))),0)</f>
        <v>0</v>
      </c>
      <c r="M31" s="1997">
        <f>IFERROR(
IF(テーブル!$B$3="交付申請",M51,
IF(AND(テーブル!$B$3="変更申請",M$26=0),0,
IF(AND(テーブル!$B$3="変更申請",M$26&gt;=1),M51,
IF(テーブル!$B$3="実績報告（１次）",M51,
IF(AND(テーブル!$B$3="交付申請（２次）",M$26=0),0,
IF(AND(テーブル!$B$3="交付申請（２次）",M$26&gt;=1),M51,
IF(AND(テーブル!$B$3="交付申請兼実績報告（２次）",M$26=0),0,
IF(AND(テーブル!$B$3="交付申請兼実績報告（２次）",M$26&gt;=1),M51,
IF(AND(テーブル!$B$3="実績報告（２次）",M$26=0),0,
IF(AND(テーブル!$B$3="実績報告（２次）",M$26&gt;=1),M51)))))))))),0)</f>
        <v>0</v>
      </c>
      <c r="N31" s="1997">
        <f>IFERROR(
IF(テーブル!$B$3="交付申請",N51,
IF(AND(テーブル!$B$3="変更申請",N$26=0),0,
IF(AND(テーブル!$B$3="変更申請",N$26&gt;=1),N51,
IF(テーブル!$B$3="実績報告（１次）",N51,
IF(AND(テーブル!$B$3="交付申請（２次）",N$26=0),0,
IF(AND(テーブル!$B$3="交付申請（２次）",N$26&gt;=1),N51,
IF(AND(テーブル!$B$3="交付申請兼実績報告（２次）",N$26=0),0,
IF(AND(テーブル!$B$3="交付申請兼実績報告（２次）",N$26&gt;=1),N51,
IF(AND(テーブル!$B$3="実績報告（２次）",N$26=0),0,
IF(AND(テーブル!$B$3="実績報告（２次）",N$26&gt;=1),N51)))))))))),0)</f>
        <v>0</v>
      </c>
      <c r="O31" s="1997">
        <f>IFERROR(
IF(テーブル!$B$3="交付申請",O51,
IF(AND(テーブル!$B$3="変更申請",O$26=0),0,
IF(AND(テーブル!$B$3="変更申請",O$26&gt;=1),O51,
IF(テーブル!$B$3="実績報告（１次）",O51,
IF(AND(テーブル!$B$3="交付申請（２次）",O$26=0),0,
IF(AND(テーブル!$B$3="交付申請（２次）",O$26&gt;=1),O51,
IF(AND(テーブル!$B$3="交付申請兼実績報告（２次）",O$26=0),0,
IF(AND(テーブル!$B$3="交付申請兼実績報告（２次）",O$26&gt;=1),O51,
IF(AND(テーブル!$B$3="実績報告（２次）",O$26=0),0,
IF(AND(テーブル!$B$3="実績報告（２次）",O$26&gt;=1),O51)))))))))),0)</f>
        <v>0</v>
      </c>
      <c r="P31" s="1997">
        <f>IFERROR(
IF(テーブル!$B$3="交付申請",P51,
IF(AND(テーブル!$B$3="変更申請",P$26=0),0,
IF(AND(テーブル!$B$3="変更申請",P$26&gt;=1),P51,
IF(テーブル!$B$3="実績報告（１次）",P51,
IF(AND(テーブル!$B$3="交付申請（２次）",P$26=0),0,
IF(AND(テーブル!$B$3="交付申請（２次）",P$26&gt;=1),P51,
IF(AND(テーブル!$B$3="交付申請兼実績報告（２次）",P$26=0),0,
IF(AND(テーブル!$B$3="交付申請兼実績報告（２次）",P$26&gt;=1),P51,
IF(AND(テーブル!$B$3="実績報告（２次）",P$26=0),0,
IF(AND(テーブル!$B$3="実績報告（２次）",P$26&gt;=1),P51)))))))))),0)</f>
        <v>0</v>
      </c>
      <c r="Q31" s="1997">
        <f>IFERROR(
IF(テーブル!$B$3="交付申請",Q51,
IF(AND(テーブル!$B$3="変更申請",Q$26=0),0,
IF(AND(テーブル!$B$3="変更申請",Q$26&gt;=1),Q51,
IF(テーブル!$B$3="実績報告（１次）",Q51,
IF(AND(テーブル!$B$3="交付申請（２次）",Q$26=0),0,
IF(AND(テーブル!$B$3="交付申請（２次）",Q$26&gt;=1),Q51,
IF(AND(テーブル!$B$3="交付申請兼実績報告（２次）",Q$26=0),0,
IF(AND(テーブル!$B$3="交付申請兼実績報告（２次）",Q$26&gt;=1),Q51,
IF(AND(テーブル!$B$3="実績報告（２次）",Q$26=0),0,
IF(AND(テーブル!$B$3="実績報告（２次）",Q$26&gt;=1),Q51)))))))))),0)</f>
        <v>0</v>
      </c>
      <c r="R31" s="1997">
        <f>IFERROR(
IF(テーブル!$B$3="交付申請",R51,
IF(AND(テーブル!$B$3="変更申請",R$26=0),0,
IF(AND(テーブル!$B$3="変更申請",R$26&gt;=1),R51,
IF(テーブル!$B$3="実績報告（１次）",R51,
IF(AND(テーブル!$B$3="交付申請（２次）",R$26=0),0,
IF(AND(テーブル!$B$3="交付申請（２次）",R$26&gt;=1),R51,
IF(AND(テーブル!$B$3="交付申請兼実績報告（２次）",R$26=0),0,
IF(AND(テーブル!$B$3="交付申請兼実績報告（２次）",R$26&gt;=1),R51,
IF(AND(テーブル!$B$3="実績報告（２次）",R$26=0),0,
IF(AND(テーブル!$B$3="実績報告（２次）",R$26&gt;=1),R51)))))))))),0)</f>
        <v>0</v>
      </c>
      <c r="S31" s="1997">
        <f>IFERROR(
IF(テーブル!$B$3="交付申請",S51,
IF(AND(テーブル!$B$3="変更申請",S$26=0),0,
IF(AND(テーブル!$B$3="変更申請",S$26&gt;=1),S51,
IF(テーブル!$B$3="実績報告（１次）",S51,
IF(AND(テーブル!$B$3="交付申請（２次）",S$26=0),0,
IF(AND(テーブル!$B$3="交付申請（２次）",S$26&gt;=1),S51,
IF(AND(テーブル!$B$3="交付申請兼実績報告（２次）",S$26=0),0,
IF(AND(テーブル!$B$3="交付申請兼実績報告（２次）",S$26&gt;=1),S51,
IF(AND(テーブル!$B$3="実績報告（２次）",S$26=0),0,
IF(AND(テーブル!$B$3="実績報告（２次）",S$26&gt;=1),S51)))))))))),0)</f>
        <v>0</v>
      </c>
      <c r="T31" s="1997">
        <f>IFERROR(
IF(テーブル!$B$3="交付申請",T51,
IF(AND(テーブル!$B$3="変更申請",T$26=0),0,
IF(AND(テーブル!$B$3="変更申請",T$26&gt;=1),T51,
IF(テーブル!$B$3="実績報告（１次）",T51,
IF(AND(テーブル!$B$3="交付申請（２次）",T$26=0),0,
IF(AND(テーブル!$B$3="交付申請（２次）",T$26&gt;=1),T51,
IF(AND(テーブル!$B$3="交付申請兼実績報告（２次）",T$26=0),0,
IF(AND(テーブル!$B$3="交付申請兼実績報告（２次）",T$26&gt;=1),T51,
IF(AND(テーブル!$B$3="実績報告（２次）",T$26=0),0,
IF(AND(テーブル!$B$3="実績報告（２次）",T$26&gt;=1),T51)))))))))),0)</f>
        <v>0</v>
      </c>
      <c r="U31" s="1997">
        <f>IFERROR(
IF(テーブル!$B$3="交付申請",U51,
IF(AND(テーブル!$B$3="変更申請",U$26=0),0,
IF(AND(テーブル!$B$3="変更申請",U$26&gt;=1),U51,
IF(テーブル!$B$3="実績報告（１次）",U51,
IF(AND(テーブル!$B$3="交付申請（２次）",U$26=0),0,
IF(AND(テーブル!$B$3="交付申請（２次）",U$26&gt;=1),U51,
IF(AND(テーブル!$B$3="交付申請兼実績報告（２次）",U$26=0),0,
IF(AND(テーブル!$B$3="交付申請兼実績報告（２次）",U$26&gt;=1),U51,
IF(AND(テーブル!$B$3="実績報告（２次）",U$26=0),0,
IF(AND(テーブル!$B$3="実績報告（２次）",U$26&gt;=1),U51)))))))))),0)</f>
        <v>0</v>
      </c>
      <c r="V31" s="1997">
        <f>IFERROR(
IF(テーブル!$B$3="交付申請",V51,
IF(AND(テーブル!$B$3="変更申請",V$26=0),0,
IF(AND(テーブル!$B$3="変更申請",V$26&gt;=1),V51,
IF(テーブル!$B$3="実績報告（１次）",V51,
IF(AND(テーブル!$B$3="交付申請（２次）",V$26=0),0,
IF(AND(テーブル!$B$3="交付申請（２次）",V$26&gt;=1),V51,
IF(AND(テーブル!$B$3="交付申請兼実績報告（２次）",V$26=0),0,
IF(AND(テーブル!$B$3="交付申請兼実績報告（２次）",V$26&gt;=1),V51,
IF(AND(テーブル!$B$3="実績報告（２次）",V$26=0),0,
IF(AND(テーブル!$B$3="実績報告（２次）",V$26&gt;=1),V51)))))))))),0)</f>
        <v>0</v>
      </c>
      <c r="W31" s="1997">
        <f>IFERROR(
IF(テーブル!$B$3="交付申請",W51,
IF(AND(テーブル!$B$3="変更申請",W$26=0),0,
IF(AND(テーブル!$B$3="変更申請",W$26&gt;=1),W51,
IF(テーブル!$B$3="実績報告（１次）",W51,
IF(AND(テーブル!$B$3="交付申請（２次）",W$26=0),0,
IF(AND(テーブル!$B$3="交付申請（２次）",W$26&gt;=1),W51,
IF(AND(テーブル!$B$3="交付申請兼実績報告（２次）",W$26=0),0,
IF(AND(テーブル!$B$3="交付申請兼実績報告（２次）",W$26&gt;=1),W51,
IF(AND(テーブル!$B$3="実績報告（２次）",W$26=0),0,
IF(AND(テーブル!$B$3="実績報告（２次）",W$26&gt;=1),W51)))))))))),0)</f>
        <v>0</v>
      </c>
      <c r="X31" s="1997">
        <f>IFERROR(
IF(テーブル!$B$3="交付申請",X51,
IF(AND(テーブル!$B$3="変更申請",X$26=0),0,
IF(AND(テーブル!$B$3="変更申請",X$26&gt;=1),X51,
IF(テーブル!$B$3="実績報告（１次）",X51,
IF(AND(テーブル!$B$3="交付申請（２次）",X$26=0),0,
IF(AND(テーブル!$B$3="交付申請（２次）",X$26&gt;=1),X51,
IF(AND(テーブル!$B$3="交付申請兼実績報告（２次）",X$26=0),0,
IF(AND(テーブル!$B$3="交付申請兼実績報告（２次）",X$26&gt;=1),X51,
IF(AND(テーブル!$B$3="実績報告（２次）",X$26=0),0,
IF(AND(テーブル!$B$3="実績報告（２次）",X$26&gt;=1),X51)))))))))),0)</f>
        <v>0</v>
      </c>
      <c r="Y31" s="1997">
        <f>IFERROR(
IF(テーブル!$B$3="交付申請",Y51,
IF(AND(テーブル!$B$3="変更申請",Y$26=0),0,
IF(AND(テーブル!$B$3="変更申請",Y$26&gt;=1),Y51,
IF(テーブル!$B$3="実績報告（１次）",Y51,
IF(AND(テーブル!$B$3="交付申請（２次）",Y$26=0),0,
IF(AND(テーブル!$B$3="交付申請（２次）",Y$26&gt;=1),Y51,
IF(AND(テーブル!$B$3="交付申請兼実績報告（２次）",Y$26=0),0,
IF(AND(テーブル!$B$3="交付申請兼実績報告（２次）",Y$26&gt;=1),Y51,
IF(AND(テーブル!$B$3="実績報告（２次）",Y$26=0),0,
IF(AND(テーブル!$B$3="実績報告（２次）",Y$26&gt;=1),Y51)))))))))),0)</f>
        <v>0</v>
      </c>
      <c r="Z31" s="1997">
        <f>IFERROR(
IF(テーブル!$B$3="交付申請",Z51,
IF(AND(テーブル!$B$3="変更申請",Z$26=0),0,
IF(AND(テーブル!$B$3="変更申請",Z$26&gt;=1),Z51,
IF(テーブル!$B$3="実績報告（１次）",Z51,
IF(AND(テーブル!$B$3="交付申請（２次）",Z$26=0),0,
IF(AND(テーブル!$B$3="交付申請（２次）",Z$26&gt;=1),Z51,
IF(AND(テーブル!$B$3="交付申請兼実績報告（２次）",Z$26=0),0,
IF(AND(テーブル!$B$3="交付申請兼実績報告（２次）",Z$26&gt;=1),Z51,
IF(AND(テーブル!$B$3="実績報告（２次）",Z$26=0),0,
IF(AND(テーブル!$B$3="実績報告（２次）",Z$26&gt;=1),Z51)))))))))),0)</f>
        <v>0</v>
      </c>
      <c r="AA31" s="1997">
        <f>IFERROR(
IF(テーブル!$B$3="交付申請",AA51,
IF(AND(テーブル!$B$3="変更申請",AA$26=0),0,
IF(AND(テーブル!$B$3="変更申請",AA$26&gt;=1),AA51,
IF(テーブル!$B$3="実績報告（１次）",AA51,
IF(AND(テーブル!$B$3="交付申請（２次）",AA$26=0),0,
IF(AND(テーブル!$B$3="交付申請（２次）",AA$26&gt;=1),AA51,
IF(AND(テーブル!$B$3="交付申請兼実績報告（２次）",AA$26=0),0,
IF(AND(テーブル!$B$3="交付申請兼実績報告（２次）",AA$26&gt;=1),AA51,
IF(AND(テーブル!$B$3="実績報告（２次）",AA$26=0),0,
IF(AND(テーブル!$B$3="実績報告（２次）",AA$26&gt;=1),AA51)))))))))),0)</f>
        <v>0</v>
      </c>
      <c r="AB31" s="1997">
        <f>IFERROR(
IF(テーブル!$B$3="交付申請",AB51,
IF(AND(テーブル!$B$3="変更申請",AB$26=0),0,
IF(AND(テーブル!$B$3="変更申請",AB$26&gt;=1),AB51,
IF(テーブル!$B$3="実績報告（１次）",AB51,
IF(AND(テーブル!$B$3="交付申請（２次）",AB$26=0),0,
IF(AND(テーブル!$B$3="交付申請（２次）",AB$26&gt;=1),AB51,
IF(AND(テーブル!$B$3="交付申請兼実績報告（２次）",AB$26=0),0,
IF(AND(テーブル!$B$3="交付申請兼実績報告（２次）",AB$26&gt;=1),AB51,
IF(AND(テーブル!$B$3="実績報告（２次）",AB$26=0),0,
IF(AND(テーブル!$B$3="実績報告（２次）",AB$26&gt;=1),AB51)))))))))),0)</f>
        <v>0</v>
      </c>
      <c r="AC31" s="1997">
        <f>IFERROR(
IF(テーブル!$B$3="交付申請",AC51,
IF(AND(テーブル!$B$3="変更申請",AC$26=0),0,
IF(AND(テーブル!$B$3="変更申請",AC$26&gt;=1),AC51,
IF(テーブル!$B$3="実績報告（１次）",AC51,
IF(AND(テーブル!$B$3="交付申請（２次）",AC$26=0),0,
IF(AND(テーブル!$B$3="交付申請（２次）",AC$26&gt;=1),AC51,
IF(AND(テーブル!$B$3="交付申請兼実績報告（２次）",AC$26=0),0,
IF(AND(テーブル!$B$3="交付申請兼実績報告（２次）",AC$26&gt;=1),AC51,
IF(AND(テーブル!$B$3="実績報告（２次）",AC$26=0),0,
IF(AND(テーブル!$B$3="実績報告（２次）",AC$26&gt;=1),AC51)))))))))),0)</f>
        <v>0</v>
      </c>
      <c r="AD31" s="1997">
        <f>IFERROR(
IF(テーブル!$B$3="交付申請",AD51,
IF(AND(テーブル!$B$3="変更申請",AD$26=0),0,
IF(AND(テーブル!$B$3="変更申請",AD$26&gt;=1),AD51,
IF(テーブル!$B$3="実績報告（１次）",AD51,
IF(AND(テーブル!$B$3="交付申請（２次）",AD$26=0),0,
IF(AND(テーブル!$B$3="交付申請（２次）",AD$26&gt;=1),AD51,
IF(AND(テーブル!$B$3="交付申請兼実績報告（２次）",AD$26=0),0,
IF(AND(テーブル!$B$3="交付申請兼実績報告（２次）",AD$26&gt;=1),AD51,
IF(AND(テーブル!$B$3="実績報告（２次）",AD$26=0),0,
IF(AND(テーブル!$B$3="実績報告（２次）",AD$26&gt;=1),AD51)))))))))),0)</f>
        <v>0</v>
      </c>
      <c r="AE31" s="1997">
        <f>IFERROR(
IF(テーブル!$B$3="交付申請",AE51,
IF(AND(テーブル!$B$3="変更申請",AE$26=0),0,
IF(AND(テーブル!$B$3="変更申請",AE$26&gt;=1),AE51,
IF(テーブル!$B$3="実績報告（１次）",AE51,
IF(AND(テーブル!$B$3="交付申請（２次）",AE$26=0),0,
IF(AND(テーブル!$B$3="交付申請（２次）",AE$26&gt;=1),AE51,
IF(AND(テーブル!$B$3="交付申請兼実績報告（２次）",AE$26=0),0,
IF(AND(テーブル!$B$3="交付申請兼実績報告（２次）",AE$26&gt;=1),AE51,
IF(AND(テーブル!$B$3="実績報告（２次）",AE$26=0),0,
IF(AND(テーブル!$B$3="実績報告（２次）",AE$26&gt;=1),AE51)))))))))),0)</f>
        <v>0</v>
      </c>
      <c r="AF31" s="1997">
        <f>IFERROR(
IF(テーブル!$B$3="交付申請",AF51,
IF(AND(テーブル!$B$3="変更申請",AF$26=0),0,
IF(AND(テーブル!$B$3="変更申請",AF$26&gt;=1),AF51,
IF(テーブル!$B$3="実績報告（１次）",AF51,
IF(AND(テーブル!$B$3="交付申請（２次）",AF$26=0),0,
IF(AND(テーブル!$B$3="交付申請（２次）",AF$26&gt;=1),AF51,
IF(AND(テーブル!$B$3="交付申請兼実績報告（２次）",AF$26=0),0,
IF(AND(テーブル!$B$3="交付申請兼実績報告（２次）",AF$26&gt;=1),AF51,
IF(AND(テーブル!$B$3="実績報告（２次）",AF$26=0),0,
IF(AND(テーブル!$B$3="実績報告（２次）",AF$26&gt;=1),AF51)))))))))),0)</f>
        <v>0</v>
      </c>
      <c r="AG31" s="1997">
        <f>IFERROR(
IF(テーブル!$B$3="交付申請",AG51,
IF(AND(テーブル!$B$3="変更申請",AG$26=0),0,
IF(AND(テーブル!$B$3="変更申請",AG$26&gt;=1),AG51,
IF(テーブル!$B$3="実績報告（１次）",AG51,
IF(AND(テーブル!$B$3="交付申請（２次）",AG$26=0),0,
IF(AND(テーブル!$B$3="交付申請（２次）",AG$26&gt;=1),AG51,
IF(AND(テーブル!$B$3="交付申請兼実績報告（２次）",AG$26=0),0,
IF(AND(テーブル!$B$3="交付申請兼実績報告（２次）",AG$26&gt;=1),AG51,
IF(AND(テーブル!$B$3="実績報告（２次）",AG$26=0),0,
IF(AND(テーブル!$B$3="実績報告（２次）",AG$26&gt;=1),AG51)))))))))),0)</f>
        <v>0</v>
      </c>
      <c r="AH31" s="1997">
        <f>IFERROR(
IF(テーブル!$B$3="交付申請",AH51,
IF(AND(テーブル!$B$3="変更申請",AH$26=0),0,
IF(AND(テーブル!$B$3="変更申請",AH$26&gt;=1),AH51,
IF(テーブル!$B$3="実績報告（１次）",AH51,
IF(AND(テーブル!$B$3="交付申請（２次）",AH$26=0),0,
IF(AND(テーブル!$B$3="交付申請（２次）",AH$26&gt;=1),AH51,
IF(AND(テーブル!$B$3="交付申請兼実績報告（２次）",AH$26=0),0,
IF(AND(テーブル!$B$3="交付申請兼実績報告（２次）",AH$26&gt;=1),AH51,
IF(AND(テーブル!$B$3="実績報告（２次）",AH$26=0),0,
IF(AND(テーブル!$B$3="実績報告（２次）",AH$26&gt;=1),AH51)))))))))),0)</f>
        <v>0</v>
      </c>
      <c r="AI31" s="1997">
        <f>IFERROR(
IF(テーブル!$B$3="交付申請",AI51,
IF(AND(テーブル!$B$3="変更申請",AI$26=0),0,
IF(AND(テーブル!$B$3="変更申請",AI$26&gt;=1),AI51,
IF(テーブル!$B$3="実績報告（１次）",AI51,
IF(AND(テーブル!$B$3="交付申請（２次）",AI$26=0),0,
IF(AND(テーブル!$B$3="交付申請（２次）",AI$26&gt;=1),AI51,
IF(AND(テーブル!$B$3="交付申請兼実績報告（２次）",AI$26=0),0,
IF(AND(テーブル!$B$3="交付申請兼実績報告（２次）",AI$26&gt;=1),AI51,
IF(AND(テーブル!$B$3="実績報告（２次）",AI$26=0),0,
IF(AND(テーブル!$B$3="実績報告（２次）",AI$26&gt;=1),AI51)))))))))),0)</f>
        <v>0</v>
      </c>
      <c r="AJ31" s="1997">
        <f>IFERROR(
IF(テーブル!$B$3="交付申請",AJ51,
IF(AND(テーブル!$B$3="変更申請",AJ$26=0),0,
IF(AND(テーブル!$B$3="変更申請",AJ$26&gt;=1),AJ51,
IF(テーブル!$B$3="実績報告（１次）",AJ51,
IF(AND(テーブル!$B$3="交付申請（２次）",AJ$26=0),0,
IF(AND(テーブル!$B$3="交付申請（２次）",AJ$26&gt;=1),AJ51,
IF(AND(テーブル!$B$3="交付申請兼実績報告（２次）",AJ$26=0),0,
IF(AND(テーブル!$B$3="交付申請兼実績報告（２次）",AJ$26&gt;=1),AJ51,
IF(AND(テーブル!$B$3="実績報告（２次）",AJ$26=0),0,
IF(AND(テーブル!$B$3="実績報告（２次）",AJ$26&gt;=1),AJ51)))))))))),0)</f>
        <v>0</v>
      </c>
      <c r="AK31" s="1997">
        <f>IFERROR(
IF(テーブル!$B$3="交付申請",AK51,
IF(AND(テーブル!$B$3="変更申請",AK$26=0),0,
IF(AND(テーブル!$B$3="変更申請",AK$26&gt;=1),AK51,
IF(テーブル!$B$3="実績報告（１次）",AK51,
IF(AND(テーブル!$B$3="交付申請（２次）",AK$26=0),0,
IF(AND(テーブル!$B$3="交付申請（２次）",AK$26&gt;=1),AK51,
IF(AND(テーブル!$B$3="交付申請兼実績報告（２次）",AK$26=0),0,
IF(AND(テーブル!$B$3="交付申請兼実績報告（２次）",AK$26&gt;=1),AK51,
IF(AND(テーブル!$B$3="実績報告（２次）",AK$26=0),0,
IF(AND(テーブル!$B$3="実績報告（２次）",AK$26&gt;=1),AK51)))))))))),0)</f>
        <v>0</v>
      </c>
      <c r="AL31" s="1997">
        <f>IFERROR(
IF(テーブル!$B$3="交付申請",AL51,
IF(AND(テーブル!$B$3="変更申請",AL$26=0),0,
IF(AND(テーブル!$B$3="変更申請",AL$26&gt;=1),AL51,
IF(テーブル!$B$3="実績報告（１次）",AL51,
IF(AND(テーブル!$B$3="交付申請（２次）",AL$26=0),0,
IF(AND(テーブル!$B$3="交付申請（２次）",AL$26&gt;=1),AL51,
IF(AND(テーブル!$B$3="交付申請兼実績報告（２次）",AL$26=0),0,
IF(AND(テーブル!$B$3="交付申請兼実績報告（２次）",AL$26&gt;=1),AL51,
IF(AND(テーブル!$B$3="実績報告（２次）",AL$26=0),0,
IF(AND(テーブル!$B$3="実績報告（２次）",AL$26&gt;=1),AL51)))))))))),0)</f>
        <v>0</v>
      </c>
      <c r="AM31" s="1997">
        <f>IFERROR(
IF(テーブル!$B$3="交付申請",AM51,
IF(AND(テーブル!$B$3="変更申請",AM$26=0),0,
IF(AND(テーブル!$B$3="変更申請",AM$26&gt;=1),AM51,
IF(テーブル!$B$3="実績報告（１次）",AM51,
IF(AND(テーブル!$B$3="交付申請（２次）",AM$26=0),0,
IF(AND(テーブル!$B$3="交付申請（２次）",AM$26&gt;=1),AM51,
IF(AND(テーブル!$B$3="交付申請兼実績報告（２次）",AM$26=0),0,
IF(AND(テーブル!$B$3="交付申請兼実績報告（２次）",AM$26&gt;=1),AM51,
IF(AND(テーブル!$B$3="実績報告（２次）",AM$26=0),0,
IF(AND(テーブル!$B$3="実績報告（２次）",AM$26&gt;=1),AM51)))))))))),0)</f>
        <v>0</v>
      </c>
      <c r="AN31" s="1997">
        <f>IFERROR(
IF(テーブル!$B$3="交付申請",AN51,
IF(AND(テーブル!$B$3="変更申請",AN$26=0),0,
IF(AND(テーブル!$B$3="変更申請",AN$26&gt;=1),AN51,
IF(テーブル!$B$3="実績報告（１次）",AN51,
IF(AND(テーブル!$B$3="交付申請（２次）",AN$26=0),0,
IF(AND(テーブル!$B$3="交付申請（２次）",AN$26&gt;=1),AN51,
IF(AND(テーブル!$B$3="交付申請兼実績報告（２次）",AN$26=0),0,
IF(AND(テーブル!$B$3="交付申請兼実績報告（２次）",AN$26&gt;=1),AN51,
IF(AND(テーブル!$B$3="実績報告（２次）",AN$26=0),0,
IF(AND(テーブル!$B$3="実績報告（２次）",AN$26&gt;=1),AN51)))))))))),0)</f>
        <v>0</v>
      </c>
      <c r="AO31" s="1997">
        <f>IFERROR(
IF(テーブル!$B$3="交付申請",AO51,
IF(AND(テーブル!$B$3="変更申請",AO$26=0),0,
IF(AND(テーブル!$B$3="変更申請",AO$26&gt;=1),AO51,
IF(テーブル!$B$3="実績報告（１次）",AO51,
IF(AND(テーブル!$B$3="交付申請（２次）",AO$26=0),0,
IF(AND(テーブル!$B$3="交付申請（２次）",AO$26&gt;=1),AO51,
IF(AND(テーブル!$B$3="交付申請兼実績報告（２次）",AO$26=0),0,
IF(AND(テーブル!$B$3="交付申請兼実績報告（２次）",AO$26&gt;=1),AO51,
IF(AND(テーブル!$B$3="実績報告（２次）",AO$26=0),0,
IF(AND(テーブル!$B$3="実績報告（２次）",AO$26&gt;=1),AO51)))))))))),0)</f>
        <v>0</v>
      </c>
      <c r="AP31" s="1997">
        <f>IFERROR(
IF(テーブル!$B$3="交付申請",AP51,
IF(AND(テーブル!$B$3="変更申請",AP$26=0),0,
IF(AND(テーブル!$B$3="変更申請",AP$26&gt;=1),AP51,
IF(テーブル!$B$3="実績報告（１次）",AP51,
IF(AND(テーブル!$B$3="交付申請（２次）",AP$26=0),0,
IF(AND(テーブル!$B$3="交付申請（２次）",AP$26&gt;=1),AP51,
IF(AND(テーブル!$B$3="交付申請兼実績報告（２次）",AP$26=0),0,
IF(AND(テーブル!$B$3="交付申請兼実績報告（２次）",AP$26&gt;=1),AP51,
IF(AND(テーブル!$B$3="実績報告（２次）",AP$26=0),0,
IF(AND(テーブル!$B$3="実績報告（２次）",AP$26&gt;=1),AP51)))))))))),0)</f>
        <v>0</v>
      </c>
      <c r="AQ31" s="1997">
        <f>IFERROR(
IF(テーブル!$B$3="交付申請",AQ51,
IF(AND(テーブル!$B$3="変更申請",AQ$26=0),0,
IF(AND(テーブル!$B$3="変更申請",AQ$26&gt;=1),AQ51,
IF(テーブル!$B$3="実績報告（１次）",AQ51,
IF(AND(テーブル!$B$3="交付申請（２次）",AQ$26=0),0,
IF(AND(テーブル!$B$3="交付申請（２次）",AQ$26&gt;=1),AQ51,
IF(AND(テーブル!$B$3="交付申請兼実績報告（２次）",AQ$26=0),0,
IF(AND(テーブル!$B$3="交付申請兼実績報告（２次）",AQ$26&gt;=1),AQ51,
IF(AND(テーブル!$B$3="実績報告（２次）",AQ$26=0),0,
IF(AND(テーブル!$B$3="実績報告（２次）",AQ$26&gt;=1),AQ51)))))))))),0)</f>
        <v>0</v>
      </c>
      <c r="AR31" s="1997">
        <f>IFERROR(
IF(テーブル!$B$3="交付申請",AR51,
IF(AND(テーブル!$B$3="変更申請",AR$26=0),0,
IF(AND(テーブル!$B$3="変更申請",AR$26&gt;=1),AR51,
IF(テーブル!$B$3="実績報告（１次）",AR51,
IF(AND(テーブル!$B$3="交付申請（２次）",AR$26=0),0,
IF(AND(テーブル!$B$3="交付申請（２次）",AR$26&gt;=1),AR51,
IF(AND(テーブル!$B$3="交付申請兼実績報告（２次）",AR$26=0),0,
IF(AND(テーブル!$B$3="交付申請兼実績報告（２次）",AR$26&gt;=1),AR51,
IF(AND(テーブル!$B$3="実績報告（２次）",AR$26=0),0,
IF(AND(テーブル!$B$3="実績報告（２次）",AR$26&gt;=1),AR51)))))))))),0)</f>
        <v>0</v>
      </c>
      <c r="AS31" s="1997">
        <f>IFERROR(
IF(テーブル!$B$3="交付申請",AS51,
IF(AND(テーブル!$B$3="変更申請",AS$26=0),0,
IF(AND(テーブル!$B$3="変更申請",AS$26&gt;=1),AS51,
IF(テーブル!$B$3="実績報告（１次）",AS51,
IF(AND(テーブル!$B$3="交付申請（２次）",AS$26=0),0,
IF(AND(テーブル!$B$3="交付申請（２次）",AS$26&gt;=1),AS51,
IF(AND(テーブル!$B$3="交付申請兼実績報告（２次）",AS$26=0),0,
IF(AND(テーブル!$B$3="交付申請兼実績報告（２次）",AS$26&gt;=1),AS51,
IF(AND(テーブル!$B$3="実績報告（２次）",AS$26=0),0,
IF(AND(テーブル!$B$3="実績報告（２次）",AS$26&gt;=1),AS51)))))))))),0)</f>
        <v>0</v>
      </c>
      <c r="AT31" s="1997">
        <f>IFERROR(
IF(テーブル!$B$3="交付申請",AT51,
IF(AND(テーブル!$B$3="変更申請",AT$26=0),0,
IF(AND(テーブル!$B$3="変更申請",AT$26&gt;=1),AT51,
IF(テーブル!$B$3="実績報告（１次）",AT51,
IF(AND(テーブル!$B$3="交付申請（２次）",AT$26=0),0,
IF(AND(テーブル!$B$3="交付申請（２次）",AT$26&gt;=1),AT51,
IF(AND(テーブル!$B$3="交付申請兼実績報告（２次）",AT$26=0),0,
IF(AND(テーブル!$B$3="交付申請兼実績報告（２次）",AT$26&gt;=1),AT51,
IF(AND(テーブル!$B$3="実績報告（２次）",AT$26=0),0,
IF(AND(テーブル!$B$3="実績報告（２次）",AT$26&gt;=1),AT51)))))))))),0)</f>
        <v>0</v>
      </c>
      <c r="AU31" s="1997">
        <f>IFERROR(
IF(テーブル!$B$3="交付申請",AU51,
IF(AND(テーブル!$B$3="変更申請",AU$26=0),0,
IF(AND(テーブル!$B$3="変更申請",AU$26&gt;=1),AU51,
IF(テーブル!$B$3="実績報告（１次）",AU51,
IF(AND(テーブル!$B$3="交付申請（２次）",AU$26=0),0,
IF(AND(テーブル!$B$3="交付申請（２次）",AU$26&gt;=1),AU51,
IF(AND(テーブル!$B$3="交付申請兼実績報告（２次）",AU$26=0),0,
IF(AND(テーブル!$B$3="交付申請兼実績報告（２次）",AU$26&gt;=1),AU51,
IF(AND(テーブル!$B$3="実績報告（２次）",AU$26=0),0,
IF(AND(テーブル!$B$3="実績報告（２次）",AU$26&gt;=1),AU51)))))))))),0)</f>
        <v>0</v>
      </c>
      <c r="AV31" s="1997">
        <f>IFERROR(
IF(テーブル!$B$3="交付申請",AV51,
IF(AND(テーブル!$B$3="変更申請",AV$26=0),0,
IF(AND(テーブル!$B$3="変更申請",AV$26&gt;=1),AV51,
IF(テーブル!$B$3="実績報告（１次）",AV51,
IF(AND(テーブル!$B$3="交付申請（２次）",AV$26=0),0,
IF(AND(テーブル!$B$3="交付申請（２次）",AV$26&gt;=1),AV51,
IF(AND(テーブル!$B$3="交付申請兼実績報告（２次）",AV$26=0),0,
IF(AND(テーブル!$B$3="交付申請兼実績報告（２次）",AV$26&gt;=1),AV51,
IF(AND(テーブル!$B$3="実績報告（２次）",AV$26=0),0,
IF(AND(テーブル!$B$3="実績報告（２次）",AV$26&gt;=1),AV51)))))))))),0)</f>
        <v>0</v>
      </c>
      <c r="AW31" s="1997">
        <f>IFERROR(
IF(テーブル!$B$3="交付申請",AW51,
IF(AND(テーブル!$B$3="変更申請",AW$26=0),0,
IF(AND(テーブル!$B$3="変更申請",AW$26&gt;=1),AW51,
IF(テーブル!$B$3="実績報告（１次）",AW51,
IF(AND(テーブル!$B$3="交付申請（２次）",AW$26=0),0,
IF(AND(テーブル!$B$3="交付申請（２次）",AW$26&gt;=1),AW51,
IF(AND(テーブル!$B$3="交付申請兼実績報告（２次）",AW$26=0),0,
IF(AND(テーブル!$B$3="交付申請兼実績報告（２次）",AW$26&gt;=1),AW51,
IF(AND(テーブル!$B$3="実績報告（２次）",AW$26=0),0,
IF(AND(テーブル!$B$3="実績報告（２次）",AW$26&gt;=1),AW51)))))))))),0)</f>
        <v>0</v>
      </c>
      <c r="AX31" s="1997">
        <f>IFERROR(
IF(テーブル!$B$3="交付申請",AX51,
IF(AND(テーブル!$B$3="変更申請",AX$26=0),0,
IF(AND(テーブル!$B$3="変更申請",AX$26&gt;=1),AX51,
IF(テーブル!$B$3="実績報告（１次）",AX51,
IF(AND(テーブル!$B$3="交付申請（２次）",AX$26=0),0,
IF(AND(テーブル!$B$3="交付申請（２次）",AX$26&gt;=1),AX51,
IF(AND(テーブル!$B$3="交付申請兼実績報告（２次）",AX$26=0),0,
IF(AND(テーブル!$B$3="交付申請兼実績報告（２次）",AX$26&gt;=1),AX51,
IF(AND(テーブル!$B$3="実績報告（２次）",AX$26=0),0,
IF(AND(テーブル!$B$3="実績報告（２次）",AX$26&gt;=1),AX51)))))))))),0)</f>
        <v>0</v>
      </c>
      <c r="AY31" s="1997">
        <f>IFERROR(
IF(テーブル!$B$3="交付申請",AY51,
IF(AND(テーブル!$B$3="変更申請",AY$26=0),0,
IF(AND(テーブル!$B$3="変更申請",AY$26&gt;=1),AY51,
IF(テーブル!$B$3="実績報告（１次）",AY51,
IF(AND(テーブル!$B$3="交付申請（２次）",AY$26=0),0,
IF(AND(テーブル!$B$3="交付申請（２次）",AY$26&gt;=1),AY51,
IF(AND(テーブル!$B$3="交付申請兼実績報告（２次）",AY$26=0),0,
IF(AND(テーブル!$B$3="交付申請兼実績報告（２次）",AY$26&gt;=1),AY51,
IF(AND(テーブル!$B$3="実績報告（２次）",AY$26=0),0,
IF(AND(テーブル!$B$3="実績報告（２次）",AY$26&gt;=1),AY51)))))))))),0)</f>
        <v>0</v>
      </c>
      <c r="AZ31" s="1997">
        <f>IFERROR(
IF(テーブル!$B$3="交付申請",AZ51,
IF(AND(テーブル!$B$3="変更申請",AZ$26=0),0,
IF(AND(テーブル!$B$3="変更申請",AZ$26&gt;=1),AZ51,
IF(テーブル!$B$3="実績報告（１次）",AZ51,
IF(AND(テーブル!$B$3="交付申請（２次）",AZ$26=0),0,
IF(AND(テーブル!$B$3="交付申請（２次）",AZ$26&gt;=1),AZ51,
IF(AND(テーブル!$B$3="交付申請兼実績報告（２次）",AZ$26=0),0,
IF(AND(テーブル!$B$3="交付申請兼実績報告（２次）",AZ$26&gt;=1),AZ51,
IF(AND(テーブル!$B$3="実績報告（２次）",AZ$26=0),0,
IF(AND(テーブル!$B$3="実績報告（２次）",AZ$26&gt;=1),AZ51)))))))))),0)</f>
        <v>0</v>
      </c>
      <c r="BA31" s="1997">
        <f>IFERROR(
IF(テーブル!$B$3="交付申請",BA51,
IF(AND(テーブル!$B$3="変更申請",BA$26=0),0,
IF(AND(テーブル!$B$3="変更申請",BA$26&gt;=1),BA51,
IF(テーブル!$B$3="実績報告（１次）",BA51,
IF(AND(テーブル!$B$3="交付申請（２次）",BA$26=0),0,
IF(AND(テーブル!$B$3="交付申請（２次）",BA$26&gt;=1),BA51,
IF(AND(テーブル!$B$3="交付申請兼実績報告（２次）",BA$26=0),0,
IF(AND(テーブル!$B$3="交付申請兼実績報告（２次）",BA$26&gt;=1),BA51,
IF(AND(テーブル!$B$3="実績報告（２次）",BA$26=0),0,
IF(AND(テーブル!$B$3="実績報告（２次）",BA$26&gt;=1),BA51)))))))))),0)</f>
        <v>0</v>
      </c>
      <c r="BB31" s="1997">
        <f>IFERROR(
IF(テーブル!$B$3="交付申請",BB51,
IF(AND(テーブル!$B$3="変更申請",BB$26=0),0,
IF(AND(テーブル!$B$3="変更申請",BB$26&gt;=1),BB51,
IF(テーブル!$B$3="実績報告（１次）",BB51,
IF(AND(テーブル!$B$3="交付申請（２次）",BB$26=0),0,
IF(AND(テーブル!$B$3="交付申請（２次）",BB$26&gt;=1),BB51,
IF(AND(テーブル!$B$3="交付申請兼実績報告（２次）",BB$26=0),0,
IF(AND(テーブル!$B$3="交付申請兼実績報告（２次）",BB$26&gt;=1),BB51,
IF(AND(テーブル!$B$3="実績報告（２次）",BB$26=0),0,
IF(AND(テーブル!$B$3="実績報告（２次）",BB$26&gt;=1),BB51)))))))))),0)</f>
        <v>0</v>
      </c>
      <c r="BC31" s="1997">
        <f>IFERROR(
IF(テーブル!$B$3="交付申請",BC51,
IF(AND(テーブル!$B$3="変更申請",BC$26=0),0,
IF(AND(テーブル!$B$3="変更申請",BC$26&gt;=1),BC51,
IF(テーブル!$B$3="実績報告（１次）",BC51,
IF(AND(テーブル!$B$3="交付申請（２次）",BC$26=0),0,
IF(AND(テーブル!$B$3="交付申請（２次）",BC$26&gt;=1),BC51,
IF(AND(テーブル!$B$3="交付申請兼実績報告（２次）",BC$26=0),0,
IF(AND(テーブル!$B$3="交付申請兼実績報告（２次）",BC$26&gt;=1),BC51,
IF(AND(テーブル!$B$3="実績報告（２次）",BC$26=0),0,
IF(AND(テーブル!$B$3="実績報告（２次）",BC$26&gt;=1),BC51)))))))))),0)</f>
        <v>0</v>
      </c>
      <c r="BD31" s="1997">
        <f>IFERROR(
IF(テーブル!$B$3="交付申請",BD51,
IF(AND(テーブル!$B$3="変更申請",BD$26=0),0,
IF(AND(テーブル!$B$3="変更申請",BD$26&gt;=1),BD51,
IF(テーブル!$B$3="実績報告（１次）",BD51,
IF(AND(テーブル!$B$3="交付申請（２次）",BD$26=0),0,
IF(AND(テーブル!$B$3="交付申請（２次）",BD$26&gt;=1),BD51,
IF(AND(テーブル!$B$3="交付申請兼実績報告（２次）",BD$26=0),0,
IF(AND(テーブル!$B$3="交付申請兼実績報告（２次）",BD$26&gt;=1),BD51,
IF(AND(テーブル!$B$3="実績報告（２次）",BD$26=0),0,
IF(AND(テーブル!$B$3="実績報告（２次）",BD$26&gt;=1),BD51)))))))))),0)</f>
        <v>0</v>
      </c>
      <c r="BE31" s="1997">
        <f>IFERROR(
IF(テーブル!$B$3="交付申請",BE51,
IF(AND(テーブル!$B$3="変更申請",BE$26=0),0,
IF(AND(テーブル!$B$3="変更申請",BE$26&gt;=1),BE51,
IF(テーブル!$B$3="実績報告（１次）",BE51,
IF(AND(テーブル!$B$3="交付申請（２次）",BE$26=0),0,
IF(AND(テーブル!$B$3="交付申請（２次）",BE$26&gt;=1),BE51,
IF(AND(テーブル!$B$3="交付申請兼実績報告（２次）",BE$26=0),0,
IF(AND(テーブル!$B$3="交付申請兼実績報告（２次）",BE$26&gt;=1),BE51,
IF(AND(テーブル!$B$3="実績報告（２次）",BE$26=0),0,
IF(AND(テーブル!$B$3="実績報告（２次）",BE$26&gt;=1),BE51)))))))))),0)</f>
        <v>0</v>
      </c>
      <c r="BF31" s="1997">
        <f>IFERROR(
IF(テーブル!$B$3="交付申請",BF51,
IF(AND(テーブル!$B$3="変更申請",BF$26=0),0,
IF(AND(テーブル!$B$3="変更申請",BF$26&gt;=1),BF51,
IF(テーブル!$B$3="実績報告（１次）",BF51,
IF(AND(テーブル!$B$3="交付申請（２次）",BF$26=0),0,
IF(AND(テーブル!$B$3="交付申請（２次）",BF$26&gt;=1),BF51,
IF(AND(テーブル!$B$3="交付申請兼実績報告（２次）",BF$26=0),0,
IF(AND(テーブル!$B$3="交付申請兼実績報告（２次）",BF$26&gt;=1),BF51,
IF(AND(テーブル!$B$3="実績報告（２次）",BF$26=0),0,
IF(AND(テーブル!$B$3="実績報告（２次）",BF$26&gt;=1),BF51)))))))))),0)</f>
        <v>0</v>
      </c>
      <c r="BG31" s="1997">
        <f>IFERROR(
IF(テーブル!$B$3="交付申請",BG51,
IF(AND(テーブル!$B$3="変更申請",BG$26=0),0,
IF(AND(テーブル!$B$3="変更申請",BG$26&gt;=1),BG51,
IF(テーブル!$B$3="実績報告（１次）",BG51,
IF(AND(テーブル!$B$3="交付申請（２次）",BG$26=0),0,
IF(AND(テーブル!$B$3="交付申請（２次）",BG$26&gt;=1),BG51,
IF(AND(テーブル!$B$3="交付申請兼実績報告（２次）",BG$26=0),0,
IF(AND(テーブル!$B$3="交付申請兼実績報告（２次）",BG$26&gt;=1),BG51,
IF(AND(テーブル!$B$3="実績報告（２次）",BG$26=0),0,
IF(AND(テーブル!$B$3="実績報告（２次）",BG$26&gt;=1),BG51)))))))))),0)</f>
        <v>0</v>
      </c>
      <c r="BH31" s="1997">
        <f>IFERROR(
IF(テーブル!$B$3="交付申請",BH51,
IF(AND(テーブル!$B$3="変更申請",BH$26=0),0,
IF(AND(テーブル!$B$3="変更申請",BH$26&gt;=1),BH51,
IF(テーブル!$B$3="実績報告（１次）",BH51,
IF(AND(テーブル!$B$3="交付申請（２次）",BH$26=0),0,
IF(AND(テーブル!$B$3="交付申請（２次）",BH$26&gt;=1),BH51,
IF(AND(テーブル!$B$3="交付申請兼実績報告（２次）",BH$26=0),0,
IF(AND(テーブル!$B$3="交付申請兼実績報告（２次）",BH$26&gt;=1),BH51,
IF(AND(テーブル!$B$3="実績報告（２次）",BH$26=0),0,
IF(AND(テーブル!$B$3="実績報告（２次）",BH$26&gt;=1),BH51)))))))))),0)</f>
        <v>0</v>
      </c>
      <c r="BI31" s="1997">
        <f>IFERROR(
IF(テーブル!$B$3="交付申請",BI51,
IF(AND(テーブル!$B$3="変更申請",BI$26=0),0,
IF(AND(テーブル!$B$3="変更申請",BI$26&gt;=1),BI51,
IF(テーブル!$B$3="実績報告（１次）",BI51,
IF(AND(テーブル!$B$3="交付申請（２次）",BI$26=0),0,
IF(AND(テーブル!$B$3="交付申請（２次）",BI$26&gt;=1),BI51,
IF(AND(テーブル!$B$3="交付申請兼実績報告（２次）",BI$26=0),0,
IF(AND(テーブル!$B$3="交付申請兼実績報告（２次）",BI$26&gt;=1),BI51,
IF(AND(テーブル!$B$3="実績報告（２次）",BI$26=0),0,
IF(AND(テーブル!$B$3="実績報告（２次）",BI$26&gt;=1),BI51)))))))))),0)</f>
        <v>0</v>
      </c>
      <c r="BJ31" s="1997">
        <f>IFERROR(
IF(テーブル!$B$3="交付申請",BJ51,
IF(AND(テーブル!$B$3="変更申請",BJ$26=0),0,
IF(AND(テーブル!$B$3="変更申請",BJ$26&gt;=1),BJ51,
IF(テーブル!$B$3="実績報告（１次）",BJ51,
IF(AND(テーブル!$B$3="交付申請（２次）",BJ$26=0),0,
IF(AND(テーブル!$B$3="交付申請（２次）",BJ$26&gt;=1),BJ51,
IF(AND(テーブル!$B$3="交付申請兼実績報告（２次）",BJ$26=0),0,
IF(AND(テーブル!$B$3="交付申請兼実績報告（２次）",BJ$26&gt;=1),BJ51,
IF(AND(テーブル!$B$3="実績報告（２次）",BJ$26=0),0,
IF(AND(テーブル!$B$3="実績報告（２次）",BJ$26&gt;=1),BJ51)))))))))),0)</f>
        <v>0</v>
      </c>
      <c r="BK31" s="1997">
        <f>IFERROR(
IF(テーブル!$B$3="交付申請",BK51,
IF(AND(テーブル!$B$3="変更申請",BK$26=0),0,
IF(AND(テーブル!$B$3="変更申請",BK$26&gt;=1),BK51,
IF(テーブル!$B$3="実績報告（１次）",BK51,
IF(AND(テーブル!$B$3="交付申請（２次）",BK$26=0),0,
IF(AND(テーブル!$B$3="交付申請（２次）",BK$26&gt;=1),BK51,
IF(AND(テーブル!$B$3="交付申請兼実績報告（２次）",BK$26=0),0,
IF(AND(テーブル!$B$3="交付申請兼実績報告（２次）",BK$26&gt;=1),BK51,
IF(AND(テーブル!$B$3="実績報告（２次）",BK$26=0),0,
IF(AND(テーブル!$B$3="実績報告（２次）",BK$26&gt;=1),BK51)))))))))),0)</f>
        <v>0</v>
      </c>
      <c r="BL31" s="1997">
        <f>IFERROR(
IF(テーブル!$B$3="交付申請",BL51,
IF(AND(テーブル!$B$3="変更申請",BL$26=0),0,
IF(AND(テーブル!$B$3="変更申請",BL$26&gt;=1),BL51,
IF(テーブル!$B$3="実績報告（１次）",BL51,
IF(AND(テーブル!$B$3="交付申請（２次）",BL$26=0),0,
IF(AND(テーブル!$B$3="交付申請（２次）",BL$26&gt;=1),BL51,
IF(AND(テーブル!$B$3="交付申請兼実績報告（２次）",BL$26=0),0,
IF(AND(テーブル!$B$3="交付申請兼実績報告（２次）",BL$26&gt;=1),BL51,
IF(AND(テーブル!$B$3="実績報告（２次）",BL$26=0),0,
IF(AND(テーブル!$B$3="実績報告（２次）",BL$26&gt;=1),BL51)))))))))),0)</f>
        <v>0</v>
      </c>
      <c r="BM31" s="1997">
        <f>IFERROR(
IF(テーブル!$B$3="交付申請",BM51,
IF(AND(テーブル!$B$3="変更申請",BM$26=0),0,
IF(AND(テーブル!$B$3="変更申請",BM$26&gt;=1),BM51,
IF(テーブル!$B$3="実績報告（１次）",BM51,
IF(AND(テーブル!$B$3="交付申請（２次）",BM$26=0),0,
IF(AND(テーブル!$B$3="交付申請（２次）",BM$26&gt;=1),BM51,
IF(AND(テーブル!$B$3="交付申請兼実績報告（２次）",BM$26=0),0,
IF(AND(テーブル!$B$3="交付申請兼実績報告（２次）",BM$26&gt;=1),BM51,
IF(AND(テーブル!$B$3="実績報告（２次）",BM$26=0),0,
IF(AND(テーブル!$B$3="実績報告（２次）",BM$26&gt;=1),BM51)))))))))),0)</f>
        <v>0</v>
      </c>
      <c r="BN31" s="1997">
        <f>IFERROR(
IF(テーブル!$B$3="交付申請",BN51,
IF(AND(テーブル!$B$3="変更申請",BN$26=0),0,
IF(AND(テーブル!$B$3="変更申請",BN$26&gt;=1),BN51,
IF(テーブル!$B$3="実績報告（１次）",BN51,
IF(AND(テーブル!$B$3="交付申請（２次）",BN$26=0),0,
IF(AND(テーブル!$B$3="交付申請（２次）",BN$26&gt;=1),BN51,
IF(AND(テーブル!$B$3="交付申請兼実績報告（２次）",BN$26=0),0,
IF(AND(テーブル!$B$3="交付申請兼実績報告（２次）",BN$26&gt;=1),BN51,
IF(AND(テーブル!$B$3="実績報告（２次）",BN$26=0),0,
IF(AND(テーブル!$B$3="実績報告（２次）",BN$26&gt;=1),BN51)))))))))),0)</f>
        <v>0</v>
      </c>
      <c r="BO31" s="1997">
        <f>IFERROR(
IF(テーブル!$B$3="交付申請",BO51,
IF(AND(テーブル!$B$3="変更申請",BO$26=0),0,
IF(AND(テーブル!$B$3="変更申請",BO$26&gt;=1),BO51,
IF(テーブル!$B$3="実績報告（１次）",BO51,
IF(AND(テーブル!$B$3="交付申請（２次）",BO$26=0),0,
IF(AND(テーブル!$B$3="交付申請（２次）",BO$26&gt;=1),BO51,
IF(AND(テーブル!$B$3="交付申請兼実績報告（２次）",BO$26=0),0,
IF(AND(テーブル!$B$3="交付申請兼実績報告（２次）",BO$26&gt;=1),BO51,
IF(AND(テーブル!$B$3="実績報告（２次）",BO$26=0),0,
IF(AND(テーブル!$B$3="実績報告（２次）",BO$26&gt;=1),BO51)))))))))),0)</f>
        <v>0</v>
      </c>
      <c r="BP31" s="1997">
        <f>IFERROR(
IF(テーブル!$B$3="交付申請",BP51,
IF(AND(テーブル!$B$3="変更申請",BP$26=0),0,
IF(AND(テーブル!$B$3="変更申請",BP$26&gt;=1),BP51,
IF(テーブル!$B$3="実績報告（１次）",BP51,
IF(AND(テーブル!$B$3="交付申請（２次）",BP$26=0),0,
IF(AND(テーブル!$B$3="交付申請（２次）",BP$26&gt;=1),BP51,
IF(AND(テーブル!$B$3="交付申請兼実績報告（２次）",BP$26=0),0,
IF(AND(テーブル!$B$3="交付申請兼実績報告（２次）",BP$26&gt;=1),BP51,
IF(AND(テーブル!$B$3="実績報告（２次）",BP$26=0),0,
IF(AND(テーブル!$B$3="実績報告（２次）",BP$26&gt;=1),BP51)))))))))),0)</f>
        <v>0</v>
      </c>
      <c r="BQ31" s="1997">
        <f>IFERROR(
IF(テーブル!$B$3="交付申請",BQ51,
IF(AND(テーブル!$B$3="変更申請",BQ$26=0),0,
IF(AND(テーブル!$B$3="変更申請",BQ$26&gt;=1),BQ51,
IF(テーブル!$B$3="実績報告（１次）",BQ51,
IF(AND(テーブル!$B$3="交付申請（２次）",BQ$26=0),0,
IF(AND(テーブル!$B$3="交付申請（２次）",BQ$26&gt;=1),BQ51,
IF(AND(テーブル!$B$3="交付申請兼実績報告（２次）",BQ$26=0),0,
IF(AND(テーブル!$B$3="交付申請兼実績報告（２次）",BQ$26&gt;=1),BQ51,
IF(AND(テーブル!$B$3="実績報告（２次）",BQ$26=0),0,
IF(AND(テーブル!$B$3="実績報告（２次）",BQ$26&gt;=1),BQ51)))))))))),0)</f>
        <v>0</v>
      </c>
      <c r="BR31" s="1997">
        <f>IFERROR(
IF(テーブル!$B$3="交付申請",BR51,
IF(AND(テーブル!$B$3="変更申請",BR$26=0),0,
IF(AND(テーブル!$B$3="変更申請",BR$26&gt;=1),BR51,
IF(テーブル!$B$3="実績報告（１次）",BR51,
IF(AND(テーブル!$B$3="交付申請（２次）",BR$26=0),0,
IF(AND(テーブル!$B$3="交付申請（２次）",BR$26&gt;=1),BR51,
IF(AND(テーブル!$B$3="交付申請兼実績報告（２次）",BR$26=0),0,
IF(AND(テーブル!$B$3="交付申請兼実績報告（２次）",BR$26&gt;=1),BR51,
IF(AND(テーブル!$B$3="実績報告（２次）",BR$26=0),0,
IF(AND(テーブル!$B$3="実績報告（２次）",BR$26&gt;=1),BR51)))))))))),0)</f>
        <v>0</v>
      </c>
      <c r="BS31" s="1997">
        <f>IFERROR(
IF(テーブル!$B$3="交付申請",BS51,
IF(AND(テーブル!$B$3="変更申請",BS$26=0),0,
IF(AND(テーブル!$B$3="変更申請",BS$26&gt;=1),BS51,
IF(テーブル!$B$3="実績報告（１次）",BS51,
IF(AND(テーブル!$B$3="交付申請（２次）",BS$26=0),0,
IF(AND(テーブル!$B$3="交付申請（２次）",BS$26&gt;=1),BS51,
IF(AND(テーブル!$B$3="交付申請兼実績報告（２次）",BS$26=0),0,
IF(AND(テーブル!$B$3="交付申請兼実績報告（２次）",BS$26&gt;=1),BS51,
IF(AND(テーブル!$B$3="実績報告（２次）",BS$26=0),0,
IF(AND(テーブル!$B$3="実績報告（２次）",BS$26&gt;=1),BS51)))))))))),0)</f>
        <v>0</v>
      </c>
      <c r="BT31" s="1997">
        <f>IFERROR(
IF(テーブル!$B$3="交付申請",BT51,
IF(AND(テーブル!$B$3="変更申請",BT$26=0),0,
IF(AND(テーブル!$B$3="変更申請",BT$26&gt;=1),BT51,
IF(テーブル!$B$3="実績報告（１次）",BT51,
IF(AND(テーブル!$B$3="交付申請（２次）",BT$26=0),0,
IF(AND(テーブル!$B$3="交付申請（２次）",BT$26&gt;=1),BT51,
IF(AND(テーブル!$B$3="交付申請兼実績報告（２次）",BT$26=0),0,
IF(AND(テーブル!$B$3="交付申請兼実績報告（２次）",BT$26&gt;=1),BT51,
IF(AND(テーブル!$B$3="実績報告（２次）",BT$26=0),0,
IF(AND(テーブル!$B$3="実績報告（２次）",BT$26&gt;=1),BT51)))))))))),0)</f>
        <v>0</v>
      </c>
      <c r="BU31" s="1997">
        <f>IFERROR(
IF(テーブル!$B$3="交付申請",BU51,
IF(AND(テーブル!$B$3="変更申請",BU$26=0),0,
IF(AND(テーブル!$B$3="変更申請",BU$26&gt;=1),BU51,
IF(テーブル!$B$3="実績報告（１次）",BU51,
IF(AND(テーブル!$B$3="交付申請（２次）",BU$26=0),0,
IF(AND(テーブル!$B$3="交付申請（２次）",BU$26&gt;=1),BU51,
IF(AND(テーブル!$B$3="交付申請兼実績報告（２次）",BU$26=0),0,
IF(AND(テーブル!$B$3="交付申請兼実績報告（２次）",BU$26&gt;=1),BU51,
IF(AND(テーブル!$B$3="実績報告（２次）",BU$26=0),0,
IF(AND(テーブル!$B$3="実績報告（２次）",BU$26&gt;=1),BU51)))))))))),0)</f>
        <v>0</v>
      </c>
      <c r="BV31" s="1997">
        <f>IFERROR(
IF(テーブル!$B$3="交付申請",BV51,
IF(AND(テーブル!$B$3="変更申請",BV$26=0),0,
IF(AND(テーブル!$B$3="変更申請",BV$26&gt;=1),BV51,
IF(テーブル!$B$3="実績報告（１次）",BV51,
IF(AND(テーブル!$B$3="交付申請（２次）",BV$26=0),0,
IF(AND(テーブル!$B$3="交付申請（２次）",BV$26&gt;=1),BV51,
IF(AND(テーブル!$B$3="交付申請兼実績報告（２次）",BV$26=0),0,
IF(AND(テーブル!$B$3="交付申請兼実績報告（２次）",BV$26&gt;=1),BV51,
IF(AND(テーブル!$B$3="実績報告（２次）",BV$26=0),0,
IF(AND(テーブル!$B$3="実績報告（２次）",BV$26&gt;=1),BV51)))))))))),0)</f>
        <v>0</v>
      </c>
      <c r="BW31" s="1997">
        <f>IFERROR(
IF(テーブル!$B$3="交付申請",BW51,
IF(AND(テーブル!$B$3="変更申請",BW$26=0),0,
IF(AND(テーブル!$B$3="変更申請",BW$26&gt;=1),BW51,
IF(テーブル!$B$3="実績報告（１次）",BW51,
IF(AND(テーブル!$B$3="交付申請（２次）",BW$26=0),0,
IF(AND(テーブル!$B$3="交付申請（２次）",BW$26&gt;=1),BW51,
IF(AND(テーブル!$B$3="交付申請兼実績報告（２次）",BW$26=0),0,
IF(AND(テーブル!$B$3="交付申請兼実績報告（２次）",BW$26&gt;=1),BW51,
IF(AND(テーブル!$B$3="実績報告（２次）",BW$26=0),0,
IF(AND(テーブル!$B$3="実績報告（２次）",BW$26&gt;=1),BW51)))))))))),0)</f>
        <v>0</v>
      </c>
      <c r="BX31" s="1997">
        <f>IFERROR(
IF(テーブル!$B$3="交付申請",BX51,
IF(AND(テーブル!$B$3="変更申請",BX$26=0),0,
IF(AND(テーブル!$B$3="変更申請",BX$26&gt;=1),BX51,
IF(テーブル!$B$3="実績報告（１次）",BX51,
IF(AND(テーブル!$B$3="交付申請（２次）",BX$26=0),0,
IF(AND(テーブル!$B$3="交付申請（２次）",BX$26&gt;=1),BX51,
IF(AND(テーブル!$B$3="交付申請兼実績報告（２次）",BX$26=0),0,
IF(AND(テーブル!$B$3="交付申請兼実績報告（２次）",BX$26&gt;=1),BX51,
IF(AND(テーブル!$B$3="実績報告（２次）",BX$26=0),0,
IF(AND(テーブル!$B$3="実績報告（２次）",BX$26&gt;=1),BX51)))))))))),0)</f>
        <v>0</v>
      </c>
      <c r="BY31" s="1997">
        <f>IFERROR(
IF(テーブル!$B$3="交付申請",BY51,
IF(AND(テーブル!$B$3="変更申請",BY$26=0),0,
IF(AND(テーブル!$B$3="変更申請",BY$26&gt;=1),BY51,
IF(テーブル!$B$3="実績報告（１次）",BY51,
IF(AND(テーブル!$B$3="交付申請（２次）",BY$26=0),0,
IF(AND(テーブル!$B$3="交付申請（２次）",BY$26&gt;=1),BY51,
IF(AND(テーブル!$B$3="交付申請兼実績報告（２次）",BY$26=0),0,
IF(AND(テーブル!$B$3="交付申請兼実績報告（２次）",BY$26&gt;=1),BY51,
IF(AND(テーブル!$B$3="実績報告（２次）",BY$26=0),0,
IF(AND(テーブル!$B$3="実績報告（２次）",BY$26&gt;=1),BY51)))))))))),0)</f>
        <v>0</v>
      </c>
      <c r="BZ31" s="1997">
        <f>IFERROR(
IF(テーブル!$B$3="交付申請",BZ51,
IF(AND(テーブル!$B$3="変更申請",BZ$26=0),0,
IF(AND(テーブル!$B$3="変更申請",BZ$26&gt;=1),BZ51,
IF(テーブル!$B$3="実績報告（１次）",BZ51,
IF(AND(テーブル!$B$3="交付申請（２次）",BZ$26=0),0,
IF(AND(テーブル!$B$3="交付申請（２次）",BZ$26&gt;=1),BZ51,
IF(AND(テーブル!$B$3="交付申請兼実績報告（２次）",BZ$26=0),0,
IF(AND(テーブル!$B$3="交付申請兼実績報告（２次）",BZ$26&gt;=1),BZ51,
IF(AND(テーブル!$B$3="実績報告（２次）",BZ$26=0),0,
IF(AND(テーブル!$B$3="実績報告（２次）",BZ$26&gt;=1),BZ51)))))))))),0)</f>
        <v>0</v>
      </c>
      <c r="CA31" s="1997">
        <f>IFERROR(
IF(テーブル!$B$3="交付申請",CA51,
IF(AND(テーブル!$B$3="変更申請",CA$26=0),0,
IF(AND(テーブル!$B$3="変更申請",CA$26&gt;=1),CA51,
IF(テーブル!$B$3="実績報告（１次）",CA51,
IF(AND(テーブル!$B$3="交付申請（２次）",CA$26=0),0,
IF(AND(テーブル!$B$3="交付申請（２次）",CA$26&gt;=1),CA51,
IF(AND(テーブル!$B$3="交付申請兼実績報告（２次）",CA$26=0),0,
IF(AND(テーブル!$B$3="交付申請兼実績報告（２次）",CA$26&gt;=1),CA51,
IF(AND(テーブル!$B$3="実績報告（２次）",CA$26=0),0,
IF(AND(テーブル!$B$3="実績報告（２次）",CA$26&gt;=1),CA51)))))))))),0)</f>
        <v>0</v>
      </c>
      <c r="CB31" s="1997">
        <f>IFERROR(
IF(テーブル!$B$3="交付申請",CB51,
IF(AND(テーブル!$B$3="変更申請",CB$26=0),0,
IF(AND(テーブル!$B$3="変更申請",CB$26&gt;=1),CB51,
IF(テーブル!$B$3="実績報告（１次）",CB51,
IF(AND(テーブル!$B$3="交付申請（２次）",CB$26=0),0,
IF(AND(テーブル!$B$3="交付申請（２次）",CB$26&gt;=1),CB51,
IF(AND(テーブル!$B$3="交付申請兼実績報告（２次）",CB$26=0),0,
IF(AND(テーブル!$B$3="交付申請兼実績報告（２次）",CB$26&gt;=1),CB51,
IF(AND(テーブル!$B$3="実績報告（２次）",CB$26=0),0,
IF(AND(テーブル!$B$3="実績報告（２次）",CB$26&gt;=1),CB51)))))))))),0)</f>
        <v>0</v>
      </c>
      <c r="CC31" s="1997">
        <f>IFERROR(
IF(テーブル!$B$3="交付申請",CC51,
IF(AND(テーブル!$B$3="変更申請",CC$26=0),0,
IF(AND(テーブル!$B$3="変更申請",CC$26&gt;=1),CC51,
IF(テーブル!$B$3="実績報告（１次）",CC51,
IF(AND(テーブル!$B$3="交付申請（２次）",CC$26=0),0,
IF(AND(テーブル!$B$3="交付申請（２次）",CC$26&gt;=1),CC51,
IF(AND(テーブル!$B$3="交付申請兼実績報告（２次）",CC$26=0),0,
IF(AND(テーブル!$B$3="交付申請兼実績報告（２次）",CC$26&gt;=1),CC51,
IF(AND(テーブル!$B$3="実績報告（２次）",CC$26=0),0,
IF(AND(テーブル!$B$3="実績報告（２次）",CC$26&gt;=1),CC51)))))))))),0)</f>
        <v>0</v>
      </c>
      <c r="CD31" s="1997">
        <f>IFERROR(
IF(テーブル!$B$3="交付申請",CD51,
IF(AND(テーブル!$B$3="変更申請",CD$26=0),0,
IF(AND(テーブル!$B$3="変更申請",CD$26&gt;=1),CD51,
IF(テーブル!$B$3="実績報告（１次）",CD51,
IF(AND(テーブル!$B$3="交付申請（２次）",CD$26=0),0,
IF(AND(テーブル!$B$3="交付申請（２次）",CD$26&gt;=1),CD51,
IF(AND(テーブル!$B$3="交付申請兼実績報告（２次）",CD$26=0),0,
IF(AND(テーブル!$B$3="交付申請兼実績報告（２次）",CD$26&gt;=1),CD51,
IF(AND(テーブル!$B$3="実績報告（２次）",CD$26=0),0,
IF(AND(テーブル!$B$3="実績報告（２次）",CD$26&gt;=1),CD51)))))))))),0)</f>
        <v>0</v>
      </c>
      <c r="CE31" s="1997">
        <f>IFERROR(
IF(テーブル!$B$3="交付申請",CE51,
IF(AND(テーブル!$B$3="変更申請",CE$26=0),0,
IF(AND(テーブル!$B$3="変更申請",CE$26&gt;=1),CE51,
IF(テーブル!$B$3="実績報告（１次）",CE51,
IF(AND(テーブル!$B$3="交付申請（２次）",CE$26=0),0,
IF(AND(テーブル!$B$3="交付申請（２次）",CE$26&gt;=1),CE51,
IF(AND(テーブル!$B$3="交付申請兼実績報告（２次）",CE$26=0),0,
IF(AND(テーブル!$B$3="交付申請兼実績報告（２次）",CE$26&gt;=1),CE51,
IF(AND(テーブル!$B$3="実績報告（２次）",CE$26=0),0,
IF(AND(テーブル!$B$3="実績報告（２次）",CE$26&gt;=1),CE51)))))))))),0)</f>
        <v>0</v>
      </c>
      <c r="CF31" s="1997">
        <f>IFERROR(
IF(テーブル!$B$3="交付申請",CF51,
IF(AND(テーブル!$B$3="変更申請",CF$26=0),0,
IF(AND(テーブル!$B$3="変更申請",CF$26&gt;=1),CF51,
IF(テーブル!$B$3="実績報告（１次）",CF51,
IF(AND(テーブル!$B$3="交付申請（２次）",CF$26=0),0,
IF(AND(テーブル!$B$3="交付申請（２次）",CF$26&gt;=1),CF51,
IF(AND(テーブル!$B$3="交付申請兼実績報告（２次）",CF$26=0),0,
IF(AND(テーブル!$B$3="交付申請兼実績報告（２次）",CF$26&gt;=1),CF51,
IF(AND(テーブル!$B$3="実績報告（２次）",CF$26=0),0,
IF(AND(テーブル!$B$3="実績報告（２次）",CF$26&gt;=1),CF51)))))))))),0)</f>
        <v>0</v>
      </c>
      <c r="CG31" s="1997">
        <f>IFERROR(
IF(テーブル!$B$3="交付申請",CG51,
IF(AND(テーブル!$B$3="変更申請",CG$26=0),0,
IF(AND(テーブル!$B$3="変更申請",CG$26&gt;=1),CG51,
IF(テーブル!$B$3="実績報告（１次）",CG51,
IF(AND(テーブル!$B$3="交付申請（２次）",CG$26=0),0,
IF(AND(テーブル!$B$3="交付申請（２次）",CG$26&gt;=1),CG51,
IF(AND(テーブル!$B$3="交付申請兼実績報告（２次）",CG$26=0),0,
IF(AND(テーブル!$B$3="交付申請兼実績報告（２次）",CG$26&gt;=1),CG51,
IF(AND(テーブル!$B$3="実績報告（２次）",CG$26=0),0,
IF(AND(テーブル!$B$3="実績報告（２次）",CG$26&gt;=1),CG51)))))))))),0)</f>
        <v>0</v>
      </c>
      <c r="CH31" s="1997">
        <f>IFERROR(
IF(テーブル!$B$3="交付申請",CH51,
IF(AND(テーブル!$B$3="変更申請",CH$26=0),0,
IF(AND(テーブル!$B$3="変更申請",CH$26&gt;=1),CH51,
IF(テーブル!$B$3="実績報告（１次）",CH51,
IF(AND(テーブル!$B$3="交付申請（２次）",CH$26=0),0,
IF(AND(テーブル!$B$3="交付申請（２次）",CH$26&gt;=1),CH51,
IF(AND(テーブル!$B$3="交付申請兼実績報告（２次）",CH$26=0),0,
IF(AND(テーブル!$B$3="交付申請兼実績報告（２次）",CH$26&gt;=1),CH51,
IF(AND(テーブル!$B$3="実績報告（２次）",CH$26=0),0,
IF(AND(テーブル!$B$3="実績報告（２次）",CH$26&gt;=1),CH51)))))))))),0)</f>
        <v>0</v>
      </c>
      <c r="CI31" s="1997">
        <f>IFERROR(
IF(テーブル!$B$3="交付申請",CI51,
IF(AND(テーブル!$B$3="変更申請",CI$26=0),0,
IF(AND(テーブル!$B$3="変更申請",CI$26&gt;=1),CI51,
IF(テーブル!$B$3="実績報告（１次）",CI51,
IF(AND(テーブル!$B$3="交付申請（２次）",CI$26=0),0,
IF(AND(テーブル!$B$3="交付申請（２次）",CI$26&gt;=1),CI51,
IF(AND(テーブル!$B$3="交付申請兼実績報告（２次）",CI$26=0),0,
IF(AND(テーブル!$B$3="交付申請兼実績報告（２次）",CI$26&gt;=1),CI51,
IF(AND(テーブル!$B$3="実績報告（２次）",CI$26=0),0,
IF(AND(テーブル!$B$3="実績報告（２次）",CI$26&gt;=1),CI51)))))))))),0)</f>
        <v>0</v>
      </c>
      <c r="CJ31" s="1997">
        <f>IFERROR(
IF(テーブル!$B$3="交付申請",CJ51,
IF(AND(テーブル!$B$3="変更申請",CJ$26=0),0,
IF(AND(テーブル!$B$3="変更申請",CJ$26&gt;=1),CJ51,
IF(テーブル!$B$3="実績報告（１次）",CJ51,
IF(AND(テーブル!$B$3="交付申請（２次）",CJ$26=0),0,
IF(AND(テーブル!$B$3="交付申請（２次）",CJ$26&gt;=1),CJ51,
IF(AND(テーブル!$B$3="交付申請兼実績報告（２次）",CJ$26=0),0,
IF(AND(テーブル!$B$3="交付申請兼実績報告（２次）",CJ$26&gt;=1),CJ51,
IF(AND(テーブル!$B$3="実績報告（２次）",CJ$26=0),0,
IF(AND(テーブル!$B$3="実績報告（２次）",CJ$26&gt;=1),CJ51)))))))))),0)</f>
        <v>0</v>
      </c>
      <c r="CK31" s="1997">
        <f>IFERROR(
IF(テーブル!$B$3="交付申請",CK51,
IF(AND(テーブル!$B$3="変更申請",CK$26=0),0,
IF(AND(テーブル!$B$3="変更申請",CK$26&gt;=1),CK51,
IF(テーブル!$B$3="実績報告（１次）",CK51,
IF(AND(テーブル!$B$3="交付申請（２次）",CK$26=0),0,
IF(AND(テーブル!$B$3="交付申請（２次）",CK$26&gt;=1),CK51,
IF(AND(テーブル!$B$3="交付申請兼実績報告（２次）",CK$26=0),0,
IF(AND(テーブル!$B$3="交付申請兼実績報告（２次）",CK$26&gt;=1),CK51,
IF(AND(テーブル!$B$3="実績報告（２次）",CK$26=0),0,
IF(AND(テーブル!$B$3="実績報告（２次）",CK$26&gt;=1),CK51)))))))))),0)</f>
        <v>0</v>
      </c>
      <c r="CL31" s="1997">
        <f>IFERROR(
IF(テーブル!$B$3="交付申請",CL51,
IF(AND(テーブル!$B$3="変更申請",CL$26=0),0,
IF(AND(テーブル!$B$3="変更申請",CL$26&gt;=1),CL51,
IF(テーブル!$B$3="実績報告（１次）",CL51,
IF(AND(テーブル!$B$3="交付申請（２次）",CL$26=0),0,
IF(AND(テーブル!$B$3="交付申請（２次）",CL$26&gt;=1),CL51,
IF(AND(テーブル!$B$3="交付申請兼実績報告（２次）",CL$26=0),0,
IF(AND(テーブル!$B$3="交付申請兼実績報告（２次）",CL$26&gt;=1),CL51,
IF(AND(テーブル!$B$3="実績報告（２次）",CL$26=0),0,
IF(AND(テーブル!$B$3="実績報告（２次）",CL$26&gt;=1),CL51)))))))))),0)</f>
        <v>0</v>
      </c>
      <c r="CM31" s="1997">
        <f>IFERROR(
IF(テーブル!$B$3="交付申請",CM51,
IF(AND(テーブル!$B$3="変更申請",CM$26=0),0,
IF(AND(テーブル!$B$3="変更申請",CM$26&gt;=1),CM51,
IF(テーブル!$B$3="実績報告（１次）",CM51,
IF(AND(テーブル!$B$3="交付申請（２次）",CM$26=0),0,
IF(AND(テーブル!$B$3="交付申請（２次）",CM$26&gt;=1),CM51,
IF(AND(テーブル!$B$3="交付申請兼実績報告（２次）",CM$26=0),0,
IF(AND(テーブル!$B$3="交付申請兼実績報告（２次）",CM$26&gt;=1),CM51,
IF(AND(テーブル!$B$3="実績報告（２次）",CM$26=0),0,
IF(AND(テーブル!$B$3="実績報告（２次）",CM$26&gt;=1),CM51)))))))))),0)</f>
        <v>0</v>
      </c>
      <c r="CN31" s="1997">
        <f>IFERROR(
IF(テーブル!$B$3="交付申請",CN51,
IF(AND(テーブル!$B$3="変更申請",CN$26=0),0,
IF(AND(テーブル!$B$3="変更申請",CN$26&gt;=1),CN51,
IF(テーブル!$B$3="実績報告（１次）",CN51,
IF(AND(テーブル!$B$3="交付申請（２次）",CN$26=0),0,
IF(AND(テーブル!$B$3="交付申請（２次）",CN$26&gt;=1),CN51,
IF(AND(テーブル!$B$3="交付申請兼実績報告（２次）",CN$26=0),0,
IF(AND(テーブル!$B$3="交付申請兼実績報告（２次）",CN$26&gt;=1),CN51,
IF(AND(テーブル!$B$3="実績報告（２次）",CN$26=0),0,
IF(AND(テーブル!$B$3="実績報告（２次）",CN$26&gt;=1),CN51)))))))))),0)</f>
        <v>0</v>
      </c>
      <c r="CO31" s="1997">
        <f>IFERROR(
IF(テーブル!$B$3="交付申請",CO51,
IF(AND(テーブル!$B$3="変更申請",CO$26=0),0,
IF(AND(テーブル!$B$3="変更申請",CO$26&gt;=1),CO51,
IF(テーブル!$B$3="実績報告（１次）",CO51,
IF(AND(テーブル!$B$3="交付申請（２次）",CO$26=0),0,
IF(AND(テーブル!$B$3="交付申請（２次）",CO$26&gt;=1),CO51,
IF(AND(テーブル!$B$3="交付申請兼実績報告（２次）",CO$26=0),0,
IF(AND(テーブル!$B$3="交付申請兼実績報告（２次）",CO$26&gt;=1),CO51,
IF(AND(テーブル!$B$3="実績報告（２次）",CO$26=0),0,
IF(AND(テーブル!$B$3="実績報告（２次）",CO$26&gt;=1),CO51)))))))))),0)</f>
        <v>0</v>
      </c>
      <c r="CP31" s="1997">
        <f>IFERROR(
IF(テーブル!$B$3="交付申請",CP51,
IF(AND(テーブル!$B$3="変更申請",CP$26=0),0,
IF(AND(テーブル!$B$3="変更申請",CP$26&gt;=1),CP51,
IF(テーブル!$B$3="実績報告（１次）",CP51,
IF(AND(テーブル!$B$3="交付申請（２次）",CP$26=0),0,
IF(AND(テーブル!$B$3="交付申請（２次）",CP$26&gt;=1),CP51,
IF(AND(テーブル!$B$3="交付申請兼実績報告（２次）",CP$26=0),0,
IF(AND(テーブル!$B$3="交付申請兼実績報告（２次）",CP$26&gt;=1),CP51,
IF(AND(テーブル!$B$3="実績報告（２次）",CP$26=0),0,
IF(AND(テーブル!$B$3="実績報告（２次）",CP$26&gt;=1),CP51)))))))))),0)</f>
        <v>0</v>
      </c>
      <c r="CQ31" s="1997">
        <f>IFERROR(
IF(テーブル!$B$3="交付申請",CQ51,
IF(AND(テーブル!$B$3="変更申請",CQ$26=0),0,
IF(AND(テーブル!$B$3="変更申請",CQ$26&gt;=1),CQ51,
IF(テーブル!$B$3="実績報告（１次）",CQ51,
IF(AND(テーブル!$B$3="交付申請（２次）",CQ$26=0),0,
IF(AND(テーブル!$B$3="交付申請（２次）",CQ$26&gt;=1),CQ51,
IF(AND(テーブル!$B$3="交付申請兼実績報告（２次）",CQ$26=0),0,
IF(AND(テーブル!$B$3="交付申請兼実績報告（２次）",CQ$26&gt;=1),CQ51,
IF(AND(テーブル!$B$3="実績報告（２次）",CQ$26=0),0,
IF(AND(テーブル!$B$3="実績報告（２次）",CQ$26&gt;=1),CQ51)))))))))),0)</f>
        <v>0</v>
      </c>
      <c r="CR31" s="1997">
        <f>IFERROR(
IF(テーブル!$B$3="交付申請",CR51,
IF(AND(テーブル!$B$3="変更申請",CR$26=0),0,
IF(AND(テーブル!$B$3="変更申請",CR$26&gt;=1),CR51,
IF(テーブル!$B$3="実績報告（１次）",CR51,
IF(AND(テーブル!$B$3="交付申請（２次）",CR$26=0),0,
IF(AND(テーブル!$B$3="交付申請（２次）",CR$26&gt;=1),CR51,
IF(AND(テーブル!$B$3="交付申請兼実績報告（２次）",CR$26=0),0,
IF(AND(テーブル!$B$3="交付申請兼実績報告（２次）",CR$26&gt;=1),CR51,
IF(AND(テーブル!$B$3="実績報告（２次）",CR$26=0),0,
IF(AND(テーブル!$B$3="実績報告（２次）",CR$26&gt;=1),CR51)))))))))),0)</f>
        <v>0</v>
      </c>
      <c r="CS31" s="1997">
        <f>IFERROR(
IF(テーブル!$B$3="交付申請",CS51,
IF(AND(テーブル!$B$3="変更申請",CS$26=0),0,
IF(AND(テーブル!$B$3="変更申請",CS$26&gt;=1),CS51,
IF(テーブル!$B$3="実績報告（１次）",CS51,
IF(AND(テーブル!$B$3="交付申請（２次）",CS$26=0),0,
IF(AND(テーブル!$B$3="交付申請（２次）",CS$26&gt;=1),CS51,
IF(AND(テーブル!$B$3="交付申請兼実績報告（２次）",CS$26=0),0,
IF(AND(テーブル!$B$3="交付申請兼実績報告（２次）",CS$26&gt;=1),CS51,
IF(AND(テーブル!$B$3="実績報告（２次）",CS$26=0),0,
IF(AND(テーブル!$B$3="実績報告（２次）",CS$26&gt;=1),CS51)))))))))),0)</f>
        <v>0</v>
      </c>
      <c r="CT31" s="1997">
        <f>IFERROR(
IF(テーブル!$B$3="交付申請",CT51,
IF(AND(テーブル!$B$3="変更申請",CT$26=0),0,
IF(AND(テーブル!$B$3="変更申請",CT$26&gt;=1),CT51,
IF(テーブル!$B$3="実績報告（１次）",CT51,
IF(AND(テーブル!$B$3="交付申請（２次）",CT$26=0),0,
IF(AND(テーブル!$B$3="交付申請（２次）",CT$26&gt;=1),CT51,
IF(AND(テーブル!$B$3="交付申請兼実績報告（２次）",CT$26=0),0,
IF(AND(テーブル!$B$3="交付申請兼実績報告（２次）",CT$26&gt;=1),CT51,
IF(AND(テーブル!$B$3="実績報告（２次）",CT$26=0),0,
IF(AND(テーブル!$B$3="実績報告（２次）",CT$26&gt;=1),CT51)))))))))),0)</f>
        <v>0</v>
      </c>
      <c r="CU31" s="1997">
        <f>IFERROR(
IF(テーブル!$B$3="交付申請",CU51,
IF(AND(テーブル!$B$3="変更申請",CU$26=0),0,
IF(AND(テーブル!$B$3="変更申請",CU$26&gt;=1),CU51,
IF(テーブル!$B$3="実績報告（１次）",CU51,
IF(AND(テーブル!$B$3="交付申請（２次）",CU$26=0),0,
IF(AND(テーブル!$B$3="交付申請（２次）",CU$26&gt;=1),CU51,
IF(AND(テーブル!$B$3="交付申請兼実績報告（２次）",CU$26=0),0,
IF(AND(テーブル!$B$3="交付申請兼実績報告（２次）",CU$26&gt;=1),CU51,
IF(AND(テーブル!$B$3="実績報告（２次）",CU$26=0),0,
IF(AND(テーブル!$B$3="実績報告（２次）",CU$26&gt;=1),CU51)))))))))),0)</f>
        <v>0</v>
      </c>
      <c r="CV31" s="1997">
        <f>IFERROR(
IF(テーブル!$B$3="交付申請",CV51,
IF(AND(テーブル!$B$3="変更申請",CV$26=0),0,
IF(AND(テーブル!$B$3="変更申請",CV$26&gt;=1),CV51,
IF(テーブル!$B$3="実績報告（１次）",CV51,
IF(AND(テーブル!$B$3="交付申請（２次）",CV$26=0),0,
IF(AND(テーブル!$B$3="交付申請（２次）",CV$26&gt;=1),CV51,
IF(AND(テーブル!$B$3="交付申請兼実績報告（２次）",CV$26=0),0,
IF(AND(テーブル!$B$3="交付申請兼実績報告（２次）",CV$26&gt;=1),CV51,
IF(AND(テーブル!$B$3="実績報告（２次）",CV$26=0),0,
IF(AND(テーブル!$B$3="実績報告（２次）",CV$26&gt;=1),CV51)))))))))),0)</f>
        <v>0</v>
      </c>
      <c r="CW31" s="1997">
        <f>IFERROR(
IF(テーブル!$B$3="交付申請",CW51,
IF(AND(テーブル!$B$3="変更申請",CW$26=0),0,
IF(AND(テーブル!$B$3="変更申請",CW$26&gt;=1),CW51,
IF(テーブル!$B$3="実績報告（１次）",CW51,
IF(AND(テーブル!$B$3="交付申請（２次）",CW$26=0),0,
IF(AND(テーブル!$B$3="交付申請（２次）",CW$26&gt;=1),CW51,
IF(AND(テーブル!$B$3="交付申請兼実績報告（２次）",CW$26=0),0,
IF(AND(テーブル!$B$3="交付申請兼実績報告（２次）",CW$26&gt;=1),CW51,
IF(AND(テーブル!$B$3="実績報告（２次）",CW$26=0),0,
IF(AND(テーブル!$B$3="実績報告（２次）",CW$26&gt;=1),CW51)))))))))),0)</f>
        <v>0</v>
      </c>
      <c r="CX31" s="1997">
        <f>IFERROR(
IF(テーブル!$B$3="交付申請",CX51,
IF(AND(テーブル!$B$3="変更申請",CX$26=0),0,
IF(AND(テーブル!$B$3="変更申請",CX$26&gt;=1),CX51,
IF(テーブル!$B$3="実績報告（１次）",CX51,
IF(AND(テーブル!$B$3="交付申請（２次）",CX$26=0),0,
IF(AND(テーブル!$B$3="交付申請（２次）",CX$26&gt;=1),CX51,
IF(AND(テーブル!$B$3="交付申請兼実績報告（２次）",CX$26=0),0,
IF(AND(テーブル!$B$3="交付申請兼実績報告（２次）",CX$26&gt;=1),CX51,
IF(AND(テーブル!$B$3="実績報告（２次）",CX$26=0),0,
IF(AND(テーブル!$B$3="実績報告（２次）",CX$26&gt;=1),CX51)))))))))),0)</f>
        <v>0</v>
      </c>
      <c r="CY31" s="1997">
        <f>IFERROR(
IF(テーブル!$B$3="交付申請",CY51,
IF(AND(テーブル!$B$3="変更申請",CY$26=0),0,
IF(AND(テーブル!$B$3="変更申請",CY$26&gt;=1),CY51,
IF(テーブル!$B$3="実績報告（１次）",CY51,
IF(AND(テーブル!$B$3="交付申請（２次）",CY$26=0),0,
IF(AND(テーブル!$B$3="交付申請（２次）",CY$26&gt;=1),CY51,
IF(AND(テーブル!$B$3="交付申請兼実績報告（２次）",CY$26=0),0,
IF(AND(テーブル!$B$3="交付申請兼実績報告（２次）",CY$26&gt;=1),CY51,
IF(AND(テーブル!$B$3="実績報告（２次）",CY$26=0),0,
IF(AND(テーブル!$B$3="実績報告（２次）",CY$26&gt;=1),CY51)))))))))),0)</f>
        <v>0</v>
      </c>
      <c r="CZ31" s="1997">
        <f>IFERROR(
IF(テーブル!$B$3="交付申請",CZ51,
IF(AND(テーブル!$B$3="変更申請",CZ$26=0),0,
IF(AND(テーブル!$B$3="変更申請",CZ$26&gt;=1),CZ51,
IF(テーブル!$B$3="実績報告（１次）",CZ51,
IF(AND(テーブル!$B$3="交付申請（２次）",CZ$26=0),0,
IF(AND(テーブル!$B$3="交付申請（２次）",CZ$26&gt;=1),CZ51,
IF(AND(テーブル!$B$3="交付申請兼実績報告（２次）",CZ$26=0),0,
IF(AND(テーブル!$B$3="交付申請兼実績報告（２次）",CZ$26&gt;=1),CZ51,
IF(AND(テーブル!$B$3="実績報告（２次）",CZ$26=0),0,
IF(AND(テーブル!$B$3="実績報告（２次）",CZ$26&gt;=1),CZ51)))))))))),0)</f>
        <v>0</v>
      </c>
      <c r="DA31" s="1997">
        <f>IFERROR(
IF(テーブル!$B$3="交付申請",DA51,
IF(AND(テーブル!$B$3="変更申請",DA$26=0),0,
IF(AND(テーブル!$B$3="変更申請",DA$26&gt;=1),DA51,
IF(テーブル!$B$3="実績報告（１次）",DA51,
IF(AND(テーブル!$B$3="交付申請（２次）",DA$26=0),0,
IF(AND(テーブル!$B$3="交付申請（２次）",DA$26&gt;=1),DA51,
IF(AND(テーブル!$B$3="交付申請兼実績報告（２次）",DA$26=0),0,
IF(AND(テーブル!$B$3="交付申請兼実績報告（２次）",DA$26&gt;=1),DA51,
IF(AND(テーブル!$B$3="実績報告（２次）",DA$26=0),0,
IF(AND(テーブル!$B$3="実績報告（２次）",DA$26&gt;=1),DA51)))))))))),0)</f>
        <v>0</v>
      </c>
      <c r="DB31" s="1997">
        <f>IFERROR(
IF(テーブル!$B$3="交付申請",DB51,
IF(AND(テーブル!$B$3="変更申請",DB$26=0),0,
IF(AND(テーブル!$B$3="変更申請",DB$26&gt;=1),DB51,
IF(テーブル!$B$3="実績報告（１次）",DB51,
IF(AND(テーブル!$B$3="交付申請（２次）",DB$26=0),0,
IF(AND(テーブル!$B$3="交付申請（２次）",DB$26&gt;=1),DB51,
IF(AND(テーブル!$B$3="交付申請兼実績報告（２次）",DB$26=0),0,
IF(AND(テーブル!$B$3="交付申請兼実績報告（２次）",DB$26&gt;=1),DB51,
IF(AND(テーブル!$B$3="実績報告（２次）",DB$26=0),0,
IF(AND(テーブル!$B$3="実績報告（２次）",DB$26&gt;=1),DB51)))))))))),0)</f>
        <v>0</v>
      </c>
      <c r="DC31" s="1997">
        <f>IFERROR(
IF(テーブル!$B$3="交付申請",DC51,
IF(AND(テーブル!$B$3="変更申請",DC$26=0),0,
IF(AND(テーブル!$B$3="変更申請",DC$26&gt;=1),DC51,
IF(テーブル!$B$3="実績報告（１次）",DC51,
IF(AND(テーブル!$B$3="交付申請（２次）",DC$26=0),0,
IF(AND(テーブル!$B$3="交付申請（２次）",DC$26&gt;=1),DC51,
IF(AND(テーブル!$B$3="交付申請兼実績報告（２次）",DC$26=0),0,
IF(AND(テーブル!$B$3="交付申請兼実績報告（２次）",DC$26&gt;=1),DC51,
IF(AND(テーブル!$B$3="実績報告（２次）",DC$26=0),0,
IF(AND(テーブル!$B$3="実績報告（２次）",DC$26&gt;=1),DC51)))))))))),0)</f>
        <v>0</v>
      </c>
      <c r="DD31" s="1997">
        <f>IFERROR(
IF(テーブル!$B$3="交付申請",DD51,
IF(AND(テーブル!$B$3="変更申請",DD$26=0),0,
IF(AND(テーブル!$B$3="変更申請",DD$26&gt;=1),DD51,
IF(テーブル!$B$3="実績報告（１次）",DD51,
IF(AND(テーブル!$B$3="交付申請（２次）",DD$26=0),0,
IF(AND(テーブル!$B$3="交付申請（２次）",DD$26&gt;=1),DD51,
IF(AND(テーブル!$B$3="交付申請兼実績報告（２次）",DD$26=0),0,
IF(AND(テーブル!$B$3="交付申請兼実績報告（２次）",DD$26&gt;=1),DD51,
IF(AND(テーブル!$B$3="実績報告（２次）",DD$26=0),0,
IF(AND(テーブル!$B$3="実績報告（２次）",DD$26&gt;=1),DD51)))))))))),0)</f>
        <v>0</v>
      </c>
      <c r="DE31" s="1997">
        <f>IFERROR(
IF(テーブル!$B$3="交付申請",DE51,
IF(AND(テーブル!$B$3="変更申請",DE$26=0),0,
IF(AND(テーブル!$B$3="変更申請",DE$26&gt;=1),DE51,
IF(テーブル!$B$3="実績報告（１次）",DE51,
IF(AND(テーブル!$B$3="交付申請（２次）",DE$26=0),0,
IF(AND(テーブル!$B$3="交付申請（２次）",DE$26&gt;=1),DE51,
IF(AND(テーブル!$B$3="交付申請兼実績報告（２次）",DE$26=0),0,
IF(AND(テーブル!$B$3="交付申請兼実績報告（２次）",DE$26&gt;=1),DE51,
IF(AND(テーブル!$B$3="実績報告（２次）",DE$26=0),0,
IF(AND(テーブル!$B$3="実績報告（２次）",DE$26&gt;=1),DE51)))))))))),0)</f>
        <v>0</v>
      </c>
      <c r="DF31" s="1997">
        <f>IFERROR(
IF(テーブル!$B$3="交付申請",DF51,
IF(AND(テーブル!$B$3="変更申請",DF$26=0),0,
IF(AND(テーブル!$B$3="変更申請",DF$26&gt;=1),DF51,
IF(テーブル!$B$3="実績報告（１次）",DF51,
IF(AND(テーブル!$B$3="交付申請（２次）",DF$26=0),0,
IF(AND(テーブル!$B$3="交付申請（２次）",DF$26&gt;=1),DF51,
IF(AND(テーブル!$B$3="交付申請兼実績報告（２次）",DF$26=0),0,
IF(AND(テーブル!$B$3="交付申請兼実績報告（２次）",DF$26&gt;=1),DF51,
IF(AND(テーブル!$B$3="実績報告（２次）",DF$26=0),0,
IF(AND(テーブル!$B$3="実績報告（２次）",DF$26&gt;=1),DF51)))))))))),0)</f>
        <v>0</v>
      </c>
      <c r="DG31" s="1997">
        <f>IFERROR(
IF(テーブル!$B$3="交付申請",DG51,
IF(AND(テーブル!$B$3="変更申請",DG$26=0),0,
IF(AND(テーブル!$B$3="変更申請",DG$26&gt;=1),DG51,
IF(テーブル!$B$3="実績報告（１次）",DG51,
IF(AND(テーブル!$B$3="交付申請（２次）",DG$26=0),0,
IF(AND(テーブル!$B$3="交付申請（２次）",DG$26&gt;=1),DG51,
IF(AND(テーブル!$B$3="交付申請兼実績報告（２次）",DG$26=0),0,
IF(AND(テーブル!$B$3="交付申請兼実績報告（２次）",DG$26&gt;=1),DG51,
IF(AND(テーブル!$B$3="実績報告（２次）",DG$26=0),0,
IF(AND(テーブル!$B$3="実績報告（２次）",DG$26&gt;=1),DG51)))))))))),0)</f>
        <v>0</v>
      </c>
      <c r="DH31" s="1997">
        <f>IFERROR(
IF(テーブル!$B$3="交付申請",DH51,
IF(AND(テーブル!$B$3="変更申請",DH$26=0),0,
IF(AND(テーブル!$B$3="変更申請",DH$26&gt;=1),DH51,
IF(テーブル!$B$3="実績報告（１次）",DH51,
IF(AND(テーブル!$B$3="交付申請（２次）",DH$26=0),0,
IF(AND(テーブル!$B$3="交付申請（２次）",DH$26&gt;=1),DH51,
IF(AND(テーブル!$B$3="交付申請兼実績報告（２次）",DH$26=0),0,
IF(AND(テーブル!$B$3="交付申請兼実績報告（２次）",DH$26&gt;=1),DH51,
IF(AND(テーブル!$B$3="実績報告（２次）",DH$26=0),0,
IF(AND(テーブル!$B$3="実績報告（２次）",DH$26&gt;=1),DH51)))))))))),0)</f>
        <v>0</v>
      </c>
      <c r="DI31" s="1997">
        <f>IFERROR(
IF(テーブル!$B$3="交付申請",DI51,
IF(AND(テーブル!$B$3="変更申請",DI$26=0),0,
IF(AND(テーブル!$B$3="変更申請",DI$26&gt;=1),DI51,
IF(テーブル!$B$3="実績報告（１次）",DI51,
IF(AND(テーブル!$B$3="交付申請（２次）",DI$26=0),0,
IF(AND(テーブル!$B$3="交付申請（２次）",DI$26&gt;=1),DI51,
IF(AND(テーブル!$B$3="交付申請兼実績報告（２次）",DI$26=0),0,
IF(AND(テーブル!$B$3="交付申請兼実績報告（２次）",DI$26&gt;=1),DI51,
IF(AND(テーブル!$B$3="実績報告（２次）",DI$26=0),0,
IF(AND(テーブル!$B$3="実績報告（２次）",DI$26&gt;=1),DI51)))))))))),0)</f>
        <v>0</v>
      </c>
      <c r="DJ31" s="1997">
        <f>IFERROR(
IF(テーブル!$B$3="交付申請",DJ51,
IF(AND(テーブル!$B$3="変更申請",DJ$26=0),0,
IF(AND(テーブル!$B$3="変更申請",DJ$26&gt;=1),DJ51,
IF(テーブル!$B$3="実績報告（１次）",DJ51,
IF(AND(テーブル!$B$3="交付申請（２次）",DJ$26=0),0,
IF(AND(テーブル!$B$3="交付申請（２次）",DJ$26&gt;=1),DJ51,
IF(AND(テーブル!$B$3="交付申請兼実績報告（２次）",DJ$26=0),0,
IF(AND(テーブル!$B$3="交付申請兼実績報告（２次）",DJ$26&gt;=1),DJ51,
IF(AND(テーブル!$B$3="実績報告（２次）",DJ$26=0),0,
IF(AND(テーブル!$B$3="実績報告（２次）",DJ$26&gt;=1),DJ51)))))))))),0)</f>
        <v>0</v>
      </c>
      <c r="DK31" s="1997">
        <f>IFERROR(
IF(テーブル!$B$3="交付申請",DK51,
IF(AND(テーブル!$B$3="変更申請",DK$26=0),0,
IF(AND(テーブル!$B$3="変更申請",DK$26&gt;=1),DK51,
IF(テーブル!$B$3="実績報告（１次）",DK51,
IF(AND(テーブル!$B$3="交付申請（２次）",DK$26=0),0,
IF(AND(テーブル!$B$3="交付申請（２次）",DK$26&gt;=1),DK51,
IF(AND(テーブル!$B$3="交付申請兼実績報告（２次）",DK$26=0),0,
IF(AND(テーブル!$B$3="交付申請兼実績報告（２次）",DK$26&gt;=1),DK51,
IF(AND(テーブル!$B$3="実績報告（２次）",DK$26=0),0,
IF(AND(テーブル!$B$3="実績報告（２次）",DK$26&gt;=1),DK51)))))))))),0)</f>
        <v>0</v>
      </c>
      <c r="DL31" s="1997">
        <f>IFERROR(
IF(テーブル!$B$3="交付申請",DL51,
IF(AND(テーブル!$B$3="変更申請",DL$26=0),0,
IF(AND(テーブル!$B$3="変更申請",DL$26&gt;=1),DL51,
IF(テーブル!$B$3="実績報告（１次）",DL51,
IF(AND(テーブル!$B$3="交付申請（２次）",DL$26=0),0,
IF(AND(テーブル!$B$3="交付申請（２次）",DL$26&gt;=1),DL51,
IF(AND(テーブル!$B$3="交付申請兼実績報告（２次）",DL$26=0),0,
IF(AND(テーブル!$B$3="交付申請兼実績報告（２次）",DL$26&gt;=1),DL51,
IF(AND(テーブル!$B$3="実績報告（２次）",DL$26=0),0,
IF(AND(テーブル!$B$3="実績報告（２次）",DL$26&gt;=1),DL51)))))))))),0)</f>
        <v>0</v>
      </c>
      <c r="DM31" s="1997">
        <f>IFERROR(
IF(テーブル!$B$3="交付申請",DM51,
IF(AND(テーブル!$B$3="変更申請",DM$26=0),0,
IF(AND(テーブル!$B$3="変更申請",DM$26&gt;=1),DM51,
IF(テーブル!$B$3="実績報告（１次）",DM51,
IF(AND(テーブル!$B$3="交付申請（２次）",DM$26=0),0,
IF(AND(テーブル!$B$3="交付申請（２次）",DM$26&gt;=1),DM51,
IF(AND(テーブル!$B$3="交付申請兼実績報告（２次）",DM$26=0),0,
IF(AND(テーブル!$B$3="交付申請兼実績報告（２次）",DM$26&gt;=1),DM51,
IF(AND(テーブル!$B$3="実績報告（２次）",DM$26=0),0,
IF(AND(テーブル!$B$3="実績報告（２次）",DM$26&gt;=1),DM51)))))))))),0)</f>
        <v>0</v>
      </c>
      <c r="DN31" s="1997">
        <f>IFERROR(
IF(テーブル!$B$3="交付申請",DN51,
IF(AND(テーブル!$B$3="変更申請",DN$26=0),0,
IF(AND(テーブル!$B$3="変更申請",DN$26&gt;=1),DN51,
IF(テーブル!$B$3="実績報告（１次）",DN51,
IF(AND(テーブル!$B$3="交付申請（２次）",DN$26=0),0,
IF(AND(テーブル!$B$3="交付申請（２次）",DN$26&gt;=1),DN51,
IF(AND(テーブル!$B$3="交付申請兼実績報告（２次）",DN$26=0),0,
IF(AND(テーブル!$B$3="交付申請兼実績報告（２次）",DN$26&gt;=1),DN51,
IF(AND(テーブル!$B$3="実績報告（２次）",DN$26=0),0,
IF(AND(テーブル!$B$3="実績報告（２次）",DN$26&gt;=1),DN51)))))))))),0)</f>
        <v>0</v>
      </c>
      <c r="DO31" s="1997">
        <f>IFERROR(
IF(テーブル!$B$3="交付申請",DO51,
IF(AND(テーブル!$B$3="変更申請",DO$26=0),0,
IF(AND(テーブル!$B$3="変更申請",DO$26&gt;=1),DO51,
IF(テーブル!$B$3="実績報告（１次）",DO51,
IF(AND(テーブル!$B$3="交付申請（２次）",DO$26=0),0,
IF(AND(テーブル!$B$3="交付申請（２次）",DO$26&gt;=1),DO51,
IF(AND(テーブル!$B$3="交付申請兼実績報告（２次）",DO$26=0),0,
IF(AND(テーブル!$B$3="交付申請兼実績報告（２次）",DO$26&gt;=1),DO51,
IF(AND(テーブル!$B$3="実績報告（２次）",DO$26=0),0,
IF(AND(テーブル!$B$3="実績報告（２次）",DO$26&gt;=1),DO51)))))))))),0)</f>
        <v>0</v>
      </c>
      <c r="DP31" s="1997">
        <f>IFERROR(
IF(テーブル!$B$3="交付申請",DP51,
IF(AND(テーブル!$B$3="変更申請",DP$26=0),0,
IF(AND(テーブル!$B$3="変更申請",DP$26&gt;=1),DP51,
IF(テーブル!$B$3="実績報告（１次）",DP51,
IF(AND(テーブル!$B$3="交付申請（２次）",DP$26=0),0,
IF(AND(テーブル!$B$3="交付申請（２次）",DP$26&gt;=1),DP51,
IF(AND(テーブル!$B$3="交付申請兼実績報告（２次）",DP$26=0),0,
IF(AND(テーブル!$B$3="交付申請兼実績報告（２次）",DP$26&gt;=1),DP51,
IF(AND(テーブル!$B$3="実績報告（２次）",DP$26=0),0,
IF(AND(テーブル!$B$3="実績報告（２次）",DP$26&gt;=1),DP51)))))))))),0)</f>
        <v>0</v>
      </c>
      <c r="DQ31" s="1997">
        <f>IFERROR(
IF(テーブル!$B$3="交付申請",DQ51,
IF(AND(テーブル!$B$3="変更申請",DQ$26=0),0,
IF(AND(テーブル!$B$3="変更申請",DQ$26&gt;=1),DQ51,
IF(テーブル!$B$3="実績報告（１次）",DQ51,
IF(AND(テーブル!$B$3="交付申請（２次）",DQ$26=0),0,
IF(AND(テーブル!$B$3="交付申請（２次）",DQ$26&gt;=1),DQ51,
IF(AND(テーブル!$B$3="交付申請兼実績報告（２次）",DQ$26=0),0,
IF(AND(テーブル!$B$3="交付申請兼実績報告（２次）",DQ$26&gt;=1),DQ51,
IF(AND(テーブル!$B$3="実績報告（２次）",DQ$26=0),0,
IF(AND(テーブル!$B$3="実績報告（２次）",DQ$26&gt;=1),DQ51)))))))))),0)</f>
        <v>0</v>
      </c>
      <c r="DR31" s="1997">
        <f>IFERROR(
IF(テーブル!$B$3="交付申請",DR51,
IF(AND(テーブル!$B$3="変更申請",DR$26=0),0,
IF(AND(テーブル!$B$3="変更申請",DR$26&gt;=1),DR51,
IF(テーブル!$B$3="実績報告（１次）",DR51,
IF(AND(テーブル!$B$3="交付申請（２次）",DR$26=0),0,
IF(AND(テーブル!$B$3="交付申請（２次）",DR$26&gt;=1),DR51,
IF(AND(テーブル!$B$3="交付申請兼実績報告（２次）",DR$26=0),0,
IF(AND(テーブル!$B$3="交付申請兼実績報告（２次）",DR$26&gt;=1),DR51,
IF(AND(テーブル!$B$3="実績報告（２次）",DR$26=0),0,
IF(AND(テーブル!$B$3="実績報告（２次）",DR$26&gt;=1),DR51)))))))))),0)</f>
        <v>0</v>
      </c>
      <c r="DS31" s="1997">
        <f>IFERROR(
IF(テーブル!$B$3="交付申請",DS51,
IF(AND(テーブル!$B$3="変更申請",DS$26=0),0,
IF(AND(テーブル!$B$3="変更申請",DS$26&gt;=1),DS51,
IF(テーブル!$B$3="実績報告（１次）",DS51,
IF(AND(テーブル!$B$3="交付申請（２次）",DS$26=0),0,
IF(AND(テーブル!$B$3="交付申請（２次）",DS$26&gt;=1),DS51,
IF(AND(テーブル!$B$3="交付申請兼実績報告（２次）",DS$26=0),0,
IF(AND(テーブル!$B$3="交付申請兼実績報告（２次）",DS$26&gt;=1),DS51,
IF(AND(テーブル!$B$3="実績報告（２次）",DS$26=0),0,
IF(AND(テーブル!$B$3="実績報告（２次）",DS$26&gt;=1),DS51)))))))))),0)</f>
        <v>0</v>
      </c>
      <c r="DT31" s="1997">
        <f>IFERROR(
IF(テーブル!$B$3="交付申請",DT51,
IF(AND(テーブル!$B$3="変更申請",DT$26=0),0,
IF(AND(テーブル!$B$3="変更申請",DT$26&gt;=1),DT51,
IF(テーブル!$B$3="実績報告（１次）",DT51,
IF(AND(テーブル!$B$3="交付申請（２次）",DT$26=0),0,
IF(AND(テーブル!$B$3="交付申請（２次）",DT$26&gt;=1),DT51,
IF(AND(テーブル!$B$3="交付申請兼実績報告（２次）",DT$26=0),0,
IF(AND(テーブル!$B$3="交付申請兼実績報告（２次）",DT$26&gt;=1),DT51,
IF(AND(テーブル!$B$3="実績報告（２次）",DT$26=0),0,
IF(AND(テーブル!$B$3="実績報告（２次）",DT$26&gt;=1),DT51)))))))))),0)</f>
        <v>0</v>
      </c>
      <c r="DU31" s="1997">
        <f>IFERROR(
IF(テーブル!$B$3="交付申請",DU51,
IF(AND(テーブル!$B$3="変更申請",DU$26=0),0,
IF(AND(テーブル!$B$3="変更申請",DU$26&gt;=1),DU51,
IF(テーブル!$B$3="実績報告（１次）",DU51,
IF(AND(テーブル!$B$3="交付申請（２次）",DU$26=0),0,
IF(AND(テーブル!$B$3="交付申請（２次）",DU$26&gt;=1),DU51,
IF(AND(テーブル!$B$3="交付申請兼実績報告（２次）",DU$26=0),0,
IF(AND(テーブル!$B$3="交付申請兼実績報告（２次）",DU$26&gt;=1),DU51,
IF(AND(テーブル!$B$3="実績報告（２次）",DU$26=0),0,
IF(AND(テーブル!$B$3="実績報告（２次）",DU$26&gt;=1),DU51)))))))))),0)</f>
        <v>0</v>
      </c>
      <c r="DV31" s="1997">
        <f>IFERROR(
IF(テーブル!$B$3="交付申請",DV51,
IF(AND(テーブル!$B$3="変更申請",DV$26=0),0,
IF(AND(テーブル!$B$3="変更申請",DV$26&gt;=1),DV51,
IF(テーブル!$B$3="実績報告（１次）",DV51,
IF(AND(テーブル!$B$3="交付申請（２次）",DV$26=0),0,
IF(AND(テーブル!$B$3="交付申請（２次）",DV$26&gt;=1),DV51,
IF(AND(テーブル!$B$3="交付申請兼実績報告（２次）",DV$26=0),0,
IF(AND(テーブル!$B$3="交付申請兼実績報告（２次）",DV$26&gt;=1),DV51,
IF(AND(テーブル!$B$3="実績報告（２次）",DV$26=0),0,
IF(AND(テーブル!$B$3="実績報告（２次）",DV$26&gt;=1),DV51)))))))))),0)</f>
        <v>0</v>
      </c>
      <c r="DW31" s="1997">
        <f>IFERROR(
IF(テーブル!$B$3="交付申請",DW51,
IF(AND(テーブル!$B$3="変更申請",DW$26=0),0,
IF(AND(テーブル!$B$3="変更申請",DW$26&gt;=1),DW51,
IF(テーブル!$B$3="実績報告（１次）",DW51,
IF(AND(テーブル!$B$3="交付申請（２次）",DW$26=0),0,
IF(AND(テーブル!$B$3="交付申請（２次）",DW$26&gt;=1),DW51,
IF(AND(テーブル!$B$3="交付申請兼実績報告（２次）",DW$26=0),0,
IF(AND(テーブル!$B$3="交付申請兼実績報告（２次）",DW$26&gt;=1),DW51,
IF(AND(テーブル!$B$3="実績報告（２次）",DW$26=0),0,
IF(AND(テーブル!$B$3="実績報告（２次）",DW$26&gt;=1),DW51)))))))))),0)</f>
        <v>0</v>
      </c>
      <c r="DX31" s="1997">
        <f>IFERROR(
IF(テーブル!$B$3="交付申請",DX51,
IF(AND(テーブル!$B$3="変更申請",DX$26=0),0,
IF(AND(テーブル!$B$3="変更申請",DX$26&gt;=1),DX51,
IF(テーブル!$B$3="実績報告（１次）",DX51,
IF(AND(テーブル!$B$3="交付申請（２次）",DX$26=0),0,
IF(AND(テーブル!$B$3="交付申請（２次）",DX$26&gt;=1),DX51,
IF(AND(テーブル!$B$3="交付申請兼実績報告（２次）",DX$26=0),0,
IF(AND(テーブル!$B$3="交付申請兼実績報告（２次）",DX$26&gt;=1),DX51,
IF(AND(テーブル!$B$3="実績報告（２次）",DX$26=0),0,
IF(AND(テーブル!$B$3="実績報告（２次）",DX$26&gt;=1),DX51)))))))))),0)</f>
        <v>0</v>
      </c>
      <c r="DY31" s="1997">
        <f>IFERROR(
IF(テーブル!$B$3="交付申請",DY51,
IF(AND(テーブル!$B$3="変更申請",DY$26=0),0,
IF(AND(テーブル!$B$3="変更申請",DY$26&gt;=1),DY51,
IF(テーブル!$B$3="実績報告（１次）",DY51,
IF(AND(テーブル!$B$3="交付申請（２次）",DY$26=0),0,
IF(AND(テーブル!$B$3="交付申請（２次）",DY$26&gt;=1),DY51,
IF(AND(テーブル!$B$3="交付申請兼実績報告（２次）",DY$26=0),0,
IF(AND(テーブル!$B$3="交付申請兼実績報告（２次）",DY$26&gt;=1),DY51,
IF(AND(テーブル!$B$3="実績報告（２次）",DY$26=0),0,
IF(AND(テーブル!$B$3="実績報告（２次）",DY$26&gt;=1),DY51)))))))))),0)</f>
        <v>0</v>
      </c>
      <c r="DZ31" s="1997">
        <f>IFERROR(
IF(テーブル!$B$3="交付申請",DZ51,
IF(AND(テーブル!$B$3="変更申請",DZ$26=0),0,
IF(AND(テーブル!$B$3="変更申請",DZ$26&gt;=1),DZ51,
IF(テーブル!$B$3="実績報告（１次）",DZ51,
IF(AND(テーブル!$B$3="交付申請（２次）",DZ$26=0),0,
IF(AND(テーブル!$B$3="交付申請（２次）",DZ$26&gt;=1),DZ51,
IF(AND(テーブル!$B$3="交付申請兼実績報告（２次）",DZ$26=0),0,
IF(AND(テーブル!$B$3="交付申請兼実績報告（２次）",DZ$26&gt;=1),DZ51,
IF(AND(テーブル!$B$3="実績報告（２次）",DZ$26=0),0,
IF(AND(テーブル!$B$3="実績報告（２次）",DZ$26&gt;=1),DZ51)))))))))),0)</f>
        <v>0</v>
      </c>
      <c r="EA31" s="1997">
        <f>IFERROR(
IF(テーブル!$B$3="交付申請",EA51,
IF(AND(テーブル!$B$3="変更申請",EA$26=0),0,
IF(AND(テーブル!$B$3="変更申請",EA$26&gt;=1),EA51,
IF(テーブル!$B$3="実績報告（１次）",EA51,
IF(AND(テーブル!$B$3="交付申請（２次）",EA$26=0),0,
IF(AND(テーブル!$B$3="交付申請（２次）",EA$26&gt;=1),EA51,
IF(AND(テーブル!$B$3="交付申請兼実績報告（２次）",EA$26=0),0,
IF(AND(テーブル!$B$3="交付申請兼実績報告（２次）",EA$26&gt;=1),EA51,
IF(AND(テーブル!$B$3="実績報告（２次）",EA$26=0),0,
IF(AND(テーブル!$B$3="実績報告（２次）",EA$26&gt;=1),EA51)))))))))),0)</f>
        <v>0</v>
      </c>
      <c r="EB31" s="1997">
        <f>IFERROR(
IF(テーブル!$B$3="交付申請",EB51,
IF(AND(テーブル!$B$3="変更申請",EB$26=0),0,
IF(AND(テーブル!$B$3="変更申請",EB$26&gt;=1),EB51,
IF(テーブル!$B$3="実績報告（１次）",EB51,
IF(AND(テーブル!$B$3="交付申請（２次）",EB$26=0),0,
IF(AND(テーブル!$B$3="交付申請（２次）",EB$26&gt;=1),EB51,
IF(AND(テーブル!$B$3="交付申請兼実績報告（２次）",EB$26=0),0,
IF(AND(テーブル!$B$3="交付申請兼実績報告（２次）",EB$26&gt;=1),EB51,
IF(AND(テーブル!$B$3="実績報告（２次）",EB$26=0),0,
IF(AND(テーブル!$B$3="実績報告（２次）",EB$26&gt;=1),EB51)))))))))),0)</f>
        <v>0</v>
      </c>
      <c r="EC31" s="1997">
        <f>IFERROR(
IF(テーブル!$B$3="交付申請",EC51,
IF(AND(テーブル!$B$3="変更申請",EC$26=0),0,
IF(AND(テーブル!$B$3="変更申請",EC$26&gt;=1),EC51,
IF(テーブル!$B$3="実績報告（１次）",EC51,
IF(AND(テーブル!$B$3="交付申請（２次）",EC$26=0),0,
IF(AND(テーブル!$B$3="交付申請（２次）",EC$26&gt;=1),EC51,
IF(AND(テーブル!$B$3="交付申請兼実績報告（２次）",EC$26=0),0,
IF(AND(テーブル!$B$3="交付申請兼実績報告（２次）",EC$26&gt;=1),EC51,
IF(AND(テーブル!$B$3="実績報告（２次）",EC$26=0),0,
IF(AND(テーブル!$B$3="実績報告（２次）",EC$26&gt;=1),EC51)))))))))),0)</f>
        <v>0</v>
      </c>
      <c r="ED31" s="1997">
        <f>IFERROR(
IF(テーブル!$B$3="交付申請",ED51,
IF(AND(テーブル!$B$3="変更申請",ED$26=0),0,
IF(AND(テーブル!$B$3="変更申請",ED$26&gt;=1),ED51,
IF(テーブル!$B$3="実績報告（１次）",ED51,
IF(AND(テーブル!$B$3="交付申請（２次）",ED$26=0),0,
IF(AND(テーブル!$B$3="交付申請（２次）",ED$26&gt;=1),ED51,
IF(AND(テーブル!$B$3="交付申請兼実績報告（２次）",ED$26=0),0,
IF(AND(テーブル!$B$3="交付申請兼実績報告（２次）",ED$26&gt;=1),ED51,
IF(AND(テーブル!$B$3="実績報告（２次）",ED$26=0),0,
IF(AND(テーブル!$B$3="実績報告（２次）",ED$26&gt;=1),ED51)))))))))),0)</f>
        <v>0</v>
      </c>
      <c r="EE31" s="1997">
        <f>IFERROR(
IF(テーブル!$B$3="交付申請",EE51,
IF(AND(テーブル!$B$3="変更申請",EE$26=0),0,
IF(AND(テーブル!$B$3="変更申請",EE$26&gt;=1),EE51,
IF(テーブル!$B$3="実績報告（１次）",EE51,
IF(AND(テーブル!$B$3="交付申請（２次）",EE$26=0),0,
IF(AND(テーブル!$B$3="交付申請（２次）",EE$26&gt;=1),EE51,
IF(AND(テーブル!$B$3="交付申請兼実績報告（２次）",EE$26=0),0,
IF(AND(テーブル!$B$3="交付申請兼実績報告（２次）",EE$26&gt;=1),EE51,
IF(AND(テーブル!$B$3="実績報告（２次）",EE$26=0),0,
IF(AND(テーブル!$B$3="実績報告（２次）",EE$26&gt;=1),EE51)))))))))),0)</f>
        <v>0</v>
      </c>
      <c r="EF31" s="1997">
        <f>IFERROR(
IF(テーブル!$B$3="交付申請",EF51,
IF(AND(テーブル!$B$3="変更申請",EF$26=0),0,
IF(AND(テーブル!$B$3="変更申請",EF$26&gt;=1),EF51,
IF(テーブル!$B$3="実績報告（１次）",EF51,
IF(AND(テーブル!$B$3="交付申請（２次）",EF$26=0),0,
IF(AND(テーブル!$B$3="交付申請（２次）",EF$26&gt;=1),EF51,
IF(AND(テーブル!$B$3="交付申請兼実績報告（２次）",EF$26=0),0,
IF(AND(テーブル!$B$3="交付申請兼実績報告（２次）",EF$26&gt;=1),EF51,
IF(AND(テーブル!$B$3="実績報告（２次）",EF$26=0),0,
IF(AND(テーブル!$B$3="実績報告（２次）",EF$26&gt;=1),EF51)))))))))),0)</f>
        <v>0</v>
      </c>
      <c r="EG31" s="1997">
        <f>IFERROR(
IF(テーブル!$B$3="交付申請",EG51,
IF(AND(テーブル!$B$3="変更申請",EG$26=0),0,
IF(AND(テーブル!$B$3="変更申請",EG$26&gt;=1),EG51,
IF(テーブル!$B$3="実績報告（１次）",EG51,
IF(AND(テーブル!$B$3="交付申請（２次）",EG$26=0),0,
IF(AND(テーブル!$B$3="交付申請（２次）",EG$26&gt;=1),EG51,
IF(AND(テーブル!$B$3="交付申請兼実績報告（２次）",EG$26=0),0,
IF(AND(テーブル!$B$3="交付申請兼実績報告（２次）",EG$26&gt;=1),EG51,
IF(AND(テーブル!$B$3="実績報告（２次）",EG$26=0),0,
IF(AND(テーブル!$B$3="実績報告（２次）",EG$26&gt;=1),EG51)))))))))),0)</f>
        <v>0</v>
      </c>
      <c r="EH31" s="1997">
        <f>IFERROR(
IF(テーブル!$B$3="交付申請",EH51,
IF(AND(テーブル!$B$3="変更申請",EH$26=0),0,
IF(AND(テーブル!$B$3="変更申請",EH$26&gt;=1),EH51,
IF(テーブル!$B$3="実績報告（１次）",EH51,
IF(AND(テーブル!$B$3="交付申請（２次）",EH$26=0),0,
IF(AND(テーブル!$B$3="交付申請（２次）",EH$26&gt;=1),EH51,
IF(AND(テーブル!$B$3="交付申請兼実績報告（２次）",EH$26=0),0,
IF(AND(テーブル!$B$3="交付申請兼実績報告（２次）",EH$26&gt;=1),EH51,
IF(AND(テーブル!$B$3="実績報告（２次）",EH$26=0),0,
IF(AND(テーブル!$B$3="実績報告（２次）",EH$26&gt;=1),EH51)))))))))),0)</f>
        <v>0</v>
      </c>
      <c r="EI31" s="1997">
        <f>IFERROR(
IF(テーブル!$B$3="交付申請",EI51,
IF(AND(テーブル!$B$3="変更申請",EI$26=0),0,
IF(AND(テーブル!$B$3="変更申請",EI$26&gt;=1),EI51,
IF(テーブル!$B$3="実績報告（１次）",EI51,
IF(AND(テーブル!$B$3="交付申請（２次）",EI$26=0),0,
IF(AND(テーブル!$B$3="交付申請（２次）",EI$26&gt;=1),EI51,
IF(AND(テーブル!$B$3="交付申請兼実績報告（２次）",EI$26=0),0,
IF(AND(テーブル!$B$3="交付申請兼実績報告（２次）",EI$26&gt;=1),EI51,
IF(AND(テーブル!$B$3="実績報告（２次）",EI$26=0),0,
IF(AND(テーブル!$B$3="実績報告（２次）",EI$26&gt;=1),EI51)))))))))),0)</f>
        <v>0</v>
      </c>
      <c r="EJ31" s="1997">
        <f>IFERROR(
IF(テーブル!$B$3="交付申請",EJ51,
IF(AND(テーブル!$B$3="変更申請",EJ$26=0),0,
IF(AND(テーブル!$B$3="変更申請",EJ$26&gt;=1),EJ51,
IF(テーブル!$B$3="実績報告（１次）",EJ51,
IF(AND(テーブル!$B$3="交付申請（２次）",EJ$26=0),0,
IF(AND(テーブル!$B$3="交付申請（２次）",EJ$26&gt;=1),EJ51,
IF(AND(テーブル!$B$3="交付申請兼実績報告（２次）",EJ$26=0),0,
IF(AND(テーブル!$B$3="交付申請兼実績報告（２次）",EJ$26&gt;=1),EJ51,
IF(AND(テーブル!$B$3="実績報告（２次）",EJ$26=0),0,
IF(AND(テーブル!$B$3="実績報告（２次）",EJ$26&gt;=1),EJ51)))))))))),0)</f>
        <v>0</v>
      </c>
      <c r="EK31" s="1997">
        <f>IFERROR(
IF(テーブル!$B$3="交付申請",EK51,
IF(AND(テーブル!$B$3="変更申請",EK$26=0),0,
IF(AND(テーブル!$B$3="変更申請",EK$26&gt;=1),EK51,
IF(テーブル!$B$3="実績報告（１次）",EK51,
IF(AND(テーブル!$B$3="交付申請（２次）",EK$26=0),0,
IF(AND(テーブル!$B$3="交付申請（２次）",EK$26&gt;=1),EK51,
IF(AND(テーブル!$B$3="交付申請兼実績報告（２次）",EK$26=0),0,
IF(AND(テーブル!$B$3="交付申請兼実績報告（２次）",EK$26&gt;=1),EK51,
IF(AND(テーブル!$B$3="実績報告（２次）",EK$26=0),0,
IF(AND(テーブル!$B$3="実績報告（２次）",EK$26&gt;=1),EK51)))))))))),0)</f>
        <v>0</v>
      </c>
      <c r="EL31" s="1997">
        <f>IFERROR(
IF(テーブル!$B$3="交付申請",EL51,
IF(AND(テーブル!$B$3="変更申請",EL$26=0),0,
IF(AND(テーブル!$B$3="変更申請",EL$26&gt;=1),EL51,
IF(テーブル!$B$3="実績報告（１次）",EL51,
IF(AND(テーブル!$B$3="交付申請（２次）",EL$26=0),0,
IF(AND(テーブル!$B$3="交付申請（２次）",EL$26&gt;=1),EL51,
IF(AND(テーブル!$B$3="交付申請兼実績報告（２次）",EL$26=0),0,
IF(AND(テーブル!$B$3="交付申請兼実績報告（２次）",EL$26&gt;=1),EL51,
IF(AND(テーブル!$B$3="実績報告（２次）",EL$26=0),0,
IF(AND(テーブル!$B$3="実績報告（２次）",EL$26&gt;=1),EL51)))))))))),0)</f>
        <v>0</v>
      </c>
      <c r="EM31" s="1997">
        <f>IFERROR(
IF(テーブル!$B$3="交付申請",EM51,
IF(AND(テーブル!$B$3="変更申請",EM$26=0),0,
IF(AND(テーブル!$B$3="変更申請",EM$26&gt;=1),EM51,
IF(テーブル!$B$3="実績報告（１次）",EM51,
IF(AND(テーブル!$B$3="交付申請（２次）",EM$26=0),0,
IF(AND(テーブル!$B$3="交付申請（２次）",EM$26&gt;=1),EM51,
IF(AND(テーブル!$B$3="交付申請兼実績報告（２次）",EM$26=0),0,
IF(AND(テーブル!$B$3="交付申請兼実績報告（２次）",EM$26&gt;=1),EM51,
IF(AND(テーブル!$B$3="実績報告（２次）",EM$26=0),0,
IF(AND(テーブル!$B$3="実績報告（２次）",EM$26&gt;=1),EM51)))))))))),0)</f>
        <v>0</v>
      </c>
      <c r="EN31" s="1997">
        <f>IFERROR(
IF(テーブル!$B$3="交付申請",EN51,
IF(AND(テーブル!$B$3="変更申請",EN$26=0),0,
IF(AND(テーブル!$B$3="変更申請",EN$26&gt;=1),EN51,
IF(テーブル!$B$3="実績報告（１次）",EN51,
IF(AND(テーブル!$B$3="交付申請（２次）",EN$26=0),0,
IF(AND(テーブル!$B$3="交付申請（２次）",EN$26&gt;=1),EN51,
IF(AND(テーブル!$B$3="交付申請兼実績報告（２次）",EN$26=0),0,
IF(AND(テーブル!$B$3="交付申請兼実績報告（２次）",EN$26&gt;=1),EN51,
IF(AND(テーブル!$B$3="実績報告（２次）",EN$26=0),0,
IF(AND(テーブル!$B$3="実績報告（２次）",EN$26&gt;=1),EN51)))))))))),0)</f>
        <v>0</v>
      </c>
      <c r="EO31" s="1997">
        <f>IFERROR(
IF(テーブル!$B$3="交付申請",EO51,
IF(AND(テーブル!$B$3="変更申請",EO$26=0),0,
IF(AND(テーブル!$B$3="変更申請",EO$26&gt;=1),EO51,
IF(テーブル!$B$3="実績報告（１次）",EO51,
IF(AND(テーブル!$B$3="交付申請（２次）",EO$26=0),0,
IF(AND(テーブル!$B$3="交付申請（２次）",EO$26&gt;=1),EO51,
IF(AND(テーブル!$B$3="交付申請兼実績報告（２次）",EO$26=0),0,
IF(AND(テーブル!$B$3="交付申請兼実績報告（２次）",EO$26&gt;=1),EO51,
IF(AND(テーブル!$B$3="実績報告（２次）",EO$26=0),0,
IF(AND(テーブル!$B$3="実績報告（２次）",EO$26&gt;=1),EO51)))))))))),0)</f>
        <v>0</v>
      </c>
      <c r="EP31" s="1997">
        <f>IFERROR(
IF(テーブル!$B$3="交付申請",EP51,
IF(AND(テーブル!$B$3="変更申請",EP$26=0),0,
IF(AND(テーブル!$B$3="変更申請",EP$26&gt;=1),EP51,
IF(テーブル!$B$3="実績報告（１次）",EP51,
IF(AND(テーブル!$B$3="交付申請（２次）",EP$26=0),0,
IF(AND(テーブル!$B$3="交付申請（２次）",EP$26&gt;=1),EP51,
IF(AND(テーブル!$B$3="交付申請兼実績報告（２次）",EP$26=0),0,
IF(AND(テーブル!$B$3="交付申請兼実績報告（２次）",EP$26&gt;=1),EP51,
IF(AND(テーブル!$B$3="実績報告（２次）",EP$26=0),0,
IF(AND(テーブル!$B$3="実績報告（２次）",EP$26&gt;=1),EP51)))))))))),0)</f>
        <v>0</v>
      </c>
      <c r="EQ31" s="1997">
        <f>IFERROR(
IF(テーブル!$B$3="交付申請",EQ51,
IF(AND(テーブル!$B$3="変更申請",EQ$26=0),0,
IF(AND(テーブル!$B$3="変更申請",EQ$26&gt;=1),EQ51,
IF(テーブル!$B$3="実績報告（１次）",EQ51,
IF(AND(テーブル!$B$3="交付申請（２次）",EQ$26=0),0,
IF(AND(テーブル!$B$3="交付申請（２次）",EQ$26&gt;=1),EQ51,
IF(AND(テーブル!$B$3="交付申請兼実績報告（２次）",EQ$26=0),0,
IF(AND(テーブル!$B$3="交付申請兼実績報告（２次）",EQ$26&gt;=1),EQ51,
IF(AND(テーブル!$B$3="実績報告（２次）",EQ$26=0),0,
IF(AND(テーブル!$B$3="実績報告（２次）",EQ$26&gt;=1),EQ51)))))))))),0)</f>
        <v>0</v>
      </c>
      <c r="ER31" s="1997">
        <f>IFERROR(
IF(テーブル!$B$3="交付申請",ER51,
IF(AND(テーブル!$B$3="変更申請",ER$26=0),0,
IF(AND(テーブル!$B$3="変更申請",ER$26&gt;=1),ER51,
IF(テーブル!$B$3="実績報告（１次）",ER51,
IF(AND(テーブル!$B$3="交付申請（２次）",ER$26=0),0,
IF(AND(テーブル!$B$3="交付申請（２次）",ER$26&gt;=1),ER51,
IF(AND(テーブル!$B$3="交付申請兼実績報告（２次）",ER$26=0),0,
IF(AND(テーブル!$B$3="交付申請兼実績報告（２次）",ER$26&gt;=1),ER51,
IF(AND(テーブル!$B$3="実績報告（２次）",ER$26=0),0,
IF(AND(テーブル!$B$3="実績報告（２次）",ER$26&gt;=1),ER51)))))))))),0)</f>
        <v>0</v>
      </c>
      <c r="ES31" s="1997">
        <f>IFERROR(
IF(テーブル!$B$3="交付申請",ES51,
IF(AND(テーブル!$B$3="変更申請",ES$26=0),0,
IF(AND(テーブル!$B$3="変更申請",ES$26&gt;=1),ES51,
IF(テーブル!$B$3="実績報告（１次）",ES51,
IF(AND(テーブル!$B$3="交付申請（２次）",ES$26=0),0,
IF(AND(テーブル!$B$3="交付申請（２次）",ES$26&gt;=1),ES51,
IF(AND(テーブル!$B$3="交付申請兼実績報告（２次）",ES$26=0),0,
IF(AND(テーブル!$B$3="交付申請兼実績報告（２次）",ES$26&gt;=1),ES51,
IF(AND(テーブル!$B$3="実績報告（２次）",ES$26=0),0,
IF(AND(テーブル!$B$3="実績報告（２次）",ES$26&gt;=1),ES51)))))))))),0)</f>
        <v>0</v>
      </c>
      <c r="ET31" s="1997">
        <f>IFERROR(
IF(テーブル!$B$3="交付申請",ET51,
IF(AND(テーブル!$B$3="変更申請",ET$26=0),0,
IF(AND(テーブル!$B$3="変更申請",ET$26&gt;=1),ET51,
IF(テーブル!$B$3="実績報告（１次）",ET51,
IF(AND(テーブル!$B$3="交付申請（２次）",ET$26=0),0,
IF(AND(テーブル!$B$3="交付申請（２次）",ET$26&gt;=1),ET51,
IF(AND(テーブル!$B$3="交付申請兼実績報告（２次）",ET$26=0),0,
IF(AND(テーブル!$B$3="交付申請兼実績報告（２次）",ET$26&gt;=1),ET51,
IF(AND(テーブル!$B$3="実績報告（２次）",ET$26=0),0,
IF(AND(テーブル!$B$3="実績報告（２次）",ET$26&gt;=1),ET51)))))))))),0)</f>
        <v>0</v>
      </c>
      <c r="EU31" s="1997">
        <f>IFERROR(
IF(テーブル!$B$3="交付申請",EU51,
IF(AND(テーブル!$B$3="変更申請",EU$26=0),0,
IF(AND(テーブル!$B$3="変更申請",EU$26&gt;=1),EU51,
IF(テーブル!$B$3="実績報告（１次）",EU51,
IF(AND(テーブル!$B$3="交付申請（２次）",EU$26=0),0,
IF(AND(テーブル!$B$3="交付申請（２次）",EU$26&gt;=1),EU51,
IF(AND(テーブル!$B$3="交付申請兼実績報告（２次）",EU$26=0),0,
IF(AND(テーブル!$B$3="交付申請兼実績報告（２次）",EU$26&gt;=1),EU51,
IF(AND(テーブル!$B$3="実績報告（２次）",EU$26=0),0,
IF(AND(テーブル!$B$3="実績報告（２次）",EU$26&gt;=1),EU51)))))))))),0)</f>
        <v>0</v>
      </c>
      <c r="EV31" s="1997">
        <f>IFERROR(
IF(テーブル!$B$3="交付申請",EV51,
IF(AND(テーブル!$B$3="変更申請",EV$26=0),0,
IF(AND(テーブル!$B$3="変更申請",EV$26&gt;=1),EV51,
IF(テーブル!$B$3="実績報告（１次）",EV51,
IF(AND(テーブル!$B$3="交付申請（２次）",EV$26=0),0,
IF(AND(テーブル!$B$3="交付申請（２次）",EV$26&gt;=1),EV51,
IF(AND(テーブル!$B$3="交付申請兼実績報告（２次）",EV$26=0),0,
IF(AND(テーブル!$B$3="交付申請兼実績報告（２次）",EV$26&gt;=1),EV51,
IF(AND(テーブル!$B$3="実績報告（２次）",EV$26=0),0,
IF(AND(テーブル!$B$3="実績報告（２次）",EV$26&gt;=1),EV51)))))))))),0)</f>
        <v>0</v>
      </c>
      <c r="EW31" s="1997">
        <f>IFERROR(
IF(テーブル!$B$3="交付申請",EW51,
IF(AND(テーブル!$B$3="変更申請",EW$26=0),0,
IF(AND(テーブル!$B$3="変更申請",EW$26&gt;=1),EW51,
IF(テーブル!$B$3="実績報告（１次）",EW51,
IF(AND(テーブル!$B$3="交付申請（２次）",EW$26=0),0,
IF(AND(テーブル!$B$3="交付申請（２次）",EW$26&gt;=1),EW51,
IF(AND(テーブル!$B$3="交付申請兼実績報告（２次）",EW$26=0),0,
IF(AND(テーブル!$B$3="交付申請兼実績報告（２次）",EW$26&gt;=1),EW51,
IF(AND(テーブル!$B$3="実績報告（２次）",EW$26=0),0,
IF(AND(テーブル!$B$3="実績報告（２次）",EW$26&gt;=1),EW51)))))))))),0)</f>
        <v>0</v>
      </c>
      <c r="EX31" s="1997">
        <f>IFERROR(
IF(テーブル!$B$3="交付申請",EX51,
IF(AND(テーブル!$B$3="変更申請",EX$26=0),0,
IF(AND(テーブル!$B$3="変更申請",EX$26&gt;=1),EX51,
IF(テーブル!$B$3="実績報告（１次）",EX51,
IF(AND(テーブル!$B$3="交付申請（２次）",EX$26=0),0,
IF(AND(テーブル!$B$3="交付申請（２次）",EX$26&gt;=1),EX51,
IF(AND(テーブル!$B$3="交付申請兼実績報告（２次）",EX$26=0),0,
IF(AND(テーブル!$B$3="交付申請兼実績報告（２次）",EX$26&gt;=1),EX51,
IF(AND(テーブル!$B$3="実績報告（２次）",EX$26=0),0,
IF(AND(テーブル!$B$3="実績報告（２次）",EX$26&gt;=1),EX51)))))))))),0)</f>
        <v>0</v>
      </c>
      <c r="EY31" s="1997">
        <f>IFERROR(
IF(テーブル!$B$3="交付申請",EY51,
IF(AND(テーブル!$B$3="変更申請",EY$26=0),0,
IF(AND(テーブル!$B$3="変更申請",EY$26&gt;=1),EY51,
IF(テーブル!$B$3="実績報告（１次）",EY51,
IF(AND(テーブル!$B$3="交付申請（２次）",EY$26=0),0,
IF(AND(テーブル!$B$3="交付申請（２次）",EY$26&gt;=1),EY51,
IF(AND(テーブル!$B$3="交付申請兼実績報告（２次）",EY$26=0),0,
IF(AND(テーブル!$B$3="交付申請兼実績報告（２次）",EY$26&gt;=1),EY51,
IF(AND(テーブル!$B$3="実績報告（２次）",EY$26=0),0,
IF(AND(テーブル!$B$3="実績報告（２次）",EY$26&gt;=1),EY51)))))))))),0)</f>
        <v>0</v>
      </c>
      <c r="EZ31" s="1997">
        <f>IFERROR(
IF(テーブル!$B$3="交付申請",EZ51,
IF(AND(テーブル!$B$3="変更申請",EZ$26=0),0,
IF(AND(テーブル!$B$3="変更申請",EZ$26&gt;=1),EZ51,
IF(テーブル!$B$3="実績報告（１次）",EZ51,
IF(AND(テーブル!$B$3="交付申請（２次）",EZ$26=0),0,
IF(AND(テーブル!$B$3="交付申請（２次）",EZ$26&gt;=1),EZ51,
IF(AND(テーブル!$B$3="交付申請兼実績報告（２次）",EZ$26=0),0,
IF(AND(テーブル!$B$3="交付申請兼実績報告（２次）",EZ$26&gt;=1),EZ51,
IF(AND(テーブル!$B$3="実績報告（２次）",EZ$26=0),0,
IF(AND(テーブル!$B$3="実績報告（２次）",EZ$26&gt;=1),EZ51)))))))))),0)</f>
        <v>0</v>
      </c>
      <c r="FA31" s="1997">
        <f>IFERROR(
IF(テーブル!$B$3="交付申請",FA51,
IF(AND(テーブル!$B$3="変更申請",FA$26=0),0,
IF(AND(テーブル!$B$3="変更申請",FA$26&gt;=1),FA51,
IF(テーブル!$B$3="実績報告（１次）",FA51,
IF(AND(テーブル!$B$3="交付申請（２次）",FA$26=0),0,
IF(AND(テーブル!$B$3="交付申請（２次）",FA$26&gt;=1),FA51,
IF(AND(テーブル!$B$3="交付申請兼実績報告（２次）",FA$26=0),0,
IF(AND(テーブル!$B$3="交付申請兼実績報告（２次）",FA$26&gt;=1),FA51,
IF(AND(テーブル!$B$3="実績報告（２次）",FA$26=0),0,
IF(AND(テーブル!$B$3="実績報告（２次）",FA$26&gt;=1),FA51)))))))))),0)</f>
        <v>0</v>
      </c>
      <c r="FB31" s="1997">
        <f>IFERROR(
IF(テーブル!$B$3="交付申請",FB51,
IF(AND(テーブル!$B$3="変更申請",FB$26=0),0,
IF(AND(テーブル!$B$3="変更申請",FB$26&gt;=1),FB51,
IF(テーブル!$B$3="実績報告（１次）",FB51,
IF(AND(テーブル!$B$3="交付申請（２次）",FB$26=0),0,
IF(AND(テーブル!$B$3="交付申請（２次）",FB$26&gt;=1),FB51,
IF(AND(テーブル!$B$3="交付申請兼実績報告（２次）",FB$26=0),0,
IF(AND(テーブル!$B$3="交付申請兼実績報告（２次）",FB$26&gt;=1),FB51,
IF(AND(テーブル!$B$3="実績報告（２次）",FB$26=0),0,
IF(AND(テーブル!$B$3="実績報告（２次）",FB$26&gt;=1),FB51)))))))))),0)</f>
        <v>0</v>
      </c>
      <c r="FC31" s="1997">
        <f>IFERROR(
IF(テーブル!$B$3="交付申請",FC51,
IF(AND(テーブル!$B$3="変更申請",FC$26=0),0,
IF(AND(テーブル!$B$3="変更申請",FC$26&gt;=1),FC51,
IF(テーブル!$B$3="実績報告（１次）",FC51,
IF(AND(テーブル!$B$3="交付申請（２次）",FC$26=0),0,
IF(AND(テーブル!$B$3="交付申請（２次）",FC$26&gt;=1),FC51,
IF(AND(テーブル!$B$3="交付申請兼実績報告（２次）",FC$26=0),0,
IF(AND(テーブル!$B$3="交付申請兼実績報告（２次）",FC$26&gt;=1),FC51,
IF(AND(テーブル!$B$3="実績報告（２次）",FC$26=0),0,
IF(AND(テーブル!$B$3="実績報告（２次）",FC$26&gt;=1),FC51)))))))))),0)</f>
        <v>0</v>
      </c>
      <c r="FD31" s="1997">
        <f>IFERROR(
IF(テーブル!$B$3="交付申請",FD51,
IF(AND(テーブル!$B$3="変更申請",FD$26=0),0,
IF(AND(テーブル!$B$3="変更申請",FD$26&gt;=1),FD51,
IF(テーブル!$B$3="実績報告（１次）",FD51,
IF(AND(テーブル!$B$3="交付申請（２次）",FD$26=0),0,
IF(AND(テーブル!$B$3="交付申請（２次）",FD$26&gt;=1),FD51,
IF(AND(テーブル!$B$3="交付申請兼実績報告（２次）",FD$26=0),0,
IF(AND(テーブル!$B$3="交付申請兼実績報告（２次）",FD$26&gt;=1),FD51,
IF(AND(テーブル!$B$3="実績報告（２次）",FD$26=0),0,
IF(AND(テーブル!$B$3="実績報告（２次）",FD$26&gt;=1),FD51)))))))))),0)</f>
        <v>0</v>
      </c>
      <c r="FE31" s="1997">
        <f>IFERROR(
IF(テーブル!$B$3="交付申請",FE51,
IF(AND(テーブル!$B$3="変更申請",FE$26=0),0,
IF(AND(テーブル!$B$3="変更申請",FE$26&gt;=1),FE51,
IF(テーブル!$B$3="実績報告（１次）",FE51,
IF(AND(テーブル!$B$3="交付申請（２次）",FE$26=0),0,
IF(AND(テーブル!$B$3="交付申請（２次）",FE$26&gt;=1),FE51,
IF(AND(テーブル!$B$3="交付申請兼実績報告（２次）",FE$26=0),0,
IF(AND(テーブル!$B$3="交付申請兼実績報告（２次）",FE$26&gt;=1),FE51,
IF(AND(テーブル!$B$3="実績報告（２次）",FE$26=0),0,
IF(AND(テーブル!$B$3="実績報告（２次）",FE$26&gt;=1),FE51)))))))))),0)</f>
        <v>0</v>
      </c>
      <c r="FF31" s="1997">
        <f>IFERROR(
IF(テーブル!$B$3="交付申請",FF51,
IF(AND(テーブル!$B$3="変更申請",FF$26=0),0,
IF(AND(テーブル!$B$3="変更申請",FF$26&gt;=1),FF51,
IF(テーブル!$B$3="実績報告（１次）",FF51,
IF(AND(テーブル!$B$3="交付申請（２次）",FF$26=0),0,
IF(AND(テーブル!$B$3="交付申請（２次）",FF$26&gt;=1),FF51,
IF(AND(テーブル!$B$3="交付申請兼実績報告（２次）",FF$26=0),0,
IF(AND(テーブル!$B$3="交付申請兼実績報告（２次）",FF$26&gt;=1),FF51,
IF(AND(テーブル!$B$3="実績報告（２次）",FF$26=0),0,
IF(AND(テーブル!$B$3="実績報告（２次）",FF$26&gt;=1),FF51)))))))))),0)</f>
        <v>0</v>
      </c>
      <c r="FG31" s="1997">
        <f>IFERROR(
IF(テーブル!$B$3="交付申請",FG51,
IF(AND(テーブル!$B$3="変更申請",FG$26=0),0,
IF(AND(テーブル!$B$3="変更申請",FG$26&gt;=1),FG51,
IF(テーブル!$B$3="実績報告（１次）",FG51,
IF(AND(テーブル!$B$3="交付申請（２次）",FG$26=0),0,
IF(AND(テーブル!$B$3="交付申請（２次）",FG$26&gt;=1),FG51,
IF(AND(テーブル!$B$3="交付申請兼実績報告（２次）",FG$26=0),0,
IF(AND(テーブル!$B$3="交付申請兼実績報告（２次）",FG$26&gt;=1),FG51,
IF(AND(テーブル!$B$3="実績報告（２次）",FG$26=0),0,
IF(AND(テーブル!$B$3="実績報告（２次）",FG$26&gt;=1),FG51)))))))))),0)</f>
        <v>0</v>
      </c>
      <c r="FH31" s="1997">
        <f>IFERROR(
IF(テーブル!$B$3="交付申請",FH51,
IF(AND(テーブル!$B$3="変更申請",FH$26=0),0,
IF(AND(テーブル!$B$3="変更申請",FH$26&gt;=1),FH51,
IF(テーブル!$B$3="実績報告（１次）",FH51,
IF(AND(テーブル!$B$3="交付申請（２次）",FH$26=0),0,
IF(AND(テーブル!$B$3="交付申請（２次）",FH$26&gt;=1),FH51,
IF(AND(テーブル!$B$3="交付申請兼実績報告（２次）",FH$26=0),0,
IF(AND(テーブル!$B$3="交付申請兼実績報告（２次）",FH$26&gt;=1),FH51,
IF(AND(テーブル!$B$3="実績報告（２次）",FH$26=0),0,
IF(AND(テーブル!$B$3="実績報告（２次）",FH$26&gt;=1),FH51)))))))))),0)</f>
        <v>0</v>
      </c>
      <c r="FI31" s="1997">
        <f>IFERROR(
IF(テーブル!$B$3="交付申請",FI51,
IF(AND(テーブル!$B$3="変更申請",FI$26=0),0,
IF(AND(テーブル!$B$3="変更申請",FI$26&gt;=1),FI51,
IF(テーブル!$B$3="実績報告（１次）",FI51,
IF(AND(テーブル!$B$3="交付申請（２次）",FI$26=0),0,
IF(AND(テーブル!$B$3="交付申請（２次）",FI$26&gt;=1),FI51,
IF(AND(テーブル!$B$3="交付申請兼実績報告（２次）",FI$26=0),0,
IF(AND(テーブル!$B$3="交付申請兼実績報告（２次）",FI$26&gt;=1),FI51,
IF(AND(テーブル!$B$3="実績報告（２次）",FI$26=0),0,
IF(AND(テーブル!$B$3="実績報告（２次）",FI$26&gt;=1),FI51)))))))))),0)</f>
        <v>0</v>
      </c>
      <c r="FJ31" s="1997">
        <f>IFERROR(
IF(テーブル!$B$3="交付申請",FJ51,
IF(AND(テーブル!$B$3="変更申請",FJ$26=0),0,
IF(AND(テーブル!$B$3="変更申請",FJ$26&gt;=1),FJ51,
IF(テーブル!$B$3="実績報告（１次）",FJ51,
IF(AND(テーブル!$B$3="交付申請（２次）",FJ$26=0),0,
IF(AND(テーブル!$B$3="交付申請（２次）",FJ$26&gt;=1),FJ51,
IF(AND(テーブル!$B$3="交付申請兼実績報告（２次）",FJ$26=0),0,
IF(AND(テーブル!$B$3="交付申請兼実績報告（２次）",FJ$26&gt;=1),FJ51,
IF(AND(テーブル!$B$3="実績報告（２次）",FJ$26=0),0,
IF(AND(テーブル!$B$3="実績報告（２次）",FJ$26&gt;=1),FJ51)))))))))),0)</f>
        <v>0</v>
      </c>
      <c r="FK31" s="1997">
        <f>IFERROR(
IF(テーブル!$B$3="交付申請",FK51,
IF(AND(テーブル!$B$3="変更申請",FK$26=0),0,
IF(AND(テーブル!$B$3="変更申請",FK$26&gt;=1),FK51,
IF(テーブル!$B$3="実績報告（１次）",FK51,
IF(AND(テーブル!$B$3="交付申請（２次）",FK$26=0),0,
IF(AND(テーブル!$B$3="交付申請（２次）",FK$26&gt;=1),FK51,
IF(AND(テーブル!$B$3="交付申請兼実績報告（２次）",FK$26=0),0,
IF(AND(テーブル!$B$3="交付申請兼実績報告（２次）",FK$26&gt;=1),FK51,
IF(AND(テーブル!$B$3="実績報告（２次）",FK$26=0),0,
IF(AND(テーブル!$B$3="実績報告（２次）",FK$26&gt;=1),FK51)))))))))),0)</f>
        <v>0</v>
      </c>
      <c r="FL31" s="1997">
        <f>IFERROR(
IF(テーブル!$B$3="交付申請",FL51,
IF(AND(テーブル!$B$3="変更申請",FL$26=0),0,
IF(AND(テーブル!$B$3="変更申請",FL$26&gt;=1),FL51,
IF(テーブル!$B$3="実績報告（１次）",FL51,
IF(AND(テーブル!$B$3="交付申請（２次）",FL$26=0),0,
IF(AND(テーブル!$B$3="交付申請（２次）",FL$26&gt;=1),FL51,
IF(AND(テーブル!$B$3="交付申請兼実績報告（２次）",FL$26=0),0,
IF(AND(テーブル!$B$3="交付申請兼実績報告（２次）",FL$26&gt;=1),FL51,
IF(AND(テーブル!$B$3="実績報告（２次）",FL$26=0),0,
IF(AND(テーブル!$B$3="実績報告（２次）",FL$26&gt;=1),FL51)))))))))),0)</f>
        <v>0</v>
      </c>
      <c r="FM31" s="1997">
        <f>IFERROR(
IF(テーブル!$B$3="交付申請",FM51,
IF(AND(テーブル!$B$3="変更申請",FM$26=0),0,
IF(AND(テーブル!$B$3="変更申請",FM$26&gt;=1),FM51,
IF(テーブル!$B$3="実績報告（１次）",FM51,
IF(AND(テーブル!$B$3="交付申請（２次）",FM$26=0),0,
IF(AND(テーブル!$B$3="交付申請（２次）",FM$26&gt;=1),FM51,
IF(AND(テーブル!$B$3="交付申請兼実績報告（２次）",FM$26=0),0,
IF(AND(テーブル!$B$3="交付申請兼実績報告（２次）",FM$26&gt;=1),FM51,
IF(AND(テーブル!$B$3="実績報告（２次）",FM$26=0),0,
IF(AND(テーブル!$B$3="実績報告（２次）",FM$26&gt;=1),FM51)))))))))),0)</f>
        <v>0</v>
      </c>
      <c r="FN31" s="1997">
        <f>IFERROR(
IF(テーブル!$B$3="交付申請",FN51,
IF(AND(テーブル!$B$3="変更申請",FN$26=0),0,
IF(AND(テーブル!$B$3="変更申請",FN$26&gt;=1),FN51,
IF(テーブル!$B$3="実績報告（１次）",FN51,
IF(AND(テーブル!$B$3="交付申請（２次）",FN$26=0),0,
IF(AND(テーブル!$B$3="交付申請（２次）",FN$26&gt;=1),FN51,
IF(AND(テーブル!$B$3="交付申請兼実績報告（２次）",FN$26=0),0,
IF(AND(テーブル!$B$3="交付申請兼実績報告（２次）",FN$26&gt;=1),FN51,
IF(AND(テーブル!$B$3="実績報告（２次）",FN$26=0),0,
IF(AND(テーブル!$B$3="実績報告（２次）",FN$26&gt;=1),FN51)))))))))),0)</f>
        <v>0</v>
      </c>
      <c r="FO31" s="1997">
        <f>IFERROR(
IF(テーブル!$B$3="交付申請",FO51,
IF(AND(テーブル!$B$3="変更申請",FO$26=0),0,
IF(AND(テーブル!$B$3="変更申請",FO$26&gt;=1),FO51,
IF(テーブル!$B$3="実績報告（１次）",FO51,
IF(AND(テーブル!$B$3="交付申請（２次）",FO$26=0),0,
IF(AND(テーブル!$B$3="交付申請（２次）",FO$26&gt;=1),FO51,
IF(AND(テーブル!$B$3="交付申請兼実績報告（２次）",FO$26=0),0,
IF(AND(テーブル!$B$3="交付申請兼実績報告（２次）",FO$26&gt;=1),FO51,
IF(AND(テーブル!$B$3="実績報告（２次）",FO$26=0),0,
IF(AND(テーブル!$B$3="実績報告（２次）",FO$26&gt;=1),FO51)))))))))),0)</f>
        <v>0</v>
      </c>
      <c r="FP31" s="1997">
        <f>IFERROR(
IF(テーブル!$B$3="交付申請",FP51,
IF(AND(テーブル!$B$3="変更申請",FP$26=0),0,
IF(AND(テーブル!$B$3="変更申請",FP$26&gt;=1),FP51,
IF(テーブル!$B$3="実績報告（１次）",FP51,
IF(AND(テーブル!$B$3="交付申請（２次）",FP$26=0),0,
IF(AND(テーブル!$B$3="交付申請（２次）",FP$26&gt;=1),FP51,
IF(AND(テーブル!$B$3="交付申請兼実績報告（２次）",FP$26=0),0,
IF(AND(テーブル!$B$3="交付申請兼実績報告（２次）",FP$26&gt;=1),FP51,
IF(AND(テーブル!$B$3="実績報告（２次）",FP$26=0),0,
IF(AND(テーブル!$B$3="実績報告（２次）",FP$26&gt;=1),FP51)))))))))),0)</f>
        <v>0</v>
      </c>
      <c r="FQ31" s="1997">
        <f>IFERROR(
IF(テーブル!$B$3="交付申請",FQ51,
IF(AND(テーブル!$B$3="変更申請",FQ$26=0),0,
IF(AND(テーブル!$B$3="変更申請",FQ$26&gt;=1),FQ51,
IF(テーブル!$B$3="実績報告（１次）",FQ51,
IF(AND(テーブル!$B$3="交付申請（２次）",FQ$26=0),0,
IF(AND(テーブル!$B$3="交付申請（２次）",FQ$26&gt;=1),FQ51,
IF(AND(テーブル!$B$3="交付申請兼実績報告（２次）",FQ$26=0),0,
IF(AND(テーブル!$B$3="交付申請兼実績報告（２次）",FQ$26&gt;=1),FQ51,
IF(AND(テーブル!$B$3="実績報告（２次）",FQ$26=0),0,
IF(AND(テーブル!$B$3="実績報告（２次）",FQ$26&gt;=1),FQ51)))))))))),0)</f>
        <v>0</v>
      </c>
      <c r="FR31" s="1997">
        <f>IFERROR(
IF(テーブル!$B$3="交付申請",FR51,
IF(AND(テーブル!$B$3="変更申請",FR$26=0),0,
IF(AND(テーブル!$B$3="変更申請",FR$26&gt;=1),FR51,
IF(テーブル!$B$3="実績報告（１次）",FR51,
IF(AND(テーブル!$B$3="交付申請（２次）",FR$26=0),0,
IF(AND(テーブル!$B$3="交付申請（２次）",FR$26&gt;=1),FR51,
IF(AND(テーブル!$B$3="交付申請兼実績報告（２次）",FR$26=0),0,
IF(AND(テーブル!$B$3="交付申請兼実績報告（２次）",FR$26&gt;=1),FR51,
IF(AND(テーブル!$B$3="実績報告（２次）",FR$26=0),0,
IF(AND(テーブル!$B$3="実績報告（２次）",FR$26&gt;=1),FR51)))))))))),0)</f>
        <v>0</v>
      </c>
      <c r="FS31" s="1997">
        <f>IFERROR(
IF(テーブル!$B$3="交付申請",FS51,
IF(AND(テーブル!$B$3="変更申請",FS$26=0),0,
IF(AND(テーブル!$B$3="変更申請",FS$26&gt;=1),FS51,
IF(テーブル!$B$3="実績報告（１次）",FS51,
IF(AND(テーブル!$B$3="交付申請（２次）",FS$26=0),0,
IF(AND(テーブル!$B$3="交付申請（２次）",FS$26&gt;=1),FS51,
IF(AND(テーブル!$B$3="交付申請兼実績報告（２次）",FS$26=0),0,
IF(AND(テーブル!$B$3="交付申請兼実績報告（２次）",FS$26&gt;=1),FS51,
IF(AND(テーブル!$B$3="実績報告（２次）",FS$26=0),0,
IF(AND(テーブル!$B$3="実績報告（２次）",FS$26&gt;=1),FS51)))))))))),0)</f>
        <v>0</v>
      </c>
      <c r="FT31" s="1997">
        <f>IFERROR(
IF(テーブル!$B$3="交付申請",FT51,
IF(AND(テーブル!$B$3="変更申請",FT$26=0),0,
IF(AND(テーブル!$B$3="変更申請",FT$26&gt;=1),FT51,
IF(テーブル!$B$3="実績報告（１次）",FT51,
IF(AND(テーブル!$B$3="交付申請（２次）",FT$26=0),0,
IF(AND(テーブル!$B$3="交付申請（２次）",FT$26&gt;=1),FT51,
IF(AND(テーブル!$B$3="交付申請兼実績報告（２次）",FT$26=0),0,
IF(AND(テーブル!$B$3="交付申請兼実績報告（２次）",FT$26&gt;=1),FT51,
IF(AND(テーブル!$B$3="実績報告（２次）",FT$26=0),0,
IF(AND(テーブル!$B$3="実績報告（２次）",FT$26&gt;=1),FT51)))))))))),0)</f>
        <v>0</v>
      </c>
      <c r="FU31" s="1997">
        <f>IFERROR(
IF(テーブル!$B$3="交付申請",FU51,
IF(AND(テーブル!$B$3="変更申請",FU$26=0),0,
IF(AND(テーブル!$B$3="変更申請",FU$26&gt;=1),FU51,
IF(テーブル!$B$3="実績報告（１次）",FU51,
IF(AND(テーブル!$B$3="交付申請（２次）",FU$26=0),0,
IF(AND(テーブル!$B$3="交付申請（２次）",FU$26&gt;=1),FU51,
IF(AND(テーブル!$B$3="交付申請兼実績報告（２次）",FU$26=0),0,
IF(AND(テーブル!$B$3="交付申請兼実績報告（２次）",FU$26&gt;=1),FU51,
IF(AND(テーブル!$B$3="実績報告（２次）",FU$26=0),0,
IF(AND(テーブル!$B$3="実績報告（２次）",FU$26&gt;=1),FU51)))))))))),0)</f>
        <v>0</v>
      </c>
      <c r="FV31" s="1997">
        <f>IFERROR(
IF(テーブル!$B$3="交付申請",FV51,
IF(AND(テーブル!$B$3="変更申請",FV$26=0),0,
IF(AND(テーブル!$B$3="変更申請",FV$26&gt;=1),FV51,
IF(テーブル!$B$3="実績報告（１次）",FV51,
IF(AND(テーブル!$B$3="交付申請（２次）",FV$26=0),0,
IF(AND(テーブル!$B$3="交付申請（２次）",FV$26&gt;=1),FV51,
IF(AND(テーブル!$B$3="交付申請兼実績報告（２次）",FV$26=0),0,
IF(AND(テーブル!$B$3="交付申請兼実績報告（２次）",FV$26&gt;=1),FV51,
IF(AND(テーブル!$B$3="実績報告（２次）",FV$26=0),0,
IF(AND(テーブル!$B$3="実績報告（２次）",FV$26&gt;=1),FV51)))))))))),0)</f>
        <v>0</v>
      </c>
      <c r="FW31" s="1997">
        <f>IFERROR(
IF(テーブル!$B$3="交付申請",FW51,
IF(AND(テーブル!$B$3="変更申請",FW$26=0),0,
IF(AND(テーブル!$B$3="変更申請",FW$26&gt;=1),FW51,
IF(テーブル!$B$3="実績報告（１次）",FW51,
IF(AND(テーブル!$B$3="交付申請（２次）",FW$26=0),0,
IF(AND(テーブル!$B$3="交付申請（２次）",FW$26&gt;=1),FW51,
IF(AND(テーブル!$B$3="交付申請兼実績報告（２次）",FW$26=0),0,
IF(AND(テーブル!$B$3="交付申請兼実績報告（２次）",FW$26&gt;=1),FW51,
IF(AND(テーブル!$B$3="実績報告（２次）",FW$26=0),0,
IF(AND(テーブル!$B$3="実績報告（２次）",FW$26&gt;=1),FW51)))))))))),0)</f>
        <v>0</v>
      </c>
      <c r="FX31" s="1997">
        <f>IFERROR(
IF(テーブル!$B$3="交付申請",FX51,
IF(AND(テーブル!$B$3="変更申請",FX$26=0),0,
IF(AND(テーブル!$B$3="変更申請",FX$26&gt;=1),FX51,
IF(テーブル!$B$3="実績報告（１次）",FX51,
IF(AND(テーブル!$B$3="交付申請（２次）",FX$26=0),0,
IF(AND(テーブル!$B$3="交付申請（２次）",FX$26&gt;=1),FX51,
IF(AND(テーブル!$B$3="交付申請兼実績報告（２次）",FX$26=0),0,
IF(AND(テーブル!$B$3="交付申請兼実績報告（２次）",FX$26&gt;=1),FX51,
IF(AND(テーブル!$B$3="実績報告（２次）",FX$26=0),0,
IF(AND(テーブル!$B$3="実績報告（２次）",FX$26&gt;=1),FX51)))))))))),0)</f>
        <v>0</v>
      </c>
      <c r="FY31" s="1997">
        <f>IFERROR(
IF(テーブル!$B$3="交付申請",FY51,
IF(AND(テーブル!$B$3="変更申請",FY$26=0),0,
IF(AND(テーブル!$B$3="変更申請",FY$26&gt;=1),FY51,
IF(テーブル!$B$3="実績報告（１次）",FY51,
IF(AND(テーブル!$B$3="交付申請（２次）",FY$26=0),0,
IF(AND(テーブル!$B$3="交付申請（２次）",FY$26&gt;=1),FY51,
IF(AND(テーブル!$B$3="交付申請兼実績報告（２次）",FY$26=0),0,
IF(AND(テーブル!$B$3="交付申請兼実績報告（２次）",FY$26&gt;=1),FY51,
IF(AND(テーブル!$B$3="実績報告（２次）",FY$26=0),0,
IF(AND(テーブル!$B$3="実績報告（２次）",FY$26&gt;=1),FY51)))))))))),0)</f>
        <v>0</v>
      </c>
      <c r="FZ31" s="1997">
        <f>IFERROR(
IF(テーブル!$B$3="交付申請",FZ51,
IF(AND(テーブル!$B$3="変更申請",FZ$26=0),0,
IF(AND(テーブル!$B$3="変更申請",FZ$26&gt;=1),FZ51,
IF(テーブル!$B$3="実績報告（１次）",FZ51,
IF(AND(テーブル!$B$3="交付申請（２次）",FZ$26=0),0,
IF(AND(テーブル!$B$3="交付申請（２次）",FZ$26&gt;=1),FZ51,
IF(AND(テーブル!$B$3="交付申請兼実績報告（２次）",FZ$26=0),0,
IF(AND(テーブル!$B$3="交付申請兼実績報告（２次）",FZ$26&gt;=1),FZ51,
IF(AND(テーブル!$B$3="実績報告（２次）",FZ$26=0),0,
IF(AND(テーブル!$B$3="実績報告（２次）",FZ$26&gt;=1),FZ51)))))))))),0)</f>
        <v>0</v>
      </c>
      <c r="GA31" s="1997">
        <f>IFERROR(
IF(テーブル!$B$3="交付申請",GA51,
IF(AND(テーブル!$B$3="変更申請",GA$26=0),0,
IF(AND(テーブル!$B$3="変更申請",GA$26&gt;=1),GA51,
IF(テーブル!$B$3="実績報告（１次）",GA51,
IF(AND(テーブル!$B$3="交付申請（２次）",GA$26=0),0,
IF(AND(テーブル!$B$3="交付申請（２次）",GA$26&gt;=1),GA51,
IF(AND(テーブル!$B$3="交付申請兼実績報告（２次）",GA$26=0),0,
IF(AND(テーブル!$B$3="交付申請兼実績報告（２次）",GA$26&gt;=1),GA51,
IF(AND(テーブル!$B$3="実績報告（２次）",GA$26=0),0,
IF(AND(テーブル!$B$3="実績報告（２次）",GA$26&gt;=1),GA51)))))))))),0)</f>
        <v>0</v>
      </c>
      <c r="GB31" s="1997">
        <f>IFERROR(
IF(テーブル!$B$3="交付申請",GB51,
IF(AND(テーブル!$B$3="変更申請",GB$26=0),0,
IF(AND(テーブル!$B$3="変更申請",GB$26&gt;=1),GB51,
IF(テーブル!$B$3="実績報告（１次）",GB51,
IF(AND(テーブル!$B$3="交付申請（２次）",GB$26=0),0,
IF(AND(テーブル!$B$3="交付申請（２次）",GB$26&gt;=1),GB51,
IF(AND(テーブル!$B$3="交付申請兼実績報告（２次）",GB$26=0),0,
IF(AND(テーブル!$B$3="交付申請兼実績報告（２次）",GB$26&gt;=1),GB51,
IF(AND(テーブル!$B$3="実績報告（２次）",GB$26=0),0,
IF(AND(テーブル!$B$3="実績報告（２次）",GB$26&gt;=1),GB51)))))))))),0)</f>
        <v>0</v>
      </c>
      <c r="GC31" s="1997">
        <f>IFERROR(
IF(テーブル!$B$3="交付申請",GC51,
IF(AND(テーブル!$B$3="変更申請",GC$26=0),0,
IF(AND(テーブル!$B$3="変更申請",GC$26&gt;=1),GC51,
IF(テーブル!$B$3="実績報告（１次）",GC51,
IF(AND(テーブル!$B$3="交付申請（２次）",GC$26=0),0,
IF(AND(テーブル!$B$3="交付申請（２次）",GC$26&gt;=1),GC51,
IF(AND(テーブル!$B$3="交付申請兼実績報告（２次）",GC$26=0),0,
IF(AND(テーブル!$B$3="交付申請兼実績報告（２次）",GC$26&gt;=1),GC51,
IF(AND(テーブル!$B$3="実績報告（２次）",GC$26=0),0,
IF(AND(テーブル!$B$3="実績報告（２次）",GC$26&gt;=1),GC51)))))))))),0)</f>
        <v>0</v>
      </c>
      <c r="GD31" s="1997">
        <f>IFERROR(
IF(テーブル!$B$3="交付申請",GD51,
IF(AND(テーブル!$B$3="変更申請",GD$26=0),0,
IF(AND(テーブル!$B$3="変更申請",GD$26&gt;=1),GD51,
IF(テーブル!$B$3="実績報告（１次）",GD51,
IF(AND(テーブル!$B$3="交付申請（２次）",GD$26=0),0,
IF(AND(テーブル!$B$3="交付申請（２次）",GD$26&gt;=1),GD51,
IF(AND(テーブル!$B$3="交付申請兼実績報告（２次）",GD$26=0),0,
IF(AND(テーブル!$B$3="交付申請兼実績報告（２次）",GD$26&gt;=1),GD51,
IF(AND(テーブル!$B$3="実績報告（２次）",GD$26=0),0,
IF(AND(テーブル!$B$3="実績報告（２次）",GD$26&gt;=1),GD51)))))))))),0)</f>
        <v>0</v>
      </c>
      <c r="GE31" s="1997">
        <f>IFERROR(
IF(テーブル!$B$3="交付申請",GE51,
IF(AND(テーブル!$B$3="変更申請",GE$26=0),0,
IF(AND(テーブル!$B$3="変更申請",GE$26&gt;=1),GE51,
IF(テーブル!$B$3="実績報告（１次）",GE51,
IF(AND(テーブル!$B$3="交付申請（２次）",GE$26=0),0,
IF(AND(テーブル!$B$3="交付申請（２次）",GE$26&gt;=1),GE51,
IF(AND(テーブル!$B$3="交付申請兼実績報告（２次）",GE$26=0),0,
IF(AND(テーブル!$B$3="交付申請兼実績報告（２次）",GE$26&gt;=1),GE51,
IF(AND(テーブル!$B$3="実績報告（２次）",GE$26=0),0,
IF(AND(テーブル!$B$3="実績報告（２次）",GE$26&gt;=1),GE51)))))))))),0)</f>
        <v>0</v>
      </c>
      <c r="GF31" s="2019">
        <f>IFERROR(
IF(テーブル!$B$3="交付申請",GF51,
IF(AND(テーブル!$B$3="変更申請",GF$26=0),0,
IF(AND(テーブル!$B$3="変更申請",GF$26&gt;=1),GF51,
IF(テーブル!$B$3="実績報告（１次）",GF51,
IF(AND(テーブル!$B$3="交付申請（２次）",GF$26=0),0,
IF(AND(テーブル!$B$3="交付申請（２次）",GF$26&gt;=1),GF51,
IF(AND(テーブル!$B$3="交付申請兼実績報告（２次）",GF$26=0),0,
IF(AND(テーブル!$B$3="交付申請兼実績報告（２次）",GF$26&gt;=1),GF51,
IF(AND(テーブル!$B$3="実績報告（２次）",GF$26=0),0,
IF(AND(テーブル!$B$3="実績報告（２次）",GF$26&gt;=1),GF51)))))))))),0)</f>
        <v>0</v>
      </c>
      <c r="GG31" s="2006"/>
    </row>
    <row r="32" spans="1:189" s="638" customFormat="1" ht="18.75" x14ac:dyDescent="0.4">
      <c r="A32" s="2003"/>
      <c r="B32" s="2018" t="s">
        <v>1258</v>
      </c>
      <c r="C32" s="1690">
        <f t="shared" ref="C32:C44" si="21">SUM(F32:GF32)</f>
        <v>0</v>
      </c>
      <c r="D32" s="1691"/>
      <c r="E32" s="637"/>
      <c r="F32" s="1997">
        <f>IFERROR(
IF(テーブル!$B$3="交付申請",F54,
IF(AND(テーブル!$B$3="変更申請",F$26=0),0,
IF(AND(テーブル!$B$3="変更申請",F$26&gt;=1),F54,
IF(テーブル!$B$3="実績報告（１次）",F54,
IF(AND(テーブル!$B$3="交付申請（２次）",F$26=0),0,
IF(AND(テーブル!$B$3="交付申請（２次）",F$26&gt;=1),F54,
IF(AND(テーブル!$B$3="交付申請兼実績報告（２次）",F$26=0),0,
IF(AND(テーブル!$B$3="交付申請兼実績報告（２次）",F$26&gt;=1),F54,
IF(AND(テーブル!$B$3="実績報告（２次）",F$26=0),0,
IF(AND(テーブル!$B$3="実績報告（２次）",F$26&gt;=1),F54)))))))))),0)</f>
        <v>0</v>
      </c>
      <c r="G32" s="1997">
        <f>IFERROR(
IF(テーブル!$B$3="交付申請",G54,
IF(AND(テーブル!$B$3="変更申請",G$26=0),0,
IF(AND(テーブル!$B$3="変更申請",G$26&gt;=1),G54,
IF(テーブル!$B$3="実績報告（１次）",G54,
IF(AND(テーブル!$B$3="交付申請（２次）",G$26=0),0,
IF(AND(テーブル!$B$3="交付申請（２次）",G$26&gt;=1),G54,
IF(AND(テーブル!$B$3="交付申請兼実績報告（２次）",G$26=0),0,
IF(AND(テーブル!$B$3="交付申請兼実績報告（２次）",G$26&gt;=1),G54,
IF(AND(テーブル!$B$3="実績報告（２次）",G$26=0),0,
IF(AND(テーブル!$B$3="実績報告（２次）",G$26&gt;=1),G54)))))))))),0)</f>
        <v>0</v>
      </c>
      <c r="H32" s="1997">
        <f>IFERROR(
IF(テーブル!$B$3="交付申請",H54,
IF(AND(テーブル!$B$3="変更申請",H$26=0),0,
IF(AND(テーブル!$B$3="変更申請",H$26&gt;=1),H54,
IF(テーブル!$B$3="実績報告（１次）",H54,
IF(AND(テーブル!$B$3="交付申請（２次）",H$26=0),0,
IF(AND(テーブル!$B$3="交付申請（２次）",H$26&gt;=1),H54,
IF(AND(テーブル!$B$3="交付申請兼実績報告（２次）",H$26=0),0,
IF(AND(テーブル!$B$3="交付申請兼実績報告（２次）",H$26&gt;=1),H54,
IF(AND(テーブル!$B$3="実績報告（２次）",H$26=0),0,
IF(AND(テーブル!$B$3="実績報告（２次）",H$26&gt;=1),H54)))))))))),0)</f>
        <v>0</v>
      </c>
      <c r="I32" s="1997">
        <f>IFERROR(
IF(テーブル!$B$3="交付申請",I54,
IF(AND(テーブル!$B$3="変更申請",I$26=0),0,
IF(AND(テーブル!$B$3="変更申請",I$26&gt;=1),I54,
IF(テーブル!$B$3="実績報告（１次）",I54,
IF(AND(テーブル!$B$3="交付申請（２次）",I$26=0),0,
IF(AND(テーブル!$B$3="交付申請（２次）",I$26&gt;=1),I54,
IF(AND(テーブル!$B$3="交付申請兼実績報告（２次）",I$26=0),0,
IF(AND(テーブル!$B$3="交付申請兼実績報告（２次）",I$26&gt;=1),I54,
IF(AND(テーブル!$B$3="実績報告（２次）",I$26=0),0,
IF(AND(テーブル!$B$3="実績報告（２次）",I$26&gt;=1),I54)))))))))),0)</f>
        <v>0</v>
      </c>
      <c r="J32" s="1997">
        <f>IFERROR(
IF(テーブル!$B$3="交付申請",J54,
IF(AND(テーブル!$B$3="変更申請",J$26=0),0,
IF(AND(テーブル!$B$3="変更申請",J$26&gt;=1),J54,
IF(テーブル!$B$3="実績報告（１次）",J54,
IF(AND(テーブル!$B$3="交付申請（２次）",J$26=0),0,
IF(AND(テーブル!$B$3="交付申請（２次）",J$26&gt;=1),J54,
IF(AND(テーブル!$B$3="交付申請兼実績報告（２次）",J$26=0),0,
IF(AND(テーブル!$B$3="交付申請兼実績報告（２次）",J$26&gt;=1),J54,
IF(AND(テーブル!$B$3="実績報告（２次）",J$26=0),0,
IF(AND(テーブル!$B$3="実績報告（２次）",J$26&gt;=1),J54)))))))))),0)</f>
        <v>0</v>
      </c>
      <c r="K32" s="1997">
        <f>IFERROR(
IF(テーブル!$B$3="交付申請",K54,
IF(AND(テーブル!$B$3="変更申請",K$26=0),0,
IF(AND(テーブル!$B$3="変更申請",K$26&gt;=1),K54,
IF(テーブル!$B$3="実績報告（１次）",K54,
IF(AND(テーブル!$B$3="交付申請（２次）",K$26=0),0,
IF(AND(テーブル!$B$3="交付申請（２次）",K$26&gt;=1),K54,
IF(AND(テーブル!$B$3="交付申請兼実績報告（２次）",K$26=0),0,
IF(AND(テーブル!$B$3="交付申請兼実績報告（２次）",K$26&gt;=1),K54,
IF(AND(テーブル!$B$3="実績報告（２次）",K$26=0),0,
IF(AND(テーブル!$B$3="実績報告（２次）",K$26&gt;=1),K54)))))))))),0)</f>
        <v>0</v>
      </c>
      <c r="L32" s="1997">
        <f>IFERROR(
IF(テーブル!$B$3="交付申請",L54,
IF(AND(テーブル!$B$3="変更申請",L$26=0),0,
IF(AND(テーブル!$B$3="変更申請",L$26&gt;=1),L54,
IF(テーブル!$B$3="実績報告（１次）",L54,
IF(AND(テーブル!$B$3="交付申請（２次）",L$26=0),0,
IF(AND(テーブル!$B$3="交付申請（２次）",L$26&gt;=1),L54,
IF(AND(テーブル!$B$3="交付申請兼実績報告（２次）",L$26=0),0,
IF(AND(テーブル!$B$3="交付申請兼実績報告（２次）",L$26&gt;=1),L54,
IF(AND(テーブル!$B$3="実績報告（２次）",L$26=0),0,
IF(AND(テーブル!$B$3="実績報告（２次）",L$26&gt;=1),L54)))))))))),0)</f>
        <v>0</v>
      </c>
      <c r="M32" s="1997">
        <f>IFERROR(
IF(テーブル!$B$3="交付申請",M54,
IF(AND(テーブル!$B$3="変更申請",M$26=0),0,
IF(AND(テーブル!$B$3="変更申請",M$26&gt;=1),M54,
IF(テーブル!$B$3="実績報告（１次）",M54,
IF(AND(テーブル!$B$3="交付申請（２次）",M$26=0),0,
IF(AND(テーブル!$B$3="交付申請（２次）",M$26&gt;=1),M54,
IF(AND(テーブル!$B$3="交付申請兼実績報告（２次）",M$26=0),0,
IF(AND(テーブル!$B$3="交付申請兼実績報告（２次）",M$26&gt;=1),M54,
IF(AND(テーブル!$B$3="実績報告（２次）",M$26=0),0,
IF(AND(テーブル!$B$3="実績報告（２次）",M$26&gt;=1),M54)))))))))),0)</f>
        <v>0</v>
      </c>
      <c r="N32" s="1997">
        <f>IFERROR(
IF(テーブル!$B$3="交付申請",N54,
IF(AND(テーブル!$B$3="変更申請",N$26=0),0,
IF(AND(テーブル!$B$3="変更申請",N$26&gt;=1),N54,
IF(テーブル!$B$3="実績報告（１次）",N54,
IF(AND(テーブル!$B$3="交付申請（２次）",N$26=0),0,
IF(AND(テーブル!$B$3="交付申請（２次）",N$26&gt;=1),N54,
IF(AND(テーブル!$B$3="交付申請兼実績報告（２次）",N$26=0),0,
IF(AND(テーブル!$B$3="交付申請兼実績報告（２次）",N$26&gt;=1),N54,
IF(AND(テーブル!$B$3="実績報告（２次）",N$26=0),0,
IF(AND(テーブル!$B$3="実績報告（２次）",N$26&gt;=1),N54)))))))))),0)</f>
        <v>0</v>
      </c>
      <c r="O32" s="1997">
        <f>IFERROR(
IF(テーブル!$B$3="交付申請",O54,
IF(AND(テーブル!$B$3="変更申請",O$26=0),0,
IF(AND(テーブル!$B$3="変更申請",O$26&gt;=1),O54,
IF(テーブル!$B$3="実績報告（１次）",O54,
IF(AND(テーブル!$B$3="交付申請（２次）",O$26=0),0,
IF(AND(テーブル!$B$3="交付申請（２次）",O$26&gt;=1),O54,
IF(AND(テーブル!$B$3="交付申請兼実績報告（２次）",O$26=0),0,
IF(AND(テーブル!$B$3="交付申請兼実績報告（２次）",O$26&gt;=1),O54,
IF(AND(テーブル!$B$3="実績報告（２次）",O$26=0),0,
IF(AND(テーブル!$B$3="実績報告（２次）",O$26&gt;=1),O54)))))))))),0)</f>
        <v>0</v>
      </c>
      <c r="P32" s="1997">
        <f>IFERROR(
IF(テーブル!$B$3="交付申請",P54,
IF(AND(テーブル!$B$3="変更申請",P$26=0),0,
IF(AND(テーブル!$B$3="変更申請",P$26&gt;=1),P54,
IF(テーブル!$B$3="実績報告（１次）",P54,
IF(AND(テーブル!$B$3="交付申請（２次）",P$26=0),0,
IF(AND(テーブル!$B$3="交付申請（２次）",P$26&gt;=1),P54,
IF(AND(テーブル!$B$3="交付申請兼実績報告（２次）",P$26=0),0,
IF(AND(テーブル!$B$3="交付申請兼実績報告（２次）",P$26&gt;=1),P54,
IF(AND(テーブル!$B$3="実績報告（２次）",P$26=0),0,
IF(AND(テーブル!$B$3="実績報告（２次）",P$26&gt;=1),P54)))))))))),0)</f>
        <v>0</v>
      </c>
      <c r="Q32" s="1997">
        <f>IFERROR(
IF(テーブル!$B$3="交付申請",Q54,
IF(AND(テーブル!$B$3="変更申請",Q$26=0),0,
IF(AND(テーブル!$B$3="変更申請",Q$26&gt;=1),Q54,
IF(テーブル!$B$3="実績報告（１次）",Q54,
IF(AND(テーブル!$B$3="交付申請（２次）",Q$26=0),0,
IF(AND(テーブル!$B$3="交付申請（２次）",Q$26&gt;=1),Q54,
IF(AND(テーブル!$B$3="交付申請兼実績報告（２次）",Q$26=0),0,
IF(AND(テーブル!$B$3="交付申請兼実績報告（２次）",Q$26&gt;=1),Q54,
IF(AND(テーブル!$B$3="実績報告（２次）",Q$26=0),0,
IF(AND(テーブル!$B$3="実績報告（２次）",Q$26&gt;=1),Q54)))))))))),0)</f>
        <v>0</v>
      </c>
      <c r="R32" s="1997">
        <f>IFERROR(
IF(テーブル!$B$3="交付申請",R54,
IF(AND(テーブル!$B$3="変更申請",R$26=0),0,
IF(AND(テーブル!$B$3="変更申請",R$26&gt;=1),R54,
IF(テーブル!$B$3="実績報告（１次）",R54,
IF(AND(テーブル!$B$3="交付申請（２次）",R$26=0),0,
IF(AND(テーブル!$B$3="交付申請（２次）",R$26&gt;=1),R54,
IF(AND(テーブル!$B$3="交付申請兼実績報告（２次）",R$26=0),0,
IF(AND(テーブル!$B$3="交付申請兼実績報告（２次）",R$26&gt;=1),R54,
IF(AND(テーブル!$B$3="実績報告（２次）",R$26=0),0,
IF(AND(テーブル!$B$3="実績報告（２次）",R$26&gt;=1),R54)))))))))),0)</f>
        <v>0</v>
      </c>
      <c r="S32" s="1997">
        <f>IFERROR(
IF(テーブル!$B$3="交付申請",S54,
IF(AND(テーブル!$B$3="変更申請",S$26=0),0,
IF(AND(テーブル!$B$3="変更申請",S$26&gt;=1),S54,
IF(テーブル!$B$3="実績報告（１次）",S54,
IF(AND(テーブル!$B$3="交付申請（２次）",S$26=0),0,
IF(AND(テーブル!$B$3="交付申請（２次）",S$26&gt;=1),S54,
IF(AND(テーブル!$B$3="交付申請兼実績報告（２次）",S$26=0),0,
IF(AND(テーブル!$B$3="交付申請兼実績報告（２次）",S$26&gt;=1),S54,
IF(AND(テーブル!$B$3="実績報告（２次）",S$26=0),0,
IF(AND(テーブル!$B$3="実績報告（２次）",S$26&gt;=1),S54)))))))))),0)</f>
        <v>0</v>
      </c>
      <c r="T32" s="1997">
        <f>IFERROR(
IF(テーブル!$B$3="交付申請",T54,
IF(AND(テーブル!$B$3="変更申請",T$26=0),0,
IF(AND(テーブル!$B$3="変更申請",T$26&gt;=1),T54,
IF(テーブル!$B$3="実績報告（１次）",T54,
IF(AND(テーブル!$B$3="交付申請（２次）",T$26=0),0,
IF(AND(テーブル!$B$3="交付申請（２次）",T$26&gt;=1),T54,
IF(AND(テーブル!$B$3="交付申請兼実績報告（２次）",T$26=0),0,
IF(AND(テーブル!$B$3="交付申請兼実績報告（２次）",T$26&gt;=1),T54,
IF(AND(テーブル!$B$3="実績報告（２次）",T$26=0),0,
IF(AND(テーブル!$B$3="実績報告（２次）",T$26&gt;=1),T54)))))))))),0)</f>
        <v>0</v>
      </c>
      <c r="U32" s="1997">
        <f>IFERROR(
IF(テーブル!$B$3="交付申請",U54,
IF(AND(テーブル!$B$3="変更申請",U$26=0),0,
IF(AND(テーブル!$B$3="変更申請",U$26&gt;=1),U54,
IF(テーブル!$B$3="実績報告（１次）",U54,
IF(AND(テーブル!$B$3="交付申請（２次）",U$26=0),0,
IF(AND(テーブル!$B$3="交付申請（２次）",U$26&gt;=1),U54,
IF(AND(テーブル!$B$3="交付申請兼実績報告（２次）",U$26=0),0,
IF(AND(テーブル!$B$3="交付申請兼実績報告（２次）",U$26&gt;=1),U54,
IF(AND(テーブル!$B$3="実績報告（２次）",U$26=0),0,
IF(AND(テーブル!$B$3="実績報告（２次）",U$26&gt;=1),U54)))))))))),0)</f>
        <v>0</v>
      </c>
      <c r="V32" s="1997">
        <f>IFERROR(
IF(テーブル!$B$3="交付申請",V54,
IF(AND(テーブル!$B$3="変更申請",V$26=0),0,
IF(AND(テーブル!$B$3="変更申請",V$26&gt;=1),V54,
IF(テーブル!$B$3="実績報告（１次）",V54,
IF(AND(テーブル!$B$3="交付申請（２次）",V$26=0),0,
IF(AND(テーブル!$B$3="交付申請（２次）",V$26&gt;=1),V54,
IF(AND(テーブル!$B$3="交付申請兼実績報告（２次）",V$26=0),0,
IF(AND(テーブル!$B$3="交付申請兼実績報告（２次）",V$26&gt;=1),V54,
IF(AND(テーブル!$B$3="実績報告（２次）",V$26=0),0,
IF(AND(テーブル!$B$3="実績報告（２次）",V$26&gt;=1),V54)))))))))),0)</f>
        <v>0</v>
      </c>
      <c r="W32" s="1997">
        <f>IFERROR(
IF(テーブル!$B$3="交付申請",W54,
IF(AND(テーブル!$B$3="変更申請",W$26=0),0,
IF(AND(テーブル!$B$3="変更申請",W$26&gt;=1),W54,
IF(テーブル!$B$3="実績報告（１次）",W54,
IF(AND(テーブル!$B$3="交付申請（２次）",W$26=0),0,
IF(AND(テーブル!$B$3="交付申請（２次）",W$26&gt;=1),W54,
IF(AND(テーブル!$B$3="交付申請兼実績報告（２次）",W$26=0),0,
IF(AND(テーブル!$B$3="交付申請兼実績報告（２次）",W$26&gt;=1),W54,
IF(AND(テーブル!$B$3="実績報告（２次）",W$26=0),0,
IF(AND(テーブル!$B$3="実績報告（２次）",W$26&gt;=1),W54)))))))))),0)</f>
        <v>0</v>
      </c>
      <c r="X32" s="1997">
        <f>IFERROR(
IF(テーブル!$B$3="交付申請",X54,
IF(AND(テーブル!$B$3="変更申請",X$26=0),0,
IF(AND(テーブル!$B$3="変更申請",X$26&gt;=1),X54,
IF(テーブル!$B$3="実績報告（１次）",X54,
IF(AND(テーブル!$B$3="交付申請（２次）",X$26=0),0,
IF(AND(テーブル!$B$3="交付申請（２次）",X$26&gt;=1),X54,
IF(AND(テーブル!$B$3="交付申請兼実績報告（２次）",X$26=0),0,
IF(AND(テーブル!$B$3="交付申請兼実績報告（２次）",X$26&gt;=1),X54,
IF(AND(テーブル!$B$3="実績報告（２次）",X$26=0),0,
IF(AND(テーブル!$B$3="実績報告（２次）",X$26&gt;=1),X54)))))))))),0)</f>
        <v>0</v>
      </c>
      <c r="Y32" s="1997">
        <f>IFERROR(
IF(テーブル!$B$3="交付申請",Y54,
IF(AND(テーブル!$B$3="変更申請",Y$26=0),0,
IF(AND(テーブル!$B$3="変更申請",Y$26&gt;=1),Y54,
IF(テーブル!$B$3="実績報告（１次）",Y54,
IF(AND(テーブル!$B$3="交付申請（２次）",Y$26=0),0,
IF(AND(テーブル!$B$3="交付申請（２次）",Y$26&gt;=1),Y54,
IF(AND(テーブル!$B$3="交付申請兼実績報告（２次）",Y$26=0),0,
IF(AND(テーブル!$B$3="交付申請兼実績報告（２次）",Y$26&gt;=1),Y54,
IF(AND(テーブル!$B$3="実績報告（２次）",Y$26=0),0,
IF(AND(テーブル!$B$3="実績報告（２次）",Y$26&gt;=1),Y54)))))))))),0)</f>
        <v>0</v>
      </c>
      <c r="Z32" s="1997">
        <f>IFERROR(
IF(テーブル!$B$3="交付申請",Z54,
IF(AND(テーブル!$B$3="変更申請",Z$26=0),0,
IF(AND(テーブル!$B$3="変更申請",Z$26&gt;=1),Z54,
IF(テーブル!$B$3="実績報告（１次）",Z54,
IF(AND(テーブル!$B$3="交付申請（２次）",Z$26=0),0,
IF(AND(テーブル!$B$3="交付申請（２次）",Z$26&gt;=1),Z54,
IF(AND(テーブル!$B$3="交付申請兼実績報告（２次）",Z$26=0),0,
IF(AND(テーブル!$B$3="交付申請兼実績報告（２次）",Z$26&gt;=1),Z54,
IF(AND(テーブル!$B$3="実績報告（２次）",Z$26=0),0,
IF(AND(テーブル!$B$3="実績報告（２次）",Z$26&gt;=1),Z54)))))))))),0)</f>
        <v>0</v>
      </c>
      <c r="AA32" s="1997">
        <f>IFERROR(
IF(テーブル!$B$3="交付申請",AA54,
IF(AND(テーブル!$B$3="変更申請",AA$26=0),0,
IF(AND(テーブル!$B$3="変更申請",AA$26&gt;=1),AA54,
IF(テーブル!$B$3="実績報告（１次）",AA54,
IF(AND(テーブル!$B$3="交付申請（２次）",AA$26=0),0,
IF(AND(テーブル!$B$3="交付申請（２次）",AA$26&gt;=1),AA54,
IF(AND(テーブル!$B$3="交付申請兼実績報告（２次）",AA$26=0),0,
IF(AND(テーブル!$B$3="交付申請兼実績報告（２次）",AA$26&gt;=1),AA54,
IF(AND(テーブル!$B$3="実績報告（２次）",AA$26=0),0,
IF(AND(テーブル!$B$3="実績報告（２次）",AA$26&gt;=1),AA54)))))))))),0)</f>
        <v>0</v>
      </c>
      <c r="AB32" s="1997">
        <f>IFERROR(
IF(テーブル!$B$3="交付申請",AB54,
IF(AND(テーブル!$B$3="変更申請",AB$26=0),0,
IF(AND(テーブル!$B$3="変更申請",AB$26&gt;=1),AB54,
IF(テーブル!$B$3="実績報告（１次）",AB54,
IF(AND(テーブル!$B$3="交付申請（２次）",AB$26=0),0,
IF(AND(テーブル!$B$3="交付申請（２次）",AB$26&gt;=1),AB54,
IF(AND(テーブル!$B$3="交付申請兼実績報告（２次）",AB$26=0),0,
IF(AND(テーブル!$B$3="交付申請兼実績報告（２次）",AB$26&gt;=1),AB54,
IF(AND(テーブル!$B$3="実績報告（２次）",AB$26=0),0,
IF(AND(テーブル!$B$3="実績報告（２次）",AB$26&gt;=1),AB54)))))))))),0)</f>
        <v>0</v>
      </c>
      <c r="AC32" s="1997">
        <f>IFERROR(
IF(テーブル!$B$3="交付申請",AC54,
IF(AND(テーブル!$B$3="変更申請",AC$26=0),0,
IF(AND(テーブル!$B$3="変更申請",AC$26&gt;=1),AC54,
IF(テーブル!$B$3="実績報告（１次）",AC54,
IF(AND(テーブル!$B$3="交付申請（２次）",AC$26=0),0,
IF(AND(テーブル!$B$3="交付申請（２次）",AC$26&gt;=1),AC54,
IF(AND(テーブル!$B$3="交付申請兼実績報告（２次）",AC$26=0),0,
IF(AND(テーブル!$B$3="交付申請兼実績報告（２次）",AC$26&gt;=1),AC54,
IF(AND(テーブル!$B$3="実績報告（２次）",AC$26=0),0,
IF(AND(テーブル!$B$3="実績報告（２次）",AC$26&gt;=1),AC54)))))))))),0)</f>
        <v>0</v>
      </c>
      <c r="AD32" s="1997">
        <f>IFERROR(
IF(テーブル!$B$3="交付申請",AD54,
IF(AND(テーブル!$B$3="変更申請",AD$26=0),0,
IF(AND(テーブル!$B$3="変更申請",AD$26&gt;=1),AD54,
IF(テーブル!$B$3="実績報告（１次）",AD54,
IF(AND(テーブル!$B$3="交付申請（２次）",AD$26=0),0,
IF(AND(テーブル!$B$3="交付申請（２次）",AD$26&gt;=1),AD54,
IF(AND(テーブル!$B$3="交付申請兼実績報告（２次）",AD$26=0),0,
IF(AND(テーブル!$B$3="交付申請兼実績報告（２次）",AD$26&gt;=1),AD54,
IF(AND(テーブル!$B$3="実績報告（２次）",AD$26=0),0,
IF(AND(テーブル!$B$3="実績報告（２次）",AD$26&gt;=1),AD54)))))))))),0)</f>
        <v>0</v>
      </c>
      <c r="AE32" s="1997">
        <f>IFERROR(
IF(テーブル!$B$3="交付申請",AE54,
IF(AND(テーブル!$B$3="変更申請",AE$26=0),0,
IF(AND(テーブル!$B$3="変更申請",AE$26&gt;=1),AE54,
IF(テーブル!$B$3="実績報告（１次）",AE54,
IF(AND(テーブル!$B$3="交付申請（２次）",AE$26=0),0,
IF(AND(テーブル!$B$3="交付申請（２次）",AE$26&gt;=1),AE54,
IF(AND(テーブル!$B$3="交付申請兼実績報告（２次）",AE$26=0),0,
IF(AND(テーブル!$B$3="交付申請兼実績報告（２次）",AE$26&gt;=1),AE54,
IF(AND(テーブル!$B$3="実績報告（２次）",AE$26=0),0,
IF(AND(テーブル!$B$3="実績報告（２次）",AE$26&gt;=1),AE54)))))))))),0)</f>
        <v>0</v>
      </c>
      <c r="AF32" s="1997">
        <f>IFERROR(
IF(テーブル!$B$3="交付申請",AF54,
IF(AND(テーブル!$B$3="変更申請",AF$26=0),0,
IF(AND(テーブル!$B$3="変更申請",AF$26&gt;=1),AF54,
IF(テーブル!$B$3="実績報告（１次）",AF54,
IF(AND(テーブル!$B$3="交付申請（２次）",AF$26=0),0,
IF(AND(テーブル!$B$3="交付申請（２次）",AF$26&gt;=1),AF54,
IF(AND(テーブル!$B$3="交付申請兼実績報告（２次）",AF$26=0),0,
IF(AND(テーブル!$B$3="交付申請兼実績報告（２次）",AF$26&gt;=1),AF54,
IF(AND(テーブル!$B$3="実績報告（２次）",AF$26=0),0,
IF(AND(テーブル!$B$3="実績報告（２次）",AF$26&gt;=1),AF54)))))))))),0)</f>
        <v>0</v>
      </c>
      <c r="AG32" s="1997">
        <f>IFERROR(
IF(テーブル!$B$3="交付申請",AG54,
IF(AND(テーブル!$B$3="変更申請",AG$26=0),0,
IF(AND(テーブル!$B$3="変更申請",AG$26&gt;=1),AG54,
IF(テーブル!$B$3="実績報告（１次）",AG54,
IF(AND(テーブル!$B$3="交付申請（２次）",AG$26=0),0,
IF(AND(テーブル!$B$3="交付申請（２次）",AG$26&gt;=1),AG54,
IF(AND(テーブル!$B$3="交付申請兼実績報告（２次）",AG$26=0),0,
IF(AND(テーブル!$B$3="交付申請兼実績報告（２次）",AG$26&gt;=1),AG54,
IF(AND(テーブル!$B$3="実績報告（２次）",AG$26=0),0,
IF(AND(テーブル!$B$3="実績報告（２次）",AG$26&gt;=1),AG54)))))))))),0)</f>
        <v>0</v>
      </c>
      <c r="AH32" s="1997">
        <f>IFERROR(
IF(テーブル!$B$3="交付申請",AH54,
IF(AND(テーブル!$B$3="変更申請",AH$26=0),0,
IF(AND(テーブル!$B$3="変更申請",AH$26&gt;=1),AH54,
IF(テーブル!$B$3="実績報告（１次）",AH54,
IF(AND(テーブル!$B$3="交付申請（２次）",AH$26=0),0,
IF(AND(テーブル!$B$3="交付申請（２次）",AH$26&gt;=1),AH54,
IF(AND(テーブル!$B$3="交付申請兼実績報告（２次）",AH$26=0),0,
IF(AND(テーブル!$B$3="交付申請兼実績報告（２次）",AH$26&gt;=1),AH54,
IF(AND(テーブル!$B$3="実績報告（２次）",AH$26=0),0,
IF(AND(テーブル!$B$3="実績報告（２次）",AH$26&gt;=1),AH54)))))))))),0)</f>
        <v>0</v>
      </c>
      <c r="AI32" s="1997">
        <f>IFERROR(
IF(テーブル!$B$3="交付申請",AI54,
IF(AND(テーブル!$B$3="変更申請",AI$26=0),0,
IF(AND(テーブル!$B$3="変更申請",AI$26&gt;=1),AI54,
IF(テーブル!$B$3="実績報告（１次）",AI54,
IF(AND(テーブル!$B$3="交付申請（２次）",AI$26=0),0,
IF(AND(テーブル!$B$3="交付申請（２次）",AI$26&gt;=1),AI54,
IF(AND(テーブル!$B$3="交付申請兼実績報告（２次）",AI$26=0),0,
IF(AND(テーブル!$B$3="交付申請兼実績報告（２次）",AI$26&gt;=1),AI54,
IF(AND(テーブル!$B$3="実績報告（２次）",AI$26=0),0,
IF(AND(テーブル!$B$3="実績報告（２次）",AI$26&gt;=1),AI54)))))))))),0)</f>
        <v>0</v>
      </c>
      <c r="AJ32" s="1997">
        <f>IFERROR(
IF(テーブル!$B$3="交付申請",AJ54,
IF(AND(テーブル!$B$3="変更申請",AJ$26=0),0,
IF(AND(テーブル!$B$3="変更申請",AJ$26&gt;=1),AJ54,
IF(テーブル!$B$3="実績報告（１次）",AJ54,
IF(AND(テーブル!$B$3="交付申請（２次）",AJ$26=0),0,
IF(AND(テーブル!$B$3="交付申請（２次）",AJ$26&gt;=1),AJ54,
IF(AND(テーブル!$B$3="交付申請兼実績報告（２次）",AJ$26=0),0,
IF(AND(テーブル!$B$3="交付申請兼実績報告（２次）",AJ$26&gt;=1),AJ54,
IF(AND(テーブル!$B$3="実績報告（２次）",AJ$26=0),0,
IF(AND(テーブル!$B$3="実績報告（２次）",AJ$26&gt;=1),AJ54)))))))))),0)</f>
        <v>0</v>
      </c>
      <c r="AK32" s="1997">
        <f>IFERROR(
IF(テーブル!$B$3="交付申請",AK54,
IF(AND(テーブル!$B$3="変更申請",AK$26=0),0,
IF(AND(テーブル!$B$3="変更申請",AK$26&gt;=1),AK54,
IF(テーブル!$B$3="実績報告（１次）",AK54,
IF(AND(テーブル!$B$3="交付申請（２次）",AK$26=0),0,
IF(AND(テーブル!$B$3="交付申請（２次）",AK$26&gt;=1),AK54,
IF(AND(テーブル!$B$3="交付申請兼実績報告（２次）",AK$26=0),0,
IF(AND(テーブル!$B$3="交付申請兼実績報告（２次）",AK$26&gt;=1),AK54,
IF(AND(テーブル!$B$3="実績報告（２次）",AK$26=0),0,
IF(AND(テーブル!$B$3="実績報告（２次）",AK$26&gt;=1),AK54)))))))))),0)</f>
        <v>0</v>
      </c>
      <c r="AL32" s="1997">
        <f>IFERROR(
IF(テーブル!$B$3="交付申請",AL54,
IF(AND(テーブル!$B$3="変更申請",AL$26=0),0,
IF(AND(テーブル!$B$3="変更申請",AL$26&gt;=1),AL54,
IF(テーブル!$B$3="実績報告（１次）",AL54,
IF(AND(テーブル!$B$3="交付申請（２次）",AL$26=0),0,
IF(AND(テーブル!$B$3="交付申請（２次）",AL$26&gt;=1),AL54,
IF(AND(テーブル!$B$3="交付申請兼実績報告（２次）",AL$26=0),0,
IF(AND(テーブル!$B$3="交付申請兼実績報告（２次）",AL$26&gt;=1),AL54,
IF(AND(テーブル!$B$3="実績報告（２次）",AL$26=0),0,
IF(AND(テーブル!$B$3="実績報告（２次）",AL$26&gt;=1),AL54)))))))))),0)</f>
        <v>0</v>
      </c>
      <c r="AM32" s="1997">
        <f>IFERROR(
IF(テーブル!$B$3="交付申請",AM54,
IF(AND(テーブル!$B$3="変更申請",AM$26=0),0,
IF(AND(テーブル!$B$3="変更申請",AM$26&gt;=1),AM54,
IF(テーブル!$B$3="実績報告（１次）",AM54,
IF(AND(テーブル!$B$3="交付申請（２次）",AM$26=0),0,
IF(AND(テーブル!$B$3="交付申請（２次）",AM$26&gt;=1),AM54,
IF(AND(テーブル!$B$3="交付申請兼実績報告（２次）",AM$26=0),0,
IF(AND(テーブル!$B$3="交付申請兼実績報告（２次）",AM$26&gt;=1),AM54,
IF(AND(テーブル!$B$3="実績報告（２次）",AM$26=0),0,
IF(AND(テーブル!$B$3="実績報告（２次）",AM$26&gt;=1),AM54)))))))))),0)</f>
        <v>0</v>
      </c>
      <c r="AN32" s="1997">
        <f>IFERROR(
IF(テーブル!$B$3="交付申請",AN54,
IF(AND(テーブル!$B$3="変更申請",AN$26=0),0,
IF(AND(テーブル!$B$3="変更申請",AN$26&gt;=1),AN54,
IF(テーブル!$B$3="実績報告（１次）",AN54,
IF(AND(テーブル!$B$3="交付申請（２次）",AN$26=0),0,
IF(AND(テーブル!$B$3="交付申請（２次）",AN$26&gt;=1),AN54,
IF(AND(テーブル!$B$3="交付申請兼実績報告（２次）",AN$26=0),0,
IF(AND(テーブル!$B$3="交付申請兼実績報告（２次）",AN$26&gt;=1),AN54,
IF(AND(テーブル!$B$3="実績報告（２次）",AN$26=0),0,
IF(AND(テーブル!$B$3="実績報告（２次）",AN$26&gt;=1),AN54)))))))))),0)</f>
        <v>0</v>
      </c>
      <c r="AO32" s="1997">
        <f>IFERROR(
IF(テーブル!$B$3="交付申請",AO54,
IF(AND(テーブル!$B$3="変更申請",AO$26=0),0,
IF(AND(テーブル!$B$3="変更申請",AO$26&gt;=1),AO54,
IF(テーブル!$B$3="実績報告（１次）",AO54,
IF(AND(テーブル!$B$3="交付申請（２次）",AO$26=0),0,
IF(AND(テーブル!$B$3="交付申請（２次）",AO$26&gt;=1),AO54,
IF(AND(テーブル!$B$3="交付申請兼実績報告（２次）",AO$26=0),0,
IF(AND(テーブル!$B$3="交付申請兼実績報告（２次）",AO$26&gt;=1),AO54,
IF(AND(テーブル!$B$3="実績報告（２次）",AO$26=0),0,
IF(AND(テーブル!$B$3="実績報告（２次）",AO$26&gt;=1),AO54)))))))))),0)</f>
        <v>0</v>
      </c>
      <c r="AP32" s="1997">
        <f>IFERROR(
IF(テーブル!$B$3="交付申請",AP54,
IF(AND(テーブル!$B$3="変更申請",AP$26=0),0,
IF(AND(テーブル!$B$3="変更申請",AP$26&gt;=1),AP54,
IF(テーブル!$B$3="実績報告（１次）",AP54,
IF(AND(テーブル!$B$3="交付申請（２次）",AP$26=0),0,
IF(AND(テーブル!$B$3="交付申請（２次）",AP$26&gt;=1),AP54,
IF(AND(テーブル!$B$3="交付申請兼実績報告（２次）",AP$26=0),0,
IF(AND(テーブル!$B$3="交付申請兼実績報告（２次）",AP$26&gt;=1),AP54,
IF(AND(テーブル!$B$3="実績報告（２次）",AP$26=0),0,
IF(AND(テーブル!$B$3="実績報告（２次）",AP$26&gt;=1),AP54)))))))))),0)</f>
        <v>0</v>
      </c>
      <c r="AQ32" s="1997">
        <f>IFERROR(
IF(テーブル!$B$3="交付申請",AQ54,
IF(AND(テーブル!$B$3="変更申請",AQ$26=0),0,
IF(AND(テーブル!$B$3="変更申請",AQ$26&gt;=1),AQ54,
IF(テーブル!$B$3="実績報告（１次）",AQ54,
IF(AND(テーブル!$B$3="交付申請（２次）",AQ$26=0),0,
IF(AND(テーブル!$B$3="交付申請（２次）",AQ$26&gt;=1),AQ54,
IF(AND(テーブル!$B$3="交付申請兼実績報告（２次）",AQ$26=0),0,
IF(AND(テーブル!$B$3="交付申請兼実績報告（２次）",AQ$26&gt;=1),AQ54,
IF(AND(テーブル!$B$3="実績報告（２次）",AQ$26=0),0,
IF(AND(テーブル!$B$3="実績報告（２次）",AQ$26&gt;=1),AQ54)))))))))),0)</f>
        <v>0</v>
      </c>
      <c r="AR32" s="1997">
        <f>IFERROR(
IF(テーブル!$B$3="交付申請",AR54,
IF(AND(テーブル!$B$3="変更申請",AR$26=0),0,
IF(AND(テーブル!$B$3="変更申請",AR$26&gt;=1),AR54,
IF(テーブル!$B$3="実績報告（１次）",AR54,
IF(AND(テーブル!$B$3="交付申請（２次）",AR$26=0),0,
IF(AND(テーブル!$B$3="交付申請（２次）",AR$26&gt;=1),AR54,
IF(AND(テーブル!$B$3="交付申請兼実績報告（２次）",AR$26=0),0,
IF(AND(テーブル!$B$3="交付申請兼実績報告（２次）",AR$26&gt;=1),AR54,
IF(AND(テーブル!$B$3="実績報告（２次）",AR$26=0),0,
IF(AND(テーブル!$B$3="実績報告（２次）",AR$26&gt;=1),AR54)))))))))),0)</f>
        <v>0</v>
      </c>
      <c r="AS32" s="1997">
        <f>IFERROR(
IF(テーブル!$B$3="交付申請",AS54,
IF(AND(テーブル!$B$3="変更申請",AS$26=0),0,
IF(AND(テーブル!$B$3="変更申請",AS$26&gt;=1),AS54,
IF(テーブル!$B$3="実績報告（１次）",AS54,
IF(AND(テーブル!$B$3="交付申請（２次）",AS$26=0),0,
IF(AND(テーブル!$B$3="交付申請（２次）",AS$26&gt;=1),AS54,
IF(AND(テーブル!$B$3="交付申請兼実績報告（２次）",AS$26=0),0,
IF(AND(テーブル!$B$3="交付申請兼実績報告（２次）",AS$26&gt;=1),AS54,
IF(AND(テーブル!$B$3="実績報告（２次）",AS$26=0),0,
IF(AND(テーブル!$B$3="実績報告（２次）",AS$26&gt;=1),AS54)))))))))),0)</f>
        <v>0</v>
      </c>
      <c r="AT32" s="1997">
        <f>IFERROR(
IF(テーブル!$B$3="交付申請",AT54,
IF(AND(テーブル!$B$3="変更申請",AT$26=0),0,
IF(AND(テーブル!$B$3="変更申請",AT$26&gt;=1),AT54,
IF(テーブル!$B$3="実績報告（１次）",AT54,
IF(AND(テーブル!$B$3="交付申請（２次）",AT$26=0),0,
IF(AND(テーブル!$B$3="交付申請（２次）",AT$26&gt;=1),AT54,
IF(AND(テーブル!$B$3="交付申請兼実績報告（２次）",AT$26=0),0,
IF(AND(テーブル!$B$3="交付申請兼実績報告（２次）",AT$26&gt;=1),AT54,
IF(AND(テーブル!$B$3="実績報告（２次）",AT$26=0),0,
IF(AND(テーブル!$B$3="実績報告（２次）",AT$26&gt;=1),AT54)))))))))),0)</f>
        <v>0</v>
      </c>
      <c r="AU32" s="1997">
        <f>IFERROR(
IF(テーブル!$B$3="交付申請",AU54,
IF(AND(テーブル!$B$3="変更申請",AU$26=0),0,
IF(AND(テーブル!$B$3="変更申請",AU$26&gt;=1),AU54,
IF(テーブル!$B$3="実績報告（１次）",AU54,
IF(AND(テーブル!$B$3="交付申請（２次）",AU$26=0),0,
IF(AND(テーブル!$B$3="交付申請（２次）",AU$26&gt;=1),AU54,
IF(AND(テーブル!$B$3="交付申請兼実績報告（２次）",AU$26=0),0,
IF(AND(テーブル!$B$3="交付申請兼実績報告（２次）",AU$26&gt;=1),AU54,
IF(AND(テーブル!$B$3="実績報告（２次）",AU$26=0),0,
IF(AND(テーブル!$B$3="実績報告（２次）",AU$26&gt;=1),AU54)))))))))),0)</f>
        <v>0</v>
      </c>
      <c r="AV32" s="1997">
        <f>IFERROR(
IF(テーブル!$B$3="交付申請",AV54,
IF(AND(テーブル!$B$3="変更申請",AV$26=0),0,
IF(AND(テーブル!$B$3="変更申請",AV$26&gt;=1),AV54,
IF(テーブル!$B$3="実績報告（１次）",AV54,
IF(AND(テーブル!$B$3="交付申請（２次）",AV$26=0),0,
IF(AND(テーブル!$B$3="交付申請（２次）",AV$26&gt;=1),AV54,
IF(AND(テーブル!$B$3="交付申請兼実績報告（２次）",AV$26=0),0,
IF(AND(テーブル!$B$3="交付申請兼実績報告（２次）",AV$26&gt;=1),AV54,
IF(AND(テーブル!$B$3="実績報告（２次）",AV$26=0),0,
IF(AND(テーブル!$B$3="実績報告（２次）",AV$26&gt;=1),AV54)))))))))),0)</f>
        <v>0</v>
      </c>
      <c r="AW32" s="1997">
        <f>IFERROR(
IF(テーブル!$B$3="交付申請",AW54,
IF(AND(テーブル!$B$3="変更申請",AW$26=0),0,
IF(AND(テーブル!$B$3="変更申請",AW$26&gt;=1),AW54,
IF(テーブル!$B$3="実績報告（１次）",AW54,
IF(AND(テーブル!$B$3="交付申請（２次）",AW$26=0),0,
IF(AND(テーブル!$B$3="交付申請（２次）",AW$26&gt;=1),AW54,
IF(AND(テーブル!$B$3="交付申請兼実績報告（２次）",AW$26=0),0,
IF(AND(テーブル!$B$3="交付申請兼実績報告（２次）",AW$26&gt;=1),AW54,
IF(AND(テーブル!$B$3="実績報告（２次）",AW$26=0),0,
IF(AND(テーブル!$B$3="実績報告（２次）",AW$26&gt;=1),AW54)))))))))),0)</f>
        <v>0</v>
      </c>
      <c r="AX32" s="1997">
        <f>IFERROR(
IF(テーブル!$B$3="交付申請",AX54,
IF(AND(テーブル!$B$3="変更申請",AX$26=0),0,
IF(AND(テーブル!$B$3="変更申請",AX$26&gt;=1),AX54,
IF(テーブル!$B$3="実績報告（１次）",AX54,
IF(AND(テーブル!$B$3="交付申請（２次）",AX$26=0),0,
IF(AND(テーブル!$B$3="交付申請（２次）",AX$26&gt;=1),AX54,
IF(AND(テーブル!$B$3="交付申請兼実績報告（２次）",AX$26=0),0,
IF(AND(テーブル!$B$3="交付申請兼実績報告（２次）",AX$26&gt;=1),AX54,
IF(AND(テーブル!$B$3="実績報告（２次）",AX$26=0),0,
IF(AND(テーブル!$B$3="実績報告（２次）",AX$26&gt;=1),AX54)))))))))),0)</f>
        <v>0</v>
      </c>
      <c r="AY32" s="1997">
        <f>IFERROR(
IF(テーブル!$B$3="交付申請",AY54,
IF(AND(テーブル!$B$3="変更申請",AY$26=0),0,
IF(AND(テーブル!$B$3="変更申請",AY$26&gt;=1),AY54,
IF(テーブル!$B$3="実績報告（１次）",AY54,
IF(AND(テーブル!$B$3="交付申請（２次）",AY$26=0),0,
IF(AND(テーブル!$B$3="交付申請（２次）",AY$26&gt;=1),AY54,
IF(AND(テーブル!$B$3="交付申請兼実績報告（２次）",AY$26=0),0,
IF(AND(テーブル!$B$3="交付申請兼実績報告（２次）",AY$26&gt;=1),AY54,
IF(AND(テーブル!$B$3="実績報告（２次）",AY$26=0),0,
IF(AND(テーブル!$B$3="実績報告（２次）",AY$26&gt;=1),AY54)))))))))),0)</f>
        <v>0</v>
      </c>
      <c r="AZ32" s="1997">
        <f>IFERROR(
IF(テーブル!$B$3="交付申請",AZ54,
IF(AND(テーブル!$B$3="変更申請",AZ$26=0),0,
IF(AND(テーブル!$B$3="変更申請",AZ$26&gt;=1),AZ54,
IF(テーブル!$B$3="実績報告（１次）",AZ54,
IF(AND(テーブル!$B$3="交付申請（２次）",AZ$26=0),0,
IF(AND(テーブル!$B$3="交付申請（２次）",AZ$26&gt;=1),AZ54,
IF(AND(テーブル!$B$3="交付申請兼実績報告（２次）",AZ$26=0),0,
IF(AND(テーブル!$B$3="交付申請兼実績報告（２次）",AZ$26&gt;=1),AZ54,
IF(AND(テーブル!$B$3="実績報告（２次）",AZ$26=0),0,
IF(AND(テーブル!$B$3="実績報告（２次）",AZ$26&gt;=1),AZ54)))))))))),0)</f>
        <v>0</v>
      </c>
      <c r="BA32" s="1997">
        <f>IFERROR(
IF(テーブル!$B$3="交付申請",BA54,
IF(AND(テーブル!$B$3="変更申請",BA$26=0),0,
IF(AND(テーブル!$B$3="変更申請",BA$26&gt;=1),BA54,
IF(テーブル!$B$3="実績報告（１次）",BA54,
IF(AND(テーブル!$B$3="交付申請（２次）",BA$26=0),0,
IF(AND(テーブル!$B$3="交付申請（２次）",BA$26&gt;=1),BA54,
IF(AND(テーブル!$B$3="交付申請兼実績報告（２次）",BA$26=0),0,
IF(AND(テーブル!$B$3="交付申請兼実績報告（２次）",BA$26&gt;=1),BA54,
IF(AND(テーブル!$B$3="実績報告（２次）",BA$26=0),0,
IF(AND(テーブル!$B$3="実績報告（２次）",BA$26&gt;=1),BA54)))))))))),0)</f>
        <v>0</v>
      </c>
      <c r="BB32" s="1997">
        <f>IFERROR(
IF(テーブル!$B$3="交付申請",BB54,
IF(AND(テーブル!$B$3="変更申請",BB$26=0),0,
IF(AND(テーブル!$B$3="変更申請",BB$26&gt;=1),BB54,
IF(テーブル!$B$3="実績報告（１次）",BB54,
IF(AND(テーブル!$B$3="交付申請（２次）",BB$26=0),0,
IF(AND(テーブル!$B$3="交付申請（２次）",BB$26&gt;=1),BB54,
IF(AND(テーブル!$B$3="交付申請兼実績報告（２次）",BB$26=0),0,
IF(AND(テーブル!$B$3="交付申請兼実績報告（２次）",BB$26&gt;=1),BB54,
IF(AND(テーブル!$B$3="実績報告（２次）",BB$26=0),0,
IF(AND(テーブル!$B$3="実績報告（２次）",BB$26&gt;=1),BB54)))))))))),0)</f>
        <v>0</v>
      </c>
      <c r="BC32" s="1997">
        <f>IFERROR(
IF(テーブル!$B$3="交付申請",BC54,
IF(AND(テーブル!$B$3="変更申請",BC$26=0),0,
IF(AND(テーブル!$B$3="変更申請",BC$26&gt;=1),BC54,
IF(テーブル!$B$3="実績報告（１次）",BC54,
IF(AND(テーブル!$B$3="交付申請（２次）",BC$26=0),0,
IF(AND(テーブル!$B$3="交付申請（２次）",BC$26&gt;=1),BC54,
IF(AND(テーブル!$B$3="交付申請兼実績報告（２次）",BC$26=0),0,
IF(AND(テーブル!$B$3="交付申請兼実績報告（２次）",BC$26&gt;=1),BC54,
IF(AND(テーブル!$B$3="実績報告（２次）",BC$26=0),0,
IF(AND(テーブル!$B$3="実績報告（２次）",BC$26&gt;=1),BC54)))))))))),0)</f>
        <v>0</v>
      </c>
      <c r="BD32" s="1997">
        <f>IFERROR(
IF(テーブル!$B$3="交付申請",BD54,
IF(AND(テーブル!$B$3="変更申請",BD$26=0),0,
IF(AND(テーブル!$B$3="変更申請",BD$26&gt;=1),BD54,
IF(テーブル!$B$3="実績報告（１次）",BD54,
IF(AND(テーブル!$B$3="交付申請（２次）",BD$26=0),0,
IF(AND(テーブル!$B$3="交付申請（２次）",BD$26&gt;=1),BD54,
IF(AND(テーブル!$B$3="交付申請兼実績報告（２次）",BD$26=0),0,
IF(AND(テーブル!$B$3="交付申請兼実績報告（２次）",BD$26&gt;=1),BD54,
IF(AND(テーブル!$B$3="実績報告（２次）",BD$26=0),0,
IF(AND(テーブル!$B$3="実績報告（２次）",BD$26&gt;=1),BD54)))))))))),0)</f>
        <v>0</v>
      </c>
      <c r="BE32" s="1997">
        <f>IFERROR(
IF(テーブル!$B$3="交付申請",BE54,
IF(AND(テーブル!$B$3="変更申請",BE$26=0),0,
IF(AND(テーブル!$B$3="変更申請",BE$26&gt;=1),BE54,
IF(テーブル!$B$3="実績報告（１次）",BE54,
IF(AND(テーブル!$B$3="交付申請（２次）",BE$26=0),0,
IF(AND(テーブル!$B$3="交付申請（２次）",BE$26&gt;=1),BE54,
IF(AND(テーブル!$B$3="交付申請兼実績報告（２次）",BE$26=0),0,
IF(AND(テーブル!$B$3="交付申請兼実績報告（２次）",BE$26&gt;=1),BE54,
IF(AND(テーブル!$B$3="実績報告（２次）",BE$26=0),0,
IF(AND(テーブル!$B$3="実績報告（２次）",BE$26&gt;=1),BE54)))))))))),0)</f>
        <v>0</v>
      </c>
      <c r="BF32" s="1997">
        <f>IFERROR(
IF(テーブル!$B$3="交付申請",BF54,
IF(AND(テーブル!$B$3="変更申請",BF$26=0),0,
IF(AND(テーブル!$B$3="変更申請",BF$26&gt;=1),BF54,
IF(テーブル!$B$3="実績報告（１次）",BF54,
IF(AND(テーブル!$B$3="交付申請（２次）",BF$26=0),0,
IF(AND(テーブル!$B$3="交付申請（２次）",BF$26&gt;=1),BF54,
IF(AND(テーブル!$B$3="交付申請兼実績報告（２次）",BF$26=0),0,
IF(AND(テーブル!$B$3="交付申請兼実績報告（２次）",BF$26&gt;=1),BF54,
IF(AND(テーブル!$B$3="実績報告（２次）",BF$26=0),0,
IF(AND(テーブル!$B$3="実績報告（２次）",BF$26&gt;=1),BF54)))))))))),0)</f>
        <v>0</v>
      </c>
      <c r="BG32" s="1997">
        <f>IFERROR(
IF(テーブル!$B$3="交付申請",BG54,
IF(AND(テーブル!$B$3="変更申請",BG$26=0),0,
IF(AND(テーブル!$B$3="変更申請",BG$26&gt;=1),BG54,
IF(テーブル!$B$3="実績報告（１次）",BG54,
IF(AND(テーブル!$B$3="交付申請（２次）",BG$26=0),0,
IF(AND(テーブル!$B$3="交付申請（２次）",BG$26&gt;=1),BG54,
IF(AND(テーブル!$B$3="交付申請兼実績報告（２次）",BG$26=0),0,
IF(AND(テーブル!$B$3="交付申請兼実績報告（２次）",BG$26&gt;=1),BG54,
IF(AND(テーブル!$B$3="実績報告（２次）",BG$26=0),0,
IF(AND(テーブル!$B$3="実績報告（２次）",BG$26&gt;=1),BG54)))))))))),0)</f>
        <v>0</v>
      </c>
      <c r="BH32" s="1997">
        <f>IFERROR(
IF(テーブル!$B$3="交付申請",BH54,
IF(AND(テーブル!$B$3="変更申請",BH$26=0),0,
IF(AND(テーブル!$B$3="変更申請",BH$26&gt;=1),BH54,
IF(テーブル!$B$3="実績報告（１次）",BH54,
IF(AND(テーブル!$B$3="交付申請（２次）",BH$26=0),0,
IF(AND(テーブル!$B$3="交付申請（２次）",BH$26&gt;=1),BH54,
IF(AND(テーブル!$B$3="交付申請兼実績報告（２次）",BH$26=0),0,
IF(AND(テーブル!$B$3="交付申請兼実績報告（２次）",BH$26&gt;=1),BH54,
IF(AND(テーブル!$B$3="実績報告（２次）",BH$26=0),0,
IF(AND(テーブル!$B$3="実績報告（２次）",BH$26&gt;=1),BH54)))))))))),0)</f>
        <v>0</v>
      </c>
      <c r="BI32" s="1997">
        <f>IFERROR(
IF(テーブル!$B$3="交付申請",BI54,
IF(AND(テーブル!$B$3="変更申請",BI$26=0),0,
IF(AND(テーブル!$B$3="変更申請",BI$26&gt;=1),BI54,
IF(テーブル!$B$3="実績報告（１次）",BI54,
IF(AND(テーブル!$B$3="交付申請（２次）",BI$26=0),0,
IF(AND(テーブル!$B$3="交付申請（２次）",BI$26&gt;=1),BI54,
IF(AND(テーブル!$B$3="交付申請兼実績報告（２次）",BI$26=0),0,
IF(AND(テーブル!$B$3="交付申請兼実績報告（２次）",BI$26&gt;=1),BI54,
IF(AND(テーブル!$B$3="実績報告（２次）",BI$26=0),0,
IF(AND(テーブル!$B$3="実績報告（２次）",BI$26&gt;=1),BI54)))))))))),0)</f>
        <v>0</v>
      </c>
      <c r="BJ32" s="1997">
        <f>IFERROR(
IF(テーブル!$B$3="交付申請",BJ54,
IF(AND(テーブル!$B$3="変更申請",BJ$26=0),0,
IF(AND(テーブル!$B$3="変更申請",BJ$26&gt;=1),BJ54,
IF(テーブル!$B$3="実績報告（１次）",BJ54,
IF(AND(テーブル!$B$3="交付申請（２次）",BJ$26=0),0,
IF(AND(テーブル!$B$3="交付申請（２次）",BJ$26&gt;=1),BJ54,
IF(AND(テーブル!$B$3="交付申請兼実績報告（２次）",BJ$26=0),0,
IF(AND(テーブル!$B$3="交付申請兼実績報告（２次）",BJ$26&gt;=1),BJ54,
IF(AND(テーブル!$B$3="実績報告（２次）",BJ$26=0),0,
IF(AND(テーブル!$B$3="実績報告（２次）",BJ$26&gt;=1),BJ54)))))))))),0)</f>
        <v>0</v>
      </c>
      <c r="BK32" s="1997">
        <f>IFERROR(
IF(テーブル!$B$3="交付申請",BK54,
IF(AND(テーブル!$B$3="変更申請",BK$26=0),0,
IF(AND(テーブル!$B$3="変更申請",BK$26&gt;=1),BK54,
IF(テーブル!$B$3="実績報告（１次）",BK54,
IF(AND(テーブル!$B$3="交付申請（２次）",BK$26=0),0,
IF(AND(テーブル!$B$3="交付申請（２次）",BK$26&gt;=1),BK54,
IF(AND(テーブル!$B$3="交付申請兼実績報告（２次）",BK$26=0),0,
IF(AND(テーブル!$B$3="交付申請兼実績報告（２次）",BK$26&gt;=1),BK54,
IF(AND(テーブル!$B$3="実績報告（２次）",BK$26=0),0,
IF(AND(テーブル!$B$3="実績報告（２次）",BK$26&gt;=1),BK54)))))))))),0)</f>
        <v>0</v>
      </c>
      <c r="BL32" s="1997">
        <f>IFERROR(
IF(テーブル!$B$3="交付申請",BL54,
IF(AND(テーブル!$B$3="変更申請",BL$26=0),0,
IF(AND(テーブル!$B$3="変更申請",BL$26&gt;=1),BL54,
IF(テーブル!$B$3="実績報告（１次）",BL54,
IF(AND(テーブル!$B$3="交付申請（２次）",BL$26=0),0,
IF(AND(テーブル!$B$3="交付申請（２次）",BL$26&gt;=1),BL54,
IF(AND(テーブル!$B$3="交付申請兼実績報告（２次）",BL$26=0),0,
IF(AND(テーブル!$B$3="交付申請兼実績報告（２次）",BL$26&gt;=1),BL54,
IF(AND(テーブル!$B$3="実績報告（２次）",BL$26=0),0,
IF(AND(テーブル!$B$3="実績報告（２次）",BL$26&gt;=1),BL54)))))))))),0)</f>
        <v>0</v>
      </c>
      <c r="BM32" s="1997">
        <f>IFERROR(
IF(テーブル!$B$3="交付申請",BM54,
IF(AND(テーブル!$B$3="変更申請",BM$26=0),0,
IF(AND(テーブル!$B$3="変更申請",BM$26&gt;=1),BM54,
IF(テーブル!$B$3="実績報告（１次）",BM54,
IF(AND(テーブル!$B$3="交付申請（２次）",BM$26=0),0,
IF(AND(テーブル!$B$3="交付申請（２次）",BM$26&gt;=1),BM54,
IF(AND(テーブル!$B$3="交付申請兼実績報告（２次）",BM$26=0),0,
IF(AND(テーブル!$B$3="交付申請兼実績報告（２次）",BM$26&gt;=1),BM54,
IF(AND(テーブル!$B$3="実績報告（２次）",BM$26=0),0,
IF(AND(テーブル!$B$3="実績報告（２次）",BM$26&gt;=1),BM54)))))))))),0)</f>
        <v>0</v>
      </c>
      <c r="BN32" s="1997">
        <f>IFERROR(
IF(テーブル!$B$3="交付申請",BN54,
IF(AND(テーブル!$B$3="変更申請",BN$26=0),0,
IF(AND(テーブル!$B$3="変更申請",BN$26&gt;=1),BN54,
IF(テーブル!$B$3="実績報告（１次）",BN54,
IF(AND(テーブル!$B$3="交付申請（２次）",BN$26=0),0,
IF(AND(テーブル!$B$3="交付申請（２次）",BN$26&gt;=1),BN54,
IF(AND(テーブル!$B$3="交付申請兼実績報告（２次）",BN$26=0),0,
IF(AND(テーブル!$B$3="交付申請兼実績報告（２次）",BN$26&gt;=1),BN54,
IF(AND(テーブル!$B$3="実績報告（２次）",BN$26=0),0,
IF(AND(テーブル!$B$3="実績報告（２次）",BN$26&gt;=1),BN54)))))))))),0)</f>
        <v>0</v>
      </c>
      <c r="BO32" s="1997">
        <f>IFERROR(
IF(テーブル!$B$3="交付申請",BO54,
IF(AND(テーブル!$B$3="変更申請",BO$26=0),0,
IF(AND(テーブル!$B$3="変更申請",BO$26&gt;=1),BO54,
IF(テーブル!$B$3="実績報告（１次）",BO54,
IF(AND(テーブル!$B$3="交付申請（２次）",BO$26=0),0,
IF(AND(テーブル!$B$3="交付申請（２次）",BO$26&gt;=1),BO54,
IF(AND(テーブル!$B$3="交付申請兼実績報告（２次）",BO$26=0),0,
IF(AND(テーブル!$B$3="交付申請兼実績報告（２次）",BO$26&gt;=1),BO54,
IF(AND(テーブル!$B$3="実績報告（２次）",BO$26=0),0,
IF(AND(テーブル!$B$3="実績報告（２次）",BO$26&gt;=1),BO54)))))))))),0)</f>
        <v>0</v>
      </c>
      <c r="BP32" s="1997">
        <f>IFERROR(
IF(テーブル!$B$3="交付申請",BP54,
IF(AND(テーブル!$B$3="変更申請",BP$26=0),0,
IF(AND(テーブル!$B$3="変更申請",BP$26&gt;=1),BP54,
IF(テーブル!$B$3="実績報告（１次）",BP54,
IF(AND(テーブル!$B$3="交付申請（２次）",BP$26=0),0,
IF(AND(テーブル!$B$3="交付申請（２次）",BP$26&gt;=1),BP54,
IF(AND(テーブル!$B$3="交付申請兼実績報告（２次）",BP$26=0),0,
IF(AND(テーブル!$B$3="交付申請兼実績報告（２次）",BP$26&gt;=1),BP54,
IF(AND(テーブル!$B$3="実績報告（２次）",BP$26=0),0,
IF(AND(テーブル!$B$3="実績報告（２次）",BP$26&gt;=1),BP54)))))))))),0)</f>
        <v>0</v>
      </c>
      <c r="BQ32" s="1997">
        <f>IFERROR(
IF(テーブル!$B$3="交付申請",BQ54,
IF(AND(テーブル!$B$3="変更申請",BQ$26=0),0,
IF(AND(テーブル!$B$3="変更申請",BQ$26&gt;=1),BQ54,
IF(テーブル!$B$3="実績報告（１次）",BQ54,
IF(AND(テーブル!$B$3="交付申請（２次）",BQ$26=0),0,
IF(AND(テーブル!$B$3="交付申請（２次）",BQ$26&gt;=1),BQ54,
IF(AND(テーブル!$B$3="交付申請兼実績報告（２次）",BQ$26=0),0,
IF(AND(テーブル!$B$3="交付申請兼実績報告（２次）",BQ$26&gt;=1),BQ54,
IF(AND(テーブル!$B$3="実績報告（２次）",BQ$26=0),0,
IF(AND(テーブル!$B$3="実績報告（２次）",BQ$26&gt;=1),BQ54)))))))))),0)</f>
        <v>0</v>
      </c>
      <c r="BR32" s="1997">
        <f>IFERROR(
IF(テーブル!$B$3="交付申請",BR54,
IF(AND(テーブル!$B$3="変更申請",BR$26=0),0,
IF(AND(テーブル!$B$3="変更申請",BR$26&gt;=1),BR54,
IF(テーブル!$B$3="実績報告（１次）",BR54,
IF(AND(テーブル!$B$3="交付申請（２次）",BR$26=0),0,
IF(AND(テーブル!$B$3="交付申請（２次）",BR$26&gt;=1),BR54,
IF(AND(テーブル!$B$3="交付申請兼実績報告（２次）",BR$26=0),0,
IF(AND(テーブル!$B$3="交付申請兼実績報告（２次）",BR$26&gt;=1),BR54,
IF(AND(テーブル!$B$3="実績報告（２次）",BR$26=0),0,
IF(AND(テーブル!$B$3="実績報告（２次）",BR$26&gt;=1),BR54)))))))))),0)</f>
        <v>0</v>
      </c>
      <c r="BS32" s="1997">
        <f>IFERROR(
IF(テーブル!$B$3="交付申請",BS54,
IF(AND(テーブル!$B$3="変更申請",BS$26=0),0,
IF(AND(テーブル!$B$3="変更申請",BS$26&gt;=1),BS54,
IF(テーブル!$B$3="実績報告（１次）",BS54,
IF(AND(テーブル!$B$3="交付申請（２次）",BS$26=0),0,
IF(AND(テーブル!$B$3="交付申請（２次）",BS$26&gt;=1),BS54,
IF(AND(テーブル!$B$3="交付申請兼実績報告（２次）",BS$26=0),0,
IF(AND(テーブル!$B$3="交付申請兼実績報告（２次）",BS$26&gt;=1),BS54,
IF(AND(テーブル!$B$3="実績報告（２次）",BS$26=0),0,
IF(AND(テーブル!$B$3="実績報告（２次）",BS$26&gt;=1),BS54)))))))))),0)</f>
        <v>0</v>
      </c>
      <c r="BT32" s="1997">
        <f>IFERROR(
IF(テーブル!$B$3="交付申請",BT54,
IF(AND(テーブル!$B$3="変更申請",BT$26=0),0,
IF(AND(テーブル!$B$3="変更申請",BT$26&gt;=1),BT54,
IF(テーブル!$B$3="実績報告（１次）",BT54,
IF(AND(テーブル!$B$3="交付申請（２次）",BT$26=0),0,
IF(AND(テーブル!$B$3="交付申請（２次）",BT$26&gt;=1),BT54,
IF(AND(テーブル!$B$3="交付申請兼実績報告（２次）",BT$26=0),0,
IF(AND(テーブル!$B$3="交付申請兼実績報告（２次）",BT$26&gt;=1),BT54,
IF(AND(テーブル!$B$3="実績報告（２次）",BT$26=0),0,
IF(AND(テーブル!$B$3="実績報告（２次）",BT$26&gt;=1),BT54)))))))))),0)</f>
        <v>0</v>
      </c>
      <c r="BU32" s="1997">
        <f>IFERROR(
IF(テーブル!$B$3="交付申請",BU54,
IF(AND(テーブル!$B$3="変更申請",BU$26=0),0,
IF(AND(テーブル!$B$3="変更申請",BU$26&gt;=1),BU54,
IF(テーブル!$B$3="実績報告（１次）",BU54,
IF(AND(テーブル!$B$3="交付申請（２次）",BU$26=0),0,
IF(AND(テーブル!$B$3="交付申請（２次）",BU$26&gt;=1),BU54,
IF(AND(テーブル!$B$3="交付申請兼実績報告（２次）",BU$26=0),0,
IF(AND(テーブル!$B$3="交付申請兼実績報告（２次）",BU$26&gt;=1),BU54,
IF(AND(テーブル!$B$3="実績報告（２次）",BU$26=0),0,
IF(AND(テーブル!$B$3="実績報告（２次）",BU$26&gt;=1),BU54)))))))))),0)</f>
        <v>0</v>
      </c>
      <c r="BV32" s="1997">
        <f>IFERROR(
IF(テーブル!$B$3="交付申請",BV54,
IF(AND(テーブル!$B$3="変更申請",BV$26=0),0,
IF(AND(テーブル!$B$3="変更申請",BV$26&gt;=1),BV54,
IF(テーブル!$B$3="実績報告（１次）",BV54,
IF(AND(テーブル!$B$3="交付申請（２次）",BV$26=0),0,
IF(AND(テーブル!$B$3="交付申請（２次）",BV$26&gt;=1),BV54,
IF(AND(テーブル!$B$3="交付申請兼実績報告（２次）",BV$26=0),0,
IF(AND(テーブル!$B$3="交付申請兼実績報告（２次）",BV$26&gt;=1),BV54,
IF(AND(テーブル!$B$3="実績報告（２次）",BV$26=0),0,
IF(AND(テーブル!$B$3="実績報告（２次）",BV$26&gt;=1),BV54)))))))))),0)</f>
        <v>0</v>
      </c>
      <c r="BW32" s="1997">
        <f>IFERROR(
IF(テーブル!$B$3="交付申請",BW54,
IF(AND(テーブル!$B$3="変更申請",BW$26=0),0,
IF(AND(テーブル!$B$3="変更申請",BW$26&gt;=1),BW54,
IF(テーブル!$B$3="実績報告（１次）",BW54,
IF(AND(テーブル!$B$3="交付申請（２次）",BW$26=0),0,
IF(AND(テーブル!$B$3="交付申請（２次）",BW$26&gt;=1),BW54,
IF(AND(テーブル!$B$3="交付申請兼実績報告（２次）",BW$26=0),0,
IF(AND(テーブル!$B$3="交付申請兼実績報告（２次）",BW$26&gt;=1),BW54,
IF(AND(テーブル!$B$3="実績報告（２次）",BW$26=0),0,
IF(AND(テーブル!$B$3="実績報告（２次）",BW$26&gt;=1),BW54)))))))))),0)</f>
        <v>0</v>
      </c>
      <c r="BX32" s="1997">
        <f>IFERROR(
IF(テーブル!$B$3="交付申請",BX54,
IF(AND(テーブル!$B$3="変更申請",BX$26=0),0,
IF(AND(テーブル!$B$3="変更申請",BX$26&gt;=1),BX54,
IF(テーブル!$B$3="実績報告（１次）",BX54,
IF(AND(テーブル!$B$3="交付申請（２次）",BX$26=0),0,
IF(AND(テーブル!$B$3="交付申請（２次）",BX$26&gt;=1),BX54,
IF(AND(テーブル!$B$3="交付申請兼実績報告（２次）",BX$26=0),0,
IF(AND(テーブル!$B$3="交付申請兼実績報告（２次）",BX$26&gt;=1),BX54,
IF(AND(テーブル!$B$3="実績報告（２次）",BX$26=0),0,
IF(AND(テーブル!$B$3="実績報告（２次）",BX$26&gt;=1),BX54)))))))))),0)</f>
        <v>0</v>
      </c>
      <c r="BY32" s="1997">
        <f>IFERROR(
IF(テーブル!$B$3="交付申請",BY54,
IF(AND(テーブル!$B$3="変更申請",BY$26=0),0,
IF(AND(テーブル!$B$3="変更申請",BY$26&gt;=1),BY54,
IF(テーブル!$B$3="実績報告（１次）",BY54,
IF(AND(テーブル!$B$3="交付申請（２次）",BY$26=0),0,
IF(AND(テーブル!$B$3="交付申請（２次）",BY$26&gt;=1),BY54,
IF(AND(テーブル!$B$3="交付申請兼実績報告（２次）",BY$26=0),0,
IF(AND(テーブル!$B$3="交付申請兼実績報告（２次）",BY$26&gt;=1),BY54,
IF(AND(テーブル!$B$3="実績報告（２次）",BY$26=0),0,
IF(AND(テーブル!$B$3="実績報告（２次）",BY$26&gt;=1),BY54)))))))))),0)</f>
        <v>0</v>
      </c>
      <c r="BZ32" s="1997">
        <f>IFERROR(
IF(テーブル!$B$3="交付申請",BZ54,
IF(AND(テーブル!$B$3="変更申請",BZ$26=0),0,
IF(AND(テーブル!$B$3="変更申請",BZ$26&gt;=1),BZ54,
IF(テーブル!$B$3="実績報告（１次）",BZ54,
IF(AND(テーブル!$B$3="交付申請（２次）",BZ$26=0),0,
IF(AND(テーブル!$B$3="交付申請（２次）",BZ$26&gt;=1),BZ54,
IF(AND(テーブル!$B$3="交付申請兼実績報告（２次）",BZ$26=0),0,
IF(AND(テーブル!$B$3="交付申請兼実績報告（２次）",BZ$26&gt;=1),BZ54,
IF(AND(テーブル!$B$3="実績報告（２次）",BZ$26=0),0,
IF(AND(テーブル!$B$3="実績報告（２次）",BZ$26&gt;=1),BZ54)))))))))),0)</f>
        <v>0</v>
      </c>
      <c r="CA32" s="1997">
        <f>IFERROR(
IF(テーブル!$B$3="交付申請",CA54,
IF(AND(テーブル!$B$3="変更申請",CA$26=0),0,
IF(AND(テーブル!$B$3="変更申請",CA$26&gt;=1),CA54,
IF(テーブル!$B$3="実績報告（１次）",CA54,
IF(AND(テーブル!$B$3="交付申請（２次）",CA$26=0),0,
IF(AND(テーブル!$B$3="交付申請（２次）",CA$26&gt;=1),CA54,
IF(AND(テーブル!$B$3="交付申請兼実績報告（２次）",CA$26=0),0,
IF(AND(テーブル!$B$3="交付申請兼実績報告（２次）",CA$26&gt;=1),CA54,
IF(AND(テーブル!$B$3="実績報告（２次）",CA$26=0),0,
IF(AND(テーブル!$B$3="実績報告（２次）",CA$26&gt;=1),CA54)))))))))),0)</f>
        <v>0</v>
      </c>
      <c r="CB32" s="1997">
        <f>IFERROR(
IF(テーブル!$B$3="交付申請",CB54,
IF(AND(テーブル!$B$3="変更申請",CB$26=0),0,
IF(AND(テーブル!$B$3="変更申請",CB$26&gt;=1),CB54,
IF(テーブル!$B$3="実績報告（１次）",CB54,
IF(AND(テーブル!$B$3="交付申請（２次）",CB$26=0),0,
IF(AND(テーブル!$B$3="交付申請（２次）",CB$26&gt;=1),CB54,
IF(AND(テーブル!$B$3="交付申請兼実績報告（２次）",CB$26=0),0,
IF(AND(テーブル!$B$3="交付申請兼実績報告（２次）",CB$26&gt;=1),CB54,
IF(AND(テーブル!$B$3="実績報告（２次）",CB$26=0),0,
IF(AND(テーブル!$B$3="実績報告（２次）",CB$26&gt;=1),CB54)))))))))),0)</f>
        <v>0</v>
      </c>
      <c r="CC32" s="1997">
        <f>IFERROR(
IF(テーブル!$B$3="交付申請",CC54,
IF(AND(テーブル!$B$3="変更申請",CC$26=0),0,
IF(AND(テーブル!$B$3="変更申請",CC$26&gt;=1),CC54,
IF(テーブル!$B$3="実績報告（１次）",CC54,
IF(AND(テーブル!$B$3="交付申請（２次）",CC$26=0),0,
IF(AND(テーブル!$B$3="交付申請（２次）",CC$26&gt;=1),CC54,
IF(AND(テーブル!$B$3="交付申請兼実績報告（２次）",CC$26=0),0,
IF(AND(テーブル!$B$3="交付申請兼実績報告（２次）",CC$26&gt;=1),CC54,
IF(AND(テーブル!$B$3="実績報告（２次）",CC$26=0),0,
IF(AND(テーブル!$B$3="実績報告（２次）",CC$26&gt;=1),CC54)))))))))),0)</f>
        <v>0</v>
      </c>
      <c r="CD32" s="1997">
        <f>IFERROR(
IF(テーブル!$B$3="交付申請",CD54,
IF(AND(テーブル!$B$3="変更申請",CD$26=0),0,
IF(AND(テーブル!$B$3="変更申請",CD$26&gt;=1),CD54,
IF(テーブル!$B$3="実績報告（１次）",CD54,
IF(AND(テーブル!$B$3="交付申請（２次）",CD$26=0),0,
IF(AND(テーブル!$B$3="交付申請（２次）",CD$26&gt;=1),CD54,
IF(AND(テーブル!$B$3="交付申請兼実績報告（２次）",CD$26=0),0,
IF(AND(テーブル!$B$3="交付申請兼実績報告（２次）",CD$26&gt;=1),CD54,
IF(AND(テーブル!$B$3="実績報告（２次）",CD$26=0),0,
IF(AND(テーブル!$B$3="実績報告（２次）",CD$26&gt;=1),CD54)))))))))),0)</f>
        <v>0</v>
      </c>
      <c r="CE32" s="1997">
        <f>IFERROR(
IF(テーブル!$B$3="交付申請",CE54,
IF(AND(テーブル!$B$3="変更申請",CE$26=0),0,
IF(AND(テーブル!$B$3="変更申請",CE$26&gt;=1),CE54,
IF(テーブル!$B$3="実績報告（１次）",CE54,
IF(AND(テーブル!$B$3="交付申請（２次）",CE$26=0),0,
IF(AND(テーブル!$B$3="交付申請（２次）",CE$26&gt;=1),CE54,
IF(AND(テーブル!$B$3="交付申請兼実績報告（２次）",CE$26=0),0,
IF(AND(テーブル!$B$3="交付申請兼実績報告（２次）",CE$26&gt;=1),CE54,
IF(AND(テーブル!$B$3="実績報告（２次）",CE$26=0),0,
IF(AND(テーブル!$B$3="実績報告（２次）",CE$26&gt;=1),CE54)))))))))),0)</f>
        <v>0</v>
      </c>
      <c r="CF32" s="1997">
        <f>IFERROR(
IF(テーブル!$B$3="交付申請",CF54,
IF(AND(テーブル!$B$3="変更申請",CF$26=0),0,
IF(AND(テーブル!$B$3="変更申請",CF$26&gt;=1),CF54,
IF(テーブル!$B$3="実績報告（１次）",CF54,
IF(AND(テーブル!$B$3="交付申請（２次）",CF$26=0),0,
IF(AND(テーブル!$B$3="交付申請（２次）",CF$26&gt;=1),CF54,
IF(AND(テーブル!$B$3="交付申請兼実績報告（２次）",CF$26=0),0,
IF(AND(テーブル!$B$3="交付申請兼実績報告（２次）",CF$26&gt;=1),CF54,
IF(AND(テーブル!$B$3="実績報告（２次）",CF$26=0),0,
IF(AND(テーブル!$B$3="実績報告（２次）",CF$26&gt;=1),CF54)))))))))),0)</f>
        <v>0</v>
      </c>
      <c r="CG32" s="1997">
        <f>IFERROR(
IF(テーブル!$B$3="交付申請",CG54,
IF(AND(テーブル!$B$3="変更申請",CG$26=0),0,
IF(AND(テーブル!$B$3="変更申請",CG$26&gt;=1),CG54,
IF(テーブル!$B$3="実績報告（１次）",CG54,
IF(AND(テーブル!$B$3="交付申請（２次）",CG$26=0),0,
IF(AND(テーブル!$B$3="交付申請（２次）",CG$26&gt;=1),CG54,
IF(AND(テーブル!$B$3="交付申請兼実績報告（２次）",CG$26=0),0,
IF(AND(テーブル!$B$3="交付申請兼実績報告（２次）",CG$26&gt;=1),CG54,
IF(AND(テーブル!$B$3="実績報告（２次）",CG$26=0),0,
IF(AND(テーブル!$B$3="実績報告（２次）",CG$26&gt;=1),CG54)))))))))),0)</f>
        <v>0</v>
      </c>
      <c r="CH32" s="1997">
        <f>IFERROR(
IF(テーブル!$B$3="交付申請",CH54,
IF(AND(テーブル!$B$3="変更申請",CH$26=0),0,
IF(AND(テーブル!$B$3="変更申請",CH$26&gt;=1),CH54,
IF(テーブル!$B$3="実績報告（１次）",CH54,
IF(AND(テーブル!$B$3="交付申請（２次）",CH$26=0),0,
IF(AND(テーブル!$B$3="交付申請（２次）",CH$26&gt;=1),CH54,
IF(AND(テーブル!$B$3="交付申請兼実績報告（２次）",CH$26=0),0,
IF(AND(テーブル!$B$3="交付申請兼実績報告（２次）",CH$26&gt;=1),CH54,
IF(AND(テーブル!$B$3="実績報告（２次）",CH$26=0),0,
IF(AND(テーブル!$B$3="実績報告（２次）",CH$26&gt;=1),CH54)))))))))),0)</f>
        <v>0</v>
      </c>
      <c r="CI32" s="1997">
        <f>IFERROR(
IF(テーブル!$B$3="交付申請",CI54,
IF(AND(テーブル!$B$3="変更申請",CI$26=0),0,
IF(AND(テーブル!$B$3="変更申請",CI$26&gt;=1),CI54,
IF(テーブル!$B$3="実績報告（１次）",CI54,
IF(AND(テーブル!$B$3="交付申請（２次）",CI$26=0),0,
IF(AND(テーブル!$B$3="交付申請（２次）",CI$26&gt;=1),CI54,
IF(AND(テーブル!$B$3="交付申請兼実績報告（２次）",CI$26=0),0,
IF(AND(テーブル!$B$3="交付申請兼実績報告（２次）",CI$26&gt;=1),CI54,
IF(AND(テーブル!$B$3="実績報告（２次）",CI$26=0),0,
IF(AND(テーブル!$B$3="実績報告（２次）",CI$26&gt;=1),CI54)))))))))),0)</f>
        <v>0</v>
      </c>
      <c r="CJ32" s="1997">
        <f>IFERROR(
IF(テーブル!$B$3="交付申請",CJ54,
IF(AND(テーブル!$B$3="変更申請",CJ$26=0),0,
IF(AND(テーブル!$B$3="変更申請",CJ$26&gt;=1),CJ54,
IF(テーブル!$B$3="実績報告（１次）",CJ54,
IF(AND(テーブル!$B$3="交付申請（２次）",CJ$26=0),0,
IF(AND(テーブル!$B$3="交付申請（２次）",CJ$26&gt;=1),CJ54,
IF(AND(テーブル!$B$3="交付申請兼実績報告（２次）",CJ$26=0),0,
IF(AND(テーブル!$B$3="交付申請兼実績報告（２次）",CJ$26&gt;=1),CJ54,
IF(AND(テーブル!$B$3="実績報告（２次）",CJ$26=0),0,
IF(AND(テーブル!$B$3="実績報告（２次）",CJ$26&gt;=1),CJ54)))))))))),0)</f>
        <v>0</v>
      </c>
      <c r="CK32" s="1997">
        <f>IFERROR(
IF(テーブル!$B$3="交付申請",CK54,
IF(AND(テーブル!$B$3="変更申請",CK$26=0),0,
IF(AND(テーブル!$B$3="変更申請",CK$26&gt;=1),CK54,
IF(テーブル!$B$3="実績報告（１次）",CK54,
IF(AND(テーブル!$B$3="交付申請（２次）",CK$26=0),0,
IF(AND(テーブル!$B$3="交付申請（２次）",CK$26&gt;=1),CK54,
IF(AND(テーブル!$B$3="交付申請兼実績報告（２次）",CK$26=0),0,
IF(AND(テーブル!$B$3="交付申請兼実績報告（２次）",CK$26&gt;=1),CK54,
IF(AND(テーブル!$B$3="実績報告（２次）",CK$26=0),0,
IF(AND(テーブル!$B$3="実績報告（２次）",CK$26&gt;=1),CK54)))))))))),0)</f>
        <v>0</v>
      </c>
      <c r="CL32" s="1997">
        <f>IFERROR(
IF(テーブル!$B$3="交付申請",CL54,
IF(AND(テーブル!$B$3="変更申請",CL$26=0),0,
IF(AND(テーブル!$B$3="変更申請",CL$26&gt;=1),CL54,
IF(テーブル!$B$3="実績報告（１次）",CL54,
IF(AND(テーブル!$B$3="交付申請（２次）",CL$26=0),0,
IF(AND(テーブル!$B$3="交付申請（２次）",CL$26&gt;=1),CL54,
IF(AND(テーブル!$B$3="交付申請兼実績報告（２次）",CL$26=0),0,
IF(AND(テーブル!$B$3="交付申請兼実績報告（２次）",CL$26&gt;=1),CL54,
IF(AND(テーブル!$B$3="実績報告（２次）",CL$26=0),0,
IF(AND(テーブル!$B$3="実績報告（２次）",CL$26&gt;=1),CL54)))))))))),0)</f>
        <v>0</v>
      </c>
      <c r="CM32" s="1997">
        <f>IFERROR(
IF(テーブル!$B$3="交付申請",CM54,
IF(AND(テーブル!$B$3="変更申請",CM$26=0),0,
IF(AND(テーブル!$B$3="変更申請",CM$26&gt;=1),CM54,
IF(テーブル!$B$3="実績報告（１次）",CM54,
IF(AND(テーブル!$B$3="交付申請（２次）",CM$26=0),0,
IF(AND(テーブル!$B$3="交付申請（２次）",CM$26&gt;=1),CM54,
IF(AND(テーブル!$B$3="交付申請兼実績報告（２次）",CM$26=0),0,
IF(AND(テーブル!$B$3="交付申請兼実績報告（２次）",CM$26&gt;=1),CM54,
IF(AND(テーブル!$B$3="実績報告（２次）",CM$26=0),0,
IF(AND(テーブル!$B$3="実績報告（２次）",CM$26&gt;=1),CM54)))))))))),0)</f>
        <v>0</v>
      </c>
      <c r="CN32" s="1997">
        <f>IFERROR(
IF(テーブル!$B$3="交付申請",CN54,
IF(AND(テーブル!$B$3="変更申請",CN$26=0),0,
IF(AND(テーブル!$B$3="変更申請",CN$26&gt;=1),CN54,
IF(テーブル!$B$3="実績報告（１次）",CN54,
IF(AND(テーブル!$B$3="交付申請（２次）",CN$26=0),0,
IF(AND(テーブル!$B$3="交付申請（２次）",CN$26&gt;=1),CN54,
IF(AND(テーブル!$B$3="交付申請兼実績報告（２次）",CN$26=0),0,
IF(AND(テーブル!$B$3="交付申請兼実績報告（２次）",CN$26&gt;=1),CN54,
IF(AND(テーブル!$B$3="実績報告（２次）",CN$26=0),0,
IF(AND(テーブル!$B$3="実績報告（２次）",CN$26&gt;=1),CN54)))))))))),0)</f>
        <v>0</v>
      </c>
      <c r="CO32" s="1997">
        <f>IFERROR(
IF(テーブル!$B$3="交付申請",CO54,
IF(AND(テーブル!$B$3="変更申請",CO$26=0),0,
IF(AND(テーブル!$B$3="変更申請",CO$26&gt;=1),CO54,
IF(テーブル!$B$3="実績報告（１次）",CO54,
IF(AND(テーブル!$B$3="交付申請（２次）",CO$26=0),0,
IF(AND(テーブル!$B$3="交付申請（２次）",CO$26&gt;=1),CO54,
IF(AND(テーブル!$B$3="交付申請兼実績報告（２次）",CO$26=0),0,
IF(AND(テーブル!$B$3="交付申請兼実績報告（２次）",CO$26&gt;=1),CO54,
IF(AND(テーブル!$B$3="実績報告（２次）",CO$26=0),0,
IF(AND(テーブル!$B$3="実績報告（２次）",CO$26&gt;=1),CO54)))))))))),0)</f>
        <v>0</v>
      </c>
      <c r="CP32" s="1997">
        <f>IFERROR(
IF(テーブル!$B$3="交付申請",CP54,
IF(AND(テーブル!$B$3="変更申請",CP$26=0),0,
IF(AND(テーブル!$B$3="変更申請",CP$26&gt;=1),CP54,
IF(テーブル!$B$3="実績報告（１次）",CP54,
IF(AND(テーブル!$B$3="交付申請（２次）",CP$26=0),0,
IF(AND(テーブル!$B$3="交付申請（２次）",CP$26&gt;=1),CP54,
IF(AND(テーブル!$B$3="交付申請兼実績報告（２次）",CP$26=0),0,
IF(AND(テーブル!$B$3="交付申請兼実績報告（２次）",CP$26&gt;=1),CP54,
IF(AND(テーブル!$B$3="実績報告（２次）",CP$26=0),0,
IF(AND(テーブル!$B$3="実績報告（２次）",CP$26&gt;=1),CP54)))))))))),0)</f>
        <v>0</v>
      </c>
      <c r="CQ32" s="1997">
        <f>IFERROR(
IF(テーブル!$B$3="交付申請",CQ54,
IF(AND(テーブル!$B$3="変更申請",CQ$26=0),0,
IF(AND(テーブル!$B$3="変更申請",CQ$26&gt;=1),CQ54,
IF(テーブル!$B$3="実績報告（１次）",CQ54,
IF(AND(テーブル!$B$3="交付申請（２次）",CQ$26=0),0,
IF(AND(テーブル!$B$3="交付申請（２次）",CQ$26&gt;=1),CQ54,
IF(AND(テーブル!$B$3="交付申請兼実績報告（２次）",CQ$26=0),0,
IF(AND(テーブル!$B$3="交付申請兼実績報告（２次）",CQ$26&gt;=1),CQ54,
IF(AND(テーブル!$B$3="実績報告（２次）",CQ$26=0),0,
IF(AND(テーブル!$B$3="実績報告（２次）",CQ$26&gt;=1),CQ54)))))))))),0)</f>
        <v>0</v>
      </c>
      <c r="CR32" s="1997">
        <f>IFERROR(
IF(テーブル!$B$3="交付申請",CR54,
IF(AND(テーブル!$B$3="変更申請",CR$26=0),0,
IF(AND(テーブル!$B$3="変更申請",CR$26&gt;=1),CR54,
IF(テーブル!$B$3="実績報告（１次）",CR54,
IF(AND(テーブル!$B$3="交付申請（２次）",CR$26=0),0,
IF(AND(テーブル!$B$3="交付申請（２次）",CR$26&gt;=1),CR54,
IF(AND(テーブル!$B$3="交付申請兼実績報告（２次）",CR$26=0),0,
IF(AND(テーブル!$B$3="交付申請兼実績報告（２次）",CR$26&gt;=1),CR54,
IF(AND(テーブル!$B$3="実績報告（２次）",CR$26=0),0,
IF(AND(テーブル!$B$3="実績報告（２次）",CR$26&gt;=1),CR54)))))))))),0)</f>
        <v>0</v>
      </c>
      <c r="CS32" s="1997">
        <f>IFERROR(
IF(テーブル!$B$3="交付申請",CS54,
IF(AND(テーブル!$B$3="変更申請",CS$26=0),0,
IF(AND(テーブル!$B$3="変更申請",CS$26&gt;=1),CS54,
IF(テーブル!$B$3="実績報告（１次）",CS54,
IF(AND(テーブル!$B$3="交付申請（２次）",CS$26=0),0,
IF(AND(テーブル!$B$3="交付申請（２次）",CS$26&gt;=1),CS54,
IF(AND(テーブル!$B$3="交付申請兼実績報告（２次）",CS$26=0),0,
IF(AND(テーブル!$B$3="交付申請兼実績報告（２次）",CS$26&gt;=1),CS54,
IF(AND(テーブル!$B$3="実績報告（２次）",CS$26=0),0,
IF(AND(テーブル!$B$3="実績報告（２次）",CS$26&gt;=1),CS54)))))))))),0)</f>
        <v>0</v>
      </c>
      <c r="CT32" s="1997">
        <f>IFERROR(
IF(テーブル!$B$3="交付申請",CT54,
IF(AND(テーブル!$B$3="変更申請",CT$26=0),0,
IF(AND(テーブル!$B$3="変更申請",CT$26&gt;=1),CT54,
IF(テーブル!$B$3="実績報告（１次）",CT54,
IF(AND(テーブル!$B$3="交付申請（２次）",CT$26=0),0,
IF(AND(テーブル!$B$3="交付申請（２次）",CT$26&gt;=1),CT54,
IF(AND(テーブル!$B$3="交付申請兼実績報告（２次）",CT$26=0),0,
IF(AND(テーブル!$B$3="交付申請兼実績報告（２次）",CT$26&gt;=1),CT54,
IF(AND(テーブル!$B$3="実績報告（２次）",CT$26=0),0,
IF(AND(テーブル!$B$3="実績報告（２次）",CT$26&gt;=1),CT54)))))))))),0)</f>
        <v>0</v>
      </c>
      <c r="CU32" s="1997">
        <f>IFERROR(
IF(テーブル!$B$3="交付申請",CU54,
IF(AND(テーブル!$B$3="変更申請",CU$26=0),0,
IF(AND(テーブル!$B$3="変更申請",CU$26&gt;=1),CU54,
IF(テーブル!$B$3="実績報告（１次）",CU54,
IF(AND(テーブル!$B$3="交付申請（２次）",CU$26=0),0,
IF(AND(テーブル!$B$3="交付申請（２次）",CU$26&gt;=1),CU54,
IF(AND(テーブル!$B$3="交付申請兼実績報告（２次）",CU$26=0),0,
IF(AND(テーブル!$B$3="交付申請兼実績報告（２次）",CU$26&gt;=1),CU54,
IF(AND(テーブル!$B$3="実績報告（２次）",CU$26=0),0,
IF(AND(テーブル!$B$3="実績報告（２次）",CU$26&gt;=1),CU54)))))))))),0)</f>
        <v>0</v>
      </c>
      <c r="CV32" s="1997">
        <f>IFERROR(
IF(テーブル!$B$3="交付申請",CV54,
IF(AND(テーブル!$B$3="変更申請",CV$26=0),0,
IF(AND(テーブル!$B$3="変更申請",CV$26&gt;=1),CV54,
IF(テーブル!$B$3="実績報告（１次）",CV54,
IF(AND(テーブル!$B$3="交付申請（２次）",CV$26=0),0,
IF(AND(テーブル!$B$3="交付申請（２次）",CV$26&gt;=1),CV54,
IF(AND(テーブル!$B$3="交付申請兼実績報告（２次）",CV$26=0),0,
IF(AND(テーブル!$B$3="交付申請兼実績報告（２次）",CV$26&gt;=1),CV54,
IF(AND(テーブル!$B$3="実績報告（２次）",CV$26=0),0,
IF(AND(テーブル!$B$3="実績報告（２次）",CV$26&gt;=1),CV54)))))))))),0)</f>
        <v>0</v>
      </c>
      <c r="CW32" s="1997">
        <f>IFERROR(
IF(テーブル!$B$3="交付申請",CW54,
IF(AND(テーブル!$B$3="変更申請",CW$26=0),0,
IF(AND(テーブル!$B$3="変更申請",CW$26&gt;=1),CW54,
IF(テーブル!$B$3="実績報告（１次）",CW54,
IF(AND(テーブル!$B$3="交付申請（２次）",CW$26=0),0,
IF(AND(テーブル!$B$3="交付申請（２次）",CW$26&gt;=1),CW54,
IF(AND(テーブル!$B$3="交付申請兼実績報告（２次）",CW$26=0),0,
IF(AND(テーブル!$B$3="交付申請兼実績報告（２次）",CW$26&gt;=1),CW54,
IF(AND(テーブル!$B$3="実績報告（２次）",CW$26=0),0,
IF(AND(テーブル!$B$3="実績報告（２次）",CW$26&gt;=1),CW54)))))))))),0)</f>
        <v>0</v>
      </c>
      <c r="CX32" s="1997">
        <f>IFERROR(
IF(テーブル!$B$3="交付申請",CX54,
IF(AND(テーブル!$B$3="変更申請",CX$26=0),0,
IF(AND(テーブル!$B$3="変更申請",CX$26&gt;=1),CX54,
IF(テーブル!$B$3="実績報告（１次）",CX54,
IF(AND(テーブル!$B$3="交付申請（２次）",CX$26=0),0,
IF(AND(テーブル!$B$3="交付申請（２次）",CX$26&gt;=1),CX54,
IF(AND(テーブル!$B$3="交付申請兼実績報告（２次）",CX$26=0),0,
IF(AND(テーブル!$B$3="交付申請兼実績報告（２次）",CX$26&gt;=1),CX54,
IF(AND(テーブル!$B$3="実績報告（２次）",CX$26=0),0,
IF(AND(テーブル!$B$3="実績報告（２次）",CX$26&gt;=1),CX54)))))))))),0)</f>
        <v>0</v>
      </c>
      <c r="CY32" s="1997">
        <f>IFERROR(
IF(テーブル!$B$3="交付申請",CY54,
IF(AND(テーブル!$B$3="変更申請",CY$26=0),0,
IF(AND(テーブル!$B$3="変更申請",CY$26&gt;=1),CY54,
IF(テーブル!$B$3="実績報告（１次）",CY54,
IF(AND(テーブル!$B$3="交付申請（２次）",CY$26=0),0,
IF(AND(テーブル!$B$3="交付申請（２次）",CY$26&gt;=1),CY54,
IF(AND(テーブル!$B$3="交付申請兼実績報告（２次）",CY$26=0),0,
IF(AND(テーブル!$B$3="交付申請兼実績報告（２次）",CY$26&gt;=1),CY54,
IF(AND(テーブル!$B$3="実績報告（２次）",CY$26=0),0,
IF(AND(テーブル!$B$3="実績報告（２次）",CY$26&gt;=1),CY54)))))))))),0)</f>
        <v>0</v>
      </c>
      <c r="CZ32" s="1997">
        <f>IFERROR(
IF(テーブル!$B$3="交付申請",CZ54,
IF(AND(テーブル!$B$3="変更申請",CZ$26=0),0,
IF(AND(テーブル!$B$3="変更申請",CZ$26&gt;=1),CZ54,
IF(テーブル!$B$3="実績報告（１次）",CZ54,
IF(AND(テーブル!$B$3="交付申請（２次）",CZ$26=0),0,
IF(AND(テーブル!$B$3="交付申請（２次）",CZ$26&gt;=1),CZ54,
IF(AND(テーブル!$B$3="交付申請兼実績報告（２次）",CZ$26=0),0,
IF(AND(テーブル!$B$3="交付申請兼実績報告（２次）",CZ$26&gt;=1),CZ54,
IF(AND(テーブル!$B$3="実績報告（２次）",CZ$26=0),0,
IF(AND(テーブル!$B$3="実績報告（２次）",CZ$26&gt;=1),CZ54)))))))))),0)</f>
        <v>0</v>
      </c>
      <c r="DA32" s="1997">
        <f>IFERROR(
IF(テーブル!$B$3="交付申請",DA54,
IF(AND(テーブル!$B$3="変更申請",DA$26=0),0,
IF(AND(テーブル!$B$3="変更申請",DA$26&gt;=1),DA54,
IF(テーブル!$B$3="実績報告（１次）",DA54,
IF(AND(テーブル!$B$3="交付申請（２次）",DA$26=0),0,
IF(AND(テーブル!$B$3="交付申請（２次）",DA$26&gt;=1),DA54,
IF(AND(テーブル!$B$3="交付申請兼実績報告（２次）",DA$26=0),0,
IF(AND(テーブル!$B$3="交付申請兼実績報告（２次）",DA$26&gt;=1),DA54,
IF(AND(テーブル!$B$3="実績報告（２次）",DA$26=0),0,
IF(AND(テーブル!$B$3="実績報告（２次）",DA$26&gt;=1),DA54)))))))))),0)</f>
        <v>0</v>
      </c>
      <c r="DB32" s="1997">
        <f>IFERROR(
IF(テーブル!$B$3="交付申請",DB54,
IF(AND(テーブル!$B$3="変更申請",DB$26=0),0,
IF(AND(テーブル!$B$3="変更申請",DB$26&gt;=1),DB54,
IF(テーブル!$B$3="実績報告（１次）",DB54,
IF(AND(テーブル!$B$3="交付申請（２次）",DB$26=0),0,
IF(AND(テーブル!$B$3="交付申請（２次）",DB$26&gt;=1),DB54,
IF(AND(テーブル!$B$3="交付申請兼実績報告（２次）",DB$26=0),0,
IF(AND(テーブル!$B$3="交付申請兼実績報告（２次）",DB$26&gt;=1),DB54,
IF(AND(テーブル!$B$3="実績報告（２次）",DB$26=0),0,
IF(AND(テーブル!$B$3="実績報告（２次）",DB$26&gt;=1),DB54)))))))))),0)</f>
        <v>0</v>
      </c>
      <c r="DC32" s="1997">
        <f>IFERROR(
IF(テーブル!$B$3="交付申請",DC54,
IF(AND(テーブル!$B$3="変更申請",DC$26=0),0,
IF(AND(テーブル!$B$3="変更申請",DC$26&gt;=1),DC54,
IF(テーブル!$B$3="実績報告（１次）",DC54,
IF(AND(テーブル!$B$3="交付申請（２次）",DC$26=0),0,
IF(AND(テーブル!$B$3="交付申請（２次）",DC$26&gt;=1),DC54,
IF(AND(テーブル!$B$3="交付申請兼実績報告（２次）",DC$26=0),0,
IF(AND(テーブル!$B$3="交付申請兼実績報告（２次）",DC$26&gt;=1),DC54,
IF(AND(テーブル!$B$3="実績報告（２次）",DC$26=0),0,
IF(AND(テーブル!$B$3="実績報告（２次）",DC$26&gt;=1),DC54)))))))))),0)</f>
        <v>0</v>
      </c>
      <c r="DD32" s="1997">
        <f>IFERROR(
IF(テーブル!$B$3="交付申請",DD54,
IF(AND(テーブル!$B$3="変更申請",DD$26=0),0,
IF(AND(テーブル!$B$3="変更申請",DD$26&gt;=1),DD54,
IF(テーブル!$B$3="実績報告（１次）",DD54,
IF(AND(テーブル!$B$3="交付申請（２次）",DD$26=0),0,
IF(AND(テーブル!$B$3="交付申請（２次）",DD$26&gt;=1),DD54,
IF(AND(テーブル!$B$3="交付申請兼実績報告（２次）",DD$26=0),0,
IF(AND(テーブル!$B$3="交付申請兼実績報告（２次）",DD$26&gt;=1),DD54,
IF(AND(テーブル!$B$3="実績報告（２次）",DD$26=0),0,
IF(AND(テーブル!$B$3="実績報告（２次）",DD$26&gt;=1),DD54)))))))))),0)</f>
        <v>0</v>
      </c>
      <c r="DE32" s="1997">
        <f>IFERROR(
IF(テーブル!$B$3="交付申請",DE54,
IF(AND(テーブル!$B$3="変更申請",DE$26=0),0,
IF(AND(テーブル!$B$3="変更申請",DE$26&gt;=1),DE54,
IF(テーブル!$B$3="実績報告（１次）",DE54,
IF(AND(テーブル!$B$3="交付申請（２次）",DE$26=0),0,
IF(AND(テーブル!$B$3="交付申請（２次）",DE$26&gt;=1),DE54,
IF(AND(テーブル!$B$3="交付申請兼実績報告（２次）",DE$26=0),0,
IF(AND(テーブル!$B$3="交付申請兼実績報告（２次）",DE$26&gt;=1),DE54,
IF(AND(テーブル!$B$3="実績報告（２次）",DE$26=0),0,
IF(AND(テーブル!$B$3="実績報告（２次）",DE$26&gt;=1),DE54)))))))))),0)</f>
        <v>0</v>
      </c>
      <c r="DF32" s="1997">
        <f>IFERROR(
IF(テーブル!$B$3="交付申請",DF54,
IF(AND(テーブル!$B$3="変更申請",DF$26=0),0,
IF(AND(テーブル!$B$3="変更申請",DF$26&gt;=1),DF54,
IF(テーブル!$B$3="実績報告（１次）",DF54,
IF(AND(テーブル!$B$3="交付申請（２次）",DF$26=0),0,
IF(AND(テーブル!$B$3="交付申請（２次）",DF$26&gt;=1),DF54,
IF(AND(テーブル!$B$3="交付申請兼実績報告（２次）",DF$26=0),0,
IF(AND(テーブル!$B$3="交付申請兼実績報告（２次）",DF$26&gt;=1),DF54,
IF(AND(テーブル!$B$3="実績報告（２次）",DF$26=0),0,
IF(AND(テーブル!$B$3="実績報告（２次）",DF$26&gt;=1),DF54)))))))))),0)</f>
        <v>0</v>
      </c>
      <c r="DG32" s="1997">
        <f>IFERROR(
IF(テーブル!$B$3="交付申請",DG54,
IF(AND(テーブル!$B$3="変更申請",DG$26=0),0,
IF(AND(テーブル!$B$3="変更申請",DG$26&gt;=1),DG54,
IF(テーブル!$B$3="実績報告（１次）",DG54,
IF(AND(テーブル!$B$3="交付申請（２次）",DG$26=0),0,
IF(AND(テーブル!$B$3="交付申請（２次）",DG$26&gt;=1),DG54,
IF(AND(テーブル!$B$3="交付申請兼実績報告（２次）",DG$26=0),0,
IF(AND(テーブル!$B$3="交付申請兼実績報告（２次）",DG$26&gt;=1),DG54,
IF(AND(テーブル!$B$3="実績報告（２次）",DG$26=0),0,
IF(AND(テーブル!$B$3="実績報告（２次）",DG$26&gt;=1),DG54)))))))))),0)</f>
        <v>0</v>
      </c>
      <c r="DH32" s="1997">
        <f>IFERROR(
IF(テーブル!$B$3="交付申請",DH54,
IF(AND(テーブル!$B$3="変更申請",DH$26=0),0,
IF(AND(テーブル!$B$3="変更申請",DH$26&gt;=1),DH54,
IF(テーブル!$B$3="実績報告（１次）",DH54,
IF(AND(テーブル!$B$3="交付申請（２次）",DH$26=0),0,
IF(AND(テーブル!$B$3="交付申請（２次）",DH$26&gt;=1),DH54,
IF(AND(テーブル!$B$3="交付申請兼実績報告（２次）",DH$26=0),0,
IF(AND(テーブル!$B$3="交付申請兼実績報告（２次）",DH$26&gt;=1),DH54,
IF(AND(テーブル!$B$3="実績報告（２次）",DH$26=0),0,
IF(AND(テーブル!$B$3="実績報告（２次）",DH$26&gt;=1),DH54)))))))))),0)</f>
        <v>0</v>
      </c>
      <c r="DI32" s="1997">
        <f>IFERROR(
IF(テーブル!$B$3="交付申請",DI54,
IF(AND(テーブル!$B$3="変更申請",DI$26=0),0,
IF(AND(テーブル!$B$3="変更申請",DI$26&gt;=1),DI54,
IF(テーブル!$B$3="実績報告（１次）",DI54,
IF(AND(テーブル!$B$3="交付申請（２次）",DI$26=0),0,
IF(AND(テーブル!$B$3="交付申請（２次）",DI$26&gt;=1),DI54,
IF(AND(テーブル!$B$3="交付申請兼実績報告（２次）",DI$26=0),0,
IF(AND(テーブル!$B$3="交付申請兼実績報告（２次）",DI$26&gt;=1),DI54,
IF(AND(テーブル!$B$3="実績報告（２次）",DI$26=0),0,
IF(AND(テーブル!$B$3="実績報告（２次）",DI$26&gt;=1),DI54)))))))))),0)</f>
        <v>0</v>
      </c>
      <c r="DJ32" s="1997">
        <f>IFERROR(
IF(テーブル!$B$3="交付申請",DJ54,
IF(AND(テーブル!$B$3="変更申請",DJ$26=0),0,
IF(AND(テーブル!$B$3="変更申請",DJ$26&gt;=1),DJ54,
IF(テーブル!$B$3="実績報告（１次）",DJ54,
IF(AND(テーブル!$B$3="交付申請（２次）",DJ$26=0),0,
IF(AND(テーブル!$B$3="交付申請（２次）",DJ$26&gt;=1),DJ54,
IF(AND(テーブル!$B$3="交付申請兼実績報告（２次）",DJ$26=0),0,
IF(AND(テーブル!$B$3="交付申請兼実績報告（２次）",DJ$26&gt;=1),DJ54,
IF(AND(テーブル!$B$3="実績報告（２次）",DJ$26=0),0,
IF(AND(テーブル!$B$3="実績報告（２次）",DJ$26&gt;=1),DJ54)))))))))),0)</f>
        <v>0</v>
      </c>
      <c r="DK32" s="1997">
        <f>IFERROR(
IF(テーブル!$B$3="交付申請",DK54,
IF(AND(テーブル!$B$3="変更申請",DK$26=0),0,
IF(AND(テーブル!$B$3="変更申請",DK$26&gt;=1),DK54,
IF(テーブル!$B$3="実績報告（１次）",DK54,
IF(AND(テーブル!$B$3="交付申請（２次）",DK$26=0),0,
IF(AND(テーブル!$B$3="交付申請（２次）",DK$26&gt;=1),DK54,
IF(AND(テーブル!$B$3="交付申請兼実績報告（２次）",DK$26=0),0,
IF(AND(テーブル!$B$3="交付申請兼実績報告（２次）",DK$26&gt;=1),DK54,
IF(AND(テーブル!$B$3="実績報告（２次）",DK$26=0),0,
IF(AND(テーブル!$B$3="実績報告（２次）",DK$26&gt;=1),DK54)))))))))),0)</f>
        <v>0</v>
      </c>
      <c r="DL32" s="1997">
        <f>IFERROR(
IF(テーブル!$B$3="交付申請",DL54,
IF(AND(テーブル!$B$3="変更申請",DL$26=0),0,
IF(AND(テーブル!$B$3="変更申請",DL$26&gt;=1),DL54,
IF(テーブル!$B$3="実績報告（１次）",DL54,
IF(AND(テーブル!$B$3="交付申請（２次）",DL$26=0),0,
IF(AND(テーブル!$B$3="交付申請（２次）",DL$26&gt;=1),DL54,
IF(AND(テーブル!$B$3="交付申請兼実績報告（２次）",DL$26=0),0,
IF(AND(テーブル!$B$3="交付申請兼実績報告（２次）",DL$26&gt;=1),DL54,
IF(AND(テーブル!$B$3="実績報告（２次）",DL$26=0),0,
IF(AND(テーブル!$B$3="実績報告（２次）",DL$26&gt;=1),DL54)))))))))),0)</f>
        <v>0</v>
      </c>
      <c r="DM32" s="1997">
        <f>IFERROR(
IF(テーブル!$B$3="交付申請",DM54,
IF(AND(テーブル!$B$3="変更申請",DM$26=0),0,
IF(AND(テーブル!$B$3="変更申請",DM$26&gt;=1),DM54,
IF(テーブル!$B$3="実績報告（１次）",DM54,
IF(AND(テーブル!$B$3="交付申請（２次）",DM$26=0),0,
IF(AND(テーブル!$B$3="交付申請（２次）",DM$26&gt;=1),DM54,
IF(AND(テーブル!$B$3="交付申請兼実績報告（２次）",DM$26=0),0,
IF(AND(テーブル!$B$3="交付申請兼実績報告（２次）",DM$26&gt;=1),DM54,
IF(AND(テーブル!$B$3="実績報告（２次）",DM$26=0),0,
IF(AND(テーブル!$B$3="実績報告（２次）",DM$26&gt;=1),DM54)))))))))),0)</f>
        <v>0</v>
      </c>
      <c r="DN32" s="1997">
        <f>IFERROR(
IF(テーブル!$B$3="交付申請",DN54,
IF(AND(テーブル!$B$3="変更申請",DN$26=0),0,
IF(AND(テーブル!$B$3="変更申請",DN$26&gt;=1),DN54,
IF(テーブル!$B$3="実績報告（１次）",DN54,
IF(AND(テーブル!$B$3="交付申請（２次）",DN$26=0),0,
IF(AND(テーブル!$B$3="交付申請（２次）",DN$26&gt;=1),DN54,
IF(AND(テーブル!$B$3="交付申請兼実績報告（２次）",DN$26=0),0,
IF(AND(テーブル!$B$3="交付申請兼実績報告（２次）",DN$26&gt;=1),DN54,
IF(AND(テーブル!$B$3="実績報告（２次）",DN$26=0),0,
IF(AND(テーブル!$B$3="実績報告（２次）",DN$26&gt;=1),DN54)))))))))),0)</f>
        <v>0</v>
      </c>
      <c r="DO32" s="1997">
        <f>IFERROR(
IF(テーブル!$B$3="交付申請",DO54,
IF(AND(テーブル!$B$3="変更申請",DO$26=0),0,
IF(AND(テーブル!$B$3="変更申請",DO$26&gt;=1),DO54,
IF(テーブル!$B$3="実績報告（１次）",DO54,
IF(AND(テーブル!$B$3="交付申請（２次）",DO$26=0),0,
IF(AND(テーブル!$B$3="交付申請（２次）",DO$26&gt;=1),DO54,
IF(AND(テーブル!$B$3="交付申請兼実績報告（２次）",DO$26=0),0,
IF(AND(テーブル!$B$3="交付申請兼実績報告（２次）",DO$26&gt;=1),DO54,
IF(AND(テーブル!$B$3="実績報告（２次）",DO$26=0),0,
IF(AND(テーブル!$B$3="実績報告（２次）",DO$26&gt;=1),DO54)))))))))),0)</f>
        <v>0</v>
      </c>
      <c r="DP32" s="1997">
        <f>IFERROR(
IF(テーブル!$B$3="交付申請",DP54,
IF(AND(テーブル!$B$3="変更申請",DP$26=0),0,
IF(AND(テーブル!$B$3="変更申請",DP$26&gt;=1),DP54,
IF(テーブル!$B$3="実績報告（１次）",DP54,
IF(AND(テーブル!$B$3="交付申請（２次）",DP$26=0),0,
IF(AND(テーブル!$B$3="交付申請（２次）",DP$26&gt;=1),DP54,
IF(AND(テーブル!$B$3="交付申請兼実績報告（２次）",DP$26=0),0,
IF(AND(テーブル!$B$3="交付申請兼実績報告（２次）",DP$26&gt;=1),DP54,
IF(AND(テーブル!$B$3="実績報告（２次）",DP$26=0),0,
IF(AND(テーブル!$B$3="実績報告（２次）",DP$26&gt;=1),DP54)))))))))),0)</f>
        <v>0</v>
      </c>
      <c r="DQ32" s="1997">
        <f>IFERROR(
IF(テーブル!$B$3="交付申請",DQ54,
IF(AND(テーブル!$B$3="変更申請",DQ$26=0),0,
IF(AND(テーブル!$B$3="変更申請",DQ$26&gt;=1),DQ54,
IF(テーブル!$B$3="実績報告（１次）",DQ54,
IF(AND(テーブル!$B$3="交付申請（２次）",DQ$26=0),0,
IF(AND(テーブル!$B$3="交付申請（２次）",DQ$26&gt;=1),DQ54,
IF(AND(テーブル!$B$3="交付申請兼実績報告（２次）",DQ$26=0),0,
IF(AND(テーブル!$B$3="交付申請兼実績報告（２次）",DQ$26&gt;=1),DQ54,
IF(AND(テーブル!$B$3="実績報告（２次）",DQ$26=0),0,
IF(AND(テーブル!$B$3="実績報告（２次）",DQ$26&gt;=1),DQ54)))))))))),0)</f>
        <v>0</v>
      </c>
      <c r="DR32" s="1997">
        <f>IFERROR(
IF(テーブル!$B$3="交付申請",DR54,
IF(AND(テーブル!$B$3="変更申請",DR$26=0),0,
IF(AND(テーブル!$B$3="変更申請",DR$26&gt;=1),DR54,
IF(テーブル!$B$3="実績報告（１次）",DR54,
IF(AND(テーブル!$B$3="交付申請（２次）",DR$26=0),0,
IF(AND(テーブル!$B$3="交付申請（２次）",DR$26&gt;=1),DR54,
IF(AND(テーブル!$B$3="交付申請兼実績報告（２次）",DR$26=0),0,
IF(AND(テーブル!$B$3="交付申請兼実績報告（２次）",DR$26&gt;=1),DR54,
IF(AND(テーブル!$B$3="実績報告（２次）",DR$26=0),0,
IF(AND(テーブル!$B$3="実績報告（２次）",DR$26&gt;=1),DR54)))))))))),0)</f>
        <v>0</v>
      </c>
      <c r="DS32" s="1997">
        <f>IFERROR(
IF(テーブル!$B$3="交付申請",DS54,
IF(AND(テーブル!$B$3="変更申請",DS$26=0),0,
IF(AND(テーブル!$B$3="変更申請",DS$26&gt;=1),DS54,
IF(テーブル!$B$3="実績報告（１次）",DS54,
IF(AND(テーブル!$B$3="交付申請（２次）",DS$26=0),0,
IF(AND(テーブル!$B$3="交付申請（２次）",DS$26&gt;=1),DS54,
IF(AND(テーブル!$B$3="交付申請兼実績報告（２次）",DS$26=0),0,
IF(AND(テーブル!$B$3="交付申請兼実績報告（２次）",DS$26&gt;=1),DS54,
IF(AND(テーブル!$B$3="実績報告（２次）",DS$26=0),0,
IF(AND(テーブル!$B$3="実績報告（２次）",DS$26&gt;=1),DS54)))))))))),0)</f>
        <v>0</v>
      </c>
      <c r="DT32" s="1997">
        <f>IFERROR(
IF(テーブル!$B$3="交付申請",DT54,
IF(AND(テーブル!$B$3="変更申請",DT$26=0),0,
IF(AND(テーブル!$B$3="変更申請",DT$26&gt;=1),DT54,
IF(テーブル!$B$3="実績報告（１次）",DT54,
IF(AND(テーブル!$B$3="交付申請（２次）",DT$26=0),0,
IF(AND(テーブル!$B$3="交付申請（２次）",DT$26&gt;=1),DT54,
IF(AND(テーブル!$B$3="交付申請兼実績報告（２次）",DT$26=0),0,
IF(AND(テーブル!$B$3="交付申請兼実績報告（２次）",DT$26&gt;=1),DT54,
IF(AND(テーブル!$B$3="実績報告（２次）",DT$26=0),0,
IF(AND(テーブル!$B$3="実績報告（２次）",DT$26&gt;=1),DT54)))))))))),0)</f>
        <v>0</v>
      </c>
      <c r="DU32" s="1997">
        <f>IFERROR(
IF(テーブル!$B$3="交付申請",DU54,
IF(AND(テーブル!$B$3="変更申請",DU$26=0),0,
IF(AND(テーブル!$B$3="変更申請",DU$26&gt;=1),DU54,
IF(テーブル!$B$3="実績報告（１次）",DU54,
IF(AND(テーブル!$B$3="交付申請（２次）",DU$26=0),0,
IF(AND(テーブル!$B$3="交付申請（２次）",DU$26&gt;=1),DU54,
IF(AND(テーブル!$B$3="交付申請兼実績報告（２次）",DU$26=0),0,
IF(AND(テーブル!$B$3="交付申請兼実績報告（２次）",DU$26&gt;=1),DU54,
IF(AND(テーブル!$B$3="実績報告（２次）",DU$26=0),0,
IF(AND(テーブル!$B$3="実績報告（２次）",DU$26&gt;=1),DU54)))))))))),0)</f>
        <v>0</v>
      </c>
      <c r="DV32" s="1997">
        <f>IFERROR(
IF(テーブル!$B$3="交付申請",DV54,
IF(AND(テーブル!$B$3="変更申請",DV$26=0),0,
IF(AND(テーブル!$B$3="変更申請",DV$26&gt;=1),DV54,
IF(テーブル!$B$3="実績報告（１次）",DV54,
IF(AND(テーブル!$B$3="交付申請（２次）",DV$26=0),0,
IF(AND(テーブル!$B$3="交付申請（２次）",DV$26&gt;=1),DV54,
IF(AND(テーブル!$B$3="交付申請兼実績報告（２次）",DV$26=0),0,
IF(AND(テーブル!$B$3="交付申請兼実績報告（２次）",DV$26&gt;=1),DV54,
IF(AND(テーブル!$B$3="実績報告（２次）",DV$26=0),0,
IF(AND(テーブル!$B$3="実績報告（２次）",DV$26&gt;=1),DV54)))))))))),0)</f>
        <v>0</v>
      </c>
      <c r="DW32" s="1997">
        <f>IFERROR(
IF(テーブル!$B$3="交付申請",DW54,
IF(AND(テーブル!$B$3="変更申請",DW$26=0),0,
IF(AND(テーブル!$B$3="変更申請",DW$26&gt;=1),DW54,
IF(テーブル!$B$3="実績報告（１次）",DW54,
IF(AND(テーブル!$B$3="交付申請（２次）",DW$26=0),0,
IF(AND(テーブル!$B$3="交付申請（２次）",DW$26&gt;=1),DW54,
IF(AND(テーブル!$B$3="交付申請兼実績報告（２次）",DW$26=0),0,
IF(AND(テーブル!$B$3="交付申請兼実績報告（２次）",DW$26&gt;=1),DW54,
IF(AND(テーブル!$B$3="実績報告（２次）",DW$26=0),0,
IF(AND(テーブル!$B$3="実績報告（２次）",DW$26&gt;=1),DW54)))))))))),0)</f>
        <v>0</v>
      </c>
      <c r="DX32" s="1997">
        <f>IFERROR(
IF(テーブル!$B$3="交付申請",DX54,
IF(AND(テーブル!$B$3="変更申請",DX$26=0),0,
IF(AND(テーブル!$B$3="変更申請",DX$26&gt;=1),DX54,
IF(テーブル!$B$3="実績報告（１次）",DX54,
IF(AND(テーブル!$B$3="交付申請（２次）",DX$26=0),0,
IF(AND(テーブル!$B$3="交付申請（２次）",DX$26&gt;=1),DX54,
IF(AND(テーブル!$B$3="交付申請兼実績報告（２次）",DX$26=0),0,
IF(AND(テーブル!$B$3="交付申請兼実績報告（２次）",DX$26&gt;=1),DX54,
IF(AND(テーブル!$B$3="実績報告（２次）",DX$26=0),0,
IF(AND(テーブル!$B$3="実績報告（２次）",DX$26&gt;=1),DX54)))))))))),0)</f>
        <v>0</v>
      </c>
      <c r="DY32" s="1997">
        <f>IFERROR(
IF(テーブル!$B$3="交付申請",DY54,
IF(AND(テーブル!$B$3="変更申請",DY$26=0),0,
IF(AND(テーブル!$B$3="変更申請",DY$26&gt;=1),DY54,
IF(テーブル!$B$3="実績報告（１次）",DY54,
IF(AND(テーブル!$B$3="交付申請（２次）",DY$26=0),0,
IF(AND(テーブル!$B$3="交付申請（２次）",DY$26&gt;=1),DY54,
IF(AND(テーブル!$B$3="交付申請兼実績報告（２次）",DY$26=0),0,
IF(AND(テーブル!$B$3="交付申請兼実績報告（２次）",DY$26&gt;=1),DY54,
IF(AND(テーブル!$B$3="実績報告（２次）",DY$26=0),0,
IF(AND(テーブル!$B$3="実績報告（２次）",DY$26&gt;=1),DY54)))))))))),0)</f>
        <v>0</v>
      </c>
      <c r="DZ32" s="1997">
        <f>IFERROR(
IF(テーブル!$B$3="交付申請",DZ54,
IF(AND(テーブル!$B$3="変更申請",DZ$26=0),0,
IF(AND(テーブル!$B$3="変更申請",DZ$26&gt;=1),DZ54,
IF(テーブル!$B$3="実績報告（１次）",DZ54,
IF(AND(テーブル!$B$3="交付申請（２次）",DZ$26=0),0,
IF(AND(テーブル!$B$3="交付申請（２次）",DZ$26&gt;=1),DZ54,
IF(AND(テーブル!$B$3="交付申請兼実績報告（２次）",DZ$26=0),0,
IF(AND(テーブル!$B$3="交付申請兼実績報告（２次）",DZ$26&gt;=1),DZ54,
IF(AND(テーブル!$B$3="実績報告（２次）",DZ$26=0),0,
IF(AND(テーブル!$B$3="実績報告（２次）",DZ$26&gt;=1),DZ54)))))))))),0)</f>
        <v>0</v>
      </c>
      <c r="EA32" s="1997">
        <f>IFERROR(
IF(テーブル!$B$3="交付申請",EA54,
IF(AND(テーブル!$B$3="変更申請",EA$26=0),0,
IF(AND(テーブル!$B$3="変更申請",EA$26&gt;=1),EA54,
IF(テーブル!$B$3="実績報告（１次）",EA54,
IF(AND(テーブル!$B$3="交付申請（２次）",EA$26=0),0,
IF(AND(テーブル!$B$3="交付申請（２次）",EA$26&gt;=1),EA54,
IF(AND(テーブル!$B$3="交付申請兼実績報告（２次）",EA$26=0),0,
IF(AND(テーブル!$B$3="交付申請兼実績報告（２次）",EA$26&gt;=1),EA54,
IF(AND(テーブル!$B$3="実績報告（２次）",EA$26=0),0,
IF(AND(テーブル!$B$3="実績報告（２次）",EA$26&gt;=1),EA54)))))))))),0)</f>
        <v>0</v>
      </c>
      <c r="EB32" s="1997">
        <f>IFERROR(
IF(テーブル!$B$3="交付申請",EB54,
IF(AND(テーブル!$B$3="変更申請",EB$26=0),0,
IF(AND(テーブル!$B$3="変更申請",EB$26&gt;=1),EB54,
IF(テーブル!$B$3="実績報告（１次）",EB54,
IF(AND(テーブル!$B$3="交付申請（２次）",EB$26=0),0,
IF(AND(テーブル!$B$3="交付申請（２次）",EB$26&gt;=1),EB54,
IF(AND(テーブル!$B$3="交付申請兼実績報告（２次）",EB$26=0),0,
IF(AND(テーブル!$B$3="交付申請兼実績報告（２次）",EB$26&gt;=1),EB54,
IF(AND(テーブル!$B$3="実績報告（２次）",EB$26=0),0,
IF(AND(テーブル!$B$3="実績報告（２次）",EB$26&gt;=1),EB54)))))))))),0)</f>
        <v>0</v>
      </c>
      <c r="EC32" s="1997">
        <f>IFERROR(
IF(テーブル!$B$3="交付申請",EC54,
IF(AND(テーブル!$B$3="変更申請",EC$26=0),0,
IF(AND(テーブル!$B$3="変更申請",EC$26&gt;=1),EC54,
IF(テーブル!$B$3="実績報告（１次）",EC54,
IF(AND(テーブル!$B$3="交付申請（２次）",EC$26=0),0,
IF(AND(テーブル!$B$3="交付申請（２次）",EC$26&gt;=1),EC54,
IF(AND(テーブル!$B$3="交付申請兼実績報告（２次）",EC$26=0),0,
IF(AND(テーブル!$B$3="交付申請兼実績報告（２次）",EC$26&gt;=1),EC54,
IF(AND(テーブル!$B$3="実績報告（２次）",EC$26=0),0,
IF(AND(テーブル!$B$3="実績報告（２次）",EC$26&gt;=1),EC54)))))))))),0)</f>
        <v>0</v>
      </c>
      <c r="ED32" s="1997">
        <f>IFERROR(
IF(テーブル!$B$3="交付申請",ED54,
IF(AND(テーブル!$B$3="変更申請",ED$26=0),0,
IF(AND(テーブル!$B$3="変更申請",ED$26&gt;=1),ED54,
IF(テーブル!$B$3="実績報告（１次）",ED54,
IF(AND(テーブル!$B$3="交付申請（２次）",ED$26=0),0,
IF(AND(テーブル!$B$3="交付申請（２次）",ED$26&gt;=1),ED54,
IF(AND(テーブル!$B$3="交付申請兼実績報告（２次）",ED$26=0),0,
IF(AND(テーブル!$B$3="交付申請兼実績報告（２次）",ED$26&gt;=1),ED54,
IF(AND(テーブル!$B$3="実績報告（２次）",ED$26=0),0,
IF(AND(テーブル!$B$3="実績報告（２次）",ED$26&gt;=1),ED54)))))))))),0)</f>
        <v>0</v>
      </c>
      <c r="EE32" s="1997">
        <f>IFERROR(
IF(テーブル!$B$3="交付申請",EE54,
IF(AND(テーブル!$B$3="変更申請",EE$26=0),0,
IF(AND(テーブル!$B$3="変更申請",EE$26&gt;=1),EE54,
IF(テーブル!$B$3="実績報告（１次）",EE54,
IF(AND(テーブル!$B$3="交付申請（２次）",EE$26=0),0,
IF(AND(テーブル!$B$3="交付申請（２次）",EE$26&gt;=1),EE54,
IF(AND(テーブル!$B$3="交付申請兼実績報告（２次）",EE$26=0),0,
IF(AND(テーブル!$B$3="交付申請兼実績報告（２次）",EE$26&gt;=1),EE54,
IF(AND(テーブル!$B$3="実績報告（２次）",EE$26=0),0,
IF(AND(テーブル!$B$3="実績報告（２次）",EE$26&gt;=1),EE54)))))))))),0)</f>
        <v>0</v>
      </c>
      <c r="EF32" s="1997">
        <f>IFERROR(
IF(テーブル!$B$3="交付申請",EF54,
IF(AND(テーブル!$B$3="変更申請",EF$26=0),0,
IF(AND(テーブル!$B$3="変更申請",EF$26&gt;=1),EF54,
IF(テーブル!$B$3="実績報告（１次）",EF54,
IF(AND(テーブル!$B$3="交付申請（２次）",EF$26=0),0,
IF(AND(テーブル!$B$3="交付申請（２次）",EF$26&gt;=1),EF54,
IF(AND(テーブル!$B$3="交付申請兼実績報告（２次）",EF$26=0),0,
IF(AND(テーブル!$B$3="交付申請兼実績報告（２次）",EF$26&gt;=1),EF54,
IF(AND(テーブル!$B$3="実績報告（２次）",EF$26=0),0,
IF(AND(テーブル!$B$3="実績報告（２次）",EF$26&gt;=1),EF54)))))))))),0)</f>
        <v>0</v>
      </c>
      <c r="EG32" s="1997">
        <f>IFERROR(
IF(テーブル!$B$3="交付申請",EG54,
IF(AND(テーブル!$B$3="変更申請",EG$26=0),0,
IF(AND(テーブル!$B$3="変更申請",EG$26&gt;=1),EG54,
IF(テーブル!$B$3="実績報告（１次）",EG54,
IF(AND(テーブル!$B$3="交付申請（２次）",EG$26=0),0,
IF(AND(テーブル!$B$3="交付申請（２次）",EG$26&gt;=1),EG54,
IF(AND(テーブル!$B$3="交付申請兼実績報告（２次）",EG$26=0),0,
IF(AND(テーブル!$B$3="交付申請兼実績報告（２次）",EG$26&gt;=1),EG54,
IF(AND(テーブル!$B$3="実績報告（２次）",EG$26=0),0,
IF(AND(テーブル!$B$3="実績報告（２次）",EG$26&gt;=1),EG54)))))))))),0)</f>
        <v>0</v>
      </c>
      <c r="EH32" s="1997">
        <f>IFERROR(
IF(テーブル!$B$3="交付申請",EH54,
IF(AND(テーブル!$B$3="変更申請",EH$26=0),0,
IF(AND(テーブル!$B$3="変更申請",EH$26&gt;=1),EH54,
IF(テーブル!$B$3="実績報告（１次）",EH54,
IF(AND(テーブル!$B$3="交付申請（２次）",EH$26=0),0,
IF(AND(テーブル!$B$3="交付申請（２次）",EH$26&gt;=1),EH54,
IF(AND(テーブル!$B$3="交付申請兼実績報告（２次）",EH$26=0),0,
IF(AND(テーブル!$B$3="交付申請兼実績報告（２次）",EH$26&gt;=1),EH54,
IF(AND(テーブル!$B$3="実績報告（２次）",EH$26=0),0,
IF(AND(テーブル!$B$3="実績報告（２次）",EH$26&gt;=1),EH54)))))))))),0)</f>
        <v>0</v>
      </c>
      <c r="EI32" s="1997">
        <f>IFERROR(
IF(テーブル!$B$3="交付申請",EI54,
IF(AND(テーブル!$B$3="変更申請",EI$26=0),0,
IF(AND(テーブル!$B$3="変更申請",EI$26&gt;=1),EI54,
IF(テーブル!$B$3="実績報告（１次）",EI54,
IF(AND(テーブル!$B$3="交付申請（２次）",EI$26=0),0,
IF(AND(テーブル!$B$3="交付申請（２次）",EI$26&gt;=1),EI54,
IF(AND(テーブル!$B$3="交付申請兼実績報告（２次）",EI$26=0),0,
IF(AND(テーブル!$B$3="交付申請兼実績報告（２次）",EI$26&gt;=1),EI54,
IF(AND(テーブル!$B$3="実績報告（２次）",EI$26=0),0,
IF(AND(テーブル!$B$3="実績報告（２次）",EI$26&gt;=1),EI54)))))))))),0)</f>
        <v>0</v>
      </c>
      <c r="EJ32" s="1997">
        <f>IFERROR(
IF(テーブル!$B$3="交付申請",EJ54,
IF(AND(テーブル!$B$3="変更申請",EJ$26=0),0,
IF(AND(テーブル!$B$3="変更申請",EJ$26&gt;=1),EJ54,
IF(テーブル!$B$3="実績報告（１次）",EJ54,
IF(AND(テーブル!$B$3="交付申請（２次）",EJ$26=0),0,
IF(AND(テーブル!$B$3="交付申請（２次）",EJ$26&gt;=1),EJ54,
IF(AND(テーブル!$B$3="交付申請兼実績報告（２次）",EJ$26=0),0,
IF(AND(テーブル!$B$3="交付申請兼実績報告（２次）",EJ$26&gt;=1),EJ54,
IF(AND(テーブル!$B$3="実績報告（２次）",EJ$26=0),0,
IF(AND(テーブル!$B$3="実績報告（２次）",EJ$26&gt;=1),EJ54)))))))))),0)</f>
        <v>0</v>
      </c>
      <c r="EK32" s="1997">
        <f>IFERROR(
IF(テーブル!$B$3="交付申請",EK54,
IF(AND(テーブル!$B$3="変更申請",EK$26=0),0,
IF(AND(テーブル!$B$3="変更申請",EK$26&gt;=1),EK54,
IF(テーブル!$B$3="実績報告（１次）",EK54,
IF(AND(テーブル!$B$3="交付申請（２次）",EK$26=0),0,
IF(AND(テーブル!$B$3="交付申請（２次）",EK$26&gt;=1),EK54,
IF(AND(テーブル!$B$3="交付申請兼実績報告（２次）",EK$26=0),0,
IF(AND(テーブル!$B$3="交付申請兼実績報告（２次）",EK$26&gt;=1),EK54,
IF(AND(テーブル!$B$3="実績報告（２次）",EK$26=0),0,
IF(AND(テーブル!$B$3="実績報告（２次）",EK$26&gt;=1),EK54)))))))))),0)</f>
        <v>0</v>
      </c>
      <c r="EL32" s="1997">
        <f>IFERROR(
IF(テーブル!$B$3="交付申請",EL54,
IF(AND(テーブル!$B$3="変更申請",EL$26=0),0,
IF(AND(テーブル!$B$3="変更申請",EL$26&gt;=1),EL54,
IF(テーブル!$B$3="実績報告（１次）",EL54,
IF(AND(テーブル!$B$3="交付申請（２次）",EL$26=0),0,
IF(AND(テーブル!$B$3="交付申請（２次）",EL$26&gt;=1),EL54,
IF(AND(テーブル!$B$3="交付申請兼実績報告（２次）",EL$26=0),0,
IF(AND(テーブル!$B$3="交付申請兼実績報告（２次）",EL$26&gt;=1),EL54,
IF(AND(テーブル!$B$3="実績報告（２次）",EL$26=0),0,
IF(AND(テーブル!$B$3="実績報告（２次）",EL$26&gt;=1),EL54)))))))))),0)</f>
        <v>0</v>
      </c>
      <c r="EM32" s="1997">
        <f>IFERROR(
IF(テーブル!$B$3="交付申請",EM54,
IF(AND(テーブル!$B$3="変更申請",EM$26=0),0,
IF(AND(テーブル!$B$3="変更申請",EM$26&gt;=1),EM54,
IF(テーブル!$B$3="実績報告（１次）",EM54,
IF(AND(テーブル!$B$3="交付申請（２次）",EM$26=0),0,
IF(AND(テーブル!$B$3="交付申請（２次）",EM$26&gt;=1),EM54,
IF(AND(テーブル!$B$3="交付申請兼実績報告（２次）",EM$26=0),0,
IF(AND(テーブル!$B$3="交付申請兼実績報告（２次）",EM$26&gt;=1),EM54,
IF(AND(テーブル!$B$3="実績報告（２次）",EM$26=0),0,
IF(AND(テーブル!$B$3="実績報告（２次）",EM$26&gt;=1),EM54)))))))))),0)</f>
        <v>0</v>
      </c>
      <c r="EN32" s="1997">
        <f>IFERROR(
IF(テーブル!$B$3="交付申請",EN54,
IF(AND(テーブル!$B$3="変更申請",EN$26=0),0,
IF(AND(テーブル!$B$3="変更申請",EN$26&gt;=1),EN54,
IF(テーブル!$B$3="実績報告（１次）",EN54,
IF(AND(テーブル!$B$3="交付申請（２次）",EN$26=0),0,
IF(AND(テーブル!$B$3="交付申請（２次）",EN$26&gt;=1),EN54,
IF(AND(テーブル!$B$3="交付申請兼実績報告（２次）",EN$26=0),0,
IF(AND(テーブル!$B$3="交付申請兼実績報告（２次）",EN$26&gt;=1),EN54,
IF(AND(テーブル!$B$3="実績報告（２次）",EN$26=0),0,
IF(AND(テーブル!$B$3="実績報告（２次）",EN$26&gt;=1),EN54)))))))))),0)</f>
        <v>0</v>
      </c>
      <c r="EO32" s="1997">
        <f>IFERROR(
IF(テーブル!$B$3="交付申請",EO54,
IF(AND(テーブル!$B$3="変更申請",EO$26=0),0,
IF(AND(テーブル!$B$3="変更申請",EO$26&gt;=1),EO54,
IF(テーブル!$B$3="実績報告（１次）",EO54,
IF(AND(テーブル!$B$3="交付申請（２次）",EO$26=0),0,
IF(AND(テーブル!$B$3="交付申請（２次）",EO$26&gt;=1),EO54,
IF(AND(テーブル!$B$3="交付申請兼実績報告（２次）",EO$26=0),0,
IF(AND(テーブル!$B$3="交付申請兼実績報告（２次）",EO$26&gt;=1),EO54,
IF(AND(テーブル!$B$3="実績報告（２次）",EO$26=0),0,
IF(AND(テーブル!$B$3="実績報告（２次）",EO$26&gt;=1),EO54)))))))))),0)</f>
        <v>0</v>
      </c>
      <c r="EP32" s="1997">
        <f>IFERROR(
IF(テーブル!$B$3="交付申請",EP54,
IF(AND(テーブル!$B$3="変更申請",EP$26=0),0,
IF(AND(テーブル!$B$3="変更申請",EP$26&gt;=1),EP54,
IF(テーブル!$B$3="実績報告（１次）",EP54,
IF(AND(テーブル!$B$3="交付申請（２次）",EP$26=0),0,
IF(AND(テーブル!$B$3="交付申請（２次）",EP$26&gt;=1),EP54,
IF(AND(テーブル!$B$3="交付申請兼実績報告（２次）",EP$26=0),0,
IF(AND(テーブル!$B$3="交付申請兼実績報告（２次）",EP$26&gt;=1),EP54,
IF(AND(テーブル!$B$3="実績報告（２次）",EP$26=0),0,
IF(AND(テーブル!$B$3="実績報告（２次）",EP$26&gt;=1),EP54)))))))))),0)</f>
        <v>0</v>
      </c>
      <c r="EQ32" s="1997">
        <f>IFERROR(
IF(テーブル!$B$3="交付申請",EQ54,
IF(AND(テーブル!$B$3="変更申請",EQ$26=0),0,
IF(AND(テーブル!$B$3="変更申請",EQ$26&gt;=1),EQ54,
IF(テーブル!$B$3="実績報告（１次）",EQ54,
IF(AND(テーブル!$B$3="交付申請（２次）",EQ$26=0),0,
IF(AND(テーブル!$B$3="交付申請（２次）",EQ$26&gt;=1),EQ54,
IF(AND(テーブル!$B$3="交付申請兼実績報告（２次）",EQ$26=0),0,
IF(AND(テーブル!$B$3="交付申請兼実績報告（２次）",EQ$26&gt;=1),EQ54,
IF(AND(テーブル!$B$3="実績報告（２次）",EQ$26=0),0,
IF(AND(テーブル!$B$3="実績報告（２次）",EQ$26&gt;=1),EQ54)))))))))),0)</f>
        <v>0</v>
      </c>
      <c r="ER32" s="1997">
        <f>IFERROR(
IF(テーブル!$B$3="交付申請",ER54,
IF(AND(テーブル!$B$3="変更申請",ER$26=0),0,
IF(AND(テーブル!$B$3="変更申請",ER$26&gt;=1),ER54,
IF(テーブル!$B$3="実績報告（１次）",ER54,
IF(AND(テーブル!$B$3="交付申請（２次）",ER$26=0),0,
IF(AND(テーブル!$B$3="交付申請（２次）",ER$26&gt;=1),ER54,
IF(AND(テーブル!$B$3="交付申請兼実績報告（２次）",ER$26=0),0,
IF(AND(テーブル!$B$3="交付申請兼実績報告（２次）",ER$26&gt;=1),ER54,
IF(AND(テーブル!$B$3="実績報告（２次）",ER$26=0),0,
IF(AND(テーブル!$B$3="実績報告（２次）",ER$26&gt;=1),ER54)))))))))),0)</f>
        <v>0</v>
      </c>
      <c r="ES32" s="1997">
        <f>IFERROR(
IF(テーブル!$B$3="交付申請",ES54,
IF(AND(テーブル!$B$3="変更申請",ES$26=0),0,
IF(AND(テーブル!$B$3="変更申請",ES$26&gt;=1),ES54,
IF(テーブル!$B$3="実績報告（１次）",ES54,
IF(AND(テーブル!$B$3="交付申請（２次）",ES$26=0),0,
IF(AND(テーブル!$B$3="交付申請（２次）",ES$26&gt;=1),ES54,
IF(AND(テーブル!$B$3="交付申請兼実績報告（２次）",ES$26=0),0,
IF(AND(テーブル!$B$3="交付申請兼実績報告（２次）",ES$26&gt;=1),ES54,
IF(AND(テーブル!$B$3="実績報告（２次）",ES$26=0),0,
IF(AND(テーブル!$B$3="実績報告（２次）",ES$26&gt;=1),ES54)))))))))),0)</f>
        <v>0</v>
      </c>
      <c r="ET32" s="1997">
        <f>IFERROR(
IF(テーブル!$B$3="交付申請",ET54,
IF(AND(テーブル!$B$3="変更申請",ET$26=0),0,
IF(AND(テーブル!$B$3="変更申請",ET$26&gt;=1),ET54,
IF(テーブル!$B$3="実績報告（１次）",ET54,
IF(AND(テーブル!$B$3="交付申請（２次）",ET$26=0),0,
IF(AND(テーブル!$B$3="交付申請（２次）",ET$26&gt;=1),ET54,
IF(AND(テーブル!$B$3="交付申請兼実績報告（２次）",ET$26=0),0,
IF(AND(テーブル!$B$3="交付申請兼実績報告（２次）",ET$26&gt;=1),ET54,
IF(AND(テーブル!$B$3="実績報告（２次）",ET$26=0),0,
IF(AND(テーブル!$B$3="実績報告（２次）",ET$26&gt;=1),ET54)))))))))),0)</f>
        <v>0</v>
      </c>
      <c r="EU32" s="1997">
        <f>IFERROR(
IF(テーブル!$B$3="交付申請",EU54,
IF(AND(テーブル!$B$3="変更申請",EU$26=0),0,
IF(AND(テーブル!$B$3="変更申請",EU$26&gt;=1),EU54,
IF(テーブル!$B$3="実績報告（１次）",EU54,
IF(AND(テーブル!$B$3="交付申請（２次）",EU$26=0),0,
IF(AND(テーブル!$B$3="交付申請（２次）",EU$26&gt;=1),EU54,
IF(AND(テーブル!$B$3="交付申請兼実績報告（２次）",EU$26=0),0,
IF(AND(テーブル!$B$3="交付申請兼実績報告（２次）",EU$26&gt;=1),EU54,
IF(AND(テーブル!$B$3="実績報告（２次）",EU$26=0),0,
IF(AND(テーブル!$B$3="実績報告（２次）",EU$26&gt;=1),EU54)))))))))),0)</f>
        <v>0</v>
      </c>
      <c r="EV32" s="1997">
        <f>IFERROR(
IF(テーブル!$B$3="交付申請",EV54,
IF(AND(テーブル!$B$3="変更申請",EV$26=0),0,
IF(AND(テーブル!$B$3="変更申請",EV$26&gt;=1),EV54,
IF(テーブル!$B$3="実績報告（１次）",EV54,
IF(AND(テーブル!$B$3="交付申請（２次）",EV$26=0),0,
IF(AND(テーブル!$B$3="交付申請（２次）",EV$26&gt;=1),EV54,
IF(AND(テーブル!$B$3="交付申請兼実績報告（２次）",EV$26=0),0,
IF(AND(テーブル!$B$3="交付申請兼実績報告（２次）",EV$26&gt;=1),EV54,
IF(AND(テーブル!$B$3="実績報告（２次）",EV$26=0),0,
IF(AND(テーブル!$B$3="実績報告（２次）",EV$26&gt;=1),EV54)))))))))),0)</f>
        <v>0</v>
      </c>
      <c r="EW32" s="1997">
        <f>IFERROR(
IF(テーブル!$B$3="交付申請",EW54,
IF(AND(テーブル!$B$3="変更申請",EW$26=0),0,
IF(AND(テーブル!$B$3="変更申請",EW$26&gt;=1),EW54,
IF(テーブル!$B$3="実績報告（１次）",EW54,
IF(AND(テーブル!$B$3="交付申請（２次）",EW$26=0),0,
IF(AND(テーブル!$B$3="交付申請（２次）",EW$26&gt;=1),EW54,
IF(AND(テーブル!$B$3="交付申請兼実績報告（２次）",EW$26=0),0,
IF(AND(テーブル!$B$3="交付申請兼実績報告（２次）",EW$26&gt;=1),EW54,
IF(AND(テーブル!$B$3="実績報告（２次）",EW$26=0),0,
IF(AND(テーブル!$B$3="実績報告（２次）",EW$26&gt;=1),EW54)))))))))),0)</f>
        <v>0</v>
      </c>
      <c r="EX32" s="1997">
        <f>IFERROR(
IF(テーブル!$B$3="交付申請",EX54,
IF(AND(テーブル!$B$3="変更申請",EX$26=0),0,
IF(AND(テーブル!$B$3="変更申請",EX$26&gt;=1),EX54,
IF(テーブル!$B$3="実績報告（１次）",EX54,
IF(AND(テーブル!$B$3="交付申請（２次）",EX$26=0),0,
IF(AND(テーブル!$B$3="交付申請（２次）",EX$26&gt;=1),EX54,
IF(AND(テーブル!$B$3="交付申請兼実績報告（２次）",EX$26=0),0,
IF(AND(テーブル!$B$3="交付申請兼実績報告（２次）",EX$26&gt;=1),EX54,
IF(AND(テーブル!$B$3="実績報告（２次）",EX$26=0),0,
IF(AND(テーブル!$B$3="実績報告（２次）",EX$26&gt;=1),EX54)))))))))),0)</f>
        <v>0</v>
      </c>
      <c r="EY32" s="1997">
        <f>IFERROR(
IF(テーブル!$B$3="交付申請",EY54,
IF(AND(テーブル!$B$3="変更申請",EY$26=0),0,
IF(AND(テーブル!$B$3="変更申請",EY$26&gt;=1),EY54,
IF(テーブル!$B$3="実績報告（１次）",EY54,
IF(AND(テーブル!$B$3="交付申請（２次）",EY$26=0),0,
IF(AND(テーブル!$B$3="交付申請（２次）",EY$26&gt;=1),EY54,
IF(AND(テーブル!$B$3="交付申請兼実績報告（２次）",EY$26=0),0,
IF(AND(テーブル!$B$3="交付申請兼実績報告（２次）",EY$26&gt;=1),EY54,
IF(AND(テーブル!$B$3="実績報告（２次）",EY$26=0),0,
IF(AND(テーブル!$B$3="実績報告（２次）",EY$26&gt;=1),EY54)))))))))),0)</f>
        <v>0</v>
      </c>
      <c r="EZ32" s="1997">
        <f>IFERROR(
IF(テーブル!$B$3="交付申請",EZ54,
IF(AND(テーブル!$B$3="変更申請",EZ$26=0),0,
IF(AND(テーブル!$B$3="変更申請",EZ$26&gt;=1),EZ54,
IF(テーブル!$B$3="実績報告（１次）",EZ54,
IF(AND(テーブル!$B$3="交付申請（２次）",EZ$26=0),0,
IF(AND(テーブル!$B$3="交付申請（２次）",EZ$26&gt;=1),EZ54,
IF(AND(テーブル!$B$3="交付申請兼実績報告（２次）",EZ$26=0),0,
IF(AND(テーブル!$B$3="交付申請兼実績報告（２次）",EZ$26&gt;=1),EZ54,
IF(AND(テーブル!$B$3="実績報告（２次）",EZ$26=0),0,
IF(AND(テーブル!$B$3="実績報告（２次）",EZ$26&gt;=1),EZ54)))))))))),0)</f>
        <v>0</v>
      </c>
      <c r="FA32" s="1997">
        <f>IFERROR(
IF(テーブル!$B$3="交付申請",FA54,
IF(AND(テーブル!$B$3="変更申請",FA$26=0),0,
IF(AND(テーブル!$B$3="変更申請",FA$26&gt;=1),FA54,
IF(テーブル!$B$3="実績報告（１次）",FA54,
IF(AND(テーブル!$B$3="交付申請（２次）",FA$26=0),0,
IF(AND(テーブル!$B$3="交付申請（２次）",FA$26&gt;=1),FA54,
IF(AND(テーブル!$B$3="交付申請兼実績報告（２次）",FA$26=0),0,
IF(AND(テーブル!$B$3="交付申請兼実績報告（２次）",FA$26&gt;=1),FA54,
IF(AND(テーブル!$B$3="実績報告（２次）",FA$26=0),0,
IF(AND(テーブル!$B$3="実績報告（２次）",FA$26&gt;=1),FA54)))))))))),0)</f>
        <v>0</v>
      </c>
      <c r="FB32" s="1997">
        <f>IFERROR(
IF(テーブル!$B$3="交付申請",FB54,
IF(AND(テーブル!$B$3="変更申請",FB$26=0),0,
IF(AND(テーブル!$B$3="変更申請",FB$26&gt;=1),FB54,
IF(テーブル!$B$3="実績報告（１次）",FB54,
IF(AND(テーブル!$B$3="交付申請（２次）",FB$26=0),0,
IF(AND(テーブル!$B$3="交付申請（２次）",FB$26&gt;=1),FB54,
IF(AND(テーブル!$B$3="交付申請兼実績報告（２次）",FB$26=0),0,
IF(AND(テーブル!$B$3="交付申請兼実績報告（２次）",FB$26&gt;=1),FB54,
IF(AND(テーブル!$B$3="実績報告（２次）",FB$26=0),0,
IF(AND(テーブル!$B$3="実績報告（２次）",FB$26&gt;=1),FB54)))))))))),0)</f>
        <v>0</v>
      </c>
      <c r="FC32" s="1997">
        <f>IFERROR(
IF(テーブル!$B$3="交付申請",FC54,
IF(AND(テーブル!$B$3="変更申請",FC$26=0),0,
IF(AND(テーブル!$B$3="変更申請",FC$26&gt;=1),FC54,
IF(テーブル!$B$3="実績報告（１次）",FC54,
IF(AND(テーブル!$B$3="交付申請（２次）",FC$26=0),0,
IF(AND(テーブル!$B$3="交付申請（２次）",FC$26&gt;=1),FC54,
IF(AND(テーブル!$B$3="交付申請兼実績報告（２次）",FC$26=0),0,
IF(AND(テーブル!$B$3="交付申請兼実績報告（２次）",FC$26&gt;=1),FC54,
IF(AND(テーブル!$B$3="実績報告（２次）",FC$26=0),0,
IF(AND(テーブル!$B$3="実績報告（２次）",FC$26&gt;=1),FC54)))))))))),0)</f>
        <v>0</v>
      </c>
      <c r="FD32" s="1997">
        <f>IFERROR(
IF(テーブル!$B$3="交付申請",FD54,
IF(AND(テーブル!$B$3="変更申請",FD$26=0),0,
IF(AND(テーブル!$B$3="変更申請",FD$26&gt;=1),FD54,
IF(テーブル!$B$3="実績報告（１次）",FD54,
IF(AND(テーブル!$B$3="交付申請（２次）",FD$26=0),0,
IF(AND(テーブル!$B$3="交付申請（２次）",FD$26&gt;=1),FD54,
IF(AND(テーブル!$B$3="交付申請兼実績報告（２次）",FD$26=0),0,
IF(AND(テーブル!$B$3="交付申請兼実績報告（２次）",FD$26&gt;=1),FD54,
IF(AND(テーブル!$B$3="実績報告（２次）",FD$26=0),0,
IF(AND(テーブル!$B$3="実績報告（２次）",FD$26&gt;=1),FD54)))))))))),0)</f>
        <v>0</v>
      </c>
      <c r="FE32" s="1997">
        <f>IFERROR(
IF(テーブル!$B$3="交付申請",FE54,
IF(AND(テーブル!$B$3="変更申請",FE$26=0),0,
IF(AND(テーブル!$B$3="変更申請",FE$26&gt;=1),FE54,
IF(テーブル!$B$3="実績報告（１次）",FE54,
IF(AND(テーブル!$B$3="交付申請（２次）",FE$26=0),0,
IF(AND(テーブル!$B$3="交付申請（２次）",FE$26&gt;=1),FE54,
IF(AND(テーブル!$B$3="交付申請兼実績報告（２次）",FE$26=0),0,
IF(AND(テーブル!$B$3="交付申請兼実績報告（２次）",FE$26&gt;=1),FE54,
IF(AND(テーブル!$B$3="実績報告（２次）",FE$26=0),0,
IF(AND(テーブル!$B$3="実績報告（２次）",FE$26&gt;=1),FE54)))))))))),0)</f>
        <v>0</v>
      </c>
      <c r="FF32" s="1997">
        <f>IFERROR(
IF(テーブル!$B$3="交付申請",FF54,
IF(AND(テーブル!$B$3="変更申請",FF$26=0),0,
IF(AND(テーブル!$B$3="変更申請",FF$26&gt;=1),FF54,
IF(テーブル!$B$3="実績報告（１次）",FF54,
IF(AND(テーブル!$B$3="交付申請（２次）",FF$26=0),0,
IF(AND(テーブル!$B$3="交付申請（２次）",FF$26&gt;=1),FF54,
IF(AND(テーブル!$B$3="交付申請兼実績報告（２次）",FF$26=0),0,
IF(AND(テーブル!$B$3="交付申請兼実績報告（２次）",FF$26&gt;=1),FF54,
IF(AND(テーブル!$B$3="実績報告（２次）",FF$26=0),0,
IF(AND(テーブル!$B$3="実績報告（２次）",FF$26&gt;=1),FF54)))))))))),0)</f>
        <v>0</v>
      </c>
      <c r="FG32" s="1997">
        <f>IFERROR(
IF(テーブル!$B$3="交付申請",FG54,
IF(AND(テーブル!$B$3="変更申請",FG$26=0),0,
IF(AND(テーブル!$B$3="変更申請",FG$26&gt;=1),FG54,
IF(テーブル!$B$3="実績報告（１次）",FG54,
IF(AND(テーブル!$B$3="交付申請（２次）",FG$26=0),0,
IF(AND(テーブル!$B$3="交付申請（２次）",FG$26&gt;=1),FG54,
IF(AND(テーブル!$B$3="交付申請兼実績報告（２次）",FG$26=0),0,
IF(AND(テーブル!$B$3="交付申請兼実績報告（２次）",FG$26&gt;=1),FG54,
IF(AND(テーブル!$B$3="実績報告（２次）",FG$26=0),0,
IF(AND(テーブル!$B$3="実績報告（２次）",FG$26&gt;=1),FG54)))))))))),0)</f>
        <v>0</v>
      </c>
      <c r="FH32" s="1997">
        <f>IFERROR(
IF(テーブル!$B$3="交付申請",FH54,
IF(AND(テーブル!$B$3="変更申請",FH$26=0),0,
IF(AND(テーブル!$B$3="変更申請",FH$26&gt;=1),FH54,
IF(テーブル!$B$3="実績報告（１次）",FH54,
IF(AND(テーブル!$B$3="交付申請（２次）",FH$26=0),0,
IF(AND(テーブル!$B$3="交付申請（２次）",FH$26&gt;=1),FH54,
IF(AND(テーブル!$B$3="交付申請兼実績報告（２次）",FH$26=0),0,
IF(AND(テーブル!$B$3="交付申請兼実績報告（２次）",FH$26&gt;=1),FH54,
IF(AND(テーブル!$B$3="実績報告（２次）",FH$26=0),0,
IF(AND(テーブル!$B$3="実績報告（２次）",FH$26&gt;=1),FH54)))))))))),0)</f>
        <v>0</v>
      </c>
      <c r="FI32" s="1997">
        <f>IFERROR(
IF(テーブル!$B$3="交付申請",FI54,
IF(AND(テーブル!$B$3="変更申請",FI$26=0),0,
IF(AND(テーブル!$B$3="変更申請",FI$26&gt;=1),FI54,
IF(テーブル!$B$3="実績報告（１次）",FI54,
IF(AND(テーブル!$B$3="交付申請（２次）",FI$26=0),0,
IF(AND(テーブル!$B$3="交付申請（２次）",FI$26&gt;=1),FI54,
IF(AND(テーブル!$B$3="交付申請兼実績報告（２次）",FI$26=0),0,
IF(AND(テーブル!$B$3="交付申請兼実績報告（２次）",FI$26&gt;=1),FI54,
IF(AND(テーブル!$B$3="実績報告（２次）",FI$26=0),0,
IF(AND(テーブル!$B$3="実績報告（２次）",FI$26&gt;=1),FI54)))))))))),0)</f>
        <v>0</v>
      </c>
      <c r="FJ32" s="1997">
        <f>IFERROR(
IF(テーブル!$B$3="交付申請",FJ54,
IF(AND(テーブル!$B$3="変更申請",FJ$26=0),0,
IF(AND(テーブル!$B$3="変更申請",FJ$26&gt;=1),FJ54,
IF(テーブル!$B$3="実績報告（１次）",FJ54,
IF(AND(テーブル!$B$3="交付申請（２次）",FJ$26=0),0,
IF(AND(テーブル!$B$3="交付申請（２次）",FJ$26&gt;=1),FJ54,
IF(AND(テーブル!$B$3="交付申請兼実績報告（２次）",FJ$26=0),0,
IF(AND(テーブル!$B$3="交付申請兼実績報告（２次）",FJ$26&gt;=1),FJ54,
IF(AND(テーブル!$B$3="実績報告（２次）",FJ$26=0),0,
IF(AND(テーブル!$B$3="実績報告（２次）",FJ$26&gt;=1),FJ54)))))))))),0)</f>
        <v>0</v>
      </c>
      <c r="FK32" s="1997">
        <f>IFERROR(
IF(テーブル!$B$3="交付申請",FK54,
IF(AND(テーブル!$B$3="変更申請",FK$26=0),0,
IF(AND(テーブル!$B$3="変更申請",FK$26&gt;=1),FK54,
IF(テーブル!$B$3="実績報告（１次）",FK54,
IF(AND(テーブル!$B$3="交付申請（２次）",FK$26=0),0,
IF(AND(テーブル!$B$3="交付申請（２次）",FK$26&gt;=1),FK54,
IF(AND(テーブル!$B$3="交付申請兼実績報告（２次）",FK$26=0),0,
IF(AND(テーブル!$B$3="交付申請兼実績報告（２次）",FK$26&gt;=1),FK54,
IF(AND(テーブル!$B$3="実績報告（２次）",FK$26=0),0,
IF(AND(テーブル!$B$3="実績報告（２次）",FK$26&gt;=1),FK54)))))))))),0)</f>
        <v>0</v>
      </c>
      <c r="FL32" s="1997">
        <f>IFERROR(
IF(テーブル!$B$3="交付申請",FL54,
IF(AND(テーブル!$B$3="変更申請",FL$26=0),0,
IF(AND(テーブル!$B$3="変更申請",FL$26&gt;=1),FL54,
IF(テーブル!$B$3="実績報告（１次）",FL54,
IF(AND(テーブル!$B$3="交付申請（２次）",FL$26=0),0,
IF(AND(テーブル!$B$3="交付申請（２次）",FL$26&gt;=1),FL54,
IF(AND(テーブル!$B$3="交付申請兼実績報告（２次）",FL$26=0),0,
IF(AND(テーブル!$B$3="交付申請兼実績報告（２次）",FL$26&gt;=1),FL54,
IF(AND(テーブル!$B$3="実績報告（２次）",FL$26=0),0,
IF(AND(テーブル!$B$3="実績報告（２次）",FL$26&gt;=1),FL54)))))))))),0)</f>
        <v>0</v>
      </c>
      <c r="FM32" s="1997">
        <f>IFERROR(
IF(テーブル!$B$3="交付申請",FM54,
IF(AND(テーブル!$B$3="変更申請",FM$26=0),0,
IF(AND(テーブル!$B$3="変更申請",FM$26&gt;=1),FM54,
IF(テーブル!$B$3="実績報告（１次）",FM54,
IF(AND(テーブル!$B$3="交付申請（２次）",FM$26=0),0,
IF(AND(テーブル!$B$3="交付申請（２次）",FM$26&gt;=1),FM54,
IF(AND(テーブル!$B$3="交付申請兼実績報告（２次）",FM$26=0),0,
IF(AND(テーブル!$B$3="交付申請兼実績報告（２次）",FM$26&gt;=1),FM54,
IF(AND(テーブル!$B$3="実績報告（２次）",FM$26=0),0,
IF(AND(テーブル!$B$3="実績報告（２次）",FM$26&gt;=1),FM54)))))))))),0)</f>
        <v>0</v>
      </c>
      <c r="FN32" s="1997">
        <f>IFERROR(
IF(テーブル!$B$3="交付申請",FN54,
IF(AND(テーブル!$B$3="変更申請",FN$26=0),0,
IF(AND(テーブル!$B$3="変更申請",FN$26&gt;=1),FN54,
IF(テーブル!$B$3="実績報告（１次）",FN54,
IF(AND(テーブル!$B$3="交付申請（２次）",FN$26=0),0,
IF(AND(テーブル!$B$3="交付申請（２次）",FN$26&gt;=1),FN54,
IF(AND(テーブル!$B$3="交付申請兼実績報告（２次）",FN$26=0),0,
IF(AND(テーブル!$B$3="交付申請兼実績報告（２次）",FN$26&gt;=1),FN54,
IF(AND(テーブル!$B$3="実績報告（２次）",FN$26=0),0,
IF(AND(テーブル!$B$3="実績報告（２次）",FN$26&gt;=1),FN54)))))))))),0)</f>
        <v>0</v>
      </c>
      <c r="FO32" s="1997">
        <f>IFERROR(
IF(テーブル!$B$3="交付申請",FO54,
IF(AND(テーブル!$B$3="変更申請",FO$26=0),0,
IF(AND(テーブル!$B$3="変更申請",FO$26&gt;=1),FO54,
IF(テーブル!$B$3="実績報告（１次）",FO54,
IF(AND(テーブル!$B$3="交付申請（２次）",FO$26=0),0,
IF(AND(テーブル!$B$3="交付申請（２次）",FO$26&gt;=1),FO54,
IF(AND(テーブル!$B$3="交付申請兼実績報告（２次）",FO$26=0),0,
IF(AND(テーブル!$B$3="交付申請兼実績報告（２次）",FO$26&gt;=1),FO54,
IF(AND(テーブル!$B$3="実績報告（２次）",FO$26=0),0,
IF(AND(テーブル!$B$3="実績報告（２次）",FO$26&gt;=1),FO54)))))))))),0)</f>
        <v>0</v>
      </c>
      <c r="FP32" s="1997">
        <f>IFERROR(
IF(テーブル!$B$3="交付申請",FP54,
IF(AND(テーブル!$B$3="変更申請",FP$26=0),0,
IF(AND(テーブル!$B$3="変更申請",FP$26&gt;=1),FP54,
IF(テーブル!$B$3="実績報告（１次）",FP54,
IF(AND(テーブル!$B$3="交付申請（２次）",FP$26=0),0,
IF(AND(テーブル!$B$3="交付申請（２次）",FP$26&gt;=1),FP54,
IF(AND(テーブル!$B$3="交付申請兼実績報告（２次）",FP$26=0),0,
IF(AND(テーブル!$B$3="交付申請兼実績報告（２次）",FP$26&gt;=1),FP54,
IF(AND(テーブル!$B$3="実績報告（２次）",FP$26=0),0,
IF(AND(テーブル!$B$3="実績報告（２次）",FP$26&gt;=1),FP54)))))))))),0)</f>
        <v>0</v>
      </c>
      <c r="FQ32" s="1997">
        <f>IFERROR(
IF(テーブル!$B$3="交付申請",FQ54,
IF(AND(テーブル!$B$3="変更申請",FQ$26=0),0,
IF(AND(テーブル!$B$3="変更申請",FQ$26&gt;=1),FQ54,
IF(テーブル!$B$3="実績報告（１次）",FQ54,
IF(AND(テーブル!$B$3="交付申請（２次）",FQ$26=0),0,
IF(AND(テーブル!$B$3="交付申請（２次）",FQ$26&gt;=1),FQ54,
IF(AND(テーブル!$B$3="交付申請兼実績報告（２次）",FQ$26=0),0,
IF(AND(テーブル!$B$3="交付申請兼実績報告（２次）",FQ$26&gt;=1),FQ54,
IF(AND(テーブル!$B$3="実績報告（２次）",FQ$26=0),0,
IF(AND(テーブル!$B$3="実績報告（２次）",FQ$26&gt;=1),FQ54)))))))))),0)</f>
        <v>0</v>
      </c>
      <c r="FR32" s="1997">
        <f>IFERROR(
IF(テーブル!$B$3="交付申請",FR54,
IF(AND(テーブル!$B$3="変更申請",FR$26=0),0,
IF(AND(テーブル!$B$3="変更申請",FR$26&gt;=1),FR54,
IF(テーブル!$B$3="実績報告（１次）",FR54,
IF(AND(テーブル!$B$3="交付申請（２次）",FR$26=0),0,
IF(AND(テーブル!$B$3="交付申請（２次）",FR$26&gt;=1),FR54,
IF(AND(テーブル!$B$3="交付申請兼実績報告（２次）",FR$26=0),0,
IF(AND(テーブル!$B$3="交付申請兼実績報告（２次）",FR$26&gt;=1),FR54,
IF(AND(テーブル!$B$3="実績報告（２次）",FR$26=0),0,
IF(AND(テーブル!$B$3="実績報告（２次）",FR$26&gt;=1),FR54)))))))))),0)</f>
        <v>0</v>
      </c>
      <c r="FS32" s="1997">
        <f>IFERROR(
IF(テーブル!$B$3="交付申請",FS54,
IF(AND(テーブル!$B$3="変更申請",FS$26=0),0,
IF(AND(テーブル!$B$3="変更申請",FS$26&gt;=1),FS54,
IF(テーブル!$B$3="実績報告（１次）",FS54,
IF(AND(テーブル!$B$3="交付申請（２次）",FS$26=0),0,
IF(AND(テーブル!$B$3="交付申請（２次）",FS$26&gt;=1),FS54,
IF(AND(テーブル!$B$3="交付申請兼実績報告（２次）",FS$26=0),0,
IF(AND(テーブル!$B$3="交付申請兼実績報告（２次）",FS$26&gt;=1),FS54,
IF(AND(テーブル!$B$3="実績報告（２次）",FS$26=0),0,
IF(AND(テーブル!$B$3="実績報告（２次）",FS$26&gt;=1),FS54)))))))))),0)</f>
        <v>0</v>
      </c>
      <c r="FT32" s="1997">
        <f>IFERROR(
IF(テーブル!$B$3="交付申請",FT54,
IF(AND(テーブル!$B$3="変更申請",FT$26=0),0,
IF(AND(テーブル!$B$3="変更申請",FT$26&gt;=1),FT54,
IF(テーブル!$B$3="実績報告（１次）",FT54,
IF(AND(テーブル!$B$3="交付申請（２次）",FT$26=0),0,
IF(AND(テーブル!$B$3="交付申請（２次）",FT$26&gt;=1),FT54,
IF(AND(テーブル!$B$3="交付申請兼実績報告（２次）",FT$26=0),0,
IF(AND(テーブル!$B$3="交付申請兼実績報告（２次）",FT$26&gt;=1),FT54,
IF(AND(テーブル!$B$3="実績報告（２次）",FT$26=0),0,
IF(AND(テーブル!$B$3="実績報告（２次）",FT$26&gt;=1),FT54)))))))))),0)</f>
        <v>0</v>
      </c>
      <c r="FU32" s="1997">
        <f>IFERROR(
IF(テーブル!$B$3="交付申請",FU54,
IF(AND(テーブル!$B$3="変更申請",FU$26=0),0,
IF(AND(テーブル!$B$3="変更申請",FU$26&gt;=1),FU54,
IF(テーブル!$B$3="実績報告（１次）",FU54,
IF(AND(テーブル!$B$3="交付申請（２次）",FU$26=0),0,
IF(AND(テーブル!$B$3="交付申請（２次）",FU$26&gt;=1),FU54,
IF(AND(テーブル!$B$3="交付申請兼実績報告（２次）",FU$26=0),0,
IF(AND(テーブル!$B$3="交付申請兼実績報告（２次）",FU$26&gt;=1),FU54,
IF(AND(テーブル!$B$3="実績報告（２次）",FU$26=0),0,
IF(AND(テーブル!$B$3="実績報告（２次）",FU$26&gt;=1),FU54)))))))))),0)</f>
        <v>0</v>
      </c>
      <c r="FV32" s="1997">
        <f>IFERROR(
IF(テーブル!$B$3="交付申請",FV54,
IF(AND(テーブル!$B$3="変更申請",FV$26=0),0,
IF(AND(テーブル!$B$3="変更申請",FV$26&gt;=1),FV54,
IF(テーブル!$B$3="実績報告（１次）",FV54,
IF(AND(テーブル!$B$3="交付申請（２次）",FV$26=0),0,
IF(AND(テーブル!$B$3="交付申請（２次）",FV$26&gt;=1),FV54,
IF(AND(テーブル!$B$3="交付申請兼実績報告（２次）",FV$26=0),0,
IF(AND(テーブル!$B$3="交付申請兼実績報告（２次）",FV$26&gt;=1),FV54,
IF(AND(テーブル!$B$3="実績報告（２次）",FV$26=0),0,
IF(AND(テーブル!$B$3="実績報告（２次）",FV$26&gt;=1),FV54)))))))))),0)</f>
        <v>0</v>
      </c>
      <c r="FW32" s="1997">
        <f>IFERROR(
IF(テーブル!$B$3="交付申請",FW54,
IF(AND(テーブル!$B$3="変更申請",FW$26=0),0,
IF(AND(テーブル!$B$3="変更申請",FW$26&gt;=1),FW54,
IF(テーブル!$B$3="実績報告（１次）",FW54,
IF(AND(テーブル!$B$3="交付申請（２次）",FW$26=0),0,
IF(AND(テーブル!$B$3="交付申請（２次）",FW$26&gt;=1),FW54,
IF(AND(テーブル!$B$3="交付申請兼実績報告（２次）",FW$26=0),0,
IF(AND(テーブル!$B$3="交付申請兼実績報告（２次）",FW$26&gt;=1),FW54,
IF(AND(テーブル!$B$3="実績報告（２次）",FW$26=0),0,
IF(AND(テーブル!$B$3="実績報告（２次）",FW$26&gt;=1),FW54)))))))))),0)</f>
        <v>0</v>
      </c>
      <c r="FX32" s="1997">
        <f>IFERROR(
IF(テーブル!$B$3="交付申請",FX54,
IF(AND(テーブル!$B$3="変更申請",FX$26=0),0,
IF(AND(テーブル!$B$3="変更申請",FX$26&gt;=1),FX54,
IF(テーブル!$B$3="実績報告（１次）",FX54,
IF(AND(テーブル!$B$3="交付申請（２次）",FX$26=0),0,
IF(AND(テーブル!$B$3="交付申請（２次）",FX$26&gt;=1),FX54,
IF(AND(テーブル!$B$3="交付申請兼実績報告（２次）",FX$26=0),0,
IF(AND(テーブル!$B$3="交付申請兼実績報告（２次）",FX$26&gt;=1),FX54,
IF(AND(テーブル!$B$3="実績報告（２次）",FX$26=0),0,
IF(AND(テーブル!$B$3="実績報告（２次）",FX$26&gt;=1),FX54)))))))))),0)</f>
        <v>0</v>
      </c>
      <c r="FY32" s="1997">
        <f>IFERROR(
IF(テーブル!$B$3="交付申請",FY54,
IF(AND(テーブル!$B$3="変更申請",FY$26=0),0,
IF(AND(テーブル!$B$3="変更申請",FY$26&gt;=1),FY54,
IF(テーブル!$B$3="実績報告（１次）",FY54,
IF(AND(テーブル!$B$3="交付申請（２次）",FY$26=0),0,
IF(AND(テーブル!$B$3="交付申請（２次）",FY$26&gt;=1),FY54,
IF(AND(テーブル!$B$3="交付申請兼実績報告（２次）",FY$26=0),0,
IF(AND(テーブル!$B$3="交付申請兼実績報告（２次）",FY$26&gt;=1),FY54,
IF(AND(テーブル!$B$3="実績報告（２次）",FY$26=0),0,
IF(AND(テーブル!$B$3="実績報告（２次）",FY$26&gt;=1),FY54)))))))))),0)</f>
        <v>0</v>
      </c>
      <c r="FZ32" s="1997">
        <f>IFERROR(
IF(テーブル!$B$3="交付申請",FZ54,
IF(AND(テーブル!$B$3="変更申請",FZ$26=0),0,
IF(AND(テーブル!$B$3="変更申請",FZ$26&gt;=1),FZ54,
IF(テーブル!$B$3="実績報告（１次）",FZ54,
IF(AND(テーブル!$B$3="交付申請（２次）",FZ$26=0),0,
IF(AND(テーブル!$B$3="交付申請（２次）",FZ$26&gt;=1),FZ54,
IF(AND(テーブル!$B$3="交付申請兼実績報告（２次）",FZ$26=0),0,
IF(AND(テーブル!$B$3="交付申請兼実績報告（２次）",FZ$26&gt;=1),FZ54,
IF(AND(テーブル!$B$3="実績報告（２次）",FZ$26=0),0,
IF(AND(テーブル!$B$3="実績報告（２次）",FZ$26&gt;=1),FZ54)))))))))),0)</f>
        <v>0</v>
      </c>
      <c r="GA32" s="1997">
        <f>IFERROR(
IF(テーブル!$B$3="交付申請",GA54,
IF(AND(テーブル!$B$3="変更申請",GA$26=0),0,
IF(AND(テーブル!$B$3="変更申請",GA$26&gt;=1),GA54,
IF(テーブル!$B$3="実績報告（１次）",GA54,
IF(AND(テーブル!$B$3="交付申請（２次）",GA$26=0),0,
IF(AND(テーブル!$B$3="交付申請（２次）",GA$26&gt;=1),GA54,
IF(AND(テーブル!$B$3="交付申請兼実績報告（２次）",GA$26=0),0,
IF(AND(テーブル!$B$3="交付申請兼実績報告（２次）",GA$26&gt;=1),GA54,
IF(AND(テーブル!$B$3="実績報告（２次）",GA$26=0),0,
IF(AND(テーブル!$B$3="実績報告（２次）",GA$26&gt;=1),GA54)))))))))),0)</f>
        <v>0</v>
      </c>
      <c r="GB32" s="1997">
        <f>IFERROR(
IF(テーブル!$B$3="交付申請",GB54,
IF(AND(テーブル!$B$3="変更申請",GB$26=0),0,
IF(AND(テーブル!$B$3="変更申請",GB$26&gt;=1),GB54,
IF(テーブル!$B$3="実績報告（１次）",GB54,
IF(AND(テーブル!$B$3="交付申請（２次）",GB$26=0),0,
IF(AND(テーブル!$B$3="交付申請（２次）",GB$26&gt;=1),GB54,
IF(AND(テーブル!$B$3="交付申請兼実績報告（２次）",GB$26=0),0,
IF(AND(テーブル!$B$3="交付申請兼実績報告（２次）",GB$26&gt;=1),GB54,
IF(AND(テーブル!$B$3="実績報告（２次）",GB$26=0),0,
IF(AND(テーブル!$B$3="実績報告（２次）",GB$26&gt;=1),GB54)))))))))),0)</f>
        <v>0</v>
      </c>
      <c r="GC32" s="1997">
        <f>IFERROR(
IF(テーブル!$B$3="交付申請",GC54,
IF(AND(テーブル!$B$3="変更申請",GC$26=0),0,
IF(AND(テーブル!$B$3="変更申請",GC$26&gt;=1),GC54,
IF(テーブル!$B$3="実績報告（１次）",GC54,
IF(AND(テーブル!$B$3="交付申請（２次）",GC$26=0),0,
IF(AND(テーブル!$B$3="交付申請（２次）",GC$26&gt;=1),GC54,
IF(AND(テーブル!$B$3="交付申請兼実績報告（２次）",GC$26=0),0,
IF(AND(テーブル!$B$3="交付申請兼実績報告（２次）",GC$26&gt;=1),GC54,
IF(AND(テーブル!$B$3="実績報告（２次）",GC$26=0),0,
IF(AND(テーブル!$B$3="実績報告（２次）",GC$26&gt;=1),GC54)))))))))),0)</f>
        <v>0</v>
      </c>
      <c r="GD32" s="1997">
        <f>IFERROR(
IF(テーブル!$B$3="交付申請",GD54,
IF(AND(テーブル!$B$3="変更申請",GD$26=0),0,
IF(AND(テーブル!$B$3="変更申請",GD$26&gt;=1),GD54,
IF(テーブル!$B$3="実績報告（１次）",GD54,
IF(AND(テーブル!$B$3="交付申請（２次）",GD$26=0),0,
IF(AND(テーブル!$B$3="交付申請（２次）",GD$26&gt;=1),GD54,
IF(AND(テーブル!$B$3="交付申請兼実績報告（２次）",GD$26=0),0,
IF(AND(テーブル!$B$3="交付申請兼実績報告（２次）",GD$26&gt;=1),GD54,
IF(AND(テーブル!$B$3="実績報告（２次）",GD$26=0),0,
IF(AND(テーブル!$B$3="実績報告（２次）",GD$26&gt;=1),GD54)))))))))),0)</f>
        <v>0</v>
      </c>
      <c r="GE32" s="1997">
        <f>IFERROR(
IF(テーブル!$B$3="交付申請",GE54,
IF(AND(テーブル!$B$3="変更申請",GE$26=0),0,
IF(AND(テーブル!$B$3="変更申請",GE$26&gt;=1),GE54,
IF(テーブル!$B$3="実績報告（１次）",GE54,
IF(AND(テーブル!$B$3="交付申請（２次）",GE$26=0),0,
IF(AND(テーブル!$B$3="交付申請（２次）",GE$26&gt;=1),GE54,
IF(AND(テーブル!$B$3="交付申請兼実績報告（２次）",GE$26=0),0,
IF(AND(テーブル!$B$3="交付申請兼実績報告（２次）",GE$26&gt;=1),GE54,
IF(AND(テーブル!$B$3="実績報告（２次）",GE$26=0),0,
IF(AND(テーブル!$B$3="実績報告（２次）",GE$26&gt;=1),GE54)))))))))),0)</f>
        <v>0</v>
      </c>
      <c r="GF32" s="2019">
        <f>IFERROR(
IF(テーブル!$B$3="交付申請",GF54,
IF(AND(テーブル!$B$3="変更申請",GF$26=0),0,
IF(AND(テーブル!$B$3="変更申請",GF$26&gt;=1),GF54,
IF(テーブル!$B$3="実績報告（１次）",GF54,
IF(AND(テーブル!$B$3="交付申請（２次）",GF$26=0),0,
IF(AND(テーブル!$B$3="交付申請（２次）",GF$26&gt;=1),GF54,
IF(AND(テーブル!$B$3="交付申請兼実績報告（２次）",GF$26=0),0,
IF(AND(テーブル!$B$3="交付申請兼実績報告（２次）",GF$26&gt;=1),GF54,
IF(AND(テーブル!$B$3="実績報告（２次）",GF$26=0),0,
IF(AND(テーブル!$B$3="実績報告（２次）",GF$26&gt;=1),GF54)))))))))),0)</f>
        <v>0</v>
      </c>
      <c r="GG32" s="2006"/>
    </row>
    <row r="33" spans="1:189" s="638" customFormat="1" ht="18.75" x14ac:dyDescent="0.4">
      <c r="A33" s="2003"/>
      <c r="B33" s="2018" t="s">
        <v>1013</v>
      </c>
      <c r="C33" s="1690">
        <f t="shared" si="21"/>
        <v>0</v>
      </c>
      <c r="D33" s="1691"/>
      <c r="E33" s="637"/>
      <c r="F33" s="1997">
        <f>IFERROR(
IF(テーブル!$B$3="交付申請",F57,
IF(AND(テーブル!$B$3="変更申請",F$26=0),0,
IF(AND(テーブル!$B$3="変更申請",F$26&gt;=1),F57,
IF(テーブル!$B$3="実績報告（１次）",F57,
IF(AND(テーブル!$B$3="交付申請（２次）",F$26=0),0,
IF(AND(テーブル!$B$3="交付申請（２次）",F$26&gt;=1),F57,
IF(AND(テーブル!$B$3="交付申請兼実績報告（２次）",F$26=0),0,
IF(AND(テーブル!$B$3="交付申請兼実績報告（２次）",F$26&gt;=1),F57,
IF(AND(テーブル!$B$3="実績報告（２次）",F$26=0),0,
IF(AND(テーブル!$B$3="実績報告（２次）",F$26&gt;=1),F57)))))))))),0)</f>
        <v>0</v>
      </c>
      <c r="G33" s="1997">
        <f>IFERROR(
IF(テーブル!$B$3="交付申請",G57,
IF(AND(テーブル!$B$3="変更申請",G$26=0),0,
IF(AND(テーブル!$B$3="変更申請",G$26&gt;=1),G57,
IF(テーブル!$B$3="実績報告（１次）",G57,
IF(AND(テーブル!$B$3="交付申請（２次）",G$26=0),0,
IF(AND(テーブル!$B$3="交付申請（２次）",G$26&gt;=1),G57,
IF(AND(テーブル!$B$3="交付申請兼実績報告（２次）",G$26=0),0,
IF(AND(テーブル!$B$3="交付申請兼実績報告（２次）",G$26&gt;=1),G57,
IF(AND(テーブル!$B$3="実績報告（２次）",G$26=0),0,
IF(AND(テーブル!$B$3="実績報告（２次）",G$26&gt;=1),G57)))))))))),0)</f>
        <v>0</v>
      </c>
      <c r="H33" s="1997">
        <f>IFERROR(
IF(テーブル!$B$3="交付申請",H57,
IF(AND(テーブル!$B$3="変更申請",H$26=0),0,
IF(AND(テーブル!$B$3="変更申請",H$26&gt;=1),H57,
IF(テーブル!$B$3="実績報告（１次）",H57,
IF(AND(テーブル!$B$3="交付申請（２次）",H$26=0),0,
IF(AND(テーブル!$B$3="交付申請（２次）",H$26&gt;=1),H57,
IF(AND(テーブル!$B$3="交付申請兼実績報告（２次）",H$26=0),0,
IF(AND(テーブル!$B$3="交付申請兼実績報告（２次）",H$26&gt;=1),H57,
IF(AND(テーブル!$B$3="実績報告（２次）",H$26=0),0,
IF(AND(テーブル!$B$3="実績報告（２次）",H$26&gt;=1),H57)))))))))),0)</f>
        <v>0</v>
      </c>
      <c r="I33" s="1997">
        <f>IFERROR(
IF(テーブル!$B$3="交付申請",I57,
IF(AND(テーブル!$B$3="変更申請",I$26=0),0,
IF(AND(テーブル!$B$3="変更申請",I$26&gt;=1),I57,
IF(テーブル!$B$3="実績報告（１次）",I57,
IF(AND(テーブル!$B$3="交付申請（２次）",I$26=0),0,
IF(AND(テーブル!$B$3="交付申請（２次）",I$26&gt;=1),I57,
IF(AND(テーブル!$B$3="交付申請兼実績報告（２次）",I$26=0),0,
IF(AND(テーブル!$B$3="交付申請兼実績報告（２次）",I$26&gt;=1),I57,
IF(AND(テーブル!$B$3="実績報告（２次）",I$26=0),0,
IF(AND(テーブル!$B$3="実績報告（２次）",I$26&gt;=1),I57)))))))))),0)</f>
        <v>0</v>
      </c>
      <c r="J33" s="1997">
        <f>IFERROR(
IF(テーブル!$B$3="交付申請",J57,
IF(AND(テーブル!$B$3="変更申請",J$26=0),0,
IF(AND(テーブル!$B$3="変更申請",J$26&gt;=1),J57,
IF(テーブル!$B$3="実績報告（１次）",J57,
IF(AND(テーブル!$B$3="交付申請（２次）",J$26=0),0,
IF(AND(テーブル!$B$3="交付申請（２次）",J$26&gt;=1),J57,
IF(AND(テーブル!$B$3="交付申請兼実績報告（２次）",J$26=0),0,
IF(AND(テーブル!$B$3="交付申請兼実績報告（２次）",J$26&gt;=1),J57,
IF(AND(テーブル!$B$3="実績報告（２次）",J$26=0),0,
IF(AND(テーブル!$B$3="実績報告（２次）",J$26&gt;=1),J57)))))))))),0)</f>
        <v>0</v>
      </c>
      <c r="K33" s="1997">
        <f>IFERROR(
IF(テーブル!$B$3="交付申請",K57,
IF(AND(テーブル!$B$3="変更申請",K$26=0),0,
IF(AND(テーブル!$B$3="変更申請",K$26&gt;=1),K57,
IF(テーブル!$B$3="実績報告（１次）",K57,
IF(AND(テーブル!$B$3="交付申請（２次）",K$26=0),0,
IF(AND(テーブル!$B$3="交付申請（２次）",K$26&gt;=1),K57,
IF(AND(テーブル!$B$3="交付申請兼実績報告（２次）",K$26=0),0,
IF(AND(テーブル!$B$3="交付申請兼実績報告（２次）",K$26&gt;=1),K57,
IF(AND(テーブル!$B$3="実績報告（２次）",K$26=0),0,
IF(AND(テーブル!$B$3="実績報告（２次）",K$26&gt;=1),K57)))))))))),0)</f>
        <v>0</v>
      </c>
      <c r="L33" s="1997">
        <f>IFERROR(
IF(テーブル!$B$3="交付申請",L57,
IF(AND(テーブル!$B$3="変更申請",L$26=0),0,
IF(AND(テーブル!$B$3="変更申請",L$26&gt;=1),L57,
IF(テーブル!$B$3="実績報告（１次）",L57,
IF(AND(テーブル!$B$3="交付申請（２次）",L$26=0),0,
IF(AND(テーブル!$B$3="交付申請（２次）",L$26&gt;=1),L57,
IF(AND(テーブル!$B$3="交付申請兼実績報告（２次）",L$26=0),0,
IF(AND(テーブル!$B$3="交付申請兼実績報告（２次）",L$26&gt;=1),L57,
IF(AND(テーブル!$B$3="実績報告（２次）",L$26=0),0,
IF(AND(テーブル!$B$3="実績報告（２次）",L$26&gt;=1),L57)))))))))),0)</f>
        <v>0</v>
      </c>
      <c r="M33" s="1997">
        <f>IFERROR(
IF(テーブル!$B$3="交付申請",M57,
IF(AND(テーブル!$B$3="変更申請",M$26=0),0,
IF(AND(テーブル!$B$3="変更申請",M$26&gt;=1),M57,
IF(テーブル!$B$3="実績報告（１次）",M57,
IF(AND(テーブル!$B$3="交付申請（２次）",M$26=0),0,
IF(AND(テーブル!$B$3="交付申請（２次）",M$26&gt;=1),M57,
IF(AND(テーブル!$B$3="交付申請兼実績報告（２次）",M$26=0),0,
IF(AND(テーブル!$B$3="交付申請兼実績報告（２次）",M$26&gt;=1),M57,
IF(AND(テーブル!$B$3="実績報告（２次）",M$26=0),0,
IF(AND(テーブル!$B$3="実績報告（２次）",M$26&gt;=1),M57)))))))))),0)</f>
        <v>0</v>
      </c>
      <c r="N33" s="1997">
        <f>IFERROR(
IF(テーブル!$B$3="交付申請",N57,
IF(AND(テーブル!$B$3="変更申請",N$26=0),0,
IF(AND(テーブル!$B$3="変更申請",N$26&gt;=1),N57,
IF(テーブル!$B$3="実績報告（１次）",N57,
IF(AND(テーブル!$B$3="交付申請（２次）",N$26=0),0,
IF(AND(テーブル!$B$3="交付申請（２次）",N$26&gt;=1),N57,
IF(AND(テーブル!$B$3="交付申請兼実績報告（２次）",N$26=0),0,
IF(AND(テーブル!$B$3="交付申請兼実績報告（２次）",N$26&gt;=1),N57,
IF(AND(テーブル!$B$3="実績報告（２次）",N$26=0),0,
IF(AND(テーブル!$B$3="実績報告（２次）",N$26&gt;=1),N57)))))))))),0)</f>
        <v>0</v>
      </c>
      <c r="O33" s="1997">
        <f>IFERROR(
IF(テーブル!$B$3="交付申請",O57,
IF(AND(テーブル!$B$3="変更申請",O$26=0),0,
IF(AND(テーブル!$B$3="変更申請",O$26&gt;=1),O57,
IF(テーブル!$B$3="実績報告（１次）",O57,
IF(AND(テーブル!$B$3="交付申請（２次）",O$26=0),0,
IF(AND(テーブル!$B$3="交付申請（２次）",O$26&gt;=1),O57,
IF(AND(テーブル!$B$3="交付申請兼実績報告（２次）",O$26=0),0,
IF(AND(テーブル!$B$3="交付申請兼実績報告（２次）",O$26&gt;=1),O57,
IF(AND(テーブル!$B$3="実績報告（２次）",O$26=0),0,
IF(AND(テーブル!$B$3="実績報告（２次）",O$26&gt;=1),O57)))))))))),0)</f>
        <v>0</v>
      </c>
      <c r="P33" s="1997">
        <f>IFERROR(
IF(テーブル!$B$3="交付申請",P57,
IF(AND(テーブル!$B$3="変更申請",P$26=0),0,
IF(AND(テーブル!$B$3="変更申請",P$26&gt;=1),P57,
IF(テーブル!$B$3="実績報告（１次）",P57,
IF(AND(テーブル!$B$3="交付申請（２次）",P$26=0),0,
IF(AND(テーブル!$B$3="交付申請（２次）",P$26&gt;=1),P57,
IF(AND(テーブル!$B$3="交付申請兼実績報告（２次）",P$26=0),0,
IF(AND(テーブル!$B$3="交付申請兼実績報告（２次）",P$26&gt;=1),P57,
IF(AND(テーブル!$B$3="実績報告（２次）",P$26=0),0,
IF(AND(テーブル!$B$3="実績報告（２次）",P$26&gt;=1),P57)))))))))),0)</f>
        <v>0</v>
      </c>
      <c r="Q33" s="1997">
        <f>IFERROR(
IF(テーブル!$B$3="交付申請",Q57,
IF(AND(テーブル!$B$3="変更申請",Q$26=0),0,
IF(AND(テーブル!$B$3="変更申請",Q$26&gt;=1),Q57,
IF(テーブル!$B$3="実績報告（１次）",Q57,
IF(AND(テーブル!$B$3="交付申請（２次）",Q$26=0),0,
IF(AND(テーブル!$B$3="交付申請（２次）",Q$26&gt;=1),Q57,
IF(AND(テーブル!$B$3="交付申請兼実績報告（２次）",Q$26=0),0,
IF(AND(テーブル!$B$3="交付申請兼実績報告（２次）",Q$26&gt;=1),Q57,
IF(AND(テーブル!$B$3="実績報告（２次）",Q$26=0),0,
IF(AND(テーブル!$B$3="実績報告（２次）",Q$26&gt;=1),Q57)))))))))),0)</f>
        <v>0</v>
      </c>
      <c r="R33" s="1997">
        <f>IFERROR(
IF(テーブル!$B$3="交付申請",R57,
IF(AND(テーブル!$B$3="変更申請",R$26=0),0,
IF(AND(テーブル!$B$3="変更申請",R$26&gt;=1),R57,
IF(テーブル!$B$3="実績報告（１次）",R57,
IF(AND(テーブル!$B$3="交付申請（２次）",R$26=0),0,
IF(AND(テーブル!$B$3="交付申請（２次）",R$26&gt;=1),R57,
IF(AND(テーブル!$B$3="交付申請兼実績報告（２次）",R$26=0),0,
IF(AND(テーブル!$B$3="交付申請兼実績報告（２次）",R$26&gt;=1),R57,
IF(AND(テーブル!$B$3="実績報告（２次）",R$26=0),0,
IF(AND(テーブル!$B$3="実績報告（２次）",R$26&gt;=1),R57)))))))))),0)</f>
        <v>0</v>
      </c>
      <c r="S33" s="1997">
        <f>IFERROR(
IF(テーブル!$B$3="交付申請",S57,
IF(AND(テーブル!$B$3="変更申請",S$26=0),0,
IF(AND(テーブル!$B$3="変更申請",S$26&gt;=1),S57,
IF(テーブル!$B$3="実績報告（１次）",S57,
IF(AND(テーブル!$B$3="交付申請（２次）",S$26=0),0,
IF(AND(テーブル!$B$3="交付申請（２次）",S$26&gt;=1),S57,
IF(AND(テーブル!$B$3="交付申請兼実績報告（２次）",S$26=0),0,
IF(AND(テーブル!$B$3="交付申請兼実績報告（２次）",S$26&gt;=1),S57,
IF(AND(テーブル!$B$3="実績報告（２次）",S$26=0),0,
IF(AND(テーブル!$B$3="実績報告（２次）",S$26&gt;=1),S57)))))))))),0)</f>
        <v>0</v>
      </c>
      <c r="T33" s="1997">
        <f>IFERROR(
IF(テーブル!$B$3="交付申請",T57,
IF(AND(テーブル!$B$3="変更申請",T$26=0),0,
IF(AND(テーブル!$B$3="変更申請",T$26&gt;=1),T57,
IF(テーブル!$B$3="実績報告（１次）",T57,
IF(AND(テーブル!$B$3="交付申請（２次）",T$26=0),0,
IF(AND(テーブル!$B$3="交付申請（２次）",T$26&gt;=1),T57,
IF(AND(テーブル!$B$3="交付申請兼実績報告（２次）",T$26=0),0,
IF(AND(テーブル!$B$3="交付申請兼実績報告（２次）",T$26&gt;=1),T57,
IF(AND(テーブル!$B$3="実績報告（２次）",T$26=0),0,
IF(AND(テーブル!$B$3="実績報告（２次）",T$26&gt;=1),T57)))))))))),0)</f>
        <v>0</v>
      </c>
      <c r="U33" s="1997">
        <f>IFERROR(
IF(テーブル!$B$3="交付申請",U57,
IF(AND(テーブル!$B$3="変更申請",U$26=0),0,
IF(AND(テーブル!$B$3="変更申請",U$26&gt;=1),U57,
IF(テーブル!$B$3="実績報告（１次）",U57,
IF(AND(テーブル!$B$3="交付申請（２次）",U$26=0),0,
IF(AND(テーブル!$B$3="交付申請（２次）",U$26&gt;=1),U57,
IF(AND(テーブル!$B$3="交付申請兼実績報告（２次）",U$26=0),0,
IF(AND(テーブル!$B$3="交付申請兼実績報告（２次）",U$26&gt;=1),U57,
IF(AND(テーブル!$B$3="実績報告（２次）",U$26=0),0,
IF(AND(テーブル!$B$3="実績報告（２次）",U$26&gt;=1),U57)))))))))),0)</f>
        <v>0</v>
      </c>
      <c r="V33" s="1997">
        <f>IFERROR(
IF(テーブル!$B$3="交付申請",V57,
IF(AND(テーブル!$B$3="変更申請",V$26=0),0,
IF(AND(テーブル!$B$3="変更申請",V$26&gt;=1),V57,
IF(テーブル!$B$3="実績報告（１次）",V57,
IF(AND(テーブル!$B$3="交付申請（２次）",V$26=0),0,
IF(AND(テーブル!$B$3="交付申請（２次）",V$26&gt;=1),V57,
IF(AND(テーブル!$B$3="交付申請兼実績報告（２次）",V$26=0),0,
IF(AND(テーブル!$B$3="交付申請兼実績報告（２次）",V$26&gt;=1),V57,
IF(AND(テーブル!$B$3="実績報告（２次）",V$26=0),0,
IF(AND(テーブル!$B$3="実績報告（２次）",V$26&gt;=1),V57)))))))))),0)</f>
        <v>0</v>
      </c>
      <c r="W33" s="1997">
        <f>IFERROR(
IF(テーブル!$B$3="交付申請",W57,
IF(AND(テーブル!$B$3="変更申請",W$26=0),0,
IF(AND(テーブル!$B$3="変更申請",W$26&gt;=1),W57,
IF(テーブル!$B$3="実績報告（１次）",W57,
IF(AND(テーブル!$B$3="交付申請（２次）",W$26=0),0,
IF(AND(テーブル!$B$3="交付申請（２次）",W$26&gt;=1),W57,
IF(AND(テーブル!$B$3="交付申請兼実績報告（２次）",W$26=0),0,
IF(AND(テーブル!$B$3="交付申請兼実績報告（２次）",W$26&gt;=1),W57,
IF(AND(テーブル!$B$3="実績報告（２次）",W$26=0),0,
IF(AND(テーブル!$B$3="実績報告（２次）",W$26&gt;=1),W57)))))))))),0)</f>
        <v>0</v>
      </c>
      <c r="X33" s="1997">
        <f>IFERROR(
IF(テーブル!$B$3="交付申請",X57,
IF(AND(テーブル!$B$3="変更申請",X$26=0),0,
IF(AND(テーブル!$B$3="変更申請",X$26&gt;=1),X57,
IF(テーブル!$B$3="実績報告（１次）",X57,
IF(AND(テーブル!$B$3="交付申請（２次）",X$26=0),0,
IF(AND(テーブル!$B$3="交付申請（２次）",X$26&gt;=1),X57,
IF(AND(テーブル!$B$3="交付申請兼実績報告（２次）",X$26=0),0,
IF(AND(テーブル!$B$3="交付申請兼実績報告（２次）",X$26&gt;=1),X57,
IF(AND(テーブル!$B$3="実績報告（２次）",X$26=0),0,
IF(AND(テーブル!$B$3="実績報告（２次）",X$26&gt;=1),X57)))))))))),0)</f>
        <v>0</v>
      </c>
      <c r="Y33" s="1997">
        <f>IFERROR(
IF(テーブル!$B$3="交付申請",Y57,
IF(AND(テーブル!$B$3="変更申請",Y$26=0),0,
IF(AND(テーブル!$B$3="変更申請",Y$26&gt;=1),Y57,
IF(テーブル!$B$3="実績報告（１次）",Y57,
IF(AND(テーブル!$B$3="交付申請（２次）",Y$26=0),0,
IF(AND(テーブル!$B$3="交付申請（２次）",Y$26&gt;=1),Y57,
IF(AND(テーブル!$B$3="交付申請兼実績報告（２次）",Y$26=0),0,
IF(AND(テーブル!$B$3="交付申請兼実績報告（２次）",Y$26&gt;=1),Y57,
IF(AND(テーブル!$B$3="実績報告（２次）",Y$26=0),0,
IF(AND(テーブル!$B$3="実績報告（２次）",Y$26&gt;=1),Y57)))))))))),0)</f>
        <v>0</v>
      </c>
      <c r="Z33" s="1997">
        <f>IFERROR(
IF(テーブル!$B$3="交付申請",Z57,
IF(AND(テーブル!$B$3="変更申請",Z$26=0),0,
IF(AND(テーブル!$B$3="変更申請",Z$26&gt;=1),Z57,
IF(テーブル!$B$3="実績報告（１次）",Z57,
IF(AND(テーブル!$B$3="交付申請（２次）",Z$26=0),0,
IF(AND(テーブル!$B$3="交付申請（２次）",Z$26&gt;=1),Z57,
IF(AND(テーブル!$B$3="交付申請兼実績報告（２次）",Z$26=0),0,
IF(AND(テーブル!$B$3="交付申請兼実績報告（２次）",Z$26&gt;=1),Z57,
IF(AND(テーブル!$B$3="実績報告（２次）",Z$26=0),0,
IF(AND(テーブル!$B$3="実績報告（２次）",Z$26&gt;=1),Z57)))))))))),0)</f>
        <v>0</v>
      </c>
      <c r="AA33" s="1997">
        <f>IFERROR(
IF(テーブル!$B$3="交付申請",AA57,
IF(AND(テーブル!$B$3="変更申請",AA$26=0),0,
IF(AND(テーブル!$B$3="変更申請",AA$26&gt;=1),AA57,
IF(テーブル!$B$3="実績報告（１次）",AA57,
IF(AND(テーブル!$B$3="交付申請（２次）",AA$26=0),0,
IF(AND(テーブル!$B$3="交付申請（２次）",AA$26&gt;=1),AA57,
IF(AND(テーブル!$B$3="交付申請兼実績報告（２次）",AA$26=0),0,
IF(AND(テーブル!$B$3="交付申請兼実績報告（２次）",AA$26&gt;=1),AA57,
IF(AND(テーブル!$B$3="実績報告（２次）",AA$26=0),0,
IF(AND(テーブル!$B$3="実績報告（２次）",AA$26&gt;=1),AA57)))))))))),0)</f>
        <v>0</v>
      </c>
      <c r="AB33" s="1997">
        <f>IFERROR(
IF(テーブル!$B$3="交付申請",AB57,
IF(AND(テーブル!$B$3="変更申請",AB$26=0),0,
IF(AND(テーブル!$B$3="変更申請",AB$26&gt;=1),AB57,
IF(テーブル!$B$3="実績報告（１次）",AB57,
IF(AND(テーブル!$B$3="交付申請（２次）",AB$26=0),0,
IF(AND(テーブル!$B$3="交付申請（２次）",AB$26&gt;=1),AB57,
IF(AND(テーブル!$B$3="交付申請兼実績報告（２次）",AB$26=0),0,
IF(AND(テーブル!$B$3="交付申請兼実績報告（２次）",AB$26&gt;=1),AB57,
IF(AND(テーブル!$B$3="実績報告（２次）",AB$26=0),0,
IF(AND(テーブル!$B$3="実績報告（２次）",AB$26&gt;=1),AB57)))))))))),0)</f>
        <v>0</v>
      </c>
      <c r="AC33" s="1997">
        <f>IFERROR(
IF(テーブル!$B$3="交付申請",AC57,
IF(AND(テーブル!$B$3="変更申請",AC$26=0),0,
IF(AND(テーブル!$B$3="変更申請",AC$26&gt;=1),AC57,
IF(テーブル!$B$3="実績報告（１次）",AC57,
IF(AND(テーブル!$B$3="交付申請（２次）",AC$26=0),0,
IF(AND(テーブル!$B$3="交付申請（２次）",AC$26&gt;=1),AC57,
IF(AND(テーブル!$B$3="交付申請兼実績報告（２次）",AC$26=0),0,
IF(AND(テーブル!$B$3="交付申請兼実績報告（２次）",AC$26&gt;=1),AC57,
IF(AND(テーブル!$B$3="実績報告（２次）",AC$26=0),0,
IF(AND(テーブル!$B$3="実績報告（２次）",AC$26&gt;=1),AC57)))))))))),0)</f>
        <v>0</v>
      </c>
      <c r="AD33" s="1997">
        <f>IFERROR(
IF(テーブル!$B$3="交付申請",AD57,
IF(AND(テーブル!$B$3="変更申請",AD$26=0),0,
IF(AND(テーブル!$B$3="変更申請",AD$26&gt;=1),AD57,
IF(テーブル!$B$3="実績報告（１次）",AD57,
IF(AND(テーブル!$B$3="交付申請（２次）",AD$26=0),0,
IF(AND(テーブル!$B$3="交付申請（２次）",AD$26&gt;=1),AD57,
IF(AND(テーブル!$B$3="交付申請兼実績報告（２次）",AD$26=0),0,
IF(AND(テーブル!$B$3="交付申請兼実績報告（２次）",AD$26&gt;=1),AD57,
IF(AND(テーブル!$B$3="実績報告（２次）",AD$26=0),0,
IF(AND(テーブル!$B$3="実績報告（２次）",AD$26&gt;=1),AD57)))))))))),0)</f>
        <v>0</v>
      </c>
      <c r="AE33" s="1997">
        <f>IFERROR(
IF(テーブル!$B$3="交付申請",AE57,
IF(AND(テーブル!$B$3="変更申請",AE$26=0),0,
IF(AND(テーブル!$B$3="変更申請",AE$26&gt;=1),AE57,
IF(テーブル!$B$3="実績報告（１次）",AE57,
IF(AND(テーブル!$B$3="交付申請（２次）",AE$26=0),0,
IF(AND(テーブル!$B$3="交付申請（２次）",AE$26&gt;=1),AE57,
IF(AND(テーブル!$B$3="交付申請兼実績報告（２次）",AE$26=0),0,
IF(AND(テーブル!$B$3="交付申請兼実績報告（２次）",AE$26&gt;=1),AE57,
IF(AND(テーブル!$B$3="実績報告（２次）",AE$26=0),0,
IF(AND(テーブル!$B$3="実績報告（２次）",AE$26&gt;=1),AE57)))))))))),0)</f>
        <v>0</v>
      </c>
      <c r="AF33" s="1997">
        <f>IFERROR(
IF(テーブル!$B$3="交付申請",AF57,
IF(AND(テーブル!$B$3="変更申請",AF$26=0),0,
IF(AND(テーブル!$B$3="変更申請",AF$26&gt;=1),AF57,
IF(テーブル!$B$3="実績報告（１次）",AF57,
IF(AND(テーブル!$B$3="交付申請（２次）",AF$26=0),0,
IF(AND(テーブル!$B$3="交付申請（２次）",AF$26&gt;=1),AF57,
IF(AND(テーブル!$B$3="交付申請兼実績報告（２次）",AF$26=0),0,
IF(AND(テーブル!$B$3="交付申請兼実績報告（２次）",AF$26&gt;=1),AF57,
IF(AND(テーブル!$B$3="実績報告（２次）",AF$26=0),0,
IF(AND(テーブル!$B$3="実績報告（２次）",AF$26&gt;=1),AF57)))))))))),0)</f>
        <v>0</v>
      </c>
      <c r="AG33" s="1997">
        <f>IFERROR(
IF(テーブル!$B$3="交付申請",AG57,
IF(AND(テーブル!$B$3="変更申請",AG$26=0),0,
IF(AND(テーブル!$B$3="変更申請",AG$26&gt;=1),AG57,
IF(テーブル!$B$3="実績報告（１次）",AG57,
IF(AND(テーブル!$B$3="交付申請（２次）",AG$26=0),0,
IF(AND(テーブル!$B$3="交付申請（２次）",AG$26&gt;=1),AG57,
IF(AND(テーブル!$B$3="交付申請兼実績報告（２次）",AG$26=0),0,
IF(AND(テーブル!$B$3="交付申請兼実績報告（２次）",AG$26&gt;=1),AG57,
IF(AND(テーブル!$B$3="実績報告（２次）",AG$26=0),0,
IF(AND(テーブル!$B$3="実績報告（２次）",AG$26&gt;=1),AG57)))))))))),0)</f>
        <v>0</v>
      </c>
      <c r="AH33" s="1997">
        <f>IFERROR(
IF(テーブル!$B$3="交付申請",AH57,
IF(AND(テーブル!$B$3="変更申請",AH$26=0),0,
IF(AND(テーブル!$B$3="変更申請",AH$26&gt;=1),AH57,
IF(テーブル!$B$3="実績報告（１次）",AH57,
IF(AND(テーブル!$B$3="交付申請（２次）",AH$26=0),0,
IF(AND(テーブル!$B$3="交付申請（２次）",AH$26&gt;=1),AH57,
IF(AND(テーブル!$B$3="交付申請兼実績報告（２次）",AH$26=0),0,
IF(AND(テーブル!$B$3="交付申請兼実績報告（２次）",AH$26&gt;=1),AH57,
IF(AND(テーブル!$B$3="実績報告（２次）",AH$26=0),0,
IF(AND(テーブル!$B$3="実績報告（２次）",AH$26&gt;=1),AH57)))))))))),0)</f>
        <v>0</v>
      </c>
      <c r="AI33" s="1997">
        <f>IFERROR(
IF(テーブル!$B$3="交付申請",AI57,
IF(AND(テーブル!$B$3="変更申請",AI$26=0),0,
IF(AND(テーブル!$B$3="変更申請",AI$26&gt;=1),AI57,
IF(テーブル!$B$3="実績報告（１次）",AI57,
IF(AND(テーブル!$B$3="交付申請（２次）",AI$26=0),0,
IF(AND(テーブル!$B$3="交付申請（２次）",AI$26&gt;=1),AI57,
IF(AND(テーブル!$B$3="交付申請兼実績報告（２次）",AI$26=0),0,
IF(AND(テーブル!$B$3="交付申請兼実績報告（２次）",AI$26&gt;=1),AI57,
IF(AND(テーブル!$B$3="実績報告（２次）",AI$26=0),0,
IF(AND(テーブル!$B$3="実績報告（２次）",AI$26&gt;=1),AI57)))))))))),0)</f>
        <v>0</v>
      </c>
      <c r="AJ33" s="1997">
        <f>IFERROR(
IF(テーブル!$B$3="交付申請",AJ57,
IF(AND(テーブル!$B$3="変更申請",AJ$26=0),0,
IF(AND(テーブル!$B$3="変更申請",AJ$26&gt;=1),AJ57,
IF(テーブル!$B$3="実績報告（１次）",AJ57,
IF(AND(テーブル!$B$3="交付申請（２次）",AJ$26=0),0,
IF(AND(テーブル!$B$3="交付申請（２次）",AJ$26&gt;=1),AJ57,
IF(AND(テーブル!$B$3="交付申請兼実績報告（２次）",AJ$26=0),0,
IF(AND(テーブル!$B$3="交付申請兼実績報告（２次）",AJ$26&gt;=1),AJ57,
IF(AND(テーブル!$B$3="実績報告（２次）",AJ$26=0),0,
IF(AND(テーブル!$B$3="実績報告（２次）",AJ$26&gt;=1),AJ57)))))))))),0)</f>
        <v>0</v>
      </c>
      <c r="AK33" s="1997">
        <f>IFERROR(
IF(テーブル!$B$3="交付申請",AK57,
IF(AND(テーブル!$B$3="変更申請",AK$26=0),0,
IF(AND(テーブル!$B$3="変更申請",AK$26&gt;=1),AK57,
IF(テーブル!$B$3="実績報告（１次）",AK57,
IF(AND(テーブル!$B$3="交付申請（２次）",AK$26=0),0,
IF(AND(テーブル!$B$3="交付申請（２次）",AK$26&gt;=1),AK57,
IF(AND(テーブル!$B$3="交付申請兼実績報告（２次）",AK$26=0),0,
IF(AND(テーブル!$B$3="交付申請兼実績報告（２次）",AK$26&gt;=1),AK57,
IF(AND(テーブル!$B$3="実績報告（２次）",AK$26=0),0,
IF(AND(テーブル!$B$3="実績報告（２次）",AK$26&gt;=1),AK57)))))))))),0)</f>
        <v>0</v>
      </c>
      <c r="AL33" s="1997">
        <f>IFERROR(
IF(テーブル!$B$3="交付申請",AL57,
IF(AND(テーブル!$B$3="変更申請",AL$26=0),0,
IF(AND(テーブル!$B$3="変更申請",AL$26&gt;=1),AL57,
IF(テーブル!$B$3="実績報告（１次）",AL57,
IF(AND(テーブル!$B$3="交付申請（２次）",AL$26=0),0,
IF(AND(テーブル!$B$3="交付申請（２次）",AL$26&gt;=1),AL57,
IF(AND(テーブル!$B$3="交付申請兼実績報告（２次）",AL$26=0),0,
IF(AND(テーブル!$B$3="交付申請兼実績報告（２次）",AL$26&gt;=1),AL57,
IF(AND(テーブル!$B$3="実績報告（２次）",AL$26=0),0,
IF(AND(テーブル!$B$3="実績報告（２次）",AL$26&gt;=1),AL57)))))))))),0)</f>
        <v>0</v>
      </c>
      <c r="AM33" s="1997">
        <f>IFERROR(
IF(テーブル!$B$3="交付申請",AM57,
IF(AND(テーブル!$B$3="変更申請",AM$26=0),0,
IF(AND(テーブル!$B$3="変更申請",AM$26&gt;=1),AM57,
IF(テーブル!$B$3="実績報告（１次）",AM57,
IF(AND(テーブル!$B$3="交付申請（２次）",AM$26=0),0,
IF(AND(テーブル!$B$3="交付申請（２次）",AM$26&gt;=1),AM57,
IF(AND(テーブル!$B$3="交付申請兼実績報告（２次）",AM$26=0),0,
IF(AND(テーブル!$B$3="交付申請兼実績報告（２次）",AM$26&gt;=1),AM57,
IF(AND(テーブル!$B$3="実績報告（２次）",AM$26=0),0,
IF(AND(テーブル!$B$3="実績報告（２次）",AM$26&gt;=1),AM57)))))))))),0)</f>
        <v>0</v>
      </c>
      <c r="AN33" s="1997">
        <f>IFERROR(
IF(テーブル!$B$3="交付申請",AN57,
IF(AND(テーブル!$B$3="変更申請",AN$26=0),0,
IF(AND(テーブル!$B$3="変更申請",AN$26&gt;=1),AN57,
IF(テーブル!$B$3="実績報告（１次）",AN57,
IF(AND(テーブル!$B$3="交付申請（２次）",AN$26=0),0,
IF(AND(テーブル!$B$3="交付申請（２次）",AN$26&gt;=1),AN57,
IF(AND(テーブル!$B$3="交付申請兼実績報告（２次）",AN$26=0),0,
IF(AND(テーブル!$B$3="交付申請兼実績報告（２次）",AN$26&gt;=1),AN57,
IF(AND(テーブル!$B$3="実績報告（２次）",AN$26=0),0,
IF(AND(テーブル!$B$3="実績報告（２次）",AN$26&gt;=1),AN57)))))))))),0)</f>
        <v>0</v>
      </c>
      <c r="AO33" s="1997">
        <f>IFERROR(
IF(テーブル!$B$3="交付申請",AO57,
IF(AND(テーブル!$B$3="変更申請",AO$26=0),0,
IF(AND(テーブル!$B$3="変更申請",AO$26&gt;=1),AO57,
IF(テーブル!$B$3="実績報告（１次）",AO57,
IF(AND(テーブル!$B$3="交付申請（２次）",AO$26=0),0,
IF(AND(テーブル!$B$3="交付申請（２次）",AO$26&gt;=1),AO57,
IF(AND(テーブル!$B$3="交付申請兼実績報告（２次）",AO$26=0),0,
IF(AND(テーブル!$B$3="交付申請兼実績報告（２次）",AO$26&gt;=1),AO57,
IF(AND(テーブル!$B$3="実績報告（２次）",AO$26=0),0,
IF(AND(テーブル!$B$3="実績報告（２次）",AO$26&gt;=1),AO57)))))))))),0)</f>
        <v>0</v>
      </c>
      <c r="AP33" s="1997">
        <f>IFERROR(
IF(テーブル!$B$3="交付申請",AP57,
IF(AND(テーブル!$B$3="変更申請",AP$26=0),0,
IF(AND(テーブル!$B$3="変更申請",AP$26&gt;=1),AP57,
IF(テーブル!$B$3="実績報告（１次）",AP57,
IF(AND(テーブル!$B$3="交付申請（２次）",AP$26=0),0,
IF(AND(テーブル!$B$3="交付申請（２次）",AP$26&gt;=1),AP57,
IF(AND(テーブル!$B$3="交付申請兼実績報告（２次）",AP$26=0),0,
IF(AND(テーブル!$B$3="交付申請兼実績報告（２次）",AP$26&gt;=1),AP57,
IF(AND(テーブル!$B$3="実績報告（２次）",AP$26=0),0,
IF(AND(テーブル!$B$3="実績報告（２次）",AP$26&gt;=1),AP57)))))))))),0)</f>
        <v>0</v>
      </c>
      <c r="AQ33" s="1997">
        <f>IFERROR(
IF(テーブル!$B$3="交付申請",AQ57,
IF(AND(テーブル!$B$3="変更申請",AQ$26=0),0,
IF(AND(テーブル!$B$3="変更申請",AQ$26&gt;=1),AQ57,
IF(テーブル!$B$3="実績報告（１次）",AQ57,
IF(AND(テーブル!$B$3="交付申請（２次）",AQ$26=0),0,
IF(AND(テーブル!$B$3="交付申請（２次）",AQ$26&gt;=1),AQ57,
IF(AND(テーブル!$B$3="交付申請兼実績報告（２次）",AQ$26=0),0,
IF(AND(テーブル!$B$3="交付申請兼実績報告（２次）",AQ$26&gt;=1),AQ57,
IF(AND(テーブル!$B$3="実績報告（２次）",AQ$26=0),0,
IF(AND(テーブル!$B$3="実績報告（２次）",AQ$26&gt;=1),AQ57)))))))))),0)</f>
        <v>0</v>
      </c>
      <c r="AR33" s="1997">
        <f>IFERROR(
IF(テーブル!$B$3="交付申請",AR57,
IF(AND(テーブル!$B$3="変更申請",AR$26=0),0,
IF(AND(テーブル!$B$3="変更申請",AR$26&gt;=1),AR57,
IF(テーブル!$B$3="実績報告（１次）",AR57,
IF(AND(テーブル!$B$3="交付申請（２次）",AR$26=0),0,
IF(AND(テーブル!$B$3="交付申請（２次）",AR$26&gt;=1),AR57,
IF(AND(テーブル!$B$3="交付申請兼実績報告（２次）",AR$26=0),0,
IF(AND(テーブル!$B$3="交付申請兼実績報告（２次）",AR$26&gt;=1),AR57,
IF(AND(テーブル!$B$3="実績報告（２次）",AR$26=0),0,
IF(AND(テーブル!$B$3="実績報告（２次）",AR$26&gt;=1),AR57)))))))))),0)</f>
        <v>0</v>
      </c>
      <c r="AS33" s="1997">
        <f>IFERROR(
IF(テーブル!$B$3="交付申請",AS57,
IF(AND(テーブル!$B$3="変更申請",AS$26=0),0,
IF(AND(テーブル!$B$3="変更申請",AS$26&gt;=1),AS57,
IF(テーブル!$B$3="実績報告（１次）",AS57,
IF(AND(テーブル!$B$3="交付申請（２次）",AS$26=0),0,
IF(AND(テーブル!$B$3="交付申請（２次）",AS$26&gt;=1),AS57,
IF(AND(テーブル!$B$3="交付申請兼実績報告（２次）",AS$26=0),0,
IF(AND(テーブル!$B$3="交付申請兼実績報告（２次）",AS$26&gt;=1),AS57,
IF(AND(テーブル!$B$3="実績報告（２次）",AS$26=0),0,
IF(AND(テーブル!$B$3="実績報告（２次）",AS$26&gt;=1),AS57)))))))))),0)</f>
        <v>0</v>
      </c>
      <c r="AT33" s="1997">
        <f>IFERROR(
IF(テーブル!$B$3="交付申請",AT57,
IF(AND(テーブル!$B$3="変更申請",AT$26=0),0,
IF(AND(テーブル!$B$3="変更申請",AT$26&gt;=1),AT57,
IF(テーブル!$B$3="実績報告（１次）",AT57,
IF(AND(テーブル!$B$3="交付申請（２次）",AT$26=0),0,
IF(AND(テーブル!$B$3="交付申請（２次）",AT$26&gt;=1),AT57,
IF(AND(テーブル!$B$3="交付申請兼実績報告（２次）",AT$26=0),0,
IF(AND(テーブル!$B$3="交付申請兼実績報告（２次）",AT$26&gt;=1),AT57,
IF(AND(テーブル!$B$3="実績報告（２次）",AT$26=0),0,
IF(AND(テーブル!$B$3="実績報告（２次）",AT$26&gt;=1),AT57)))))))))),0)</f>
        <v>0</v>
      </c>
      <c r="AU33" s="1997">
        <f>IFERROR(
IF(テーブル!$B$3="交付申請",AU57,
IF(AND(テーブル!$B$3="変更申請",AU$26=0),0,
IF(AND(テーブル!$B$3="変更申請",AU$26&gt;=1),AU57,
IF(テーブル!$B$3="実績報告（１次）",AU57,
IF(AND(テーブル!$B$3="交付申請（２次）",AU$26=0),0,
IF(AND(テーブル!$B$3="交付申請（２次）",AU$26&gt;=1),AU57,
IF(AND(テーブル!$B$3="交付申請兼実績報告（２次）",AU$26=0),0,
IF(AND(テーブル!$B$3="交付申請兼実績報告（２次）",AU$26&gt;=1),AU57,
IF(AND(テーブル!$B$3="実績報告（２次）",AU$26=0),0,
IF(AND(テーブル!$B$3="実績報告（２次）",AU$26&gt;=1),AU57)))))))))),0)</f>
        <v>0</v>
      </c>
      <c r="AV33" s="1997">
        <f>IFERROR(
IF(テーブル!$B$3="交付申請",AV57,
IF(AND(テーブル!$B$3="変更申請",AV$26=0),0,
IF(AND(テーブル!$B$3="変更申請",AV$26&gt;=1),AV57,
IF(テーブル!$B$3="実績報告（１次）",AV57,
IF(AND(テーブル!$B$3="交付申請（２次）",AV$26=0),0,
IF(AND(テーブル!$B$3="交付申請（２次）",AV$26&gt;=1),AV57,
IF(AND(テーブル!$B$3="交付申請兼実績報告（２次）",AV$26=0),0,
IF(AND(テーブル!$B$3="交付申請兼実績報告（２次）",AV$26&gt;=1),AV57,
IF(AND(テーブル!$B$3="実績報告（２次）",AV$26=0),0,
IF(AND(テーブル!$B$3="実績報告（２次）",AV$26&gt;=1),AV57)))))))))),0)</f>
        <v>0</v>
      </c>
      <c r="AW33" s="1997">
        <f>IFERROR(
IF(テーブル!$B$3="交付申請",AW57,
IF(AND(テーブル!$B$3="変更申請",AW$26=0),0,
IF(AND(テーブル!$B$3="変更申請",AW$26&gt;=1),AW57,
IF(テーブル!$B$3="実績報告（１次）",AW57,
IF(AND(テーブル!$B$3="交付申請（２次）",AW$26=0),0,
IF(AND(テーブル!$B$3="交付申請（２次）",AW$26&gt;=1),AW57,
IF(AND(テーブル!$B$3="交付申請兼実績報告（２次）",AW$26=0),0,
IF(AND(テーブル!$B$3="交付申請兼実績報告（２次）",AW$26&gt;=1),AW57,
IF(AND(テーブル!$B$3="実績報告（２次）",AW$26=0),0,
IF(AND(テーブル!$B$3="実績報告（２次）",AW$26&gt;=1),AW57)))))))))),0)</f>
        <v>0</v>
      </c>
      <c r="AX33" s="1997">
        <f>IFERROR(
IF(テーブル!$B$3="交付申請",AX57,
IF(AND(テーブル!$B$3="変更申請",AX$26=0),0,
IF(AND(テーブル!$B$3="変更申請",AX$26&gt;=1),AX57,
IF(テーブル!$B$3="実績報告（１次）",AX57,
IF(AND(テーブル!$B$3="交付申請（２次）",AX$26=0),0,
IF(AND(テーブル!$B$3="交付申請（２次）",AX$26&gt;=1),AX57,
IF(AND(テーブル!$B$3="交付申請兼実績報告（２次）",AX$26=0),0,
IF(AND(テーブル!$B$3="交付申請兼実績報告（２次）",AX$26&gt;=1),AX57,
IF(AND(テーブル!$B$3="実績報告（２次）",AX$26=0),0,
IF(AND(テーブル!$B$3="実績報告（２次）",AX$26&gt;=1),AX57)))))))))),0)</f>
        <v>0</v>
      </c>
      <c r="AY33" s="1997">
        <f>IFERROR(
IF(テーブル!$B$3="交付申請",AY57,
IF(AND(テーブル!$B$3="変更申請",AY$26=0),0,
IF(AND(テーブル!$B$3="変更申請",AY$26&gt;=1),AY57,
IF(テーブル!$B$3="実績報告（１次）",AY57,
IF(AND(テーブル!$B$3="交付申請（２次）",AY$26=0),0,
IF(AND(テーブル!$B$3="交付申請（２次）",AY$26&gt;=1),AY57,
IF(AND(テーブル!$B$3="交付申請兼実績報告（２次）",AY$26=0),0,
IF(AND(テーブル!$B$3="交付申請兼実績報告（２次）",AY$26&gt;=1),AY57,
IF(AND(テーブル!$B$3="実績報告（２次）",AY$26=0),0,
IF(AND(テーブル!$B$3="実績報告（２次）",AY$26&gt;=1),AY57)))))))))),0)</f>
        <v>0</v>
      </c>
      <c r="AZ33" s="1997">
        <f>IFERROR(
IF(テーブル!$B$3="交付申請",AZ57,
IF(AND(テーブル!$B$3="変更申請",AZ$26=0),0,
IF(AND(テーブル!$B$3="変更申請",AZ$26&gt;=1),AZ57,
IF(テーブル!$B$3="実績報告（１次）",AZ57,
IF(AND(テーブル!$B$3="交付申請（２次）",AZ$26=0),0,
IF(AND(テーブル!$B$3="交付申請（２次）",AZ$26&gt;=1),AZ57,
IF(AND(テーブル!$B$3="交付申請兼実績報告（２次）",AZ$26=0),0,
IF(AND(テーブル!$B$3="交付申請兼実績報告（２次）",AZ$26&gt;=1),AZ57,
IF(AND(テーブル!$B$3="実績報告（２次）",AZ$26=0),0,
IF(AND(テーブル!$B$3="実績報告（２次）",AZ$26&gt;=1),AZ57)))))))))),0)</f>
        <v>0</v>
      </c>
      <c r="BA33" s="1997">
        <f>IFERROR(
IF(テーブル!$B$3="交付申請",BA57,
IF(AND(テーブル!$B$3="変更申請",BA$26=0),0,
IF(AND(テーブル!$B$3="変更申請",BA$26&gt;=1),BA57,
IF(テーブル!$B$3="実績報告（１次）",BA57,
IF(AND(テーブル!$B$3="交付申請（２次）",BA$26=0),0,
IF(AND(テーブル!$B$3="交付申請（２次）",BA$26&gt;=1),BA57,
IF(AND(テーブル!$B$3="交付申請兼実績報告（２次）",BA$26=0),0,
IF(AND(テーブル!$B$3="交付申請兼実績報告（２次）",BA$26&gt;=1),BA57,
IF(AND(テーブル!$B$3="実績報告（２次）",BA$26=0),0,
IF(AND(テーブル!$B$3="実績報告（２次）",BA$26&gt;=1),BA57)))))))))),0)</f>
        <v>0</v>
      </c>
      <c r="BB33" s="1997">
        <f>IFERROR(
IF(テーブル!$B$3="交付申請",BB57,
IF(AND(テーブル!$B$3="変更申請",BB$26=0),0,
IF(AND(テーブル!$B$3="変更申請",BB$26&gt;=1),BB57,
IF(テーブル!$B$3="実績報告（１次）",BB57,
IF(AND(テーブル!$B$3="交付申請（２次）",BB$26=0),0,
IF(AND(テーブル!$B$3="交付申請（２次）",BB$26&gt;=1),BB57,
IF(AND(テーブル!$B$3="交付申請兼実績報告（２次）",BB$26=0),0,
IF(AND(テーブル!$B$3="交付申請兼実績報告（２次）",BB$26&gt;=1),BB57,
IF(AND(テーブル!$B$3="実績報告（２次）",BB$26=0),0,
IF(AND(テーブル!$B$3="実績報告（２次）",BB$26&gt;=1),BB57)))))))))),0)</f>
        <v>0</v>
      </c>
      <c r="BC33" s="1997">
        <f>IFERROR(
IF(テーブル!$B$3="交付申請",BC57,
IF(AND(テーブル!$B$3="変更申請",BC$26=0),0,
IF(AND(テーブル!$B$3="変更申請",BC$26&gt;=1),BC57,
IF(テーブル!$B$3="実績報告（１次）",BC57,
IF(AND(テーブル!$B$3="交付申請（２次）",BC$26=0),0,
IF(AND(テーブル!$B$3="交付申請（２次）",BC$26&gt;=1),BC57,
IF(AND(テーブル!$B$3="交付申請兼実績報告（２次）",BC$26=0),0,
IF(AND(テーブル!$B$3="交付申請兼実績報告（２次）",BC$26&gt;=1),BC57,
IF(AND(テーブル!$B$3="実績報告（２次）",BC$26=0),0,
IF(AND(テーブル!$B$3="実績報告（２次）",BC$26&gt;=1),BC57)))))))))),0)</f>
        <v>0</v>
      </c>
      <c r="BD33" s="1997">
        <f>IFERROR(
IF(テーブル!$B$3="交付申請",BD57,
IF(AND(テーブル!$B$3="変更申請",BD$26=0),0,
IF(AND(テーブル!$B$3="変更申請",BD$26&gt;=1),BD57,
IF(テーブル!$B$3="実績報告（１次）",BD57,
IF(AND(テーブル!$B$3="交付申請（２次）",BD$26=0),0,
IF(AND(テーブル!$B$3="交付申請（２次）",BD$26&gt;=1),BD57,
IF(AND(テーブル!$B$3="交付申請兼実績報告（２次）",BD$26=0),0,
IF(AND(テーブル!$B$3="交付申請兼実績報告（２次）",BD$26&gt;=1),BD57,
IF(AND(テーブル!$B$3="実績報告（２次）",BD$26=0),0,
IF(AND(テーブル!$B$3="実績報告（２次）",BD$26&gt;=1),BD57)))))))))),0)</f>
        <v>0</v>
      </c>
      <c r="BE33" s="1997">
        <f>IFERROR(
IF(テーブル!$B$3="交付申請",BE57,
IF(AND(テーブル!$B$3="変更申請",BE$26=0),0,
IF(AND(テーブル!$B$3="変更申請",BE$26&gt;=1),BE57,
IF(テーブル!$B$3="実績報告（１次）",BE57,
IF(AND(テーブル!$B$3="交付申請（２次）",BE$26=0),0,
IF(AND(テーブル!$B$3="交付申請（２次）",BE$26&gt;=1),BE57,
IF(AND(テーブル!$B$3="交付申請兼実績報告（２次）",BE$26=0),0,
IF(AND(テーブル!$B$3="交付申請兼実績報告（２次）",BE$26&gt;=1),BE57,
IF(AND(テーブル!$B$3="実績報告（２次）",BE$26=0),0,
IF(AND(テーブル!$B$3="実績報告（２次）",BE$26&gt;=1),BE57)))))))))),0)</f>
        <v>0</v>
      </c>
      <c r="BF33" s="1997">
        <f>IFERROR(
IF(テーブル!$B$3="交付申請",BF57,
IF(AND(テーブル!$B$3="変更申請",BF$26=0),0,
IF(AND(テーブル!$B$3="変更申請",BF$26&gt;=1),BF57,
IF(テーブル!$B$3="実績報告（１次）",BF57,
IF(AND(テーブル!$B$3="交付申請（２次）",BF$26=0),0,
IF(AND(テーブル!$B$3="交付申請（２次）",BF$26&gt;=1),BF57,
IF(AND(テーブル!$B$3="交付申請兼実績報告（２次）",BF$26=0),0,
IF(AND(テーブル!$B$3="交付申請兼実績報告（２次）",BF$26&gt;=1),BF57,
IF(AND(テーブル!$B$3="実績報告（２次）",BF$26=0),0,
IF(AND(テーブル!$B$3="実績報告（２次）",BF$26&gt;=1),BF57)))))))))),0)</f>
        <v>0</v>
      </c>
      <c r="BG33" s="1997">
        <f>IFERROR(
IF(テーブル!$B$3="交付申請",BG57,
IF(AND(テーブル!$B$3="変更申請",BG$26=0),0,
IF(AND(テーブル!$B$3="変更申請",BG$26&gt;=1),BG57,
IF(テーブル!$B$3="実績報告（１次）",BG57,
IF(AND(テーブル!$B$3="交付申請（２次）",BG$26=0),0,
IF(AND(テーブル!$B$3="交付申請（２次）",BG$26&gt;=1),BG57,
IF(AND(テーブル!$B$3="交付申請兼実績報告（２次）",BG$26=0),0,
IF(AND(テーブル!$B$3="交付申請兼実績報告（２次）",BG$26&gt;=1),BG57,
IF(AND(テーブル!$B$3="実績報告（２次）",BG$26=0),0,
IF(AND(テーブル!$B$3="実績報告（２次）",BG$26&gt;=1),BG57)))))))))),0)</f>
        <v>0</v>
      </c>
      <c r="BH33" s="1997">
        <f>IFERROR(
IF(テーブル!$B$3="交付申請",BH57,
IF(AND(テーブル!$B$3="変更申請",BH$26=0),0,
IF(AND(テーブル!$B$3="変更申請",BH$26&gt;=1),BH57,
IF(テーブル!$B$3="実績報告（１次）",BH57,
IF(AND(テーブル!$B$3="交付申請（２次）",BH$26=0),0,
IF(AND(テーブル!$B$3="交付申請（２次）",BH$26&gt;=1),BH57,
IF(AND(テーブル!$B$3="交付申請兼実績報告（２次）",BH$26=0),0,
IF(AND(テーブル!$B$3="交付申請兼実績報告（２次）",BH$26&gt;=1),BH57,
IF(AND(テーブル!$B$3="実績報告（２次）",BH$26=0),0,
IF(AND(テーブル!$B$3="実績報告（２次）",BH$26&gt;=1),BH57)))))))))),0)</f>
        <v>0</v>
      </c>
      <c r="BI33" s="1997">
        <f>IFERROR(
IF(テーブル!$B$3="交付申請",BI57,
IF(AND(テーブル!$B$3="変更申請",BI$26=0),0,
IF(AND(テーブル!$B$3="変更申請",BI$26&gt;=1),BI57,
IF(テーブル!$B$3="実績報告（１次）",BI57,
IF(AND(テーブル!$B$3="交付申請（２次）",BI$26=0),0,
IF(AND(テーブル!$B$3="交付申請（２次）",BI$26&gt;=1),BI57,
IF(AND(テーブル!$B$3="交付申請兼実績報告（２次）",BI$26=0),0,
IF(AND(テーブル!$B$3="交付申請兼実績報告（２次）",BI$26&gt;=1),BI57,
IF(AND(テーブル!$B$3="実績報告（２次）",BI$26=0),0,
IF(AND(テーブル!$B$3="実績報告（２次）",BI$26&gt;=1),BI57)))))))))),0)</f>
        <v>0</v>
      </c>
      <c r="BJ33" s="1997">
        <f>IFERROR(
IF(テーブル!$B$3="交付申請",BJ57,
IF(AND(テーブル!$B$3="変更申請",BJ$26=0),0,
IF(AND(テーブル!$B$3="変更申請",BJ$26&gt;=1),BJ57,
IF(テーブル!$B$3="実績報告（１次）",BJ57,
IF(AND(テーブル!$B$3="交付申請（２次）",BJ$26=0),0,
IF(AND(テーブル!$B$3="交付申請（２次）",BJ$26&gt;=1),BJ57,
IF(AND(テーブル!$B$3="交付申請兼実績報告（２次）",BJ$26=0),0,
IF(AND(テーブル!$B$3="交付申請兼実績報告（２次）",BJ$26&gt;=1),BJ57,
IF(AND(テーブル!$B$3="実績報告（２次）",BJ$26=0),0,
IF(AND(テーブル!$B$3="実績報告（２次）",BJ$26&gt;=1),BJ57)))))))))),0)</f>
        <v>0</v>
      </c>
      <c r="BK33" s="1997">
        <f>IFERROR(
IF(テーブル!$B$3="交付申請",BK57,
IF(AND(テーブル!$B$3="変更申請",BK$26=0),0,
IF(AND(テーブル!$B$3="変更申請",BK$26&gt;=1),BK57,
IF(テーブル!$B$3="実績報告（１次）",BK57,
IF(AND(テーブル!$B$3="交付申請（２次）",BK$26=0),0,
IF(AND(テーブル!$B$3="交付申請（２次）",BK$26&gt;=1),BK57,
IF(AND(テーブル!$B$3="交付申請兼実績報告（２次）",BK$26=0),0,
IF(AND(テーブル!$B$3="交付申請兼実績報告（２次）",BK$26&gt;=1),BK57,
IF(AND(テーブル!$B$3="実績報告（２次）",BK$26=0),0,
IF(AND(テーブル!$B$3="実績報告（２次）",BK$26&gt;=1),BK57)))))))))),0)</f>
        <v>0</v>
      </c>
      <c r="BL33" s="1997">
        <f>IFERROR(
IF(テーブル!$B$3="交付申請",BL57,
IF(AND(テーブル!$B$3="変更申請",BL$26=0),0,
IF(AND(テーブル!$B$3="変更申請",BL$26&gt;=1),BL57,
IF(テーブル!$B$3="実績報告（１次）",BL57,
IF(AND(テーブル!$B$3="交付申請（２次）",BL$26=0),0,
IF(AND(テーブル!$B$3="交付申請（２次）",BL$26&gt;=1),BL57,
IF(AND(テーブル!$B$3="交付申請兼実績報告（２次）",BL$26=0),0,
IF(AND(テーブル!$B$3="交付申請兼実績報告（２次）",BL$26&gt;=1),BL57,
IF(AND(テーブル!$B$3="実績報告（２次）",BL$26=0),0,
IF(AND(テーブル!$B$3="実績報告（２次）",BL$26&gt;=1),BL57)))))))))),0)</f>
        <v>0</v>
      </c>
      <c r="BM33" s="1997">
        <f>IFERROR(
IF(テーブル!$B$3="交付申請",BM57,
IF(AND(テーブル!$B$3="変更申請",BM$26=0),0,
IF(AND(テーブル!$B$3="変更申請",BM$26&gt;=1),BM57,
IF(テーブル!$B$3="実績報告（１次）",BM57,
IF(AND(テーブル!$B$3="交付申請（２次）",BM$26=0),0,
IF(AND(テーブル!$B$3="交付申請（２次）",BM$26&gt;=1),BM57,
IF(AND(テーブル!$B$3="交付申請兼実績報告（２次）",BM$26=0),0,
IF(AND(テーブル!$B$3="交付申請兼実績報告（２次）",BM$26&gt;=1),BM57,
IF(AND(テーブル!$B$3="実績報告（２次）",BM$26=0),0,
IF(AND(テーブル!$B$3="実績報告（２次）",BM$26&gt;=1),BM57)))))))))),0)</f>
        <v>0</v>
      </c>
      <c r="BN33" s="1997">
        <f>IFERROR(
IF(テーブル!$B$3="交付申請",BN57,
IF(AND(テーブル!$B$3="変更申請",BN$26=0),0,
IF(AND(テーブル!$B$3="変更申請",BN$26&gt;=1),BN57,
IF(テーブル!$B$3="実績報告（１次）",BN57,
IF(AND(テーブル!$B$3="交付申請（２次）",BN$26=0),0,
IF(AND(テーブル!$B$3="交付申請（２次）",BN$26&gt;=1),BN57,
IF(AND(テーブル!$B$3="交付申請兼実績報告（２次）",BN$26=0),0,
IF(AND(テーブル!$B$3="交付申請兼実績報告（２次）",BN$26&gt;=1),BN57,
IF(AND(テーブル!$B$3="実績報告（２次）",BN$26=0),0,
IF(AND(テーブル!$B$3="実績報告（２次）",BN$26&gt;=1),BN57)))))))))),0)</f>
        <v>0</v>
      </c>
      <c r="BO33" s="1997">
        <f>IFERROR(
IF(テーブル!$B$3="交付申請",BO57,
IF(AND(テーブル!$B$3="変更申請",BO$26=0),0,
IF(AND(テーブル!$B$3="変更申請",BO$26&gt;=1),BO57,
IF(テーブル!$B$3="実績報告（１次）",BO57,
IF(AND(テーブル!$B$3="交付申請（２次）",BO$26=0),0,
IF(AND(テーブル!$B$3="交付申請（２次）",BO$26&gt;=1),BO57,
IF(AND(テーブル!$B$3="交付申請兼実績報告（２次）",BO$26=0),0,
IF(AND(テーブル!$B$3="交付申請兼実績報告（２次）",BO$26&gt;=1),BO57,
IF(AND(テーブル!$B$3="実績報告（２次）",BO$26=0),0,
IF(AND(テーブル!$B$3="実績報告（２次）",BO$26&gt;=1),BO57)))))))))),0)</f>
        <v>0</v>
      </c>
      <c r="BP33" s="1997">
        <f>IFERROR(
IF(テーブル!$B$3="交付申請",BP57,
IF(AND(テーブル!$B$3="変更申請",BP$26=0),0,
IF(AND(テーブル!$B$3="変更申請",BP$26&gt;=1),BP57,
IF(テーブル!$B$3="実績報告（１次）",BP57,
IF(AND(テーブル!$B$3="交付申請（２次）",BP$26=0),0,
IF(AND(テーブル!$B$3="交付申請（２次）",BP$26&gt;=1),BP57,
IF(AND(テーブル!$B$3="交付申請兼実績報告（２次）",BP$26=0),0,
IF(AND(テーブル!$B$3="交付申請兼実績報告（２次）",BP$26&gt;=1),BP57,
IF(AND(テーブル!$B$3="実績報告（２次）",BP$26=0),0,
IF(AND(テーブル!$B$3="実績報告（２次）",BP$26&gt;=1),BP57)))))))))),0)</f>
        <v>0</v>
      </c>
      <c r="BQ33" s="1997">
        <f>IFERROR(
IF(テーブル!$B$3="交付申請",BQ57,
IF(AND(テーブル!$B$3="変更申請",BQ$26=0),0,
IF(AND(テーブル!$B$3="変更申請",BQ$26&gt;=1),BQ57,
IF(テーブル!$B$3="実績報告（１次）",BQ57,
IF(AND(テーブル!$B$3="交付申請（２次）",BQ$26=0),0,
IF(AND(テーブル!$B$3="交付申請（２次）",BQ$26&gt;=1),BQ57,
IF(AND(テーブル!$B$3="交付申請兼実績報告（２次）",BQ$26=0),0,
IF(AND(テーブル!$B$3="交付申請兼実績報告（２次）",BQ$26&gt;=1),BQ57,
IF(AND(テーブル!$B$3="実績報告（２次）",BQ$26=0),0,
IF(AND(テーブル!$B$3="実績報告（２次）",BQ$26&gt;=1),BQ57)))))))))),0)</f>
        <v>0</v>
      </c>
      <c r="BR33" s="1997">
        <f>IFERROR(
IF(テーブル!$B$3="交付申請",BR57,
IF(AND(テーブル!$B$3="変更申請",BR$26=0),0,
IF(AND(テーブル!$B$3="変更申請",BR$26&gt;=1),BR57,
IF(テーブル!$B$3="実績報告（１次）",BR57,
IF(AND(テーブル!$B$3="交付申請（２次）",BR$26=0),0,
IF(AND(テーブル!$B$3="交付申請（２次）",BR$26&gt;=1),BR57,
IF(AND(テーブル!$B$3="交付申請兼実績報告（２次）",BR$26=0),0,
IF(AND(テーブル!$B$3="交付申請兼実績報告（２次）",BR$26&gt;=1),BR57,
IF(AND(テーブル!$B$3="実績報告（２次）",BR$26=0),0,
IF(AND(テーブル!$B$3="実績報告（２次）",BR$26&gt;=1),BR57)))))))))),0)</f>
        <v>0</v>
      </c>
      <c r="BS33" s="1997">
        <f>IFERROR(
IF(テーブル!$B$3="交付申請",BS57,
IF(AND(テーブル!$B$3="変更申請",BS$26=0),0,
IF(AND(テーブル!$B$3="変更申請",BS$26&gt;=1),BS57,
IF(テーブル!$B$3="実績報告（１次）",BS57,
IF(AND(テーブル!$B$3="交付申請（２次）",BS$26=0),0,
IF(AND(テーブル!$B$3="交付申請（２次）",BS$26&gt;=1),BS57,
IF(AND(テーブル!$B$3="交付申請兼実績報告（２次）",BS$26=0),0,
IF(AND(テーブル!$B$3="交付申請兼実績報告（２次）",BS$26&gt;=1),BS57,
IF(AND(テーブル!$B$3="実績報告（２次）",BS$26=0),0,
IF(AND(テーブル!$B$3="実績報告（２次）",BS$26&gt;=1),BS57)))))))))),0)</f>
        <v>0</v>
      </c>
      <c r="BT33" s="1997">
        <f>IFERROR(
IF(テーブル!$B$3="交付申請",BT57,
IF(AND(テーブル!$B$3="変更申請",BT$26=0),0,
IF(AND(テーブル!$B$3="変更申請",BT$26&gt;=1),BT57,
IF(テーブル!$B$3="実績報告（１次）",BT57,
IF(AND(テーブル!$B$3="交付申請（２次）",BT$26=0),0,
IF(AND(テーブル!$B$3="交付申請（２次）",BT$26&gt;=1),BT57,
IF(AND(テーブル!$B$3="交付申請兼実績報告（２次）",BT$26=0),0,
IF(AND(テーブル!$B$3="交付申請兼実績報告（２次）",BT$26&gt;=1),BT57,
IF(AND(テーブル!$B$3="実績報告（２次）",BT$26=0),0,
IF(AND(テーブル!$B$3="実績報告（２次）",BT$26&gt;=1),BT57)))))))))),0)</f>
        <v>0</v>
      </c>
      <c r="BU33" s="1997">
        <f>IFERROR(
IF(テーブル!$B$3="交付申請",BU57,
IF(AND(テーブル!$B$3="変更申請",BU$26=0),0,
IF(AND(テーブル!$B$3="変更申請",BU$26&gt;=1),BU57,
IF(テーブル!$B$3="実績報告（１次）",BU57,
IF(AND(テーブル!$B$3="交付申請（２次）",BU$26=0),0,
IF(AND(テーブル!$B$3="交付申請（２次）",BU$26&gt;=1),BU57,
IF(AND(テーブル!$B$3="交付申請兼実績報告（２次）",BU$26=0),0,
IF(AND(テーブル!$B$3="交付申請兼実績報告（２次）",BU$26&gt;=1),BU57,
IF(AND(テーブル!$B$3="実績報告（２次）",BU$26=0),0,
IF(AND(テーブル!$B$3="実績報告（２次）",BU$26&gt;=1),BU57)))))))))),0)</f>
        <v>0</v>
      </c>
      <c r="BV33" s="1997">
        <f>IFERROR(
IF(テーブル!$B$3="交付申請",BV57,
IF(AND(テーブル!$B$3="変更申請",BV$26=0),0,
IF(AND(テーブル!$B$3="変更申請",BV$26&gt;=1),BV57,
IF(テーブル!$B$3="実績報告（１次）",BV57,
IF(AND(テーブル!$B$3="交付申請（２次）",BV$26=0),0,
IF(AND(テーブル!$B$3="交付申請（２次）",BV$26&gt;=1),BV57,
IF(AND(テーブル!$B$3="交付申請兼実績報告（２次）",BV$26=0),0,
IF(AND(テーブル!$B$3="交付申請兼実績報告（２次）",BV$26&gt;=1),BV57,
IF(AND(テーブル!$B$3="実績報告（２次）",BV$26=0),0,
IF(AND(テーブル!$B$3="実績報告（２次）",BV$26&gt;=1),BV57)))))))))),0)</f>
        <v>0</v>
      </c>
      <c r="BW33" s="1997">
        <f>IFERROR(
IF(テーブル!$B$3="交付申請",BW57,
IF(AND(テーブル!$B$3="変更申請",BW$26=0),0,
IF(AND(テーブル!$B$3="変更申請",BW$26&gt;=1),BW57,
IF(テーブル!$B$3="実績報告（１次）",BW57,
IF(AND(テーブル!$B$3="交付申請（２次）",BW$26=0),0,
IF(AND(テーブル!$B$3="交付申請（２次）",BW$26&gt;=1),BW57,
IF(AND(テーブル!$B$3="交付申請兼実績報告（２次）",BW$26=0),0,
IF(AND(テーブル!$B$3="交付申請兼実績報告（２次）",BW$26&gt;=1),BW57,
IF(AND(テーブル!$B$3="実績報告（２次）",BW$26=0),0,
IF(AND(テーブル!$B$3="実績報告（２次）",BW$26&gt;=1),BW57)))))))))),0)</f>
        <v>0</v>
      </c>
      <c r="BX33" s="1997">
        <f>IFERROR(
IF(テーブル!$B$3="交付申請",BX57,
IF(AND(テーブル!$B$3="変更申請",BX$26=0),0,
IF(AND(テーブル!$B$3="変更申請",BX$26&gt;=1),BX57,
IF(テーブル!$B$3="実績報告（１次）",BX57,
IF(AND(テーブル!$B$3="交付申請（２次）",BX$26=0),0,
IF(AND(テーブル!$B$3="交付申請（２次）",BX$26&gt;=1),BX57,
IF(AND(テーブル!$B$3="交付申請兼実績報告（２次）",BX$26=0),0,
IF(AND(テーブル!$B$3="交付申請兼実績報告（２次）",BX$26&gt;=1),BX57,
IF(AND(テーブル!$B$3="実績報告（２次）",BX$26=0),0,
IF(AND(テーブル!$B$3="実績報告（２次）",BX$26&gt;=1),BX57)))))))))),0)</f>
        <v>0</v>
      </c>
      <c r="BY33" s="1997">
        <f>IFERROR(
IF(テーブル!$B$3="交付申請",BY57,
IF(AND(テーブル!$B$3="変更申請",BY$26=0),0,
IF(AND(テーブル!$B$3="変更申請",BY$26&gt;=1),BY57,
IF(テーブル!$B$3="実績報告（１次）",BY57,
IF(AND(テーブル!$B$3="交付申請（２次）",BY$26=0),0,
IF(AND(テーブル!$B$3="交付申請（２次）",BY$26&gt;=1),BY57,
IF(AND(テーブル!$B$3="交付申請兼実績報告（２次）",BY$26=0),0,
IF(AND(テーブル!$B$3="交付申請兼実績報告（２次）",BY$26&gt;=1),BY57,
IF(AND(テーブル!$B$3="実績報告（２次）",BY$26=0),0,
IF(AND(テーブル!$B$3="実績報告（２次）",BY$26&gt;=1),BY57)))))))))),0)</f>
        <v>0</v>
      </c>
      <c r="BZ33" s="1997">
        <f>IFERROR(
IF(テーブル!$B$3="交付申請",BZ57,
IF(AND(テーブル!$B$3="変更申請",BZ$26=0),0,
IF(AND(テーブル!$B$3="変更申請",BZ$26&gt;=1),BZ57,
IF(テーブル!$B$3="実績報告（１次）",BZ57,
IF(AND(テーブル!$B$3="交付申請（２次）",BZ$26=0),0,
IF(AND(テーブル!$B$3="交付申請（２次）",BZ$26&gt;=1),BZ57,
IF(AND(テーブル!$B$3="交付申請兼実績報告（２次）",BZ$26=0),0,
IF(AND(テーブル!$B$3="交付申請兼実績報告（２次）",BZ$26&gt;=1),BZ57,
IF(AND(テーブル!$B$3="実績報告（２次）",BZ$26=0),0,
IF(AND(テーブル!$B$3="実績報告（２次）",BZ$26&gt;=1),BZ57)))))))))),0)</f>
        <v>0</v>
      </c>
      <c r="CA33" s="1997">
        <f>IFERROR(
IF(テーブル!$B$3="交付申請",CA57,
IF(AND(テーブル!$B$3="変更申請",CA$26=0),0,
IF(AND(テーブル!$B$3="変更申請",CA$26&gt;=1),CA57,
IF(テーブル!$B$3="実績報告（１次）",CA57,
IF(AND(テーブル!$B$3="交付申請（２次）",CA$26=0),0,
IF(AND(テーブル!$B$3="交付申請（２次）",CA$26&gt;=1),CA57,
IF(AND(テーブル!$B$3="交付申請兼実績報告（２次）",CA$26=0),0,
IF(AND(テーブル!$B$3="交付申請兼実績報告（２次）",CA$26&gt;=1),CA57,
IF(AND(テーブル!$B$3="実績報告（２次）",CA$26=0),0,
IF(AND(テーブル!$B$3="実績報告（２次）",CA$26&gt;=1),CA57)))))))))),0)</f>
        <v>0</v>
      </c>
      <c r="CB33" s="1997">
        <f>IFERROR(
IF(テーブル!$B$3="交付申請",CB57,
IF(AND(テーブル!$B$3="変更申請",CB$26=0),0,
IF(AND(テーブル!$B$3="変更申請",CB$26&gt;=1),CB57,
IF(テーブル!$B$3="実績報告（１次）",CB57,
IF(AND(テーブル!$B$3="交付申請（２次）",CB$26=0),0,
IF(AND(テーブル!$B$3="交付申請（２次）",CB$26&gt;=1),CB57,
IF(AND(テーブル!$B$3="交付申請兼実績報告（２次）",CB$26=0),0,
IF(AND(テーブル!$B$3="交付申請兼実績報告（２次）",CB$26&gt;=1),CB57,
IF(AND(テーブル!$B$3="実績報告（２次）",CB$26=0),0,
IF(AND(テーブル!$B$3="実績報告（２次）",CB$26&gt;=1),CB57)))))))))),0)</f>
        <v>0</v>
      </c>
      <c r="CC33" s="1997">
        <f>IFERROR(
IF(テーブル!$B$3="交付申請",CC57,
IF(AND(テーブル!$B$3="変更申請",CC$26=0),0,
IF(AND(テーブル!$B$3="変更申請",CC$26&gt;=1),CC57,
IF(テーブル!$B$3="実績報告（１次）",CC57,
IF(AND(テーブル!$B$3="交付申請（２次）",CC$26=0),0,
IF(AND(テーブル!$B$3="交付申請（２次）",CC$26&gt;=1),CC57,
IF(AND(テーブル!$B$3="交付申請兼実績報告（２次）",CC$26=0),0,
IF(AND(テーブル!$B$3="交付申請兼実績報告（２次）",CC$26&gt;=1),CC57,
IF(AND(テーブル!$B$3="実績報告（２次）",CC$26=0),0,
IF(AND(テーブル!$B$3="実績報告（２次）",CC$26&gt;=1),CC57)))))))))),0)</f>
        <v>0</v>
      </c>
      <c r="CD33" s="1997">
        <f>IFERROR(
IF(テーブル!$B$3="交付申請",CD57,
IF(AND(テーブル!$B$3="変更申請",CD$26=0),0,
IF(AND(テーブル!$B$3="変更申請",CD$26&gt;=1),CD57,
IF(テーブル!$B$3="実績報告（１次）",CD57,
IF(AND(テーブル!$B$3="交付申請（２次）",CD$26=0),0,
IF(AND(テーブル!$B$3="交付申請（２次）",CD$26&gt;=1),CD57,
IF(AND(テーブル!$B$3="交付申請兼実績報告（２次）",CD$26=0),0,
IF(AND(テーブル!$B$3="交付申請兼実績報告（２次）",CD$26&gt;=1),CD57,
IF(AND(テーブル!$B$3="実績報告（２次）",CD$26=0),0,
IF(AND(テーブル!$B$3="実績報告（２次）",CD$26&gt;=1),CD57)))))))))),0)</f>
        <v>0</v>
      </c>
      <c r="CE33" s="1997">
        <f>IFERROR(
IF(テーブル!$B$3="交付申請",CE57,
IF(AND(テーブル!$B$3="変更申請",CE$26=0),0,
IF(AND(テーブル!$B$3="変更申請",CE$26&gt;=1),CE57,
IF(テーブル!$B$3="実績報告（１次）",CE57,
IF(AND(テーブル!$B$3="交付申請（２次）",CE$26=0),0,
IF(AND(テーブル!$B$3="交付申請（２次）",CE$26&gt;=1),CE57,
IF(AND(テーブル!$B$3="交付申請兼実績報告（２次）",CE$26=0),0,
IF(AND(テーブル!$B$3="交付申請兼実績報告（２次）",CE$26&gt;=1),CE57,
IF(AND(テーブル!$B$3="実績報告（２次）",CE$26=0),0,
IF(AND(テーブル!$B$3="実績報告（２次）",CE$26&gt;=1),CE57)))))))))),0)</f>
        <v>0</v>
      </c>
      <c r="CF33" s="1997">
        <f>IFERROR(
IF(テーブル!$B$3="交付申請",CF57,
IF(AND(テーブル!$B$3="変更申請",CF$26=0),0,
IF(AND(テーブル!$B$3="変更申請",CF$26&gt;=1),CF57,
IF(テーブル!$B$3="実績報告（１次）",CF57,
IF(AND(テーブル!$B$3="交付申請（２次）",CF$26=0),0,
IF(AND(テーブル!$B$3="交付申請（２次）",CF$26&gt;=1),CF57,
IF(AND(テーブル!$B$3="交付申請兼実績報告（２次）",CF$26=0),0,
IF(AND(テーブル!$B$3="交付申請兼実績報告（２次）",CF$26&gt;=1),CF57,
IF(AND(テーブル!$B$3="実績報告（２次）",CF$26=0),0,
IF(AND(テーブル!$B$3="実績報告（２次）",CF$26&gt;=1),CF57)))))))))),0)</f>
        <v>0</v>
      </c>
      <c r="CG33" s="1997">
        <f>IFERROR(
IF(テーブル!$B$3="交付申請",CG57,
IF(AND(テーブル!$B$3="変更申請",CG$26=0),0,
IF(AND(テーブル!$B$3="変更申請",CG$26&gt;=1),CG57,
IF(テーブル!$B$3="実績報告（１次）",CG57,
IF(AND(テーブル!$B$3="交付申請（２次）",CG$26=0),0,
IF(AND(テーブル!$B$3="交付申請（２次）",CG$26&gt;=1),CG57,
IF(AND(テーブル!$B$3="交付申請兼実績報告（２次）",CG$26=0),0,
IF(AND(テーブル!$B$3="交付申請兼実績報告（２次）",CG$26&gt;=1),CG57,
IF(AND(テーブル!$B$3="実績報告（２次）",CG$26=0),0,
IF(AND(テーブル!$B$3="実績報告（２次）",CG$26&gt;=1),CG57)))))))))),0)</f>
        <v>0</v>
      </c>
      <c r="CH33" s="1997">
        <f>IFERROR(
IF(テーブル!$B$3="交付申請",CH57,
IF(AND(テーブル!$B$3="変更申請",CH$26=0),0,
IF(AND(テーブル!$B$3="変更申請",CH$26&gt;=1),CH57,
IF(テーブル!$B$3="実績報告（１次）",CH57,
IF(AND(テーブル!$B$3="交付申請（２次）",CH$26=0),0,
IF(AND(テーブル!$B$3="交付申請（２次）",CH$26&gt;=1),CH57,
IF(AND(テーブル!$B$3="交付申請兼実績報告（２次）",CH$26=0),0,
IF(AND(テーブル!$B$3="交付申請兼実績報告（２次）",CH$26&gt;=1),CH57,
IF(AND(テーブル!$B$3="実績報告（２次）",CH$26=0),0,
IF(AND(テーブル!$B$3="実績報告（２次）",CH$26&gt;=1),CH57)))))))))),0)</f>
        <v>0</v>
      </c>
      <c r="CI33" s="1997">
        <f>IFERROR(
IF(テーブル!$B$3="交付申請",CI57,
IF(AND(テーブル!$B$3="変更申請",CI$26=0),0,
IF(AND(テーブル!$B$3="変更申請",CI$26&gt;=1),CI57,
IF(テーブル!$B$3="実績報告（１次）",CI57,
IF(AND(テーブル!$B$3="交付申請（２次）",CI$26=0),0,
IF(AND(テーブル!$B$3="交付申請（２次）",CI$26&gt;=1),CI57,
IF(AND(テーブル!$B$3="交付申請兼実績報告（２次）",CI$26=0),0,
IF(AND(テーブル!$B$3="交付申請兼実績報告（２次）",CI$26&gt;=1),CI57,
IF(AND(テーブル!$B$3="実績報告（２次）",CI$26=0),0,
IF(AND(テーブル!$B$3="実績報告（２次）",CI$26&gt;=1),CI57)))))))))),0)</f>
        <v>0</v>
      </c>
      <c r="CJ33" s="1997">
        <f>IFERROR(
IF(テーブル!$B$3="交付申請",CJ57,
IF(AND(テーブル!$B$3="変更申請",CJ$26=0),0,
IF(AND(テーブル!$B$3="変更申請",CJ$26&gt;=1),CJ57,
IF(テーブル!$B$3="実績報告（１次）",CJ57,
IF(AND(テーブル!$B$3="交付申請（２次）",CJ$26=0),0,
IF(AND(テーブル!$B$3="交付申請（２次）",CJ$26&gt;=1),CJ57,
IF(AND(テーブル!$B$3="交付申請兼実績報告（２次）",CJ$26=0),0,
IF(AND(テーブル!$B$3="交付申請兼実績報告（２次）",CJ$26&gt;=1),CJ57,
IF(AND(テーブル!$B$3="実績報告（２次）",CJ$26=0),0,
IF(AND(テーブル!$B$3="実績報告（２次）",CJ$26&gt;=1),CJ57)))))))))),0)</f>
        <v>0</v>
      </c>
      <c r="CK33" s="1997">
        <f>IFERROR(
IF(テーブル!$B$3="交付申請",CK57,
IF(AND(テーブル!$B$3="変更申請",CK$26=0),0,
IF(AND(テーブル!$B$3="変更申請",CK$26&gt;=1),CK57,
IF(テーブル!$B$3="実績報告（１次）",CK57,
IF(AND(テーブル!$B$3="交付申請（２次）",CK$26=0),0,
IF(AND(テーブル!$B$3="交付申請（２次）",CK$26&gt;=1),CK57,
IF(AND(テーブル!$B$3="交付申請兼実績報告（２次）",CK$26=0),0,
IF(AND(テーブル!$B$3="交付申請兼実績報告（２次）",CK$26&gt;=1),CK57,
IF(AND(テーブル!$B$3="実績報告（２次）",CK$26=0),0,
IF(AND(テーブル!$B$3="実績報告（２次）",CK$26&gt;=1),CK57)))))))))),0)</f>
        <v>0</v>
      </c>
      <c r="CL33" s="1997">
        <f>IFERROR(
IF(テーブル!$B$3="交付申請",CL57,
IF(AND(テーブル!$B$3="変更申請",CL$26=0),0,
IF(AND(テーブル!$B$3="変更申請",CL$26&gt;=1),CL57,
IF(テーブル!$B$3="実績報告（１次）",CL57,
IF(AND(テーブル!$B$3="交付申請（２次）",CL$26=0),0,
IF(AND(テーブル!$B$3="交付申請（２次）",CL$26&gt;=1),CL57,
IF(AND(テーブル!$B$3="交付申請兼実績報告（２次）",CL$26=0),0,
IF(AND(テーブル!$B$3="交付申請兼実績報告（２次）",CL$26&gt;=1),CL57,
IF(AND(テーブル!$B$3="実績報告（２次）",CL$26=0),0,
IF(AND(テーブル!$B$3="実績報告（２次）",CL$26&gt;=1),CL57)))))))))),0)</f>
        <v>0</v>
      </c>
      <c r="CM33" s="1997">
        <f>IFERROR(
IF(テーブル!$B$3="交付申請",CM57,
IF(AND(テーブル!$B$3="変更申請",CM$26=0),0,
IF(AND(テーブル!$B$3="変更申請",CM$26&gt;=1),CM57,
IF(テーブル!$B$3="実績報告（１次）",CM57,
IF(AND(テーブル!$B$3="交付申請（２次）",CM$26=0),0,
IF(AND(テーブル!$B$3="交付申請（２次）",CM$26&gt;=1),CM57,
IF(AND(テーブル!$B$3="交付申請兼実績報告（２次）",CM$26=0),0,
IF(AND(テーブル!$B$3="交付申請兼実績報告（２次）",CM$26&gt;=1),CM57,
IF(AND(テーブル!$B$3="実績報告（２次）",CM$26=0),0,
IF(AND(テーブル!$B$3="実績報告（２次）",CM$26&gt;=1),CM57)))))))))),0)</f>
        <v>0</v>
      </c>
      <c r="CN33" s="1997">
        <f>IFERROR(
IF(テーブル!$B$3="交付申請",CN57,
IF(AND(テーブル!$B$3="変更申請",CN$26=0),0,
IF(AND(テーブル!$B$3="変更申請",CN$26&gt;=1),CN57,
IF(テーブル!$B$3="実績報告（１次）",CN57,
IF(AND(テーブル!$B$3="交付申請（２次）",CN$26=0),0,
IF(AND(テーブル!$B$3="交付申請（２次）",CN$26&gt;=1),CN57,
IF(AND(テーブル!$B$3="交付申請兼実績報告（２次）",CN$26=0),0,
IF(AND(テーブル!$B$3="交付申請兼実績報告（２次）",CN$26&gt;=1),CN57,
IF(AND(テーブル!$B$3="実績報告（２次）",CN$26=0),0,
IF(AND(テーブル!$B$3="実績報告（２次）",CN$26&gt;=1),CN57)))))))))),0)</f>
        <v>0</v>
      </c>
      <c r="CO33" s="1997">
        <f>IFERROR(
IF(テーブル!$B$3="交付申請",CO57,
IF(AND(テーブル!$B$3="変更申請",CO$26=0),0,
IF(AND(テーブル!$B$3="変更申請",CO$26&gt;=1),CO57,
IF(テーブル!$B$3="実績報告（１次）",CO57,
IF(AND(テーブル!$B$3="交付申請（２次）",CO$26=0),0,
IF(AND(テーブル!$B$3="交付申請（２次）",CO$26&gt;=1),CO57,
IF(AND(テーブル!$B$3="交付申請兼実績報告（２次）",CO$26=0),0,
IF(AND(テーブル!$B$3="交付申請兼実績報告（２次）",CO$26&gt;=1),CO57,
IF(AND(テーブル!$B$3="実績報告（２次）",CO$26=0),0,
IF(AND(テーブル!$B$3="実績報告（２次）",CO$26&gt;=1),CO57)))))))))),0)</f>
        <v>0</v>
      </c>
      <c r="CP33" s="1997">
        <f>IFERROR(
IF(テーブル!$B$3="交付申請",CP57,
IF(AND(テーブル!$B$3="変更申請",CP$26=0),0,
IF(AND(テーブル!$B$3="変更申請",CP$26&gt;=1),CP57,
IF(テーブル!$B$3="実績報告（１次）",CP57,
IF(AND(テーブル!$B$3="交付申請（２次）",CP$26=0),0,
IF(AND(テーブル!$B$3="交付申請（２次）",CP$26&gt;=1),CP57,
IF(AND(テーブル!$B$3="交付申請兼実績報告（２次）",CP$26=0),0,
IF(AND(テーブル!$B$3="交付申請兼実績報告（２次）",CP$26&gt;=1),CP57,
IF(AND(テーブル!$B$3="実績報告（２次）",CP$26=0),0,
IF(AND(テーブル!$B$3="実績報告（２次）",CP$26&gt;=1),CP57)))))))))),0)</f>
        <v>0</v>
      </c>
      <c r="CQ33" s="1997">
        <f>IFERROR(
IF(テーブル!$B$3="交付申請",CQ57,
IF(AND(テーブル!$B$3="変更申請",CQ$26=0),0,
IF(AND(テーブル!$B$3="変更申請",CQ$26&gt;=1),CQ57,
IF(テーブル!$B$3="実績報告（１次）",CQ57,
IF(AND(テーブル!$B$3="交付申請（２次）",CQ$26=0),0,
IF(AND(テーブル!$B$3="交付申請（２次）",CQ$26&gt;=1),CQ57,
IF(AND(テーブル!$B$3="交付申請兼実績報告（２次）",CQ$26=0),0,
IF(AND(テーブル!$B$3="交付申請兼実績報告（２次）",CQ$26&gt;=1),CQ57,
IF(AND(テーブル!$B$3="実績報告（２次）",CQ$26=0),0,
IF(AND(テーブル!$B$3="実績報告（２次）",CQ$26&gt;=1),CQ57)))))))))),0)</f>
        <v>0</v>
      </c>
      <c r="CR33" s="1997">
        <f>IFERROR(
IF(テーブル!$B$3="交付申請",CR57,
IF(AND(テーブル!$B$3="変更申請",CR$26=0),0,
IF(AND(テーブル!$B$3="変更申請",CR$26&gt;=1),CR57,
IF(テーブル!$B$3="実績報告（１次）",CR57,
IF(AND(テーブル!$B$3="交付申請（２次）",CR$26=0),0,
IF(AND(テーブル!$B$3="交付申請（２次）",CR$26&gt;=1),CR57,
IF(AND(テーブル!$B$3="交付申請兼実績報告（２次）",CR$26=0),0,
IF(AND(テーブル!$B$3="交付申請兼実績報告（２次）",CR$26&gt;=1),CR57,
IF(AND(テーブル!$B$3="実績報告（２次）",CR$26=0),0,
IF(AND(テーブル!$B$3="実績報告（２次）",CR$26&gt;=1),CR57)))))))))),0)</f>
        <v>0</v>
      </c>
      <c r="CS33" s="1997">
        <f>IFERROR(
IF(テーブル!$B$3="交付申請",CS57,
IF(AND(テーブル!$B$3="変更申請",CS$26=0),0,
IF(AND(テーブル!$B$3="変更申請",CS$26&gt;=1),CS57,
IF(テーブル!$B$3="実績報告（１次）",CS57,
IF(AND(テーブル!$B$3="交付申請（２次）",CS$26=0),0,
IF(AND(テーブル!$B$3="交付申請（２次）",CS$26&gt;=1),CS57,
IF(AND(テーブル!$B$3="交付申請兼実績報告（２次）",CS$26=0),0,
IF(AND(テーブル!$B$3="交付申請兼実績報告（２次）",CS$26&gt;=1),CS57,
IF(AND(テーブル!$B$3="実績報告（２次）",CS$26=0),0,
IF(AND(テーブル!$B$3="実績報告（２次）",CS$26&gt;=1),CS57)))))))))),0)</f>
        <v>0</v>
      </c>
      <c r="CT33" s="1997">
        <f>IFERROR(
IF(テーブル!$B$3="交付申請",CT57,
IF(AND(テーブル!$B$3="変更申請",CT$26=0),0,
IF(AND(テーブル!$B$3="変更申請",CT$26&gt;=1),CT57,
IF(テーブル!$B$3="実績報告（１次）",CT57,
IF(AND(テーブル!$B$3="交付申請（２次）",CT$26=0),0,
IF(AND(テーブル!$B$3="交付申請（２次）",CT$26&gt;=1),CT57,
IF(AND(テーブル!$B$3="交付申請兼実績報告（２次）",CT$26=0),0,
IF(AND(テーブル!$B$3="交付申請兼実績報告（２次）",CT$26&gt;=1),CT57,
IF(AND(テーブル!$B$3="実績報告（２次）",CT$26=0),0,
IF(AND(テーブル!$B$3="実績報告（２次）",CT$26&gt;=1),CT57)))))))))),0)</f>
        <v>0</v>
      </c>
      <c r="CU33" s="1997">
        <f>IFERROR(
IF(テーブル!$B$3="交付申請",CU57,
IF(AND(テーブル!$B$3="変更申請",CU$26=0),0,
IF(AND(テーブル!$B$3="変更申請",CU$26&gt;=1),CU57,
IF(テーブル!$B$3="実績報告（１次）",CU57,
IF(AND(テーブル!$B$3="交付申請（２次）",CU$26=0),0,
IF(AND(テーブル!$B$3="交付申請（２次）",CU$26&gt;=1),CU57,
IF(AND(テーブル!$B$3="交付申請兼実績報告（２次）",CU$26=0),0,
IF(AND(テーブル!$B$3="交付申請兼実績報告（２次）",CU$26&gt;=1),CU57,
IF(AND(テーブル!$B$3="実績報告（２次）",CU$26=0),0,
IF(AND(テーブル!$B$3="実績報告（２次）",CU$26&gt;=1),CU57)))))))))),0)</f>
        <v>0</v>
      </c>
      <c r="CV33" s="1997">
        <f>IFERROR(
IF(テーブル!$B$3="交付申請",CV57,
IF(AND(テーブル!$B$3="変更申請",CV$26=0),0,
IF(AND(テーブル!$B$3="変更申請",CV$26&gt;=1),CV57,
IF(テーブル!$B$3="実績報告（１次）",CV57,
IF(AND(テーブル!$B$3="交付申請（２次）",CV$26=0),0,
IF(AND(テーブル!$B$3="交付申請（２次）",CV$26&gt;=1),CV57,
IF(AND(テーブル!$B$3="交付申請兼実績報告（２次）",CV$26=0),0,
IF(AND(テーブル!$B$3="交付申請兼実績報告（２次）",CV$26&gt;=1),CV57,
IF(AND(テーブル!$B$3="実績報告（２次）",CV$26=0),0,
IF(AND(テーブル!$B$3="実績報告（２次）",CV$26&gt;=1),CV57)))))))))),0)</f>
        <v>0</v>
      </c>
      <c r="CW33" s="1997">
        <f>IFERROR(
IF(テーブル!$B$3="交付申請",CW57,
IF(AND(テーブル!$B$3="変更申請",CW$26=0),0,
IF(AND(テーブル!$B$3="変更申請",CW$26&gt;=1),CW57,
IF(テーブル!$B$3="実績報告（１次）",CW57,
IF(AND(テーブル!$B$3="交付申請（２次）",CW$26=0),0,
IF(AND(テーブル!$B$3="交付申請（２次）",CW$26&gt;=1),CW57,
IF(AND(テーブル!$B$3="交付申請兼実績報告（２次）",CW$26=0),0,
IF(AND(テーブル!$B$3="交付申請兼実績報告（２次）",CW$26&gt;=1),CW57,
IF(AND(テーブル!$B$3="実績報告（２次）",CW$26=0),0,
IF(AND(テーブル!$B$3="実績報告（２次）",CW$26&gt;=1),CW57)))))))))),0)</f>
        <v>0</v>
      </c>
      <c r="CX33" s="1997">
        <f>IFERROR(
IF(テーブル!$B$3="交付申請",CX57,
IF(AND(テーブル!$B$3="変更申請",CX$26=0),0,
IF(AND(テーブル!$B$3="変更申請",CX$26&gt;=1),CX57,
IF(テーブル!$B$3="実績報告（１次）",CX57,
IF(AND(テーブル!$B$3="交付申請（２次）",CX$26=0),0,
IF(AND(テーブル!$B$3="交付申請（２次）",CX$26&gt;=1),CX57,
IF(AND(テーブル!$B$3="交付申請兼実績報告（２次）",CX$26=0),0,
IF(AND(テーブル!$B$3="交付申請兼実績報告（２次）",CX$26&gt;=1),CX57,
IF(AND(テーブル!$B$3="実績報告（２次）",CX$26=0),0,
IF(AND(テーブル!$B$3="実績報告（２次）",CX$26&gt;=1),CX57)))))))))),0)</f>
        <v>0</v>
      </c>
      <c r="CY33" s="1997">
        <f>IFERROR(
IF(テーブル!$B$3="交付申請",CY57,
IF(AND(テーブル!$B$3="変更申請",CY$26=0),0,
IF(AND(テーブル!$B$3="変更申請",CY$26&gt;=1),CY57,
IF(テーブル!$B$3="実績報告（１次）",CY57,
IF(AND(テーブル!$B$3="交付申請（２次）",CY$26=0),0,
IF(AND(テーブル!$B$3="交付申請（２次）",CY$26&gt;=1),CY57,
IF(AND(テーブル!$B$3="交付申請兼実績報告（２次）",CY$26=0),0,
IF(AND(テーブル!$B$3="交付申請兼実績報告（２次）",CY$26&gt;=1),CY57,
IF(AND(テーブル!$B$3="実績報告（２次）",CY$26=0),0,
IF(AND(テーブル!$B$3="実績報告（２次）",CY$26&gt;=1),CY57)))))))))),0)</f>
        <v>0</v>
      </c>
      <c r="CZ33" s="1997">
        <f>IFERROR(
IF(テーブル!$B$3="交付申請",CZ57,
IF(AND(テーブル!$B$3="変更申請",CZ$26=0),0,
IF(AND(テーブル!$B$3="変更申請",CZ$26&gt;=1),CZ57,
IF(テーブル!$B$3="実績報告（１次）",CZ57,
IF(AND(テーブル!$B$3="交付申請（２次）",CZ$26=0),0,
IF(AND(テーブル!$B$3="交付申請（２次）",CZ$26&gt;=1),CZ57,
IF(AND(テーブル!$B$3="交付申請兼実績報告（２次）",CZ$26=0),0,
IF(AND(テーブル!$B$3="交付申請兼実績報告（２次）",CZ$26&gt;=1),CZ57,
IF(AND(テーブル!$B$3="実績報告（２次）",CZ$26=0),0,
IF(AND(テーブル!$B$3="実績報告（２次）",CZ$26&gt;=1),CZ57)))))))))),0)</f>
        <v>0</v>
      </c>
      <c r="DA33" s="1997">
        <f>IFERROR(
IF(テーブル!$B$3="交付申請",DA57,
IF(AND(テーブル!$B$3="変更申請",DA$26=0),0,
IF(AND(テーブル!$B$3="変更申請",DA$26&gt;=1),DA57,
IF(テーブル!$B$3="実績報告（１次）",DA57,
IF(AND(テーブル!$B$3="交付申請（２次）",DA$26=0),0,
IF(AND(テーブル!$B$3="交付申請（２次）",DA$26&gt;=1),DA57,
IF(AND(テーブル!$B$3="交付申請兼実績報告（２次）",DA$26=0),0,
IF(AND(テーブル!$B$3="交付申請兼実績報告（２次）",DA$26&gt;=1),DA57,
IF(AND(テーブル!$B$3="実績報告（２次）",DA$26=0),0,
IF(AND(テーブル!$B$3="実績報告（２次）",DA$26&gt;=1),DA57)))))))))),0)</f>
        <v>0</v>
      </c>
      <c r="DB33" s="1997">
        <f>IFERROR(
IF(テーブル!$B$3="交付申請",DB57,
IF(AND(テーブル!$B$3="変更申請",DB$26=0),0,
IF(AND(テーブル!$B$3="変更申請",DB$26&gt;=1),DB57,
IF(テーブル!$B$3="実績報告（１次）",DB57,
IF(AND(テーブル!$B$3="交付申請（２次）",DB$26=0),0,
IF(AND(テーブル!$B$3="交付申請（２次）",DB$26&gt;=1),DB57,
IF(AND(テーブル!$B$3="交付申請兼実績報告（２次）",DB$26=0),0,
IF(AND(テーブル!$B$3="交付申請兼実績報告（２次）",DB$26&gt;=1),DB57,
IF(AND(テーブル!$B$3="実績報告（２次）",DB$26=0),0,
IF(AND(テーブル!$B$3="実績報告（２次）",DB$26&gt;=1),DB57)))))))))),0)</f>
        <v>0</v>
      </c>
      <c r="DC33" s="1997">
        <f>IFERROR(
IF(テーブル!$B$3="交付申請",DC57,
IF(AND(テーブル!$B$3="変更申請",DC$26=0),0,
IF(AND(テーブル!$B$3="変更申請",DC$26&gt;=1),DC57,
IF(テーブル!$B$3="実績報告（１次）",DC57,
IF(AND(テーブル!$B$3="交付申請（２次）",DC$26=0),0,
IF(AND(テーブル!$B$3="交付申請（２次）",DC$26&gt;=1),DC57,
IF(AND(テーブル!$B$3="交付申請兼実績報告（２次）",DC$26=0),0,
IF(AND(テーブル!$B$3="交付申請兼実績報告（２次）",DC$26&gt;=1),DC57,
IF(AND(テーブル!$B$3="実績報告（２次）",DC$26=0),0,
IF(AND(テーブル!$B$3="実績報告（２次）",DC$26&gt;=1),DC57)))))))))),0)</f>
        <v>0</v>
      </c>
      <c r="DD33" s="1997">
        <f>IFERROR(
IF(テーブル!$B$3="交付申請",DD57,
IF(AND(テーブル!$B$3="変更申請",DD$26=0),0,
IF(AND(テーブル!$B$3="変更申請",DD$26&gt;=1),DD57,
IF(テーブル!$B$3="実績報告（１次）",DD57,
IF(AND(テーブル!$B$3="交付申請（２次）",DD$26=0),0,
IF(AND(テーブル!$B$3="交付申請（２次）",DD$26&gt;=1),DD57,
IF(AND(テーブル!$B$3="交付申請兼実績報告（２次）",DD$26=0),0,
IF(AND(テーブル!$B$3="交付申請兼実績報告（２次）",DD$26&gt;=1),DD57,
IF(AND(テーブル!$B$3="実績報告（２次）",DD$26=0),0,
IF(AND(テーブル!$B$3="実績報告（２次）",DD$26&gt;=1),DD57)))))))))),0)</f>
        <v>0</v>
      </c>
      <c r="DE33" s="1997">
        <f>IFERROR(
IF(テーブル!$B$3="交付申請",DE57,
IF(AND(テーブル!$B$3="変更申請",DE$26=0),0,
IF(AND(テーブル!$B$3="変更申請",DE$26&gt;=1),DE57,
IF(テーブル!$B$3="実績報告（１次）",DE57,
IF(AND(テーブル!$B$3="交付申請（２次）",DE$26=0),0,
IF(AND(テーブル!$B$3="交付申請（２次）",DE$26&gt;=1),DE57,
IF(AND(テーブル!$B$3="交付申請兼実績報告（２次）",DE$26=0),0,
IF(AND(テーブル!$B$3="交付申請兼実績報告（２次）",DE$26&gt;=1),DE57,
IF(AND(テーブル!$B$3="実績報告（２次）",DE$26=0),0,
IF(AND(テーブル!$B$3="実績報告（２次）",DE$26&gt;=1),DE57)))))))))),0)</f>
        <v>0</v>
      </c>
      <c r="DF33" s="1997">
        <f>IFERROR(
IF(テーブル!$B$3="交付申請",DF57,
IF(AND(テーブル!$B$3="変更申請",DF$26=0),0,
IF(AND(テーブル!$B$3="変更申請",DF$26&gt;=1),DF57,
IF(テーブル!$B$3="実績報告（１次）",DF57,
IF(AND(テーブル!$B$3="交付申請（２次）",DF$26=0),0,
IF(AND(テーブル!$B$3="交付申請（２次）",DF$26&gt;=1),DF57,
IF(AND(テーブル!$B$3="交付申請兼実績報告（２次）",DF$26=0),0,
IF(AND(テーブル!$B$3="交付申請兼実績報告（２次）",DF$26&gt;=1),DF57,
IF(AND(テーブル!$B$3="実績報告（２次）",DF$26=0),0,
IF(AND(テーブル!$B$3="実績報告（２次）",DF$26&gt;=1),DF57)))))))))),0)</f>
        <v>0</v>
      </c>
      <c r="DG33" s="1997">
        <f>IFERROR(
IF(テーブル!$B$3="交付申請",DG57,
IF(AND(テーブル!$B$3="変更申請",DG$26=0),0,
IF(AND(テーブル!$B$3="変更申請",DG$26&gt;=1),DG57,
IF(テーブル!$B$3="実績報告（１次）",DG57,
IF(AND(テーブル!$B$3="交付申請（２次）",DG$26=0),0,
IF(AND(テーブル!$B$3="交付申請（２次）",DG$26&gt;=1),DG57,
IF(AND(テーブル!$B$3="交付申請兼実績報告（２次）",DG$26=0),0,
IF(AND(テーブル!$B$3="交付申請兼実績報告（２次）",DG$26&gt;=1),DG57,
IF(AND(テーブル!$B$3="実績報告（２次）",DG$26=0),0,
IF(AND(テーブル!$B$3="実績報告（２次）",DG$26&gt;=1),DG57)))))))))),0)</f>
        <v>0</v>
      </c>
      <c r="DH33" s="1997">
        <f>IFERROR(
IF(テーブル!$B$3="交付申請",DH57,
IF(AND(テーブル!$B$3="変更申請",DH$26=0),0,
IF(AND(テーブル!$B$3="変更申請",DH$26&gt;=1),DH57,
IF(テーブル!$B$3="実績報告（１次）",DH57,
IF(AND(テーブル!$B$3="交付申請（２次）",DH$26=0),0,
IF(AND(テーブル!$B$3="交付申請（２次）",DH$26&gt;=1),DH57,
IF(AND(テーブル!$B$3="交付申請兼実績報告（２次）",DH$26=0),0,
IF(AND(テーブル!$B$3="交付申請兼実績報告（２次）",DH$26&gt;=1),DH57,
IF(AND(テーブル!$B$3="実績報告（２次）",DH$26=0),0,
IF(AND(テーブル!$B$3="実績報告（２次）",DH$26&gt;=1),DH57)))))))))),0)</f>
        <v>0</v>
      </c>
      <c r="DI33" s="1997">
        <f>IFERROR(
IF(テーブル!$B$3="交付申請",DI57,
IF(AND(テーブル!$B$3="変更申請",DI$26=0),0,
IF(AND(テーブル!$B$3="変更申請",DI$26&gt;=1),DI57,
IF(テーブル!$B$3="実績報告（１次）",DI57,
IF(AND(テーブル!$B$3="交付申請（２次）",DI$26=0),0,
IF(AND(テーブル!$B$3="交付申請（２次）",DI$26&gt;=1),DI57,
IF(AND(テーブル!$B$3="交付申請兼実績報告（２次）",DI$26=0),0,
IF(AND(テーブル!$B$3="交付申請兼実績報告（２次）",DI$26&gt;=1),DI57,
IF(AND(テーブル!$B$3="実績報告（２次）",DI$26=0),0,
IF(AND(テーブル!$B$3="実績報告（２次）",DI$26&gt;=1),DI57)))))))))),0)</f>
        <v>0</v>
      </c>
      <c r="DJ33" s="1997">
        <f>IFERROR(
IF(テーブル!$B$3="交付申請",DJ57,
IF(AND(テーブル!$B$3="変更申請",DJ$26=0),0,
IF(AND(テーブル!$B$3="変更申請",DJ$26&gt;=1),DJ57,
IF(テーブル!$B$3="実績報告（１次）",DJ57,
IF(AND(テーブル!$B$3="交付申請（２次）",DJ$26=0),0,
IF(AND(テーブル!$B$3="交付申請（２次）",DJ$26&gt;=1),DJ57,
IF(AND(テーブル!$B$3="交付申請兼実績報告（２次）",DJ$26=0),0,
IF(AND(テーブル!$B$3="交付申請兼実績報告（２次）",DJ$26&gt;=1),DJ57,
IF(AND(テーブル!$B$3="実績報告（２次）",DJ$26=0),0,
IF(AND(テーブル!$B$3="実績報告（２次）",DJ$26&gt;=1),DJ57)))))))))),0)</f>
        <v>0</v>
      </c>
      <c r="DK33" s="1997">
        <f>IFERROR(
IF(テーブル!$B$3="交付申請",DK57,
IF(AND(テーブル!$B$3="変更申請",DK$26=0),0,
IF(AND(テーブル!$B$3="変更申請",DK$26&gt;=1),DK57,
IF(テーブル!$B$3="実績報告（１次）",DK57,
IF(AND(テーブル!$B$3="交付申請（２次）",DK$26=0),0,
IF(AND(テーブル!$B$3="交付申請（２次）",DK$26&gt;=1),DK57,
IF(AND(テーブル!$B$3="交付申請兼実績報告（２次）",DK$26=0),0,
IF(AND(テーブル!$B$3="交付申請兼実績報告（２次）",DK$26&gt;=1),DK57,
IF(AND(テーブル!$B$3="実績報告（２次）",DK$26=0),0,
IF(AND(テーブル!$B$3="実績報告（２次）",DK$26&gt;=1),DK57)))))))))),0)</f>
        <v>0</v>
      </c>
      <c r="DL33" s="1997">
        <f>IFERROR(
IF(テーブル!$B$3="交付申請",DL57,
IF(AND(テーブル!$B$3="変更申請",DL$26=0),0,
IF(AND(テーブル!$B$3="変更申請",DL$26&gt;=1),DL57,
IF(テーブル!$B$3="実績報告（１次）",DL57,
IF(AND(テーブル!$B$3="交付申請（２次）",DL$26=0),0,
IF(AND(テーブル!$B$3="交付申請（２次）",DL$26&gt;=1),DL57,
IF(AND(テーブル!$B$3="交付申請兼実績報告（２次）",DL$26=0),0,
IF(AND(テーブル!$B$3="交付申請兼実績報告（２次）",DL$26&gt;=1),DL57,
IF(AND(テーブル!$B$3="実績報告（２次）",DL$26=0),0,
IF(AND(テーブル!$B$3="実績報告（２次）",DL$26&gt;=1),DL57)))))))))),0)</f>
        <v>0</v>
      </c>
      <c r="DM33" s="1997">
        <f>IFERROR(
IF(テーブル!$B$3="交付申請",DM57,
IF(AND(テーブル!$B$3="変更申請",DM$26=0),0,
IF(AND(テーブル!$B$3="変更申請",DM$26&gt;=1),DM57,
IF(テーブル!$B$3="実績報告（１次）",DM57,
IF(AND(テーブル!$B$3="交付申請（２次）",DM$26=0),0,
IF(AND(テーブル!$B$3="交付申請（２次）",DM$26&gt;=1),DM57,
IF(AND(テーブル!$B$3="交付申請兼実績報告（２次）",DM$26=0),0,
IF(AND(テーブル!$B$3="交付申請兼実績報告（２次）",DM$26&gt;=1),DM57,
IF(AND(テーブル!$B$3="実績報告（２次）",DM$26=0),0,
IF(AND(テーブル!$B$3="実績報告（２次）",DM$26&gt;=1),DM57)))))))))),0)</f>
        <v>0</v>
      </c>
      <c r="DN33" s="1997">
        <f>IFERROR(
IF(テーブル!$B$3="交付申請",DN57,
IF(AND(テーブル!$B$3="変更申請",DN$26=0),0,
IF(AND(テーブル!$B$3="変更申請",DN$26&gt;=1),DN57,
IF(テーブル!$B$3="実績報告（１次）",DN57,
IF(AND(テーブル!$B$3="交付申請（２次）",DN$26=0),0,
IF(AND(テーブル!$B$3="交付申請（２次）",DN$26&gt;=1),DN57,
IF(AND(テーブル!$B$3="交付申請兼実績報告（２次）",DN$26=0),0,
IF(AND(テーブル!$B$3="交付申請兼実績報告（２次）",DN$26&gt;=1),DN57,
IF(AND(テーブル!$B$3="実績報告（２次）",DN$26=0),0,
IF(AND(テーブル!$B$3="実績報告（２次）",DN$26&gt;=1),DN57)))))))))),0)</f>
        <v>0</v>
      </c>
      <c r="DO33" s="1997">
        <f>IFERROR(
IF(テーブル!$B$3="交付申請",DO57,
IF(AND(テーブル!$B$3="変更申請",DO$26=0),0,
IF(AND(テーブル!$B$3="変更申請",DO$26&gt;=1),DO57,
IF(テーブル!$B$3="実績報告（１次）",DO57,
IF(AND(テーブル!$B$3="交付申請（２次）",DO$26=0),0,
IF(AND(テーブル!$B$3="交付申請（２次）",DO$26&gt;=1),DO57,
IF(AND(テーブル!$B$3="交付申請兼実績報告（２次）",DO$26=0),0,
IF(AND(テーブル!$B$3="交付申請兼実績報告（２次）",DO$26&gt;=1),DO57,
IF(AND(テーブル!$B$3="実績報告（２次）",DO$26=0),0,
IF(AND(テーブル!$B$3="実績報告（２次）",DO$26&gt;=1),DO57)))))))))),0)</f>
        <v>0</v>
      </c>
      <c r="DP33" s="1997">
        <f>IFERROR(
IF(テーブル!$B$3="交付申請",DP57,
IF(AND(テーブル!$B$3="変更申請",DP$26=0),0,
IF(AND(テーブル!$B$3="変更申請",DP$26&gt;=1),DP57,
IF(テーブル!$B$3="実績報告（１次）",DP57,
IF(AND(テーブル!$B$3="交付申請（２次）",DP$26=0),0,
IF(AND(テーブル!$B$3="交付申請（２次）",DP$26&gt;=1),DP57,
IF(AND(テーブル!$B$3="交付申請兼実績報告（２次）",DP$26=0),0,
IF(AND(テーブル!$B$3="交付申請兼実績報告（２次）",DP$26&gt;=1),DP57,
IF(AND(テーブル!$B$3="実績報告（２次）",DP$26=0),0,
IF(AND(テーブル!$B$3="実績報告（２次）",DP$26&gt;=1),DP57)))))))))),0)</f>
        <v>0</v>
      </c>
      <c r="DQ33" s="1997">
        <f>IFERROR(
IF(テーブル!$B$3="交付申請",DQ57,
IF(AND(テーブル!$B$3="変更申請",DQ$26=0),0,
IF(AND(テーブル!$B$3="変更申請",DQ$26&gt;=1),DQ57,
IF(テーブル!$B$3="実績報告（１次）",DQ57,
IF(AND(テーブル!$B$3="交付申請（２次）",DQ$26=0),0,
IF(AND(テーブル!$B$3="交付申請（２次）",DQ$26&gt;=1),DQ57,
IF(AND(テーブル!$B$3="交付申請兼実績報告（２次）",DQ$26=0),0,
IF(AND(テーブル!$B$3="交付申請兼実績報告（２次）",DQ$26&gt;=1),DQ57,
IF(AND(テーブル!$B$3="実績報告（２次）",DQ$26=0),0,
IF(AND(テーブル!$B$3="実績報告（２次）",DQ$26&gt;=1),DQ57)))))))))),0)</f>
        <v>0</v>
      </c>
      <c r="DR33" s="1997">
        <f>IFERROR(
IF(テーブル!$B$3="交付申請",DR57,
IF(AND(テーブル!$B$3="変更申請",DR$26=0),0,
IF(AND(テーブル!$B$3="変更申請",DR$26&gt;=1),DR57,
IF(テーブル!$B$3="実績報告（１次）",DR57,
IF(AND(テーブル!$B$3="交付申請（２次）",DR$26=0),0,
IF(AND(テーブル!$B$3="交付申請（２次）",DR$26&gt;=1),DR57,
IF(AND(テーブル!$B$3="交付申請兼実績報告（２次）",DR$26=0),0,
IF(AND(テーブル!$B$3="交付申請兼実績報告（２次）",DR$26&gt;=1),DR57,
IF(AND(テーブル!$B$3="実績報告（２次）",DR$26=0),0,
IF(AND(テーブル!$B$3="実績報告（２次）",DR$26&gt;=1),DR57)))))))))),0)</f>
        <v>0</v>
      </c>
      <c r="DS33" s="1997">
        <f>IFERROR(
IF(テーブル!$B$3="交付申請",DS57,
IF(AND(テーブル!$B$3="変更申請",DS$26=0),0,
IF(AND(テーブル!$B$3="変更申請",DS$26&gt;=1),DS57,
IF(テーブル!$B$3="実績報告（１次）",DS57,
IF(AND(テーブル!$B$3="交付申請（２次）",DS$26=0),0,
IF(AND(テーブル!$B$3="交付申請（２次）",DS$26&gt;=1),DS57,
IF(AND(テーブル!$B$3="交付申請兼実績報告（２次）",DS$26=0),0,
IF(AND(テーブル!$B$3="交付申請兼実績報告（２次）",DS$26&gt;=1),DS57,
IF(AND(テーブル!$B$3="実績報告（２次）",DS$26=0),0,
IF(AND(テーブル!$B$3="実績報告（２次）",DS$26&gt;=1),DS57)))))))))),0)</f>
        <v>0</v>
      </c>
      <c r="DT33" s="1997">
        <f>IFERROR(
IF(テーブル!$B$3="交付申請",DT57,
IF(AND(テーブル!$B$3="変更申請",DT$26=0),0,
IF(AND(テーブル!$B$3="変更申請",DT$26&gt;=1),DT57,
IF(テーブル!$B$3="実績報告（１次）",DT57,
IF(AND(テーブル!$B$3="交付申請（２次）",DT$26=0),0,
IF(AND(テーブル!$B$3="交付申請（２次）",DT$26&gt;=1),DT57,
IF(AND(テーブル!$B$3="交付申請兼実績報告（２次）",DT$26=0),0,
IF(AND(テーブル!$B$3="交付申請兼実績報告（２次）",DT$26&gt;=1),DT57,
IF(AND(テーブル!$B$3="実績報告（２次）",DT$26=0),0,
IF(AND(テーブル!$B$3="実績報告（２次）",DT$26&gt;=1),DT57)))))))))),0)</f>
        <v>0</v>
      </c>
      <c r="DU33" s="1997">
        <f>IFERROR(
IF(テーブル!$B$3="交付申請",DU57,
IF(AND(テーブル!$B$3="変更申請",DU$26=0),0,
IF(AND(テーブル!$B$3="変更申請",DU$26&gt;=1),DU57,
IF(テーブル!$B$3="実績報告（１次）",DU57,
IF(AND(テーブル!$B$3="交付申請（２次）",DU$26=0),0,
IF(AND(テーブル!$B$3="交付申請（２次）",DU$26&gt;=1),DU57,
IF(AND(テーブル!$B$3="交付申請兼実績報告（２次）",DU$26=0),0,
IF(AND(テーブル!$B$3="交付申請兼実績報告（２次）",DU$26&gt;=1),DU57,
IF(AND(テーブル!$B$3="実績報告（２次）",DU$26=0),0,
IF(AND(テーブル!$B$3="実績報告（２次）",DU$26&gt;=1),DU57)))))))))),0)</f>
        <v>0</v>
      </c>
      <c r="DV33" s="1997">
        <f>IFERROR(
IF(テーブル!$B$3="交付申請",DV57,
IF(AND(テーブル!$B$3="変更申請",DV$26=0),0,
IF(AND(テーブル!$B$3="変更申請",DV$26&gt;=1),DV57,
IF(テーブル!$B$3="実績報告（１次）",DV57,
IF(AND(テーブル!$B$3="交付申請（２次）",DV$26=0),0,
IF(AND(テーブル!$B$3="交付申請（２次）",DV$26&gt;=1),DV57,
IF(AND(テーブル!$B$3="交付申請兼実績報告（２次）",DV$26=0),0,
IF(AND(テーブル!$B$3="交付申請兼実績報告（２次）",DV$26&gt;=1),DV57,
IF(AND(テーブル!$B$3="実績報告（２次）",DV$26=0),0,
IF(AND(テーブル!$B$3="実績報告（２次）",DV$26&gt;=1),DV57)))))))))),0)</f>
        <v>0</v>
      </c>
      <c r="DW33" s="1997">
        <f>IFERROR(
IF(テーブル!$B$3="交付申請",DW57,
IF(AND(テーブル!$B$3="変更申請",DW$26=0),0,
IF(AND(テーブル!$B$3="変更申請",DW$26&gt;=1),DW57,
IF(テーブル!$B$3="実績報告（１次）",DW57,
IF(AND(テーブル!$B$3="交付申請（２次）",DW$26=0),0,
IF(AND(テーブル!$B$3="交付申請（２次）",DW$26&gt;=1),DW57,
IF(AND(テーブル!$B$3="交付申請兼実績報告（２次）",DW$26=0),0,
IF(AND(テーブル!$B$3="交付申請兼実績報告（２次）",DW$26&gt;=1),DW57,
IF(AND(テーブル!$B$3="実績報告（２次）",DW$26=0),0,
IF(AND(テーブル!$B$3="実績報告（２次）",DW$26&gt;=1),DW57)))))))))),0)</f>
        <v>0</v>
      </c>
      <c r="DX33" s="1997">
        <f>IFERROR(
IF(テーブル!$B$3="交付申請",DX57,
IF(AND(テーブル!$B$3="変更申請",DX$26=0),0,
IF(AND(テーブル!$B$3="変更申請",DX$26&gt;=1),DX57,
IF(テーブル!$B$3="実績報告（１次）",DX57,
IF(AND(テーブル!$B$3="交付申請（２次）",DX$26=0),0,
IF(AND(テーブル!$B$3="交付申請（２次）",DX$26&gt;=1),DX57,
IF(AND(テーブル!$B$3="交付申請兼実績報告（２次）",DX$26=0),0,
IF(AND(テーブル!$B$3="交付申請兼実績報告（２次）",DX$26&gt;=1),DX57,
IF(AND(テーブル!$B$3="実績報告（２次）",DX$26=0),0,
IF(AND(テーブル!$B$3="実績報告（２次）",DX$26&gt;=1),DX57)))))))))),0)</f>
        <v>0</v>
      </c>
      <c r="DY33" s="1997">
        <f>IFERROR(
IF(テーブル!$B$3="交付申請",DY57,
IF(AND(テーブル!$B$3="変更申請",DY$26=0),0,
IF(AND(テーブル!$B$3="変更申請",DY$26&gt;=1),DY57,
IF(テーブル!$B$3="実績報告（１次）",DY57,
IF(AND(テーブル!$B$3="交付申請（２次）",DY$26=0),0,
IF(AND(テーブル!$B$3="交付申請（２次）",DY$26&gt;=1),DY57,
IF(AND(テーブル!$B$3="交付申請兼実績報告（２次）",DY$26=0),0,
IF(AND(テーブル!$B$3="交付申請兼実績報告（２次）",DY$26&gt;=1),DY57,
IF(AND(テーブル!$B$3="実績報告（２次）",DY$26=0),0,
IF(AND(テーブル!$B$3="実績報告（２次）",DY$26&gt;=1),DY57)))))))))),0)</f>
        <v>0</v>
      </c>
      <c r="DZ33" s="1997">
        <f>IFERROR(
IF(テーブル!$B$3="交付申請",DZ57,
IF(AND(テーブル!$B$3="変更申請",DZ$26=0),0,
IF(AND(テーブル!$B$3="変更申請",DZ$26&gt;=1),DZ57,
IF(テーブル!$B$3="実績報告（１次）",DZ57,
IF(AND(テーブル!$B$3="交付申請（２次）",DZ$26=0),0,
IF(AND(テーブル!$B$3="交付申請（２次）",DZ$26&gt;=1),DZ57,
IF(AND(テーブル!$B$3="交付申請兼実績報告（２次）",DZ$26=0),0,
IF(AND(テーブル!$B$3="交付申請兼実績報告（２次）",DZ$26&gt;=1),DZ57,
IF(AND(テーブル!$B$3="実績報告（２次）",DZ$26=0),0,
IF(AND(テーブル!$B$3="実績報告（２次）",DZ$26&gt;=1),DZ57)))))))))),0)</f>
        <v>0</v>
      </c>
      <c r="EA33" s="1997">
        <f>IFERROR(
IF(テーブル!$B$3="交付申請",EA57,
IF(AND(テーブル!$B$3="変更申請",EA$26=0),0,
IF(AND(テーブル!$B$3="変更申請",EA$26&gt;=1),EA57,
IF(テーブル!$B$3="実績報告（１次）",EA57,
IF(AND(テーブル!$B$3="交付申請（２次）",EA$26=0),0,
IF(AND(テーブル!$B$3="交付申請（２次）",EA$26&gt;=1),EA57,
IF(AND(テーブル!$B$3="交付申請兼実績報告（２次）",EA$26=0),0,
IF(AND(テーブル!$B$3="交付申請兼実績報告（２次）",EA$26&gt;=1),EA57,
IF(AND(テーブル!$B$3="実績報告（２次）",EA$26=0),0,
IF(AND(テーブル!$B$3="実績報告（２次）",EA$26&gt;=1),EA57)))))))))),0)</f>
        <v>0</v>
      </c>
      <c r="EB33" s="1997">
        <f>IFERROR(
IF(テーブル!$B$3="交付申請",EB57,
IF(AND(テーブル!$B$3="変更申請",EB$26=0),0,
IF(AND(テーブル!$B$3="変更申請",EB$26&gt;=1),EB57,
IF(テーブル!$B$3="実績報告（１次）",EB57,
IF(AND(テーブル!$B$3="交付申請（２次）",EB$26=0),0,
IF(AND(テーブル!$B$3="交付申請（２次）",EB$26&gt;=1),EB57,
IF(AND(テーブル!$B$3="交付申請兼実績報告（２次）",EB$26=0),0,
IF(AND(テーブル!$B$3="交付申請兼実績報告（２次）",EB$26&gt;=1),EB57,
IF(AND(テーブル!$B$3="実績報告（２次）",EB$26=0),0,
IF(AND(テーブル!$B$3="実績報告（２次）",EB$26&gt;=1),EB57)))))))))),0)</f>
        <v>0</v>
      </c>
      <c r="EC33" s="1997">
        <f>IFERROR(
IF(テーブル!$B$3="交付申請",EC57,
IF(AND(テーブル!$B$3="変更申請",EC$26=0),0,
IF(AND(テーブル!$B$3="変更申請",EC$26&gt;=1),EC57,
IF(テーブル!$B$3="実績報告（１次）",EC57,
IF(AND(テーブル!$B$3="交付申請（２次）",EC$26=0),0,
IF(AND(テーブル!$B$3="交付申請（２次）",EC$26&gt;=1),EC57,
IF(AND(テーブル!$B$3="交付申請兼実績報告（２次）",EC$26=0),0,
IF(AND(テーブル!$B$3="交付申請兼実績報告（２次）",EC$26&gt;=1),EC57,
IF(AND(テーブル!$B$3="実績報告（２次）",EC$26=0),0,
IF(AND(テーブル!$B$3="実績報告（２次）",EC$26&gt;=1),EC57)))))))))),0)</f>
        <v>0</v>
      </c>
      <c r="ED33" s="1997">
        <f>IFERROR(
IF(テーブル!$B$3="交付申請",ED57,
IF(AND(テーブル!$B$3="変更申請",ED$26=0),0,
IF(AND(テーブル!$B$3="変更申請",ED$26&gt;=1),ED57,
IF(テーブル!$B$3="実績報告（１次）",ED57,
IF(AND(テーブル!$B$3="交付申請（２次）",ED$26=0),0,
IF(AND(テーブル!$B$3="交付申請（２次）",ED$26&gt;=1),ED57,
IF(AND(テーブル!$B$3="交付申請兼実績報告（２次）",ED$26=0),0,
IF(AND(テーブル!$B$3="交付申請兼実績報告（２次）",ED$26&gt;=1),ED57,
IF(AND(テーブル!$B$3="実績報告（２次）",ED$26=0),0,
IF(AND(テーブル!$B$3="実績報告（２次）",ED$26&gt;=1),ED57)))))))))),0)</f>
        <v>0</v>
      </c>
      <c r="EE33" s="1997">
        <f>IFERROR(
IF(テーブル!$B$3="交付申請",EE57,
IF(AND(テーブル!$B$3="変更申請",EE$26=0),0,
IF(AND(テーブル!$B$3="変更申請",EE$26&gt;=1),EE57,
IF(テーブル!$B$3="実績報告（１次）",EE57,
IF(AND(テーブル!$B$3="交付申請（２次）",EE$26=0),0,
IF(AND(テーブル!$B$3="交付申請（２次）",EE$26&gt;=1),EE57,
IF(AND(テーブル!$B$3="交付申請兼実績報告（２次）",EE$26=0),0,
IF(AND(テーブル!$B$3="交付申請兼実績報告（２次）",EE$26&gt;=1),EE57,
IF(AND(テーブル!$B$3="実績報告（２次）",EE$26=0),0,
IF(AND(テーブル!$B$3="実績報告（２次）",EE$26&gt;=1),EE57)))))))))),0)</f>
        <v>0</v>
      </c>
      <c r="EF33" s="1997">
        <f>IFERROR(
IF(テーブル!$B$3="交付申請",EF57,
IF(AND(テーブル!$B$3="変更申請",EF$26=0),0,
IF(AND(テーブル!$B$3="変更申請",EF$26&gt;=1),EF57,
IF(テーブル!$B$3="実績報告（１次）",EF57,
IF(AND(テーブル!$B$3="交付申請（２次）",EF$26=0),0,
IF(AND(テーブル!$B$3="交付申請（２次）",EF$26&gt;=1),EF57,
IF(AND(テーブル!$B$3="交付申請兼実績報告（２次）",EF$26=0),0,
IF(AND(テーブル!$B$3="交付申請兼実績報告（２次）",EF$26&gt;=1),EF57,
IF(AND(テーブル!$B$3="実績報告（２次）",EF$26=0),0,
IF(AND(テーブル!$B$3="実績報告（２次）",EF$26&gt;=1),EF57)))))))))),0)</f>
        <v>0</v>
      </c>
      <c r="EG33" s="1997">
        <f>IFERROR(
IF(テーブル!$B$3="交付申請",EG57,
IF(AND(テーブル!$B$3="変更申請",EG$26=0),0,
IF(AND(テーブル!$B$3="変更申請",EG$26&gt;=1),EG57,
IF(テーブル!$B$3="実績報告（１次）",EG57,
IF(AND(テーブル!$B$3="交付申請（２次）",EG$26=0),0,
IF(AND(テーブル!$B$3="交付申請（２次）",EG$26&gt;=1),EG57,
IF(AND(テーブル!$B$3="交付申請兼実績報告（２次）",EG$26=0),0,
IF(AND(テーブル!$B$3="交付申請兼実績報告（２次）",EG$26&gt;=1),EG57,
IF(AND(テーブル!$B$3="実績報告（２次）",EG$26=0),0,
IF(AND(テーブル!$B$3="実績報告（２次）",EG$26&gt;=1),EG57)))))))))),0)</f>
        <v>0</v>
      </c>
      <c r="EH33" s="1997">
        <f>IFERROR(
IF(テーブル!$B$3="交付申請",EH57,
IF(AND(テーブル!$B$3="変更申請",EH$26=0),0,
IF(AND(テーブル!$B$3="変更申請",EH$26&gt;=1),EH57,
IF(テーブル!$B$3="実績報告（１次）",EH57,
IF(AND(テーブル!$B$3="交付申請（２次）",EH$26=0),0,
IF(AND(テーブル!$B$3="交付申請（２次）",EH$26&gt;=1),EH57,
IF(AND(テーブル!$B$3="交付申請兼実績報告（２次）",EH$26=0),0,
IF(AND(テーブル!$B$3="交付申請兼実績報告（２次）",EH$26&gt;=1),EH57,
IF(AND(テーブル!$B$3="実績報告（２次）",EH$26=0),0,
IF(AND(テーブル!$B$3="実績報告（２次）",EH$26&gt;=1),EH57)))))))))),0)</f>
        <v>0</v>
      </c>
      <c r="EI33" s="1997">
        <f>IFERROR(
IF(テーブル!$B$3="交付申請",EI57,
IF(AND(テーブル!$B$3="変更申請",EI$26=0),0,
IF(AND(テーブル!$B$3="変更申請",EI$26&gt;=1),EI57,
IF(テーブル!$B$3="実績報告（１次）",EI57,
IF(AND(テーブル!$B$3="交付申請（２次）",EI$26=0),0,
IF(AND(テーブル!$B$3="交付申請（２次）",EI$26&gt;=1),EI57,
IF(AND(テーブル!$B$3="交付申請兼実績報告（２次）",EI$26=0),0,
IF(AND(テーブル!$B$3="交付申請兼実績報告（２次）",EI$26&gt;=1),EI57,
IF(AND(テーブル!$B$3="実績報告（２次）",EI$26=0),0,
IF(AND(テーブル!$B$3="実績報告（２次）",EI$26&gt;=1),EI57)))))))))),0)</f>
        <v>0</v>
      </c>
      <c r="EJ33" s="1997">
        <f>IFERROR(
IF(テーブル!$B$3="交付申請",EJ57,
IF(AND(テーブル!$B$3="変更申請",EJ$26=0),0,
IF(AND(テーブル!$B$3="変更申請",EJ$26&gt;=1),EJ57,
IF(テーブル!$B$3="実績報告（１次）",EJ57,
IF(AND(テーブル!$B$3="交付申請（２次）",EJ$26=0),0,
IF(AND(テーブル!$B$3="交付申請（２次）",EJ$26&gt;=1),EJ57,
IF(AND(テーブル!$B$3="交付申請兼実績報告（２次）",EJ$26=0),0,
IF(AND(テーブル!$B$3="交付申請兼実績報告（２次）",EJ$26&gt;=1),EJ57,
IF(AND(テーブル!$B$3="実績報告（２次）",EJ$26=0),0,
IF(AND(テーブル!$B$3="実績報告（２次）",EJ$26&gt;=1),EJ57)))))))))),0)</f>
        <v>0</v>
      </c>
      <c r="EK33" s="1997">
        <f>IFERROR(
IF(テーブル!$B$3="交付申請",EK57,
IF(AND(テーブル!$B$3="変更申請",EK$26=0),0,
IF(AND(テーブル!$B$3="変更申請",EK$26&gt;=1),EK57,
IF(テーブル!$B$3="実績報告（１次）",EK57,
IF(AND(テーブル!$B$3="交付申請（２次）",EK$26=0),0,
IF(AND(テーブル!$B$3="交付申請（２次）",EK$26&gt;=1),EK57,
IF(AND(テーブル!$B$3="交付申請兼実績報告（２次）",EK$26=0),0,
IF(AND(テーブル!$B$3="交付申請兼実績報告（２次）",EK$26&gt;=1),EK57,
IF(AND(テーブル!$B$3="実績報告（２次）",EK$26=0),0,
IF(AND(テーブル!$B$3="実績報告（２次）",EK$26&gt;=1),EK57)))))))))),0)</f>
        <v>0</v>
      </c>
      <c r="EL33" s="1997">
        <f>IFERROR(
IF(テーブル!$B$3="交付申請",EL57,
IF(AND(テーブル!$B$3="変更申請",EL$26=0),0,
IF(AND(テーブル!$B$3="変更申請",EL$26&gt;=1),EL57,
IF(テーブル!$B$3="実績報告（１次）",EL57,
IF(AND(テーブル!$B$3="交付申請（２次）",EL$26=0),0,
IF(AND(テーブル!$B$3="交付申請（２次）",EL$26&gt;=1),EL57,
IF(AND(テーブル!$B$3="交付申請兼実績報告（２次）",EL$26=0),0,
IF(AND(テーブル!$B$3="交付申請兼実績報告（２次）",EL$26&gt;=1),EL57,
IF(AND(テーブル!$B$3="実績報告（２次）",EL$26=0),0,
IF(AND(テーブル!$B$3="実績報告（２次）",EL$26&gt;=1),EL57)))))))))),0)</f>
        <v>0</v>
      </c>
      <c r="EM33" s="1997">
        <f>IFERROR(
IF(テーブル!$B$3="交付申請",EM57,
IF(AND(テーブル!$B$3="変更申請",EM$26=0),0,
IF(AND(テーブル!$B$3="変更申請",EM$26&gt;=1),EM57,
IF(テーブル!$B$3="実績報告（１次）",EM57,
IF(AND(テーブル!$B$3="交付申請（２次）",EM$26=0),0,
IF(AND(テーブル!$B$3="交付申請（２次）",EM$26&gt;=1),EM57,
IF(AND(テーブル!$B$3="交付申請兼実績報告（２次）",EM$26=0),0,
IF(AND(テーブル!$B$3="交付申請兼実績報告（２次）",EM$26&gt;=1),EM57,
IF(AND(テーブル!$B$3="実績報告（２次）",EM$26=0),0,
IF(AND(テーブル!$B$3="実績報告（２次）",EM$26&gt;=1),EM57)))))))))),0)</f>
        <v>0</v>
      </c>
      <c r="EN33" s="1997">
        <f>IFERROR(
IF(テーブル!$B$3="交付申請",EN57,
IF(AND(テーブル!$B$3="変更申請",EN$26=0),0,
IF(AND(テーブル!$B$3="変更申請",EN$26&gt;=1),EN57,
IF(テーブル!$B$3="実績報告（１次）",EN57,
IF(AND(テーブル!$B$3="交付申請（２次）",EN$26=0),0,
IF(AND(テーブル!$B$3="交付申請（２次）",EN$26&gt;=1),EN57,
IF(AND(テーブル!$B$3="交付申請兼実績報告（２次）",EN$26=0),0,
IF(AND(テーブル!$B$3="交付申請兼実績報告（２次）",EN$26&gt;=1),EN57,
IF(AND(テーブル!$B$3="実績報告（２次）",EN$26=0),0,
IF(AND(テーブル!$B$3="実績報告（２次）",EN$26&gt;=1),EN57)))))))))),0)</f>
        <v>0</v>
      </c>
      <c r="EO33" s="1997">
        <f>IFERROR(
IF(テーブル!$B$3="交付申請",EO57,
IF(AND(テーブル!$B$3="変更申請",EO$26=0),0,
IF(AND(テーブル!$B$3="変更申請",EO$26&gt;=1),EO57,
IF(テーブル!$B$3="実績報告（１次）",EO57,
IF(AND(テーブル!$B$3="交付申請（２次）",EO$26=0),0,
IF(AND(テーブル!$B$3="交付申請（２次）",EO$26&gt;=1),EO57,
IF(AND(テーブル!$B$3="交付申請兼実績報告（２次）",EO$26=0),0,
IF(AND(テーブル!$B$3="交付申請兼実績報告（２次）",EO$26&gt;=1),EO57,
IF(AND(テーブル!$B$3="実績報告（２次）",EO$26=0),0,
IF(AND(テーブル!$B$3="実績報告（２次）",EO$26&gt;=1),EO57)))))))))),0)</f>
        <v>0</v>
      </c>
      <c r="EP33" s="1997">
        <f>IFERROR(
IF(テーブル!$B$3="交付申請",EP57,
IF(AND(テーブル!$B$3="変更申請",EP$26=0),0,
IF(AND(テーブル!$B$3="変更申請",EP$26&gt;=1),EP57,
IF(テーブル!$B$3="実績報告（１次）",EP57,
IF(AND(テーブル!$B$3="交付申請（２次）",EP$26=0),0,
IF(AND(テーブル!$B$3="交付申請（２次）",EP$26&gt;=1),EP57,
IF(AND(テーブル!$B$3="交付申請兼実績報告（２次）",EP$26=0),0,
IF(AND(テーブル!$B$3="交付申請兼実績報告（２次）",EP$26&gt;=1),EP57,
IF(AND(テーブル!$B$3="実績報告（２次）",EP$26=0),0,
IF(AND(テーブル!$B$3="実績報告（２次）",EP$26&gt;=1),EP57)))))))))),0)</f>
        <v>0</v>
      </c>
      <c r="EQ33" s="1997">
        <f>IFERROR(
IF(テーブル!$B$3="交付申請",EQ57,
IF(AND(テーブル!$B$3="変更申請",EQ$26=0),0,
IF(AND(テーブル!$B$3="変更申請",EQ$26&gt;=1),EQ57,
IF(テーブル!$B$3="実績報告（１次）",EQ57,
IF(AND(テーブル!$B$3="交付申請（２次）",EQ$26=0),0,
IF(AND(テーブル!$B$3="交付申請（２次）",EQ$26&gt;=1),EQ57,
IF(AND(テーブル!$B$3="交付申請兼実績報告（２次）",EQ$26=0),0,
IF(AND(テーブル!$B$3="交付申請兼実績報告（２次）",EQ$26&gt;=1),EQ57,
IF(AND(テーブル!$B$3="実績報告（２次）",EQ$26=0),0,
IF(AND(テーブル!$B$3="実績報告（２次）",EQ$26&gt;=1),EQ57)))))))))),0)</f>
        <v>0</v>
      </c>
      <c r="ER33" s="1997">
        <f>IFERROR(
IF(テーブル!$B$3="交付申請",ER57,
IF(AND(テーブル!$B$3="変更申請",ER$26=0),0,
IF(AND(テーブル!$B$3="変更申請",ER$26&gt;=1),ER57,
IF(テーブル!$B$3="実績報告（１次）",ER57,
IF(AND(テーブル!$B$3="交付申請（２次）",ER$26=0),0,
IF(AND(テーブル!$B$3="交付申請（２次）",ER$26&gt;=1),ER57,
IF(AND(テーブル!$B$3="交付申請兼実績報告（２次）",ER$26=0),0,
IF(AND(テーブル!$B$3="交付申請兼実績報告（２次）",ER$26&gt;=1),ER57,
IF(AND(テーブル!$B$3="実績報告（２次）",ER$26=0),0,
IF(AND(テーブル!$B$3="実績報告（２次）",ER$26&gt;=1),ER57)))))))))),0)</f>
        <v>0</v>
      </c>
      <c r="ES33" s="1997">
        <f>IFERROR(
IF(テーブル!$B$3="交付申請",ES57,
IF(AND(テーブル!$B$3="変更申請",ES$26=0),0,
IF(AND(テーブル!$B$3="変更申請",ES$26&gt;=1),ES57,
IF(テーブル!$B$3="実績報告（１次）",ES57,
IF(AND(テーブル!$B$3="交付申請（２次）",ES$26=0),0,
IF(AND(テーブル!$B$3="交付申請（２次）",ES$26&gt;=1),ES57,
IF(AND(テーブル!$B$3="交付申請兼実績報告（２次）",ES$26=0),0,
IF(AND(テーブル!$B$3="交付申請兼実績報告（２次）",ES$26&gt;=1),ES57,
IF(AND(テーブル!$B$3="実績報告（２次）",ES$26=0),0,
IF(AND(テーブル!$B$3="実績報告（２次）",ES$26&gt;=1),ES57)))))))))),0)</f>
        <v>0</v>
      </c>
      <c r="ET33" s="1997">
        <f>IFERROR(
IF(テーブル!$B$3="交付申請",ET57,
IF(AND(テーブル!$B$3="変更申請",ET$26=0),0,
IF(AND(テーブル!$B$3="変更申請",ET$26&gt;=1),ET57,
IF(テーブル!$B$3="実績報告（１次）",ET57,
IF(AND(テーブル!$B$3="交付申請（２次）",ET$26=0),0,
IF(AND(テーブル!$B$3="交付申請（２次）",ET$26&gt;=1),ET57,
IF(AND(テーブル!$B$3="交付申請兼実績報告（２次）",ET$26=0),0,
IF(AND(テーブル!$B$3="交付申請兼実績報告（２次）",ET$26&gt;=1),ET57,
IF(AND(テーブル!$B$3="実績報告（２次）",ET$26=0),0,
IF(AND(テーブル!$B$3="実績報告（２次）",ET$26&gt;=1),ET57)))))))))),0)</f>
        <v>0</v>
      </c>
      <c r="EU33" s="1997">
        <f>IFERROR(
IF(テーブル!$B$3="交付申請",EU57,
IF(AND(テーブル!$B$3="変更申請",EU$26=0),0,
IF(AND(テーブル!$B$3="変更申請",EU$26&gt;=1),EU57,
IF(テーブル!$B$3="実績報告（１次）",EU57,
IF(AND(テーブル!$B$3="交付申請（２次）",EU$26=0),0,
IF(AND(テーブル!$B$3="交付申請（２次）",EU$26&gt;=1),EU57,
IF(AND(テーブル!$B$3="交付申請兼実績報告（２次）",EU$26=0),0,
IF(AND(テーブル!$B$3="交付申請兼実績報告（２次）",EU$26&gt;=1),EU57,
IF(AND(テーブル!$B$3="実績報告（２次）",EU$26=0),0,
IF(AND(テーブル!$B$3="実績報告（２次）",EU$26&gt;=1),EU57)))))))))),0)</f>
        <v>0</v>
      </c>
      <c r="EV33" s="1997">
        <f>IFERROR(
IF(テーブル!$B$3="交付申請",EV57,
IF(AND(テーブル!$B$3="変更申請",EV$26=0),0,
IF(AND(テーブル!$B$3="変更申請",EV$26&gt;=1),EV57,
IF(テーブル!$B$3="実績報告（１次）",EV57,
IF(AND(テーブル!$B$3="交付申請（２次）",EV$26=0),0,
IF(AND(テーブル!$B$3="交付申請（２次）",EV$26&gt;=1),EV57,
IF(AND(テーブル!$B$3="交付申請兼実績報告（２次）",EV$26=0),0,
IF(AND(テーブル!$B$3="交付申請兼実績報告（２次）",EV$26&gt;=1),EV57,
IF(AND(テーブル!$B$3="実績報告（２次）",EV$26=0),0,
IF(AND(テーブル!$B$3="実績報告（２次）",EV$26&gt;=1),EV57)))))))))),0)</f>
        <v>0</v>
      </c>
      <c r="EW33" s="1997">
        <f>IFERROR(
IF(テーブル!$B$3="交付申請",EW57,
IF(AND(テーブル!$B$3="変更申請",EW$26=0),0,
IF(AND(テーブル!$B$3="変更申請",EW$26&gt;=1),EW57,
IF(テーブル!$B$3="実績報告（１次）",EW57,
IF(AND(テーブル!$B$3="交付申請（２次）",EW$26=0),0,
IF(AND(テーブル!$B$3="交付申請（２次）",EW$26&gt;=1),EW57,
IF(AND(テーブル!$B$3="交付申請兼実績報告（２次）",EW$26=0),0,
IF(AND(テーブル!$B$3="交付申請兼実績報告（２次）",EW$26&gt;=1),EW57,
IF(AND(テーブル!$B$3="実績報告（２次）",EW$26=0),0,
IF(AND(テーブル!$B$3="実績報告（２次）",EW$26&gt;=1),EW57)))))))))),0)</f>
        <v>0</v>
      </c>
      <c r="EX33" s="1997">
        <f>IFERROR(
IF(テーブル!$B$3="交付申請",EX57,
IF(AND(テーブル!$B$3="変更申請",EX$26=0),0,
IF(AND(テーブル!$B$3="変更申請",EX$26&gt;=1),EX57,
IF(テーブル!$B$3="実績報告（１次）",EX57,
IF(AND(テーブル!$B$3="交付申請（２次）",EX$26=0),0,
IF(AND(テーブル!$B$3="交付申請（２次）",EX$26&gt;=1),EX57,
IF(AND(テーブル!$B$3="交付申請兼実績報告（２次）",EX$26=0),0,
IF(AND(テーブル!$B$3="交付申請兼実績報告（２次）",EX$26&gt;=1),EX57,
IF(AND(テーブル!$B$3="実績報告（２次）",EX$26=0),0,
IF(AND(テーブル!$B$3="実績報告（２次）",EX$26&gt;=1),EX57)))))))))),0)</f>
        <v>0</v>
      </c>
      <c r="EY33" s="1997">
        <f>IFERROR(
IF(テーブル!$B$3="交付申請",EY57,
IF(AND(テーブル!$B$3="変更申請",EY$26=0),0,
IF(AND(テーブル!$B$3="変更申請",EY$26&gt;=1),EY57,
IF(テーブル!$B$3="実績報告（１次）",EY57,
IF(AND(テーブル!$B$3="交付申請（２次）",EY$26=0),0,
IF(AND(テーブル!$B$3="交付申請（２次）",EY$26&gt;=1),EY57,
IF(AND(テーブル!$B$3="交付申請兼実績報告（２次）",EY$26=0),0,
IF(AND(テーブル!$B$3="交付申請兼実績報告（２次）",EY$26&gt;=1),EY57,
IF(AND(テーブル!$B$3="実績報告（２次）",EY$26=0),0,
IF(AND(テーブル!$B$3="実績報告（２次）",EY$26&gt;=1),EY57)))))))))),0)</f>
        <v>0</v>
      </c>
      <c r="EZ33" s="1997">
        <f>IFERROR(
IF(テーブル!$B$3="交付申請",EZ57,
IF(AND(テーブル!$B$3="変更申請",EZ$26=0),0,
IF(AND(テーブル!$B$3="変更申請",EZ$26&gt;=1),EZ57,
IF(テーブル!$B$3="実績報告（１次）",EZ57,
IF(AND(テーブル!$B$3="交付申請（２次）",EZ$26=0),0,
IF(AND(テーブル!$B$3="交付申請（２次）",EZ$26&gt;=1),EZ57,
IF(AND(テーブル!$B$3="交付申請兼実績報告（２次）",EZ$26=0),0,
IF(AND(テーブル!$B$3="交付申請兼実績報告（２次）",EZ$26&gt;=1),EZ57,
IF(AND(テーブル!$B$3="実績報告（２次）",EZ$26=0),0,
IF(AND(テーブル!$B$3="実績報告（２次）",EZ$26&gt;=1),EZ57)))))))))),0)</f>
        <v>0</v>
      </c>
      <c r="FA33" s="1997">
        <f>IFERROR(
IF(テーブル!$B$3="交付申請",FA57,
IF(AND(テーブル!$B$3="変更申請",FA$26=0),0,
IF(AND(テーブル!$B$3="変更申請",FA$26&gt;=1),FA57,
IF(テーブル!$B$3="実績報告（１次）",FA57,
IF(AND(テーブル!$B$3="交付申請（２次）",FA$26=0),0,
IF(AND(テーブル!$B$3="交付申請（２次）",FA$26&gt;=1),FA57,
IF(AND(テーブル!$B$3="交付申請兼実績報告（２次）",FA$26=0),0,
IF(AND(テーブル!$B$3="交付申請兼実績報告（２次）",FA$26&gt;=1),FA57,
IF(AND(テーブル!$B$3="実績報告（２次）",FA$26=0),0,
IF(AND(テーブル!$B$3="実績報告（２次）",FA$26&gt;=1),FA57)))))))))),0)</f>
        <v>0</v>
      </c>
      <c r="FB33" s="1997">
        <f>IFERROR(
IF(テーブル!$B$3="交付申請",FB57,
IF(AND(テーブル!$B$3="変更申請",FB$26=0),0,
IF(AND(テーブル!$B$3="変更申請",FB$26&gt;=1),FB57,
IF(テーブル!$B$3="実績報告（１次）",FB57,
IF(AND(テーブル!$B$3="交付申請（２次）",FB$26=0),0,
IF(AND(テーブル!$B$3="交付申請（２次）",FB$26&gt;=1),FB57,
IF(AND(テーブル!$B$3="交付申請兼実績報告（２次）",FB$26=0),0,
IF(AND(テーブル!$B$3="交付申請兼実績報告（２次）",FB$26&gt;=1),FB57,
IF(AND(テーブル!$B$3="実績報告（２次）",FB$26=0),0,
IF(AND(テーブル!$B$3="実績報告（２次）",FB$26&gt;=1),FB57)))))))))),0)</f>
        <v>0</v>
      </c>
      <c r="FC33" s="1997">
        <f>IFERROR(
IF(テーブル!$B$3="交付申請",FC57,
IF(AND(テーブル!$B$3="変更申請",FC$26=0),0,
IF(AND(テーブル!$B$3="変更申請",FC$26&gt;=1),FC57,
IF(テーブル!$B$3="実績報告（１次）",FC57,
IF(AND(テーブル!$B$3="交付申請（２次）",FC$26=0),0,
IF(AND(テーブル!$B$3="交付申請（２次）",FC$26&gt;=1),FC57,
IF(AND(テーブル!$B$3="交付申請兼実績報告（２次）",FC$26=0),0,
IF(AND(テーブル!$B$3="交付申請兼実績報告（２次）",FC$26&gt;=1),FC57,
IF(AND(テーブル!$B$3="実績報告（２次）",FC$26=0),0,
IF(AND(テーブル!$B$3="実績報告（２次）",FC$26&gt;=1),FC57)))))))))),0)</f>
        <v>0</v>
      </c>
      <c r="FD33" s="1997">
        <f>IFERROR(
IF(テーブル!$B$3="交付申請",FD57,
IF(AND(テーブル!$B$3="変更申請",FD$26=0),0,
IF(AND(テーブル!$B$3="変更申請",FD$26&gt;=1),FD57,
IF(テーブル!$B$3="実績報告（１次）",FD57,
IF(AND(テーブル!$B$3="交付申請（２次）",FD$26=0),0,
IF(AND(テーブル!$B$3="交付申請（２次）",FD$26&gt;=1),FD57,
IF(AND(テーブル!$B$3="交付申請兼実績報告（２次）",FD$26=0),0,
IF(AND(テーブル!$B$3="交付申請兼実績報告（２次）",FD$26&gt;=1),FD57,
IF(AND(テーブル!$B$3="実績報告（２次）",FD$26=0),0,
IF(AND(テーブル!$B$3="実績報告（２次）",FD$26&gt;=1),FD57)))))))))),0)</f>
        <v>0</v>
      </c>
      <c r="FE33" s="1997">
        <f>IFERROR(
IF(テーブル!$B$3="交付申請",FE57,
IF(AND(テーブル!$B$3="変更申請",FE$26=0),0,
IF(AND(テーブル!$B$3="変更申請",FE$26&gt;=1),FE57,
IF(テーブル!$B$3="実績報告（１次）",FE57,
IF(AND(テーブル!$B$3="交付申請（２次）",FE$26=0),0,
IF(AND(テーブル!$B$3="交付申請（２次）",FE$26&gt;=1),FE57,
IF(AND(テーブル!$B$3="交付申請兼実績報告（２次）",FE$26=0),0,
IF(AND(テーブル!$B$3="交付申請兼実績報告（２次）",FE$26&gt;=1),FE57,
IF(AND(テーブル!$B$3="実績報告（２次）",FE$26=0),0,
IF(AND(テーブル!$B$3="実績報告（２次）",FE$26&gt;=1),FE57)))))))))),0)</f>
        <v>0</v>
      </c>
      <c r="FF33" s="1997">
        <f>IFERROR(
IF(テーブル!$B$3="交付申請",FF57,
IF(AND(テーブル!$B$3="変更申請",FF$26=0),0,
IF(AND(テーブル!$B$3="変更申請",FF$26&gt;=1),FF57,
IF(テーブル!$B$3="実績報告（１次）",FF57,
IF(AND(テーブル!$B$3="交付申請（２次）",FF$26=0),0,
IF(AND(テーブル!$B$3="交付申請（２次）",FF$26&gt;=1),FF57,
IF(AND(テーブル!$B$3="交付申請兼実績報告（２次）",FF$26=0),0,
IF(AND(テーブル!$B$3="交付申請兼実績報告（２次）",FF$26&gt;=1),FF57,
IF(AND(テーブル!$B$3="実績報告（２次）",FF$26=0),0,
IF(AND(テーブル!$B$3="実績報告（２次）",FF$26&gt;=1),FF57)))))))))),0)</f>
        <v>0</v>
      </c>
      <c r="FG33" s="1997">
        <f>IFERROR(
IF(テーブル!$B$3="交付申請",FG57,
IF(AND(テーブル!$B$3="変更申請",FG$26=0),0,
IF(AND(テーブル!$B$3="変更申請",FG$26&gt;=1),FG57,
IF(テーブル!$B$3="実績報告（１次）",FG57,
IF(AND(テーブル!$B$3="交付申請（２次）",FG$26=0),0,
IF(AND(テーブル!$B$3="交付申請（２次）",FG$26&gt;=1),FG57,
IF(AND(テーブル!$B$3="交付申請兼実績報告（２次）",FG$26=0),0,
IF(AND(テーブル!$B$3="交付申請兼実績報告（２次）",FG$26&gt;=1),FG57,
IF(AND(テーブル!$B$3="実績報告（２次）",FG$26=0),0,
IF(AND(テーブル!$B$3="実績報告（２次）",FG$26&gt;=1),FG57)))))))))),0)</f>
        <v>0</v>
      </c>
      <c r="FH33" s="1997">
        <f>IFERROR(
IF(テーブル!$B$3="交付申請",FH57,
IF(AND(テーブル!$B$3="変更申請",FH$26=0),0,
IF(AND(テーブル!$B$3="変更申請",FH$26&gt;=1),FH57,
IF(テーブル!$B$3="実績報告（１次）",FH57,
IF(AND(テーブル!$B$3="交付申請（２次）",FH$26=0),0,
IF(AND(テーブル!$B$3="交付申請（２次）",FH$26&gt;=1),FH57,
IF(AND(テーブル!$B$3="交付申請兼実績報告（２次）",FH$26=0),0,
IF(AND(テーブル!$B$3="交付申請兼実績報告（２次）",FH$26&gt;=1),FH57,
IF(AND(テーブル!$B$3="実績報告（２次）",FH$26=0),0,
IF(AND(テーブル!$B$3="実績報告（２次）",FH$26&gt;=1),FH57)))))))))),0)</f>
        <v>0</v>
      </c>
      <c r="FI33" s="1997">
        <f>IFERROR(
IF(テーブル!$B$3="交付申請",FI57,
IF(AND(テーブル!$B$3="変更申請",FI$26=0),0,
IF(AND(テーブル!$B$3="変更申請",FI$26&gt;=1),FI57,
IF(テーブル!$B$3="実績報告（１次）",FI57,
IF(AND(テーブル!$B$3="交付申請（２次）",FI$26=0),0,
IF(AND(テーブル!$B$3="交付申請（２次）",FI$26&gt;=1),FI57,
IF(AND(テーブル!$B$3="交付申請兼実績報告（２次）",FI$26=0),0,
IF(AND(テーブル!$B$3="交付申請兼実績報告（２次）",FI$26&gt;=1),FI57,
IF(AND(テーブル!$B$3="実績報告（２次）",FI$26=0),0,
IF(AND(テーブル!$B$3="実績報告（２次）",FI$26&gt;=1),FI57)))))))))),0)</f>
        <v>0</v>
      </c>
      <c r="FJ33" s="1997">
        <f>IFERROR(
IF(テーブル!$B$3="交付申請",FJ57,
IF(AND(テーブル!$B$3="変更申請",FJ$26=0),0,
IF(AND(テーブル!$B$3="変更申請",FJ$26&gt;=1),FJ57,
IF(テーブル!$B$3="実績報告（１次）",FJ57,
IF(AND(テーブル!$B$3="交付申請（２次）",FJ$26=0),0,
IF(AND(テーブル!$B$3="交付申請（２次）",FJ$26&gt;=1),FJ57,
IF(AND(テーブル!$B$3="交付申請兼実績報告（２次）",FJ$26=0),0,
IF(AND(テーブル!$B$3="交付申請兼実績報告（２次）",FJ$26&gt;=1),FJ57,
IF(AND(テーブル!$B$3="実績報告（２次）",FJ$26=0),0,
IF(AND(テーブル!$B$3="実績報告（２次）",FJ$26&gt;=1),FJ57)))))))))),0)</f>
        <v>0</v>
      </c>
      <c r="FK33" s="1997">
        <f>IFERROR(
IF(テーブル!$B$3="交付申請",FK57,
IF(AND(テーブル!$B$3="変更申請",FK$26=0),0,
IF(AND(テーブル!$B$3="変更申請",FK$26&gt;=1),FK57,
IF(テーブル!$B$3="実績報告（１次）",FK57,
IF(AND(テーブル!$B$3="交付申請（２次）",FK$26=0),0,
IF(AND(テーブル!$B$3="交付申請（２次）",FK$26&gt;=1),FK57,
IF(AND(テーブル!$B$3="交付申請兼実績報告（２次）",FK$26=0),0,
IF(AND(テーブル!$B$3="交付申請兼実績報告（２次）",FK$26&gt;=1),FK57,
IF(AND(テーブル!$B$3="実績報告（２次）",FK$26=0),0,
IF(AND(テーブル!$B$3="実績報告（２次）",FK$26&gt;=1),FK57)))))))))),0)</f>
        <v>0</v>
      </c>
      <c r="FL33" s="1997">
        <f>IFERROR(
IF(テーブル!$B$3="交付申請",FL57,
IF(AND(テーブル!$B$3="変更申請",FL$26=0),0,
IF(AND(テーブル!$B$3="変更申請",FL$26&gt;=1),FL57,
IF(テーブル!$B$3="実績報告（１次）",FL57,
IF(AND(テーブル!$B$3="交付申請（２次）",FL$26=0),0,
IF(AND(テーブル!$B$3="交付申請（２次）",FL$26&gt;=1),FL57,
IF(AND(テーブル!$B$3="交付申請兼実績報告（２次）",FL$26=0),0,
IF(AND(テーブル!$B$3="交付申請兼実績報告（２次）",FL$26&gt;=1),FL57,
IF(AND(テーブル!$B$3="実績報告（２次）",FL$26=0),0,
IF(AND(テーブル!$B$3="実績報告（２次）",FL$26&gt;=1),FL57)))))))))),0)</f>
        <v>0</v>
      </c>
      <c r="FM33" s="1997">
        <f>IFERROR(
IF(テーブル!$B$3="交付申請",FM57,
IF(AND(テーブル!$B$3="変更申請",FM$26=0),0,
IF(AND(テーブル!$B$3="変更申請",FM$26&gt;=1),FM57,
IF(テーブル!$B$3="実績報告（１次）",FM57,
IF(AND(テーブル!$B$3="交付申請（２次）",FM$26=0),0,
IF(AND(テーブル!$B$3="交付申請（２次）",FM$26&gt;=1),FM57,
IF(AND(テーブル!$B$3="交付申請兼実績報告（２次）",FM$26=0),0,
IF(AND(テーブル!$B$3="交付申請兼実績報告（２次）",FM$26&gt;=1),FM57,
IF(AND(テーブル!$B$3="実績報告（２次）",FM$26=0),0,
IF(AND(テーブル!$B$3="実績報告（２次）",FM$26&gt;=1),FM57)))))))))),0)</f>
        <v>0</v>
      </c>
      <c r="FN33" s="1997">
        <f>IFERROR(
IF(テーブル!$B$3="交付申請",FN57,
IF(AND(テーブル!$B$3="変更申請",FN$26=0),0,
IF(AND(テーブル!$B$3="変更申請",FN$26&gt;=1),FN57,
IF(テーブル!$B$3="実績報告（１次）",FN57,
IF(AND(テーブル!$B$3="交付申請（２次）",FN$26=0),0,
IF(AND(テーブル!$B$3="交付申請（２次）",FN$26&gt;=1),FN57,
IF(AND(テーブル!$B$3="交付申請兼実績報告（２次）",FN$26=0),0,
IF(AND(テーブル!$B$3="交付申請兼実績報告（２次）",FN$26&gt;=1),FN57,
IF(AND(テーブル!$B$3="実績報告（２次）",FN$26=0),0,
IF(AND(テーブル!$B$3="実績報告（２次）",FN$26&gt;=1),FN57)))))))))),0)</f>
        <v>0</v>
      </c>
      <c r="FO33" s="1997">
        <f>IFERROR(
IF(テーブル!$B$3="交付申請",FO57,
IF(AND(テーブル!$B$3="変更申請",FO$26=0),0,
IF(AND(テーブル!$B$3="変更申請",FO$26&gt;=1),FO57,
IF(テーブル!$B$3="実績報告（１次）",FO57,
IF(AND(テーブル!$B$3="交付申請（２次）",FO$26=0),0,
IF(AND(テーブル!$B$3="交付申請（２次）",FO$26&gt;=1),FO57,
IF(AND(テーブル!$B$3="交付申請兼実績報告（２次）",FO$26=0),0,
IF(AND(テーブル!$B$3="交付申請兼実績報告（２次）",FO$26&gt;=1),FO57,
IF(AND(テーブル!$B$3="実績報告（２次）",FO$26=0),0,
IF(AND(テーブル!$B$3="実績報告（２次）",FO$26&gt;=1),FO57)))))))))),0)</f>
        <v>0</v>
      </c>
      <c r="FP33" s="1997">
        <f>IFERROR(
IF(テーブル!$B$3="交付申請",FP57,
IF(AND(テーブル!$B$3="変更申請",FP$26=0),0,
IF(AND(テーブル!$B$3="変更申請",FP$26&gt;=1),FP57,
IF(テーブル!$B$3="実績報告（１次）",FP57,
IF(AND(テーブル!$B$3="交付申請（２次）",FP$26=0),0,
IF(AND(テーブル!$B$3="交付申請（２次）",FP$26&gt;=1),FP57,
IF(AND(テーブル!$B$3="交付申請兼実績報告（２次）",FP$26=0),0,
IF(AND(テーブル!$B$3="交付申請兼実績報告（２次）",FP$26&gt;=1),FP57,
IF(AND(テーブル!$B$3="実績報告（２次）",FP$26=0),0,
IF(AND(テーブル!$B$3="実績報告（２次）",FP$26&gt;=1),FP57)))))))))),0)</f>
        <v>0</v>
      </c>
      <c r="FQ33" s="1997">
        <f>IFERROR(
IF(テーブル!$B$3="交付申請",FQ57,
IF(AND(テーブル!$B$3="変更申請",FQ$26=0),0,
IF(AND(テーブル!$B$3="変更申請",FQ$26&gt;=1),FQ57,
IF(テーブル!$B$3="実績報告（１次）",FQ57,
IF(AND(テーブル!$B$3="交付申請（２次）",FQ$26=0),0,
IF(AND(テーブル!$B$3="交付申請（２次）",FQ$26&gt;=1),FQ57,
IF(AND(テーブル!$B$3="交付申請兼実績報告（２次）",FQ$26=0),0,
IF(AND(テーブル!$B$3="交付申請兼実績報告（２次）",FQ$26&gt;=1),FQ57,
IF(AND(テーブル!$B$3="実績報告（２次）",FQ$26=0),0,
IF(AND(テーブル!$B$3="実績報告（２次）",FQ$26&gt;=1),FQ57)))))))))),0)</f>
        <v>0</v>
      </c>
      <c r="FR33" s="1997">
        <f>IFERROR(
IF(テーブル!$B$3="交付申請",FR57,
IF(AND(テーブル!$B$3="変更申請",FR$26=0),0,
IF(AND(テーブル!$B$3="変更申請",FR$26&gt;=1),FR57,
IF(テーブル!$B$3="実績報告（１次）",FR57,
IF(AND(テーブル!$B$3="交付申請（２次）",FR$26=0),0,
IF(AND(テーブル!$B$3="交付申請（２次）",FR$26&gt;=1),FR57,
IF(AND(テーブル!$B$3="交付申請兼実績報告（２次）",FR$26=0),0,
IF(AND(テーブル!$B$3="交付申請兼実績報告（２次）",FR$26&gt;=1),FR57,
IF(AND(テーブル!$B$3="実績報告（２次）",FR$26=0),0,
IF(AND(テーブル!$B$3="実績報告（２次）",FR$26&gt;=1),FR57)))))))))),0)</f>
        <v>0</v>
      </c>
      <c r="FS33" s="1997">
        <f>IFERROR(
IF(テーブル!$B$3="交付申請",FS57,
IF(AND(テーブル!$B$3="変更申請",FS$26=0),0,
IF(AND(テーブル!$B$3="変更申請",FS$26&gt;=1),FS57,
IF(テーブル!$B$3="実績報告（１次）",FS57,
IF(AND(テーブル!$B$3="交付申請（２次）",FS$26=0),0,
IF(AND(テーブル!$B$3="交付申請（２次）",FS$26&gt;=1),FS57,
IF(AND(テーブル!$B$3="交付申請兼実績報告（２次）",FS$26=0),0,
IF(AND(テーブル!$B$3="交付申請兼実績報告（２次）",FS$26&gt;=1),FS57,
IF(AND(テーブル!$B$3="実績報告（２次）",FS$26=0),0,
IF(AND(テーブル!$B$3="実績報告（２次）",FS$26&gt;=1),FS57)))))))))),0)</f>
        <v>0</v>
      </c>
      <c r="FT33" s="1997">
        <f>IFERROR(
IF(テーブル!$B$3="交付申請",FT57,
IF(AND(テーブル!$B$3="変更申請",FT$26=0),0,
IF(AND(テーブル!$B$3="変更申請",FT$26&gt;=1),FT57,
IF(テーブル!$B$3="実績報告（１次）",FT57,
IF(AND(テーブル!$B$3="交付申請（２次）",FT$26=0),0,
IF(AND(テーブル!$B$3="交付申請（２次）",FT$26&gt;=1),FT57,
IF(AND(テーブル!$B$3="交付申請兼実績報告（２次）",FT$26=0),0,
IF(AND(テーブル!$B$3="交付申請兼実績報告（２次）",FT$26&gt;=1),FT57,
IF(AND(テーブル!$B$3="実績報告（２次）",FT$26=0),0,
IF(AND(テーブル!$B$3="実績報告（２次）",FT$26&gt;=1),FT57)))))))))),0)</f>
        <v>0</v>
      </c>
      <c r="FU33" s="1997">
        <f>IFERROR(
IF(テーブル!$B$3="交付申請",FU57,
IF(AND(テーブル!$B$3="変更申請",FU$26=0),0,
IF(AND(テーブル!$B$3="変更申請",FU$26&gt;=1),FU57,
IF(テーブル!$B$3="実績報告（１次）",FU57,
IF(AND(テーブル!$B$3="交付申請（２次）",FU$26=0),0,
IF(AND(テーブル!$B$3="交付申請（２次）",FU$26&gt;=1),FU57,
IF(AND(テーブル!$B$3="交付申請兼実績報告（２次）",FU$26=0),0,
IF(AND(テーブル!$B$3="交付申請兼実績報告（２次）",FU$26&gt;=1),FU57,
IF(AND(テーブル!$B$3="実績報告（２次）",FU$26=0),0,
IF(AND(テーブル!$B$3="実績報告（２次）",FU$26&gt;=1),FU57)))))))))),0)</f>
        <v>0</v>
      </c>
      <c r="FV33" s="1997">
        <f>IFERROR(
IF(テーブル!$B$3="交付申請",FV57,
IF(AND(テーブル!$B$3="変更申請",FV$26=0),0,
IF(AND(テーブル!$B$3="変更申請",FV$26&gt;=1),FV57,
IF(テーブル!$B$3="実績報告（１次）",FV57,
IF(AND(テーブル!$B$3="交付申請（２次）",FV$26=0),0,
IF(AND(テーブル!$B$3="交付申請（２次）",FV$26&gt;=1),FV57,
IF(AND(テーブル!$B$3="交付申請兼実績報告（２次）",FV$26=0),0,
IF(AND(テーブル!$B$3="交付申請兼実績報告（２次）",FV$26&gt;=1),FV57,
IF(AND(テーブル!$B$3="実績報告（２次）",FV$26=0),0,
IF(AND(テーブル!$B$3="実績報告（２次）",FV$26&gt;=1),FV57)))))))))),0)</f>
        <v>0</v>
      </c>
      <c r="FW33" s="1997">
        <f>IFERROR(
IF(テーブル!$B$3="交付申請",FW57,
IF(AND(テーブル!$B$3="変更申請",FW$26=0),0,
IF(AND(テーブル!$B$3="変更申請",FW$26&gt;=1),FW57,
IF(テーブル!$B$3="実績報告（１次）",FW57,
IF(AND(テーブル!$B$3="交付申請（２次）",FW$26=0),0,
IF(AND(テーブル!$B$3="交付申請（２次）",FW$26&gt;=1),FW57,
IF(AND(テーブル!$B$3="交付申請兼実績報告（２次）",FW$26=0),0,
IF(AND(テーブル!$B$3="交付申請兼実績報告（２次）",FW$26&gt;=1),FW57,
IF(AND(テーブル!$B$3="実績報告（２次）",FW$26=0),0,
IF(AND(テーブル!$B$3="実績報告（２次）",FW$26&gt;=1),FW57)))))))))),0)</f>
        <v>0</v>
      </c>
      <c r="FX33" s="1997">
        <f>IFERROR(
IF(テーブル!$B$3="交付申請",FX57,
IF(AND(テーブル!$B$3="変更申請",FX$26=0),0,
IF(AND(テーブル!$B$3="変更申請",FX$26&gt;=1),FX57,
IF(テーブル!$B$3="実績報告（１次）",FX57,
IF(AND(テーブル!$B$3="交付申請（２次）",FX$26=0),0,
IF(AND(テーブル!$B$3="交付申請（２次）",FX$26&gt;=1),FX57,
IF(AND(テーブル!$B$3="交付申請兼実績報告（２次）",FX$26=0),0,
IF(AND(テーブル!$B$3="交付申請兼実績報告（２次）",FX$26&gt;=1),FX57,
IF(AND(テーブル!$B$3="実績報告（２次）",FX$26=0),0,
IF(AND(テーブル!$B$3="実績報告（２次）",FX$26&gt;=1),FX57)))))))))),0)</f>
        <v>0</v>
      </c>
      <c r="FY33" s="1997">
        <f>IFERROR(
IF(テーブル!$B$3="交付申請",FY57,
IF(AND(テーブル!$B$3="変更申請",FY$26=0),0,
IF(AND(テーブル!$B$3="変更申請",FY$26&gt;=1),FY57,
IF(テーブル!$B$3="実績報告（１次）",FY57,
IF(AND(テーブル!$B$3="交付申請（２次）",FY$26=0),0,
IF(AND(テーブル!$B$3="交付申請（２次）",FY$26&gt;=1),FY57,
IF(AND(テーブル!$B$3="交付申請兼実績報告（２次）",FY$26=0),0,
IF(AND(テーブル!$B$3="交付申請兼実績報告（２次）",FY$26&gt;=1),FY57,
IF(AND(テーブル!$B$3="実績報告（２次）",FY$26=0),0,
IF(AND(テーブル!$B$3="実績報告（２次）",FY$26&gt;=1),FY57)))))))))),0)</f>
        <v>0</v>
      </c>
      <c r="FZ33" s="1997">
        <f>IFERROR(
IF(テーブル!$B$3="交付申請",FZ57,
IF(AND(テーブル!$B$3="変更申請",FZ$26=0),0,
IF(AND(テーブル!$B$3="変更申請",FZ$26&gt;=1),FZ57,
IF(テーブル!$B$3="実績報告（１次）",FZ57,
IF(AND(テーブル!$B$3="交付申請（２次）",FZ$26=0),0,
IF(AND(テーブル!$B$3="交付申請（２次）",FZ$26&gt;=1),FZ57,
IF(AND(テーブル!$B$3="交付申請兼実績報告（２次）",FZ$26=0),0,
IF(AND(テーブル!$B$3="交付申請兼実績報告（２次）",FZ$26&gt;=1),FZ57,
IF(AND(テーブル!$B$3="実績報告（２次）",FZ$26=0),0,
IF(AND(テーブル!$B$3="実績報告（２次）",FZ$26&gt;=1),FZ57)))))))))),0)</f>
        <v>0</v>
      </c>
      <c r="GA33" s="1997">
        <f>IFERROR(
IF(テーブル!$B$3="交付申請",GA57,
IF(AND(テーブル!$B$3="変更申請",GA$26=0),0,
IF(AND(テーブル!$B$3="変更申請",GA$26&gt;=1),GA57,
IF(テーブル!$B$3="実績報告（１次）",GA57,
IF(AND(テーブル!$B$3="交付申請（２次）",GA$26=0),0,
IF(AND(テーブル!$B$3="交付申請（２次）",GA$26&gt;=1),GA57,
IF(AND(テーブル!$B$3="交付申請兼実績報告（２次）",GA$26=0),0,
IF(AND(テーブル!$B$3="交付申請兼実績報告（２次）",GA$26&gt;=1),GA57,
IF(AND(テーブル!$B$3="実績報告（２次）",GA$26=0),0,
IF(AND(テーブル!$B$3="実績報告（２次）",GA$26&gt;=1),GA57)))))))))),0)</f>
        <v>0</v>
      </c>
      <c r="GB33" s="1997">
        <f>IFERROR(
IF(テーブル!$B$3="交付申請",GB57,
IF(AND(テーブル!$B$3="変更申請",GB$26=0),0,
IF(AND(テーブル!$B$3="変更申請",GB$26&gt;=1),GB57,
IF(テーブル!$B$3="実績報告（１次）",GB57,
IF(AND(テーブル!$B$3="交付申請（２次）",GB$26=0),0,
IF(AND(テーブル!$B$3="交付申請（２次）",GB$26&gt;=1),GB57,
IF(AND(テーブル!$B$3="交付申請兼実績報告（２次）",GB$26=0),0,
IF(AND(テーブル!$B$3="交付申請兼実績報告（２次）",GB$26&gt;=1),GB57,
IF(AND(テーブル!$B$3="実績報告（２次）",GB$26=0),0,
IF(AND(テーブル!$B$3="実績報告（２次）",GB$26&gt;=1),GB57)))))))))),0)</f>
        <v>0</v>
      </c>
      <c r="GC33" s="1997">
        <f>IFERROR(
IF(テーブル!$B$3="交付申請",GC57,
IF(AND(テーブル!$B$3="変更申請",GC$26=0),0,
IF(AND(テーブル!$B$3="変更申請",GC$26&gt;=1),GC57,
IF(テーブル!$B$3="実績報告（１次）",GC57,
IF(AND(テーブル!$B$3="交付申請（２次）",GC$26=0),0,
IF(AND(テーブル!$B$3="交付申請（２次）",GC$26&gt;=1),GC57,
IF(AND(テーブル!$B$3="交付申請兼実績報告（２次）",GC$26=0),0,
IF(AND(テーブル!$B$3="交付申請兼実績報告（２次）",GC$26&gt;=1),GC57,
IF(AND(テーブル!$B$3="実績報告（２次）",GC$26=0),0,
IF(AND(テーブル!$B$3="実績報告（２次）",GC$26&gt;=1),GC57)))))))))),0)</f>
        <v>0</v>
      </c>
      <c r="GD33" s="1997">
        <f>IFERROR(
IF(テーブル!$B$3="交付申請",GD57,
IF(AND(テーブル!$B$3="変更申請",GD$26=0),0,
IF(AND(テーブル!$B$3="変更申請",GD$26&gt;=1),GD57,
IF(テーブル!$B$3="実績報告（１次）",GD57,
IF(AND(テーブル!$B$3="交付申請（２次）",GD$26=0),0,
IF(AND(テーブル!$B$3="交付申請（２次）",GD$26&gt;=1),GD57,
IF(AND(テーブル!$B$3="交付申請兼実績報告（２次）",GD$26=0),0,
IF(AND(テーブル!$B$3="交付申請兼実績報告（２次）",GD$26&gt;=1),GD57,
IF(AND(テーブル!$B$3="実績報告（２次）",GD$26=0),0,
IF(AND(テーブル!$B$3="実績報告（２次）",GD$26&gt;=1),GD57)))))))))),0)</f>
        <v>0</v>
      </c>
      <c r="GE33" s="1997">
        <f>IFERROR(
IF(テーブル!$B$3="交付申請",GE57,
IF(AND(テーブル!$B$3="変更申請",GE$26=0),0,
IF(AND(テーブル!$B$3="変更申請",GE$26&gt;=1),GE57,
IF(テーブル!$B$3="実績報告（１次）",GE57,
IF(AND(テーブル!$B$3="交付申請（２次）",GE$26=0),0,
IF(AND(テーブル!$B$3="交付申請（２次）",GE$26&gt;=1),GE57,
IF(AND(テーブル!$B$3="交付申請兼実績報告（２次）",GE$26=0),0,
IF(AND(テーブル!$B$3="交付申請兼実績報告（２次）",GE$26&gt;=1),GE57,
IF(AND(テーブル!$B$3="実績報告（２次）",GE$26=0),0,
IF(AND(テーブル!$B$3="実績報告（２次）",GE$26&gt;=1),GE57)))))))))),0)</f>
        <v>0</v>
      </c>
      <c r="GF33" s="2019">
        <f>IFERROR(
IF(テーブル!$B$3="交付申請",GF57,
IF(AND(テーブル!$B$3="変更申請",GF$26=0),0,
IF(AND(テーブル!$B$3="変更申請",GF$26&gt;=1),GF57,
IF(テーブル!$B$3="実績報告（１次）",GF57,
IF(AND(テーブル!$B$3="交付申請（２次）",GF$26=0),0,
IF(AND(テーブル!$B$3="交付申請（２次）",GF$26&gt;=1),GF57,
IF(AND(テーブル!$B$3="交付申請兼実績報告（２次）",GF$26=0),0,
IF(AND(テーブル!$B$3="交付申請兼実績報告（２次）",GF$26&gt;=1),GF57,
IF(AND(テーブル!$B$3="実績報告（２次）",GF$26=0),0,
IF(AND(テーブル!$B$3="実績報告（２次）",GF$26&gt;=1),GF57)))))))))),0)</f>
        <v>0</v>
      </c>
      <c r="GG33" s="2006"/>
    </row>
    <row r="34" spans="1:189" s="638" customFormat="1" ht="18.75" x14ac:dyDescent="0.4">
      <c r="A34" s="2003"/>
      <c r="B34" s="2018" t="s">
        <v>1014</v>
      </c>
      <c r="C34" s="1690">
        <f t="shared" si="21"/>
        <v>0</v>
      </c>
      <c r="D34" s="1691"/>
      <c r="E34" s="637"/>
      <c r="F34" s="1997">
        <f>IFERROR(
IF(テーブル!$B$3="交付申請",F60,
IF(AND(テーブル!$B$3="変更申請",F$26=0),0,
IF(AND(テーブル!$B$3="変更申請",F$26&gt;=1),F60,
IF(テーブル!$B$3="実績報告（１次）",F60,
IF(AND(テーブル!$B$3="交付申請（２次）",F$26=0),0,
IF(AND(テーブル!$B$3="交付申請（２次）",F$26&gt;=1),F60,
IF(AND(テーブル!$B$3="交付申請兼実績報告（２次）",F$26=0),0,
IF(AND(テーブル!$B$3="交付申請兼実績報告（２次）",F$26&gt;=1),F60,
IF(AND(テーブル!$B$3="実績報告（２次）",F$26=0),0,
IF(AND(テーブル!$B$3="実績報告（２次）",F$26&gt;=1),F60)))))))))),0)</f>
        <v>0</v>
      </c>
      <c r="G34" s="1997">
        <f>IFERROR(
IF(テーブル!$B$3="交付申請",G60,
IF(AND(テーブル!$B$3="変更申請",G$26=0),0,
IF(AND(テーブル!$B$3="変更申請",G$26&gt;=1),G60,
IF(テーブル!$B$3="実績報告（１次）",G60,
IF(AND(テーブル!$B$3="交付申請（２次）",G$26=0),0,
IF(AND(テーブル!$B$3="交付申請（２次）",G$26&gt;=1),G60,
IF(AND(テーブル!$B$3="交付申請兼実績報告（２次）",G$26=0),0,
IF(AND(テーブル!$B$3="交付申請兼実績報告（２次）",G$26&gt;=1),G60,
IF(AND(テーブル!$B$3="実績報告（２次）",G$26=0),0,
IF(AND(テーブル!$B$3="実績報告（２次）",G$26&gt;=1),G60)))))))))),0)</f>
        <v>0</v>
      </c>
      <c r="H34" s="1997">
        <f>IFERROR(
IF(テーブル!$B$3="交付申請",H60,
IF(AND(テーブル!$B$3="変更申請",H$26=0),0,
IF(AND(テーブル!$B$3="変更申請",H$26&gt;=1),H60,
IF(テーブル!$B$3="実績報告（１次）",H60,
IF(AND(テーブル!$B$3="交付申請（２次）",H$26=0),0,
IF(AND(テーブル!$B$3="交付申請（２次）",H$26&gt;=1),H60,
IF(AND(テーブル!$B$3="交付申請兼実績報告（２次）",H$26=0),0,
IF(AND(テーブル!$B$3="交付申請兼実績報告（２次）",H$26&gt;=1),H60,
IF(AND(テーブル!$B$3="実績報告（２次）",H$26=0),0,
IF(AND(テーブル!$B$3="実績報告（２次）",H$26&gt;=1),H60)))))))))),0)</f>
        <v>0</v>
      </c>
      <c r="I34" s="1997">
        <f>IFERROR(
IF(テーブル!$B$3="交付申請",I60,
IF(AND(テーブル!$B$3="変更申請",I$26=0),0,
IF(AND(テーブル!$B$3="変更申請",I$26&gt;=1),I60,
IF(テーブル!$B$3="実績報告（１次）",I60,
IF(AND(テーブル!$B$3="交付申請（２次）",I$26=0),0,
IF(AND(テーブル!$B$3="交付申請（２次）",I$26&gt;=1),I60,
IF(AND(テーブル!$B$3="交付申請兼実績報告（２次）",I$26=0),0,
IF(AND(テーブル!$B$3="交付申請兼実績報告（２次）",I$26&gt;=1),I60,
IF(AND(テーブル!$B$3="実績報告（２次）",I$26=0),0,
IF(AND(テーブル!$B$3="実績報告（２次）",I$26&gt;=1),I60)))))))))),0)</f>
        <v>0</v>
      </c>
      <c r="J34" s="1997">
        <f>IFERROR(
IF(テーブル!$B$3="交付申請",J60,
IF(AND(テーブル!$B$3="変更申請",J$26=0),0,
IF(AND(テーブル!$B$3="変更申請",J$26&gt;=1),J60,
IF(テーブル!$B$3="実績報告（１次）",J60,
IF(AND(テーブル!$B$3="交付申請（２次）",J$26=0),0,
IF(AND(テーブル!$B$3="交付申請（２次）",J$26&gt;=1),J60,
IF(AND(テーブル!$B$3="交付申請兼実績報告（２次）",J$26=0),0,
IF(AND(テーブル!$B$3="交付申請兼実績報告（２次）",J$26&gt;=1),J60,
IF(AND(テーブル!$B$3="実績報告（２次）",J$26=0),0,
IF(AND(テーブル!$B$3="実績報告（２次）",J$26&gt;=1),J60)))))))))),0)</f>
        <v>0</v>
      </c>
      <c r="K34" s="1997">
        <f>IFERROR(
IF(テーブル!$B$3="交付申請",K60,
IF(AND(テーブル!$B$3="変更申請",K$26=0),0,
IF(AND(テーブル!$B$3="変更申請",K$26&gt;=1),K60,
IF(テーブル!$B$3="実績報告（１次）",K60,
IF(AND(テーブル!$B$3="交付申請（２次）",K$26=0),0,
IF(AND(テーブル!$B$3="交付申請（２次）",K$26&gt;=1),K60,
IF(AND(テーブル!$B$3="交付申請兼実績報告（２次）",K$26=0),0,
IF(AND(テーブル!$B$3="交付申請兼実績報告（２次）",K$26&gt;=1),K60,
IF(AND(テーブル!$B$3="実績報告（２次）",K$26=0),0,
IF(AND(テーブル!$B$3="実績報告（２次）",K$26&gt;=1),K60)))))))))),0)</f>
        <v>0</v>
      </c>
      <c r="L34" s="1997">
        <f>IFERROR(
IF(テーブル!$B$3="交付申請",L60,
IF(AND(テーブル!$B$3="変更申請",L$26=0),0,
IF(AND(テーブル!$B$3="変更申請",L$26&gt;=1),L60,
IF(テーブル!$B$3="実績報告（１次）",L60,
IF(AND(テーブル!$B$3="交付申請（２次）",L$26=0),0,
IF(AND(テーブル!$B$3="交付申請（２次）",L$26&gt;=1),L60,
IF(AND(テーブル!$B$3="交付申請兼実績報告（２次）",L$26=0),0,
IF(AND(テーブル!$B$3="交付申請兼実績報告（２次）",L$26&gt;=1),L60,
IF(AND(テーブル!$B$3="実績報告（２次）",L$26=0),0,
IF(AND(テーブル!$B$3="実績報告（２次）",L$26&gt;=1),L60)))))))))),0)</f>
        <v>0</v>
      </c>
      <c r="M34" s="1997">
        <f>IFERROR(
IF(テーブル!$B$3="交付申請",M60,
IF(AND(テーブル!$B$3="変更申請",M$26=0),0,
IF(AND(テーブル!$B$3="変更申請",M$26&gt;=1),M60,
IF(テーブル!$B$3="実績報告（１次）",M60,
IF(AND(テーブル!$B$3="交付申請（２次）",M$26=0),0,
IF(AND(テーブル!$B$3="交付申請（２次）",M$26&gt;=1),M60,
IF(AND(テーブル!$B$3="交付申請兼実績報告（２次）",M$26=0),0,
IF(AND(テーブル!$B$3="交付申請兼実績報告（２次）",M$26&gt;=1),M60,
IF(AND(テーブル!$B$3="実績報告（２次）",M$26=0),0,
IF(AND(テーブル!$B$3="実績報告（２次）",M$26&gt;=1),M60)))))))))),0)</f>
        <v>0</v>
      </c>
      <c r="N34" s="1997">
        <f>IFERROR(
IF(テーブル!$B$3="交付申請",N60,
IF(AND(テーブル!$B$3="変更申請",N$26=0),0,
IF(AND(テーブル!$B$3="変更申請",N$26&gt;=1),N60,
IF(テーブル!$B$3="実績報告（１次）",N60,
IF(AND(テーブル!$B$3="交付申請（２次）",N$26=0),0,
IF(AND(テーブル!$B$3="交付申請（２次）",N$26&gt;=1),N60,
IF(AND(テーブル!$B$3="交付申請兼実績報告（２次）",N$26=0),0,
IF(AND(テーブル!$B$3="交付申請兼実績報告（２次）",N$26&gt;=1),N60,
IF(AND(テーブル!$B$3="実績報告（２次）",N$26=0),0,
IF(AND(テーブル!$B$3="実績報告（２次）",N$26&gt;=1),N60)))))))))),0)</f>
        <v>0</v>
      </c>
      <c r="O34" s="1997">
        <f>IFERROR(
IF(テーブル!$B$3="交付申請",O60,
IF(AND(テーブル!$B$3="変更申請",O$26=0),0,
IF(AND(テーブル!$B$3="変更申請",O$26&gt;=1),O60,
IF(テーブル!$B$3="実績報告（１次）",O60,
IF(AND(テーブル!$B$3="交付申請（２次）",O$26=0),0,
IF(AND(テーブル!$B$3="交付申請（２次）",O$26&gt;=1),O60,
IF(AND(テーブル!$B$3="交付申請兼実績報告（２次）",O$26=0),0,
IF(AND(テーブル!$B$3="交付申請兼実績報告（２次）",O$26&gt;=1),O60,
IF(AND(テーブル!$B$3="実績報告（２次）",O$26=0),0,
IF(AND(テーブル!$B$3="実績報告（２次）",O$26&gt;=1),O60)))))))))),0)</f>
        <v>0</v>
      </c>
      <c r="P34" s="1997">
        <f>IFERROR(
IF(テーブル!$B$3="交付申請",P60,
IF(AND(テーブル!$B$3="変更申請",P$26=0),0,
IF(AND(テーブル!$B$3="変更申請",P$26&gt;=1),P60,
IF(テーブル!$B$3="実績報告（１次）",P60,
IF(AND(テーブル!$B$3="交付申請（２次）",P$26=0),0,
IF(AND(テーブル!$B$3="交付申請（２次）",P$26&gt;=1),P60,
IF(AND(テーブル!$B$3="交付申請兼実績報告（２次）",P$26=0),0,
IF(AND(テーブル!$B$3="交付申請兼実績報告（２次）",P$26&gt;=1),P60,
IF(AND(テーブル!$B$3="実績報告（２次）",P$26=0),0,
IF(AND(テーブル!$B$3="実績報告（２次）",P$26&gt;=1),P60)))))))))),0)</f>
        <v>0</v>
      </c>
      <c r="Q34" s="1997">
        <f>IFERROR(
IF(テーブル!$B$3="交付申請",Q60,
IF(AND(テーブル!$B$3="変更申請",Q$26=0),0,
IF(AND(テーブル!$B$3="変更申請",Q$26&gt;=1),Q60,
IF(テーブル!$B$3="実績報告（１次）",Q60,
IF(AND(テーブル!$B$3="交付申請（２次）",Q$26=0),0,
IF(AND(テーブル!$B$3="交付申請（２次）",Q$26&gt;=1),Q60,
IF(AND(テーブル!$B$3="交付申請兼実績報告（２次）",Q$26=0),0,
IF(AND(テーブル!$B$3="交付申請兼実績報告（２次）",Q$26&gt;=1),Q60,
IF(AND(テーブル!$B$3="実績報告（２次）",Q$26=0),0,
IF(AND(テーブル!$B$3="実績報告（２次）",Q$26&gt;=1),Q60)))))))))),0)</f>
        <v>0</v>
      </c>
      <c r="R34" s="1997">
        <f>IFERROR(
IF(テーブル!$B$3="交付申請",R60,
IF(AND(テーブル!$B$3="変更申請",R$26=0),0,
IF(AND(テーブル!$B$3="変更申請",R$26&gt;=1),R60,
IF(テーブル!$B$3="実績報告（１次）",R60,
IF(AND(テーブル!$B$3="交付申請（２次）",R$26=0),0,
IF(AND(テーブル!$B$3="交付申請（２次）",R$26&gt;=1),R60,
IF(AND(テーブル!$B$3="交付申請兼実績報告（２次）",R$26=0),0,
IF(AND(テーブル!$B$3="交付申請兼実績報告（２次）",R$26&gt;=1),R60,
IF(AND(テーブル!$B$3="実績報告（２次）",R$26=0),0,
IF(AND(テーブル!$B$3="実績報告（２次）",R$26&gt;=1),R60)))))))))),0)</f>
        <v>0</v>
      </c>
      <c r="S34" s="1997">
        <f>IFERROR(
IF(テーブル!$B$3="交付申請",S60,
IF(AND(テーブル!$B$3="変更申請",S$26=0),0,
IF(AND(テーブル!$B$3="変更申請",S$26&gt;=1),S60,
IF(テーブル!$B$3="実績報告（１次）",S60,
IF(AND(テーブル!$B$3="交付申請（２次）",S$26=0),0,
IF(AND(テーブル!$B$3="交付申請（２次）",S$26&gt;=1),S60,
IF(AND(テーブル!$B$3="交付申請兼実績報告（２次）",S$26=0),0,
IF(AND(テーブル!$B$3="交付申請兼実績報告（２次）",S$26&gt;=1),S60,
IF(AND(テーブル!$B$3="実績報告（２次）",S$26=0),0,
IF(AND(テーブル!$B$3="実績報告（２次）",S$26&gt;=1),S60)))))))))),0)</f>
        <v>0</v>
      </c>
      <c r="T34" s="1997">
        <f>IFERROR(
IF(テーブル!$B$3="交付申請",T60,
IF(AND(テーブル!$B$3="変更申請",T$26=0),0,
IF(AND(テーブル!$B$3="変更申請",T$26&gt;=1),T60,
IF(テーブル!$B$3="実績報告（１次）",T60,
IF(AND(テーブル!$B$3="交付申請（２次）",T$26=0),0,
IF(AND(テーブル!$B$3="交付申請（２次）",T$26&gt;=1),T60,
IF(AND(テーブル!$B$3="交付申請兼実績報告（２次）",T$26=0),0,
IF(AND(テーブル!$B$3="交付申請兼実績報告（２次）",T$26&gt;=1),T60,
IF(AND(テーブル!$B$3="実績報告（２次）",T$26=0),0,
IF(AND(テーブル!$B$3="実績報告（２次）",T$26&gt;=1),T60)))))))))),0)</f>
        <v>0</v>
      </c>
      <c r="U34" s="1997">
        <f>IFERROR(
IF(テーブル!$B$3="交付申請",U60,
IF(AND(テーブル!$B$3="変更申請",U$26=0),0,
IF(AND(テーブル!$B$3="変更申請",U$26&gt;=1),U60,
IF(テーブル!$B$3="実績報告（１次）",U60,
IF(AND(テーブル!$B$3="交付申請（２次）",U$26=0),0,
IF(AND(テーブル!$B$3="交付申請（２次）",U$26&gt;=1),U60,
IF(AND(テーブル!$B$3="交付申請兼実績報告（２次）",U$26=0),0,
IF(AND(テーブル!$B$3="交付申請兼実績報告（２次）",U$26&gt;=1),U60,
IF(AND(テーブル!$B$3="実績報告（２次）",U$26=0),0,
IF(AND(テーブル!$B$3="実績報告（２次）",U$26&gt;=1),U60)))))))))),0)</f>
        <v>0</v>
      </c>
      <c r="V34" s="1997">
        <f>IFERROR(
IF(テーブル!$B$3="交付申請",V60,
IF(AND(テーブル!$B$3="変更申請",V$26=0),0,
IF(AND(テーブル!$B$3="変更申請",V$26&gt;=1),V60,
IF(テーブル!$B$3="実績報告（１次）",V60,
IF(AND(テーブル!$B$3="交付申請（２次）",V$26=0),0,
IF(AND(テーブル!$B$3="交付申請（２次）",V$26&gt;=1),V60,
IF(AND(テーブル!$B$3="交付申請兼実績報告（２次）",V$26=0),0,
IF(AND(テーブル!$B$3="交付申請兼実績報告（２次）",V$26&gt;=1),V60,
IF(AND(テーブル!$B$3="実績報告（２次）",V$26=0),0,
IF(AND(テーブル!$B$3="実績報告（２次）",V$26&gt;=1),V60)))))))))),0)</f>
        <v>0</v>
      </c>
      <c r="W34" s="1997">
        <f>IFERROR(
IF(テーブル!$B$3="交付申請",W60,
IF(AND(テーブル!$B$3="変更申請",W$26=0),0,
IF(AND(テーブル!$B$3="変更申請",W$26&gt;=1),W60,
IF(テーブル!$B$3="実績報告（１次）",W60,
IF(AND(テーブル!$B$3="交付申請（２次）",W$26=0),0,
IF(AND(テーブル!$B$3="交付申請（２次）",W$26&gt;=1),W60,
IF(AND(テーブル!$B$3="交付申請兼実績報告（２次）",W$26=0),0,
IF(AND(テーブル!$B$3="交付申請兼実績報告（２次）",W$26&gt;=1),W60,
IF(AND(テーブル!$B$3="実績報告（２次）",W$26=0),0,
IF(AND(テーブル!$B$3="実績報告（２次）",W$26&gt;=1),W60)))))))))),0)</f>
        <v>0</v>
      </c>
      <c r="X34" s="1997">
        <f>IFERROR(
IF(テーブル!$B$3="交付申請",X60,
IF(AND(テーブル!$B$3="変更申請",X$26=0),0,
IF(AND(テーブル!$B$3="変更申請",X$26&gt;=1),X60,
IF(テーブル!$B$3="実績報告（１次）",X60,
IF(AND(テーブル!$B$3="交付申請（２次）",X$26=0),0,
IF(AND(テーブル!$B$3="交付申請（２次）",X$26&gt;=1),X60,
IF(AND(テーブル!$B$3="交付申請兼実績報告（２次）",X$26=0),0,
IF(AND(テーブル!$B$3="交付申請兼実績報告（２次）",X$26&gt;=1),X60,
IF(AND(テーブル!$B$3="実績報告（２次）",X$26=0),0,
IF(AND(テーブル!$B$3="実績報告（２次）",X$26&gt;=1),X60)))))))))),0)</f>
        <v>0</v>
      </c>
      <c r="Y34" s="1997">
        <f>IFERROR(
IF(テーブル!$B$3="交付申請",Y60,
IF(AND(テーブル!$B$3="変更申請",Y$26=0),0,
IF(AND(テーブル!$B$3="変更申請",Y$26&gt;=1),Y60,
IF(テーブル!$B$3="実績報告（１次）",Y60,
IF(AND(テーブル!$B$3="交付申請（２次）",Y$26=0),0,
IF(AND(テーブル!$B$3="交付申請（２次）",Y$26&gt;=1),Y60,
IF(AND(テーブル!$B$3="交付申請兼実績報告（２次）",Y$26=0),0,
IF(AND(テーブル!$B$3="交付申請兼実績報告（２次）",Y$26&gt;=1),Y60,
IF(AND(テーブル!$B$3="実績報告（２次）",Y$26=0),0,
IF(AND(テーブル!$B$3="実績報告（２次）",Y$26&gt;=1),Y60)))))))))),0)</f>
        <v>0</v>
      </c>
      <c r="Z34" s="1997">
        <f>IFERROR(
IF(テーブル!$B$3="交付申請",Z60,
IF(AND(テーブル!$B$3="変更申請",Z$26=0),0,
IF(AND(テーブル!$B$3="変更申請",Z$26&gt;=1),Z60,
IF(テーブル!$B$3="実績報告（１次）",Z60,
IF(AND(テーブル!$B$3="交付申請（２次）",Z$26=0),0,
IF(AND(テーブル!$B$3="交付申請（２次）",Z$26&gt;=1),Z60,
IF(AND(テーブル!$B$3="交付申請兼実績報告（２次）",Z$26=0),0,
IF(AND(テーブル!$B$3="交付申請兼実績報告（２次）",Z$26&gt;=1),Z60,
IF(AND(テーブル!$B$3="実績報告（２次）",Z$26=0),0,
IF(AND(テーブル!$B$3="実績報告（２次）",Z$26&gt;=1),Z60)))))))))),0)</f>
        <v>0</v>
      </c>
      <c r="AA34" s="1997">
        <f>IFERROR(
IF(テーブル!$B$3="交付申請",AA60,
IF(AND(テーブル!$B$3="変更申請",AA$26=0),0,
IF(AND(テーブル!$B$3="変更申請",AA$26&gt;=1),AA60,
IF(テーブル!$B$3="実績報告（１次）",AA60,
IF(AND(テーブル!$B$3="交付申請（２次）",AA$26=0),0,
IF(AND(テーブル!$B$3="交付申請（２次）",AA$26&gt;=1),AA60,
IF(AND(テーブル!$B$3="交付申請兼実績報告（２次）",AA$26=0),0,
IF(AND(テーブル!$B$3="交付申請兼実績報告（２次）",AA$26&gt;=1),AA60,
IF(AND(テーブル!$B$3="実績報告（２次）",AA$26=0),0,
IF(AND(テーブル!$B$3="実績報告（２次）",AA$26&gt;=1),AA60)))))))))),0)</f>
        <v>0</v>
      </c>
      <c r="AB34" s="1997">
        <f>IFERROR(
IF(テーブル!$B$3="交付申請",AB60,
IF(AND(テーブル!$B$3="変更申請",AB$26=0),0,
IF(AND(テーブル!$B$3="変更申請",AB$26&gt;=1),AB60,
IF(テーブル!$B$3="実績報告（１次）",AB60,
IF(AND(テーブル!$B$3="交付申請（２次）",AB$26=0),0,
IF(AND(テーブル!$B$3="交付申請（２次）",AB$26&gt;=1),AB60,
IF(AND(テーブル!$B$3="交付申請兼実績報告（２次）",AB$26=0),0,
IF(AND(テーブル!$B$3="交付申請兼実績報告（２次）",AB$26&gt;=1),AB60,
IF(AND(テーブル!$B$3="実績報告（２次）",AB$26=0),0,
IF(AND(テーブル!$B$3="実績報告（２次）",AB$26&gt;=1),AB60)))))))))),0)</f>
        <v>0</v>
      </c>
      <c r="AC34" s="1997">
        <f>IFERROR(
IF(テーブル!$B$3="交付申請",AC60,
IF(AND(テーブル!$B$3="変更申請",AC$26=0),0,
IF(AND(テーブル!$B$3="変更申請",AC$26&gt;=1),AC60,
IF(テーブル!$B$3="実績報告（１次）",AC60,
IF(AND(テーブル!$B$3="交付申請（２次）",AC$26=0),0,
IF(AND(テーブル!$B$3="交付申請（２次）",AC$26&gt;=1),AC60,
IF(AND(テーブル!$B$3="交付申請兼実績報告（２次）",AC$26=0),0,
IF(AND(テーブル!$B$3="交付申請兼実績報告（２次）",AC$26&gt;=1),AC60,
IF(AND(テーブル!$B$3="実績報告（２次）",AC$26=0),0,
IF(AND(テーブル!$B$3="実績報告（２次）",AC$26&gt;=1),AC60)))))))))),0)</f>
        <v>0</v>
      </c>
      <c r="AD34" s="1997">
        <f>IFERROR(
IF(テーブル!$B$3="交付申請",AD60,
IF(AND(テーブル!$B$3="変更申請",AD$26=0),0,
IF(AND(テーブル!$B$3="変更申請",AD$26&gt;=1),AD60,
IF(テーブル!$B$3="実績報告（１次）",AD60,
IF(AND(テーブル!$B$3="交付申請（２次）",AD$26=0),0,
IF(AND(テーブル!$B$3="交付申請（２次）",AD$26&gt;=1),AD60,
IF(AND(テーブル!$B$3="交付申請兼実績報告（２次）",AD$26=0),0,
IF(AND(テーブル!$B$3="交付申請兼実績報告（２次）",AD$26&gt;=1),AD60,
IF(AND(テーブル!$B$3="実績報告（２次）",AD$26=0),0,
IF(AND(テーブル!$B$3="実績報告（２次）",AD$26&gt;=1),AD60)))))))))),0)</f>
        <v>0</v>
      </c>
      <c r="AE34" s="1997">
        <f>IFERROR(
IF(テーブル!$B$3="交付申請",AE60,
IF(AND(テーブル!$B$3="変更申請",AE$26=0),0,
IF(AND(テーブル!$B$3="変更申請",AE$26&gt;=1),AE60,
IF(テーブル!$B$3="実績報告（１次）",AE60,
IF(AND(テーブル!$B$3="交付申請（２次）",AE$26=0),0,
IF(AND(テーブル!$B$3="交付申請（２次）",AE$26&gt;=1),AE60,
IF(AND(テーブル!$B$3="交付申請兼実績報告（２次）",AE$26=0),0,
IF(AND(テーブル!$B$3="交付申請兼実績報告（２次）",AE$26&gt;=1),AE60,
IF(AND(テーブル!$B$3="実績報告（２次）",AE$26=0),0,
IF(AND(テーブル!$B$3="実績報告（２次）",AE$26&gt;=1),AE60)))))))))),0)</f>
        <v>0</v>
      </c>
      <c r="AF34" s="1997">
        <f>IFERROR(
IF(テーブル!$B$3="交付申請",AF60,
IF(AND(テーブル!$B$3="変更申請",AF$26=0),0,
IF(AND(テーブル!$B$3="変更申請",AF$26&gt;=1),AF60,
IF(テーブル!$B$3="実績報告（１次）",AF60,
IF(AND(テーブル!$B$3="交付申請（２次）",AF$26=0),0,
IF(AND(テーブル!$B$3="交付申請（２次）",AF$26&gt;=1),AF60,
IF(AND(テーブル!$B$3="交付申請兼実績報告（２次）",AF$26=0),0,
IF(AND(テーブル!$B$3="交付申請兼実績報告（２次）",AF$26&gt;=1),AF60,
IF(AND(テーブル!$B$3="実績報告（２次）",AF$26=0),0,
IF(AND(テーブル!$B$3="実績報告（２次）",AF$26&gt;=1),AF60)))))))))),0)</f>
        <v>0</v>
      </c>
      <c r="AG34" s="1997">
        <f>IFERROR(
IF(テーブル!$B$3="交付申請",AG60,
IF(AND(テーブル!$B$3="変更申請",AG$26=0),0,
IF(AND(テーブル!$B$3="変更申請",AG$26&gt;=1),AG60,
IF(テーブル!$B$3="実績報告（１次）",AG60,
IF(AND(テーブル!$B$3="交付申請（２次）",AG$26=0),0,
IF(AND(テーブル!$B$3="交付申請（２次）",AG$26&gt;=1),AG60,
IF(AND(テーブル!$B$3="交付申請兼実績報告（２次）",AG$26=0),0,
IF(AND(テーブル!$B$3="交付申請兼実績報告（２次）",AG$26&gt;=1),AG60,
IF(AND(テーブル!$B$3="実績報告（２次）",AG$26=0),0,
IF(AND(テーブル!$B$3="実績報告（２次）",AG$26&gt;=1),AG60)))))))))),0)</f>
        <v>0</v>
      </c>
      <c r="AH34" s="1997">
        <f>IFERROR(
IF(テーブル!$B$3="交付申請",AH60,
IF(AND(テーブル!$B$3="変更申請",AH$26=0),0,
IF(AND(テーブル!$B$3="変更申請",AH$26&gt;=1),AH60,
IF(テーブル!$B$3="実績報告（１次）",AH60,
IF(AND(テーブル!$B$3="交付申請（２次）",AH$26=0),0,
IF(AND(テーブル!$B$3="交付申請（２次）",AH$26&gt;=1),AH60,
IF(AND(テーブル!$B$3="交付申請兼実績報告（２次）",AH$26=0),0,
IF(AND(テーブル!$B$3="交付申請兼実績報告（２次）",AH$26&gt;=1),AH60,
IF(AND(テーブル!$B$3="実績報告（２次）",AH$26=0),0,
IF(AND(テーブル!$B$3="実績報告（２次）",AH$26&gt;=1),AH60)))))))))),0)</f>
        <v>0</v>
      </c>
      <c r="AI34" s="1997">
        <f>IFERROR(
IF(テーブル!$B$3="交付申請",AI60,
IF(AND(テーブル!$B$3="変更申請",AI$26=0),0,
IF(AND(テーブル!$B$3="変更申請",AI$26&gt;=1),AI60,
IF(テーブル!$B$3="実績報告（１次）",AI60,
IF(AND(テーブル!$B$3="交付申請（２次）",AI$26=0),0,
IF(AND(テーブル!$B$3="交付申請（２次）",AI$26&gt;=1),AI60,
IF(AND(テーブル!$B$3="交付申請兼実績報告（２次）",AI$26=0),0,
IF(AND(テーブル!$B$3="交付申請兼実績報告（２次）",AI$26&gt;=1),AI60,
IF(AND(テーブル!$B$3="実績報告（２次）",AI$26=0),0,
IF(AND(テーブル!$B$3="実績報告（２次）",AI$26&gt;=1),AI60)))))))))),0)</f>
        <v>0</v>
      </c>
      <c r="AJ34" s="1997">
        <f>IFERROR(
IF(テーブル!$B$3="交付申請",AJ60,
IF(AND(テーブル!$B$3="変更申請",AJ$26=0),0,
IF(AND(テーブル!$B$3="変更申請",AJ$26&gt;=1),AJ60,
IF(テーブル!$B$3="実績報告（１次）",AJ60,
IF(AND(テーブル!$B$3="交付申請（２次）",AJ$26=0),0,
IF(AND(テーブル!$B$3="交付申請（２次）",AJ$26&gt;=1),AJ60,
IF(AND(テーブル!$B$3="交付申請兼実績報告（２次）",AJ$26=0),0,
IF(AND(テーブル!$B$3="交付申請兼実績報告（２次）",AJ$26&gt;=1),AJ60,
IF(AND(テーブル!$B$3="実績報告（２次）",AJ$26=0),0,
IF(AND(テーブル!$B$3="実績報告（２次）",AJ$26&gt;=1),AJ60)))))))))),0)</f>
        <v>0</v>
      </c>
      <c r="AK34" s="1997">
        <f>IFERROR(
IF(テーブル!$B$3="交付申請",AK60,
IF(AND(テーブル!$B$3="変更申請",AK$26=0),0,
IF(AND(テーブル!$B$3="変更申請",AK$26&gt;=1),AK60,
IF(テーブル!$B$3="実績報告（１次）",AK60,
IF(AND(テーブル!$B$3="交付申請（２次）",AK$26=0),0,
IF(AND(テーブル!$B$3="交付申請（２次）",AK$26&gt;=1),AK60,
IF(AND(テーブル!$B$3="交付申請兼実績報告（２次）",AK$26=0),0,
IF(AND(テーブル!$B$3="交付申請兼実績報告（２次）",AK$26&gt;=1),AK60,
IF(AND(テーブル!$B$3="実績報告（２次）",AK$26=0),0,
IF(AND(テーブル!$B$3="実績報告（２次）",AK$26&gt;=1),AK60)))))))))),0)</f>
        <v>0</v>
      </c>
      <c r="AL34" s="1997">
        <f>IFERROR(
IF(テーブル!$B$3="交付申請",AL60,
IF(AND(テーブル!$B$3="変更申請",AL$26=0),0,
IF(AND(テーブル!$B$3="変更申請",AL$26&gt;=1),AL60,
IF(テーブル!$B$3="実績報告（１次）",AL60,
IF(AND(テーブル!$B$3="交付申請（２次）",AL$26=0),0,
IF(AND(テーブル!$B$3="交付申請（２次）",AL$26&gt;=1),AL60,
IF(AND(テーブル!$B$3="交付申請兼実績報告（２次）",AL$26=0),0,
IF(AND(テーブル!$B$3="交付申請兼実績報告（２次）",AL$26&gt;=1),AL60,
IF(AND(テーブル!$B$3="実績報告（２次）",AL$26=0),0,
IF(AND(テーブル!$B$3="実績報告（２次）",AL$26&gt;=1),AL60)))))))))),0)</f>
        <v>0</v>
      </c>
      <c r="AM34" s="1997">
        <f>IFERROR(
IF(テーブル!$B$3="交付申請",AM60,
IF(AND(テーブル!$B$3="変更申請",AM$26=0),0,
IF(AND(テーブル!$B$3="変更申請",AM$26&gt;=1),AM60,
IF(テーブル!$B$3="実績報告（１次）",AM60,
IF(AND(テーブル!$B$3="交付申請（２次）",AM$26=0),0,
IF(AND(テーブル!$B$3="交付申請（２次）",AM$26&gt;=1),AM60,
IF(AND(テーブル!$B$3="交付申請兼実績報告（２次）",AM$26=0),0,
IF(AND(テーブル!$B$3="交付申請兼実績報告（２次）",AM$26&gt;=1),AM60,
IF(AND(テーブル!$B$3="実績報告（２次）",AM$26=0),0,
IF(AND(テーブル!$B$3="実績報告（２次）",AM$26&gt;=1),AM60)))))))))),0)</f>
        <v>0</v>
      </c>
      <c r="AN34" s="1997">
        <f>IFERROR(
IF(テーブル!$B$3="交付申請",AN60,
IF(AND(テーブル!$B$3="変更申請",AN$26=0),0,
IF(AND(テーブル!$B$3="変更申請",AN$26&gt;=1),AN60,
IF(テーブル!$B$3="実績報告（１次）",AN60,
IF(AND(テーブル!$B$3="交付申請（２次）",AN$26=0),0,
IF(AND(テーブル!$B$3="交付申請（２次）",AN$26&gt;=1),AN60,
IF(AND(テーブル!$B$3="交付申請兼実績報告（２次）",AN$26=0),0,
IF(AND(テーブル!$B$3="交付申請兼実績報告（２次）",AN$26&gt;=1),AN60,
IF(AND(テーブル!$B$3="実績報告（２次）",AN$26=0),0,
IF(AND(テーブル!$B$3="実績報告（２次）",AN$26&gt;=1),AN60)))))))))),0)</f>
        <v>0</v>
      </c>
      <c r="AO34" s="1997">
        <f>IFERROR(
IF(テーブル!$B$3="交付申請",AO60,
IF(AND(テーブル!$B$3="変更申請",AO$26=0),0,
IF(AND(テーブル!$B$3="変更申請",AO$26&gt;=1),AO60,
IF(テーブル!$B$3="実績報告（１次）",AO60,
IF(AND(テーブル!$B$3="交付申請（２次）",AO$26=0),0,
IF(AND(テーブル!$B$3="交付申請（２次）",AO$26&gt;=1),AO60,
IF(AND(テーブル!$B$3="交付申請兼実績報告（２次）",AO$26=0),0,
IF(AND(テーブル!$B$3="交付申請兼実績報告（２次）",AO$26&gt;=1),AO60,
IF(AND(テーブル!$B$3="実績報告（２次）",AO$26=0),0,
IF(AND(テーブル!$B$3="実績報告（２次）",AO$26&gt;=1),AO60)))))))))),0)</f>
        <v>0</v>
      </c>
      <c r="AP34" s="1997">
        <f>IFERROR(
IF(テーブル!$B$3="交付申請",AP60,
IF(AND(テーブル!$B$3="変更申請",AP$26=0),0,
IF(AND(テーブル!$B$3="変更申請",AP$26&gt;=1),AP60,
IF(テーブル!$B$3="実績報告（１次）",AP60,
IF(AND(テーブル!$B$3="交付申請（２次）",AP$26=0),0,
IF(AND(テーブル!$B$3="交付申請（２次）",AP$26&gt;=1),AP60,
IF(AND(テーブル!$B$3="交付申請兼実績報告（２次）",AP$26=0),0,
IF(AND(テーブル!$B$3="交付申請兼実績報告（２次）",AP$26&gt;=1),AP60,
IF(AND(テーブル!$B$3="実績報告（２次）",AP$26=0),0,
IF(AND(テーブル!$B$3="実績報告（２次）",AP$26&gt;=1),AP60)))))))))),0)</f>
        <v>0</v>
      </c>
      <c r="AQ34" s="1997">
        <f>IFERROR(
IF(テーブル!$B$3="交付申請",AQ60,
IF(AND(テーブル!$B$3="変更申請",AQ$26=0),0,
IF(AND(テーブル!$B$3="変更申請",AQ$26&gt;=1),AQ60,
IF(テーブル!$B$3="実績報告（１次）",AQ60,
IF(AND(テーブル!$B$3="交付申請（２次）",AQ$26=0),0,
IF(AND(テーブル!$B$3="交付申請（２次）",AQ$26&gt;=1),AQ60,
IF(AND(テーブル!$B$3="交付申請兼実績報告（２次）",AQ$26=0),0,
IF(AND(テーブル!$B$3="交付申請兼実績報告（２次）",AQ$26&gt;=1),AQ60,
IF(AND(テーブル!$B$3="実績報告（２次）",AQ$26=0),0,
IF(AND(テーブル!$B$3="実績報告（２次）",AQ$26&gt;=1),AQ60)))))))))),0)</f>
        <v>0</v>
      </c>
      <c r="AR34" s="1997">
        <f>IFERROR(
IF(テーブル!$B$3="交付申請",AR60,
IF(AND(テーブル!$B$3="変更申請",AR$26=0),0,
IF(AND(テーブル!$B$3="変更申請",AR$26&gt;=1),AR60,
IF(テーブル!$B$3="実績報告（１次）",AR60,
IF(AND(テーブル!$B$3="交付申請（２次）",AR$26=0),0,
IF(AND(テーブル!$B$3="交付申請（２次）",AR$26&gt;=1),AR60,
IF(AND(テーブル!$B$3="交付申請兼実績報告（２次）",AR$26=0),0,
IF(AND(テーブル!$B$3="交付申請兼実績報告（２次）",AR$26&gt;=1),AR60,
IF(AND(テーブル!$B$3="実績報告（２次）",AR$26=0),0,
IF(AND(テーブル!$B$3="実績報告（２次）",AR$26&gt;=1),AR60)))))))))),0)</f>
        <v>0</v>
      </c>
      <c r="AS34" s="1997">
        <f>IFERROR(
IF(テーブル!$B$3="交付申請",AS60,
IF(AND(テーブル!$B$3="変更申請",AS$26=0),0,
IF(AND(テーブル!$B$3="変更申請",AS$26&gt;=1),AS60,
IF(テーブル!$B$3="実績報告（１次）",AS60,
IF(AND(テーブル!$B$3="交付申請（２次）",AS$26=0),0,
IF(AND(テーブル!$B$3="交付申請（２次）",AS$26&gt;=1),AS60,
IF(AND(テーブル!$B$3="交付申請兼実績報告（２次）",AS$26=0),0,
IF(AND(テーブル!$B$3="交付申請兼実績報告（２次）",AS$26&gt;=1),AS60,
IF(AND(テーブル!$B$3="実績報告（２次）",AS$26=0),0,
IF(AND(テーブル!$B$3="実績報告（２次）",AS$26&gt;=1),AS60)))))))))),0)</f>
        <v>0</v>
      </c>
      <c r="AT34" s="1997">
        <f>IFERROR(
IF(テーブル!$B$3="交付申請",AT60,
IF(AND(テーブル!$B$3="変更申請",AT$26=0),0,
IF(AND(テーブル!$B$3="変更申請",AT$26&gt;=1),AT60,
IF(テーブル!$B$3="実績報告（１次）",AT60,
IF(AND(テーブル!$B$3="交付申請（２次）",AT$26=0),0,
IF(AND(テーブル!$B$3="交付申請（２次）",AT$26&gt;=1),AT60,
IF(AND(テーブル!$B$3="交付申請兼実績報告（２次）",AT$26=0),0,
IF(AND(テーブル!$B$3="交付申請兼実績報告（２次）",AT$26&gt;=1),AT60,
IF(AND(テーブル!$B$3="実績報告（２次）",AT$26=0),0,
IF(AND(テーブル!$B$3="実績報告（２次）",AT$26&gt;=1),AT60)))))))))),0)</f>
        <v>0</v>
      </c>
      <c r="AU34" s="1997">
        <f>IFERROR(
IF(テーブル!$B$3="交付申請",AU60,
IF(AND(テーブル!$B$3="変更申請",AU$26=0),0,
IF(AND(テーブル!$B$3="変更申請",AU$26&gt;=1),AU60,
IF(テーブル!$B$3="実績報告（１次）",AU60,
IF(AND(テーブル!$B$3="交付申請（２次）",AU$26=0),0,
IF(AND(テーブル!$B$3="交付申請（２次）",AU$26&gt;=1),AU60,
IF(AND(テーブル!$B$3="交付申請兼実績報告（２次）",AU$26=0),0,
IF(AND(テーブル!$B$3="交付申請兼実績報告（２次）",AU$26&gt;=1),AU60,
IF(AND(テーブル!$B$3="実績報告（２次）",AU$26=0),0,
IF(AND(テーブル!$B$3="実績報告（２次）",AU$26&gt;=1),AU60)))))))))),0)</f>
        <v>0</v>
      </c>
      <c r="AV34" s="1997">
        <f>IFERROR(
IF(テーブル!$B$3="交付申請",AV60,
IF(AND(テーブル!$B$3="変更申請",AV$26=0),0,
IF(AND(テーブル!$B$3="変更申請",AV$26&gt;=1),AV60,
IF(テーブル!$B$3="実績報告（１次）",AV60,
IF(AND(テーブル!$B$3="交付申請（２次）",AV$26=0),0,
IF(AND(テーブル!$B$3="交付申請（２次）",AV$26&gt;=1),AV60,
IF(AND(テーブル!$B$3="交付申請兼実績報告（２次）",AV$26=0),0,
IF(AND(テーブル!$B$3="交付申請兼実績報告（２次）",AV$26&gt;=1),AV60,
IF(AND(テーブル!$B$3="実績報告（２次）",AV$26=0),0,
IF(AND(テーブル!$B$3="実績報告（２次）",AV$26&gt;=1),AV60)))))))))),0)</f>
        <v>0</v>
      </c>
      <c r="AW34" s="1997">
        <f>IFERROR(
IF(テーブル!$B$3="交付申請",AW60,
IF(AND(テーブル!$B$3="変更申請",AW$26=0),0,
IF(AND(テーブル!$B$3="変更申請",AW$26&gt;=1),AW60,
IF(テーブル!$B$3="実績報告（１次）",AW60,
IF(AND(テーブル!$B$3="交付申請（２次）",AW$26=0),0,
IF(AND(テーブル!$B$3="交付申請（２次）",AW$26&gt;=1),AW60,
IF(AND(テーブル!$B$3="交付申請兼実績報告（２次）",AW$26=0),0,
IF(AND(テーブル!$B$3="交付申請兼実績報告（２次）",AW$26&gt;=1),AW60,
IF(AND(テーブル!$B$3="実績報告（２次）",AW$26=0),0,
IF(AND(テーブル!$B$3="実績報告（２次）",AW$26&gt;=1),AW60)))))))))),0)</f>
        <v>0</v>
      </c>
      <c r="AX34" s="1997">
        <f>IFERROR(
IF(テーブル!$B$3="交付申請",AX60,
IF(AND(テーブル!$B$3="変更申請",AX$26=0),0,
IF(AND(テーブル!$B$3="変更申請",AX$26&gt;=1),AX60,
IF(テーブル!$B$3="実績報告（１次）",AX60,
IF(AND(テーブル!$B$3="交付申請（２次）",AX$26=0),0,
IF(AND(テーブル!$B$3="交付申請（２次）",AX$26&gt;=1),AX60,
IF(AND(テーブル!$B$3="交付申請兼実績報告（２次）",AX$26=0),0,
IF(AND(テーブル!$B$3="交付申請兼実績報告（２次）",AX$26&gt;=1),AX60,
IF(AND(テーブル!$B$3="実績報告（２次）",AX$26=0),0,
IF(AND(テーブル!$B$3="実績報告（２次）",AX$26&gt;=1),AX60)))))))))),0)</f>
        <v>0</v>
      </c>
      <c r="AY34" s="1997">
        <f>IFERROR(
IF(テーブル!$B$3="交付申請",AY60,
IF(AND(テーブル!$B$3="変更申請",AY$26=0),0,
IF(AND(テーブル!$B$3="変更申請",AY$26&gt;=1),AY60,
IF(テーブル!$B$3="実績報告（１次）",AY60,
IF(AND(テーブル!$B$3="交付申請（２次）",AY$26=0),0,
IF(AND(テーブル!$B$3="交付申請（２次）",AY$26&gt;=1),AY60,
IF(AND(テーブル!$B$3="交付申請兼実績報告（２次）",AY$26=0),0,
IF(AND(テーブル!$B$3="交付申請兼実績報告（２次）",AY$26&gt;=1),AY60,
IF(AND(テーブル!$B$3="実績報告（２次）",AY$26=0),0,
IF(AND(テーブル!$B$3="実績報告（２次）",AY$26&gt;=1),AY60)))))))))),0)</f>
        <v>0</v>
      </c>
      <c r="AZ34" s="1997">
        <f>IFERROR(
IF(テーブル!$B$3="交付申請",AZ60,
IF(AND(テーブル!$B$3="変更申請",AZ$26=0),0,
IF(AND(テーブル!$B$3="変更申請",AZ$26&gt;=1),AZ60,
IF(テーブル!$B$3="実績報告（１次）",AZ60,
IF(AND(テーブル!$B$3="交付申請（２次）",AZ$26=0),0,
IF(AND(テーブル!$B$3="交付申請（２次）",AZ$26&gt;=1),AZ60,
IF(AND(テーブル!$B$3="交付申請兼実績報告（２次）",AZ$26=0),0,
IF(AND(テーブル!$B$3="交付申請兼実績報告（２次）",AZ$26&gt;=1),AZ60,
IF(AND(テーブル!$B$3="実績報告（２次）",AZ$26=0),0,
IF(AND(テーブル!$B$3="実績報告（２次）",AZ$26&gt;=1),AZ60)))))))))),0)</f>
        <v>0</v>
      </c>
      <c r="BA34" s="1997">
        <f>IFERROR(
IF(テーブル!$B$3="交付申請",BA60,
IF(AND(テーブル!$B$3="変更申請",BA$26=0),0,
IF(AND(テーブル!$B$3="変更申請",BA$26&gt;=1),BA60,
IF(テーブル!$B$3="実績報告（１次）",BA60,
IF(AND(テーブル!$B$3="交付申請（２次）",BA$26=0),0,
IF(AND(テーブル!$B$3="交付申請（２次）",BA$26&gt;=1),BA60,
IF(AND(テーブル!$B$3="交付申請兼実績報告（２次）",BA$26=0),0,
IF(AND(テーブル!$B$3="交付申請兼実績報告（２次）",BA$26&gt;=1),BA60,
IF(AND(テーブル!$B$3="実績報告（２次）",BA$26=0),0,
IF(AND(テーブル!$B$3="実績報告（２次）",BA$26&gt;=1),BA60)))))))))),0)</f>
        <v>0</v>
      </c>
      <c r="BB34" s="1997">
        <f>IFERROR(
IF(テーブル!$B$3="交付申請",BB60,
IF(AND(テーブル!$B$3="変更申請",BB$26=0),0,
IF(AND(テーブル!$B$3="変更申請",BB$26&gt;=1),BB60,
IF(テーブル!$B$3="実績報告（１次）",BB60,
IF(AND(テーブル!$B$3="交付申請（２次）",BB$26=0),0,
IF(AND(テーブル!$B$3="交付申請（２次）",BB$26&gt;=1),BB60,
IF(AND(テーブル!$B$3="交付申請兼実績報告（２次）",BB$26=0),0,
IF(AND(テーブル!$B$3="交付申請兼実績報告（２次）",BB$26&gt;=1),BB60,
IF(AND(テーブル!$B$3="実績報告（２次）",BB$26=0),0,
IF(AND(テーブル!$B$3="実績報告（２次）",BB$26&gt;=1),BB60)))))))))),0)</f>
        <v>0</v>
      </c>
      <c r="BC34" s="1997">
        <f>IFERROR(
IF(テーブル!$B$3="交付申請",BC60,
IF(AND(テーブル!$B$3="変更申請",BC$26=0),0,
IF(AND(テーブル!$B$3="変更申請",BC$26&gt;=1),BC60,
IF(テーブル!$B$3="実績報告（１次）",BC60,
IF(AND(テーブル!$B$3="交付申請（２次）",BC$26=0),0,
IF(AND(テーブル!$B$3="交付申請（２次）",BC$26&gt;=1),BC60,
IF(AND(テーブル!$B$3="交付申請兼実績報告（２次）",BC$26=0),0,
IF(AND(テーブル!$B$3="交付申請兼実績報告（２次）",BC$26&gt;=1),BC60,
IF(AND(テーブル!$B$3="実績報告（２次）",BC$26=0),0,
IF(AND(テーブル!$B$3="実績報告（２次）",BC$26&gt;=1),BC60)))))))))),0)</f>
        <v>0</v>
      </c>
      <c r="BD34" s="1997">
        <f>IFERROR(
IF(テーブル!$B$3="交付申請",BD60,
IF(AND(テーブル!$B$3="変更申請",BD$26=0),0,
IF(AND(テーブル!$B$3="変更申請",BD$26&gt;=1),BD60,
IF(テーブル!$B$3="実績報告（１次）",BD60,
IF(AND(テーブル!$B$3="交付申請（２次）",BD$26=0),0,
IF(AND(テーブル!$B$3="交付申請（２次）",BD$26&gt;=1),BD60,
IF(AND(テーブル!$B$3="交付申請兼実績報告（２次）",BD$26=0),0,
IF(AND(テーブル!$B$3="交付申請兼実績報告（２次）",BD$26&gt;=1),BD60,
IF(AND(テーブル!$B$3="実績報告（２次）",BD$26=0),0,
IF(AND(テーブル!$B$3="実績報告（２次）",BD$26&gt;=1),BD60)))))))))),0)</f>
        <v>0</v>
      </c>
      <c r="BE34" s="1997">
        <f>IFERROR(
IF(テーブル!$B$3="交付申請",BE60,
IF(AND(テーブル!$B$3="変更申請",BE$26=0),0,
IF(AND(テーブル!$B$3="変更申請",BE$26&gt;=1),BE60,
IF(テーブル!$B$3="実績報告（１次）",BE60,
IF(AND(テーブル!$B$3="交付申請（２次）",BE$26=0),0,
IF(AND(テーブル!$B$3="交付申請（２次）",BE$26&gt;=1),BE60,
IF(AND(テーブル!$B$3="交付申請兼実績報告（２次）",BE$26=0),0,
IF(AND(テーブル!$B$3="交付申請兼実績報告（２次）",BE$26&gt;=1),BE60,
IF(AND(テーブル!$B$3="実績報告（２次）",BE$26=0),0,
IF(AND(テーブル!$B$3="実績報告（２次）",BE$26&gt;=1),BE60)))))))))),0)</f>
        <v>0</v>
      </c>
      <c r="BF34" s="1997">
        <f>IFERROR(
IF(テーブル!$B$3="交付申請",BF60,
IF(AND(テーブル!$B$3="変更申請",BF$26=0),0,
IF(AND(テーブル!$B$3="変更申請",BF$26&gt;=1),BF60,
IF(テーブル!$B$3="実績報告（１次）",BF60,
IF(AND(テーブル!$B$3="交付申請（２次）",BF$26=0),0,
IF(AND(テーブル!$B$3="交付申請（２次）",BF$26&gt;=1),BF60,
IF(AND(テーブル!$B$3="交付申請兼実績報告（２次）",BF$26=0),0,
IF(AND(テーブル!$B$3="交付申請兼実績報告（２次）",BF$26&gt;=1),BF60,
IF(AND(テーブル!$B$3="実績報告（２次）",BF$26=0),0,
IF(AND(テーブル!$B$3="実績報告（２次）",BF$26&gt;=1),BF60)))))))))),0)</f>
        <v>0</v>
      </c>
      <c r="BG34" s="1997">
        <f>IFERROR(
IF(テーブル!$B$3="交付申請",BG60,
IF(AND(テーブル!$B$3="変更申請",BG$26=0),0,
IF(AND(テーブル!$B$3="変更申請",BG$26&gt;=1),BG60,
IF(テーブル!$B$3="実績報告（１次）",BG60,
IF(AND(テーブル!$B$3="交付申請（２次）",BG$26=0),0,
IF(AND(テーブル!$B$3="交付申請（２次）",BG$26&gt;=1),BG60,
IF(AND(テーブル!$B$3="交付申請兼実績報告（２次）",BG$26=0),0,
IF(AND(テーブル!$B$3="交付申請兼実績報告（２次）",BG$26&gt;=1),BG60,
IF(AND(テーブル!$B$3="実績報告（２次）",BG$26=0),0,
IF(AND(テーブル!$B$3="実績報告（２次）",BG$26&gt;=1),BG60)))))))))),0)</f>
        <v>0</v>
      </c>
      <c r="BH34" s="1997">
        <f>IFERROR(
IF(テーブル!$B$3="交付申請",BH60,
IF(AND(テーブル!$B$3="変更申請",BH$26=0),0,
IF(AND(テーブル!$B$3="変更申請",BH$26&gt;=1),BH60,
IF(テーブル!$B$3="実績報告（１次）",BH60,
IF(AND(テーブル!$B$3="交付申請（２次）",BH$26=0),0,
IF(AND(テーブル!$B$3="交付申請（２次）",BH$26&gt;=1),BH60,
IF(AND(テーブル!$B$3="交付申請兼実績報告（２次）",BH$26=0),0,
IF(AND(テーブル!$B$3="交付申請兼実績報告（２次）",BH$26&gt;=1),BH60,
IF(AND(テーブル!$B$3="実績報告（２次）",BH$26=0),0,
IF(AND(テーブル!$B$3="実績報告（２次）",BH$26&gt;=1),BH60)))))))))),0)</f>
        <v>0</v>
      </c>
      <c r="BI34" s="1997">
        <f>IFERROR(
IF(テーブル!$B$3="交付申請",BI60,
IF(AND(テーブル!$B$3="変更申請",BI$26=0),0,
IF(AND(テーブル!$B$3="変更申請",BI$26&gt;=1),BI60,
IF(テーブル!$B$3="実績報告（１次）",BI60,
IF(AND(テーブル!$B$3="交付申請（２次）",BI$26=0),0,
IF(AND(テーブル!$B$3="交付申請（２次）",BI$26&gt;=1),BI60,
IF(AND(テーブル!$B$3="交付申請兼実績報告（２次）",BI$26=0),0,
IF(AND(テーブル!$B$3="交付申請兼実績報告（２次）",BI$26&gt;=1),BI60,
IF(AND(テーブル!$B$3="実績報告（２次）",BI$26=0),0,
IF(AND(テーブル!$B$3="実績報告（２次）",BI$26&gt;=1),BI60)))))))))),0)</f>
        <v>0</v>
      </c>
      <c r="BJ34" s="1997">
        <f>IFERROR(
IF(テーブル!$B$3="交付申請",BJ60,
IF(AND(テーブル!$B$3="変更申請",BJ$26=0),0,
IF(AND(テーブル!$B$3="変更申請",BJ$26&gt;=1),BJ60,
IF(テーブル!$B$3="実績報告（１次）",BJ60,
IF(AND(テーブル!$B$3="交付申請（２次）",BJ$26=0),0,
IF(AND(テーブル!$B$3="交付申請（２次）",BJ$26&gt;=1),BJ60,
IF(AND(テーブル!$B$3="交付申請兼実績報告（２次）",BJ$26=0),0,
IF(AND(テーブル!$B$3="交付申請兼実績報告（２次）",BJ$26&gt;=1),BJ60,
IF(AND(テーブル!$B$3="実績報告（２次）",BJ$26=0),0,
IF(AND(テーブル!$B$3="実績報告（２次）",BJ$26&gt;=1),BJ60)))))))))),0)</f>
        <v>0</v>
      </c>
      <c r="BK34" s="1997">
        <f>IFERROR(
IF(テーブル!$B$3="交付申請",BK60,
IF(AND(テーブル!$B$3="変更申請",BK$26=0),0,
IF(AND(テーブル!$B$3="変更申請",BK$26&gt;=1),BK60,
IF(テーブル!$B$3="実績報告（１次）",BK60,
IF(AND(テーブル!$B$3="交付申請（２次）",BK$26=0),0,
IF(AND(テーブル!$B$3="交付申請（２次）",BK$26&gt;=1),BK60,
IF(AND(テーブル!$B$3="交付申請兼実績報告（２次）",BK$26=0),0,
IF(AND(テーブル!$B$3="交付申請兼実績報告（２次）",BK$26&gt;=1),BK60,
IF(AND(テーブル!$B$3="実績報告（２次）",BK$26=0),0,
IF(AND(テーブル!$B$3="実績報告（２次）",BK$26&gt;=1),BK60)))))))))),0)</f>
        <v>0</v>
      </c>
      <c r="BL34" s="1997">
        <f>IFERROR(
IF(テーブル!$B$3="交付申請",BL60,
IF(AND(テーブル!$B$3="変更申請",BL$26=0),0,
IF(AND(テーブル!$B$3="変更申請",BL$26&gt;=1),BL60,
IF(テーブル!$B$3="実績報告（１次）",BL60,
IF(AND(テーブル!$B$3="交付申請（２次）",BL$26=0),0,
IF(AND(テーブル!$B$3="交付申請（２次）",BL$26&gt;=1),BL60,
IF(AND(テーブル!$B$3="交付申請兼実績報告（２次）",BL$26=0),0,
IF(AND(テーブル!$B$3="交付申請兼実績報告（２次）",BL$26&gt;=1),BL60,
IF(AND(テーブル!$B$3="実績報告（２次）",BL$26=0),0,
IF(AND(テーブル!$B$3="実績報告（２次）",BL$26&gt;=1),BL60)))))))))),0)</f>
        <v>0</v>
      </c>
      <c r="BM34" s="1997">
        <f>IFERROR(
IF(テーブル!$B$3="交付申請",BM60,
IF(AND(テーブル!$B$3="変更申請",BM$26=0),0,
IF(AND(テーブル!$B$3="変更申請",BM$26&gt;=1),BM60,
IF(テーブル!$B$3="実績報告（１次）",BM60,
IF(AND(テーブル!$B$3="交付申請（２次）",BM$26=0),0,
IF(AND(テーブル!$B$3="交付申請（２次）",BM$26&gt;=1),BM60,
IF(AND(テーブル!$B$3="交付申請兼実績報告（２次）",BM$26=0),0,
IF(AND(テーブル!$B$3="交付申請兼実績報告（２次）",BM$26&gt;=1),BM60,
IF(AND(テーブル!$B$3="実績報告（２次）",BM$26=0),0,
IF(AND(テーブル!$B$3="実績報告（２次）",BM$26&gt;=1),BM60)))))))))),0)</f>
        <v>0</v>
      </c>
      <c r="BN34" s="1997">
        <f>IFERROR(
IF(テーブル!$B$3="交付申請",BN60,
IF(AND(テーブル!$B$3="変更申請",BN$26=0),0,
IF(AND(テーブル!$B$3="変更申請",BN$26&gt;=1),BN60,
IF(テーブル!$B$3="実績報告（１次）",BN60,
IF(AND(テーブル!$B$3="交付申請（２次）",BN$26=0),0,
IF(AND(テーブル!$B$3="交付申請（２次）",BN$26&gt;=1),BN60,
IF(AND(テーブル!$B$3="交付申請兼実績報告（２次）",BN$26=0),0,
IF(AND(テーブル!$B$3="交付申請兼実績報告（２次）",BN$26&gt;=1),BN60,
IF(AND(テーブル!$B$3="実績報告（２次）",BN$26=0),0,
IF(AND(テーブル!$B$3="実績報告（２次）",BN$26&gt;=1),BN60)))))))))),0)</f>
        <v>0</v>
      </c>
      <c r="BO34" s="1997">
        <f>IFERROR(
IF(テーブル!$B$3="交付申請",BO60,
IF(AND(テーブル!$B$3="変更申請",BO$26=0),0,
IF(AND(テーブル!$B$3="変更申請",BO$26&gt;=1),BO60,
IF(テーブル!$B$3="実績報告（１次）",BO60,
IF(AND(テーブル!$B$3="交付申請（２次）",BO$26=0),0,
IF(AND(テーブル!$B$3="交付申請（２次）",BO$26&gt;=1),BO60,
IF(AND(テーブル!$B$3="交付申請兼実績報告（２次）",BO$26=0),0,
IF(AND(テーブル!$B$3="交付申請兼実績報告（２次）",BO$26&gt;=1),BO60,
IF(AND(テーブル!$B$3="実績報告（２次）",BO$26=0),0,
IF(AND(テーブル!$B$3="実績報告（２次）",BO$26&gt;=1),BO60)))))))))),0)</f>
        <v>0</v>
      </c>
      <c r="BP34" s="1997">
        <f>IFERROR(
IF(テーブル!$B$3="交付申請",BP60,
IF(AND(テーブル!$B$3="変更申請",BP$26=0),0,
IF(AND(テーブル!$B$3="変更申請",BP$26&gt;=1),BP60,
IF(テーブル!$B$3="実績報告（１次）",BP60,
IF(AND(テーブル!$B$3="交付申請（２次）",BP$26=0),0,
IF(AND(テーブル!$B$3="交付申請（２次）",BP$26&gt;=1),BP60,
IF(AND(テーブル!$B$3="交付申請兼実績報告（２次）",BP$26=0),0,
IF(AND(テーブル!$B$3="交付申請兼実績報告（２次）",BP$26&gt;=1),BP60,
IF(AND(テーブル!$B$3="実績報告（２次）",BP$26=0),0,
IF(AND(テーブル!$B$3="実績報告（２次）",BP$26&gt;=1),BP60)))))))))),0)</f>
        <v>0</v>
      </c>
      <c r="BQ34" s="1997">
        <f>IFERROR(
IF(テーブル!$B$3="交付申請",BQ60,
IF(AND(テーブル!$B$3="変更申請",BQ$26=0),0,
IF(AND(テーブル!$B$3="変更申請",BQ$26&gt;=1),BQ60,
IF(テーブル!$B$3="実績報告（１次）",BQ60,
IF(AND(テーブル!$B$3="交付申請（２次）",BQ$26=0),0,
IF(AND(テーブル!$B$3="交付申請（２次）",BQ$26&gt;=1),BQ60,
IF(AND(テーブル!$B$3="交付申請兼実績報告（２次）",BQ$26=0),0,
IF(AND(テーブル!$B$3="交付申請兼実績報告（２次）",BQ$26&gt;=1),BQ60,
IF(AND(テーブル!$B$3="実績報告（２次）",BQ$26=0),0,
IF(AND(テーブル!$B$3="実績報告（２次）",BQ$26&gt;=1),BQ60)))))))))),0)</f>
        <v>0</v>
      </c>
      <c r="BR34" s="1997">
        <f>IFERROR(
IF(テーブル!$B$3="交付申請",BR60,
IF(AND(テーブル!$B$3="変更申請",BR$26=0),0,
IF(AND(テーブル!$B$3="変更申請",BR$26&gt;=1),BR60,
IF(テーブル!$B$3="実績報告（１次）",BR60,
IF(AND(テーブル!$B$3="交付申請（２次）",BR$26=0),0,
IF(AND(テーブル!$B$3="交付申請（２次）",BR$26&gt;=1),BR60,
IF(AND(テーブル!$B$3="交付申請兼実績報告（２次）",BR$26=0),0,
IF(AND(テーブル!$B$3="交付申請兼実績報告（２次）",BR$26&gt;=1),BR60,
IF(AND(テーブル!$B$3="実績報告（２次）",BR$26=0),0,
IF(AND(テーブル!$B$3="実績報告（２次）",BR$26&gt;=1),BR60)))))))))),0)</f>
        <v>0</v>
      </c>
      <c r="BS34" s="1997">
        <f>IFERROR(
IF(テーブル!$B$3="交付申請",BS60,
IF(AND(テーブル!$B$3="変更申請",BS$26=0),0,
IF(AND(テーブル!$B$3="変更申請",BS$26&gt;=1),BS60,
IF(テーブル!$B$3="実績報告（１次）",BS60,
IF(AND(テーブル!$B$3="交付申請（２次）",BS$26=0),0,
IF(AND(テーブル!$B$3="交付申請（２次）",BS$26&gt;=1),BS60,
IF(AND(テーブル!$B$3="交付申請兼実績報告（２次）",BS$26=0),0,
IF(AND(テーブル!$B$3="交付申請兼実績報告（２次）",BS$26&gt;=1),BS60,
IF(AND(テーブル!$B$3="実績報告（２次）",BS$26=0),0,
IF(AND(テーブル!$B$3="実績報告（２次）",BS$26&gt;=1),BS60)))))))))),0)</f>
        <v>0</v>
      </c>
      <c r="BT34" s="1997">
        <f>IFERROR(
IF(テーブル!$B$3="交付申請",BT60,
IF(AND(テーブル!$B$3="変更申請",BT$26=0),0,
IF(AND(テーブル!$B$3="変更申請",BT$26&gt;=1),BT60,
IF(テーブル!$B$3="実績報告（１次）",BT60,
IF(AND(テーブル!$B$3="交付申請（２次）",BT$26=0),0,
IF(AND(テーブル!$B$3="交付申請（２次）",BT$26&gt;=1),BT60,
IF(AND(テーブル!$B$3="交付申請兼実績報告（２次）",BT$26=0),0,
IF(AND(テーブル!$B$3="交付申請兼実績報告（２次）",BT$26&gt;=1),BT60,
IF(AND(テーブル!$B$3="実績報告（２次）",BT$26=0),0,
IF(AND(テーブル!$B$3="実績報告（２次）",BT$26&gt;=1),BT60)))))))))),0)</f>
        <v>0</v>
      </c>
      <c r="BU34" s="1997">
        <f>IFERROR(
IF(テーブル!$B$3="交付申請",BU60,
IF(AND(テーブル!$B$3="変更申請",BU$26=0),0,
IF(AND(テーブル!$B$3="変更申請",BU$26&gt;=1),BU60,
IF(テーブル!$B$3="実績報告（１次）",BU60,
IF(AND(テーブル!$B$3="交付申請（２次）",BU$26=0),0,
IF(AND(テーブル!$B$3="交付申請（２次）",BU$26&gt;=1),BU60,
IF(AND(テーブル!$B$3="交付申請兼実績報告（２次）",BU$26=0),0,
IF(AND(テーブル!$B$3="交付申請兼実績報告（２次）",BU$26&gt;=1),BU60,
IF(AND(テーブル!$B$3="実績報告（２次）",BU$26=0),0,
IF(AND(テーブル!$B$3="実績報告（２次）",BU$26&gt;=1),BU60)))))))))),0)</f>
        <v>0</v>
      </c>
      <c r="BV34" s="1997">
        <f>IFERROR(
IF(テーブル!$B$3="交付申請",BV60,
IF(AND(テーブル!$B$3="変更申請",BV$26=0),0,
IF(AND(テーブル!$B$3="変更申請",BV$26&gt;=1),BV60,
IF(テーブル!$B$3="実績報告（１次）",BV60,
IF(AND(テーブル!$B$3="交付申請（２次）",BV$26=0),0,
IF(AND(テーブル!$B$3="交付申請（２次）",BV$26&gt;=1),BV60,
IF(AND(テーブル!$B$3="交付申請兼実績報告（２次）",BV$26=0),0,
IF(AND(テーブル!$B$3="交付申請兼実績報告（２次）",BV$26&gt;=1),BV60,
IF(AND(テーブル!$B$3="実績報告（２次）",BV$26=0),0,
IF(AND(テーブル!$B$3="実績報告（２次）",BV$26&gt;=1),BV60)))))))))),0)</f>
        <v>0</v>
      </c>
      <c r="BW34" s="1997">
        <f>IFERROR(
IF(テーブル!$B$3="交付申請",BW60,
IF(AND(テーブル!$B$3="変更申請",BW$26=0),0,
IF(AND(テーブル!$B$3="変更申請",BW$26&gt;=1),BW60,
IF(テーブル!$B$3="実績報告（１次）",BW60,
IF(AND(テーブル!$B$3="交付申請（２次）",BW$26=0),0,
IF(AND(テーブル!$B$3="交付申請（２次）",BW$26&gt;=1),BW60,
IF(AND(テーブル!$B$3="交付申請兼実績報告（２次）",BW$26=0),0,
IF(AND(テーブル!$B$3="交付申請兼実績報告（２次）",BW$26&gt;=1),BW60,
IF(AND(テーブル!$B$3="実績報告（２次）",BW$26=0),0,
IF(AND(テーブル!$B$3="実績報告（２次）",BW$26&gt;=1),BW60)))))))))),0)</f>
        <v>0</v>
      </c>
      <c r="BX34" s="1997">
        <f>IFERROR(
IF(テーブル!$B$3="交付申請",BX60,
IF(AND(テーブル!$B$3="変更申請",BX$26=0),0,
IF(AND(テーブル!$B$3="変更申請",BX$26&gt;=1),BX60,
IF(テーブル!$B$3="実績報告（１次）",BX60,
IF(AND(テーブル!$B$3="交付申請（２次）",BX$26=0),0,
IF(AND(テーブル!$B$3="交付申請（２次）",BX$26&gt;=1),BX60,
IF(AND(テーブル!$B$3="交付申請兼実績報告（２次）",BX$26=0),0,
IF(AND(テーブル!$B$3="交付申請兼実績報告（２次）",BX$26&gt;=1),BX60,
IF(AND(テーブル!$B$3="実績報告（２次）",BX$26=0),0,
IF(AND(テーブル!$B$3="実績報告（２次）",BX$26&gt;=1),BX60)))))))))),0)</f>
        <v>0</v>
      </c>
      <c r="BY34" s="1997">
        <f>IFERROR(
IF(テーブル!$B$3="交付申請",BY60,
IF(AND(テーブル!$B$3="変更申請",BY$26=0),0,
IF(AND(テーブル!$B$3="変更申請",BY$26&gt;=1),BY60,
IF(テーブル!$B$3="実績報告（１次）",BY60,
IF(AND(テーブル!$B$3="交付申請（２次）",BY$26=0),0,
IF(AND(テーブル!$B$3="交付申請（２次）",BY$26&gt;=1),BY60,
IF(AND(テーブル!$B$3="交付申請兼実績報告（２次）",BY$26=0),0,
IF(AND(テーブル!$B$3="交付申請兼実績報告（２次）",BY$26&gt;=1),BY60,
IF(AND(テーブル!$B$3="実績報告（２次）",BY$26=0),0,
IF(AND(テーブル!$B$3="実績報告（２次）",BY$26&gt;=1),BY60)))))))))),0)</f>
        <v>0</v>
      </c>
      <c r="BZ34" s="1997">
        <f>IFERROR(
IF(テーブル!$B$3="交付申請",BZ60,
IF(AND(テーブル!$B$3="変更申請",BZ$26=0),0,
IF(AND(テーブル!$B$3="変更申請",BZ$26&gt;=1),BZ60,
IF(テーブル!$B$3="実績報告（１次）",BZ60,
IF(AND(テーブル!$B$3="交付申請（２次）",BZ$26=0),0,
IF(AND(テーブル!$B$3="交付申請（２次）",BZ$26&gt;=1),BZ60,
IF(AND(テーブル!$B$3="交付申請兼実績報告（２次）",BZ$26=0),0,
IF(AND(テーブル!$B$3="交付申請兼実績報告（２次）",BZ$26&gt;=1),BZ60,
IF(AND(テーブル!$B$3="実績報告（２次）",BZ$26=0),0,
IF(AND(テーブル!$B$3="実績報告（２次）",BZ$26&gt;=1),BZ60)))))))))),0)</f>
        <v>0</v>
      </c>
      <c r="CA34" s="1997">
        <f>IFERROR(
IF(テーブル!$B$3="交付申請",CA60,
IF(AND(テーブル!$B$3="変更申請",CA$26=0),0,
IF(AND(テーブル!$B$3="変更申請",CA$26&gt;=1),CA60,
IF(テーブル!$B$3="実績報告（１次）",CA60,
IF(AND(テーブル!$B$3="交付申請（２次）",CA$26=0),0,
IF(AND(テーブル!$B$3="交付申請（２次）",CA$26&gt;=1),CA60,
IF(AND(テーブル!$B$3="交付申請兼実績報告（２次）",CA$26=0),0,
IF(AND(テーブル!$B$3="交付申請兼実績報告（２次）",CA$26&gt;=1),CA60,
IF(AND(テーブル!$B$3="実績報告（２次）",CA$26=0),0,
IF(AND(テーブル!$B$3="実績報告（２次）",CA$26&gt;=1),CA60)))))))))),0)</f>
        <v>0</v>
      </c>
      <c r="CB34" s="1997">
        <f>IFERROR(
IF(テーブル!$B$3="交付申請",CB60,
IF(AND(テーブル!$B$3="変更申請",CB$26=0),0,
IF(AND(テーブル!$B$3="変更申請",CB$26&gt;=1),CB60,
IF(テーブル!$B$3="実績報告（１次）",CB60,
IF(AND(テーブル!$B$3="交付申請（２次）",CB$26=0),0,
IF(AND(テーブル!$B$3="交付申請（２次）",CB$26&gt;=1),CB60,
IF(AND(テーブル!$B$3="交付申請兼実績報告（２次）",CB$26=0),0,
IF(AND(テーブル!$B$3="交付申請兼実績報告（２次）",CB$26&gt;=1),CB60,
IF(AND(テーブル!$B$3="実績報告（２次）",CB$26=0),0,
IF(AND(テーブル!$B$3="実績報告（２次）",CB$26&gt;=1),CB60)))))))))),0)</f>
        <v>0</v>
      </c>
      <c r="CC34" s="1997">
        <f>IFERROR(
IF(テーブル!$B$3="交付申請",CC60,
IF(AND(テーブル!$B$3="変更申請",CC$26=0),0,
IF(AND(テーブル!$B$3="変更申請",CC$26&gt;=1),CC60,
IF(テーブル!$B$3="実績報告（１次）",CC60,
IF(AND(テーブル!$B$3="交付申請（２次）",CC$26=0),0,
IF(AND(テーブル!$B$3="交付申請（２次）",CC$26&gt;=1),CC60,
IF(AND(テーブル!$B$3="交付申請兼実績報告（２次）",CC$26=0),0,
IF(AND(テーブル!$B$3="交付申請兼実績報告（２次）",CC$26&gt;=1),CC60,
IF(AND(テーブル!$B$3="実績報告（２次）",CC$26=0),0,
IF(AND(テーブル!$B$3="実績報告（２次）",CC$26&gt;=1),CC60)))))))))),0)</f>
        <v>0</v>
      </c>
      <c r="CD34" s="1997">
        <f>IFERROR(
IF(テーブル!$B$3="交付申請",CD60,
IF(AND(テーブル!$B$3="変更申請",CD$26=0),0,
IF(AND(テーブル!$B$3="変更申請",CD$26&gt;=1),CD60,
IF(テーブル!$B$3="実績報告（１次）",CD60,
IF(AND(テーブル!$B$3="交付申請（２次）",CD$26=0),0,
IF(AND(テーブル!$B$3="交付申請（２次）",CD$26&gt;=1),CD60,
IF(AND(テーブル!$B$3="交付申請兼実績報告（２次）",CD$26=0),0,
IF(AND(テーブル!$B$3="交付申請兼実績報告（２次）",CD$26&gt;=1),CD60,
IF(AND(テーブル!$B$3="実績報告（２次）",CD$26=0),0,
IF(AND(テーブル!$B$3="実績報告（２次）",CD$26&gt;=1),CD60)))))))))),0)</f>
        <v>0</v>
      </c>
      <c r="CE34" s="1997">
        <f>IFERROR(
IF(テーブル!$B$3="交付申請",CE60,
IF(AND(テーブル!$B$3="変更申請",CE$26=0),0,
IF(AND(テーブル!$B$3="変更申請",CE$26&gt;=1),CE60,
IF(テーブル!$B$3="実績報告（１次）",CE60,
IF(AND(テーブル!$B$3="交付申請（２次）",CE$26=0),0,
IF(AND(テーブル!$B$3="交付申請（２次）",CE$26&gt;=1),CE60,
IF(AND(テーブル!$B$3="交付申請兼実績報告（２次）",CE$26=0),0,
IF(AND(テーブル!$B$3="交付申請兼実績報告（２次）",CE$26&gt;=1),CE60,
IF(AND(テーブル!$B$3="実績報告（２次）",CE$26=0),0,
IF(AND(テーブル!$B$3="実績報告（２次）",CE$26&gt;=1),CE60)))))))))),0)</f>
        <v>0</v>
      </c>
      <c r="CF34" s="1997">
        <f>IFERROR(
IF(テーブル!$B$3="交付申請",CF60,
IF(AND(テーブル!$B$3="変更申請",CF$26=0),0,
IF(AND(テーブル!$B$3="変更申請",CF$26&gt;=1),CF60,
IF(テーブル!$B$3="実績報告（１次）",CF60,
IF(AND(テーブル!$B$3="交付申請（２次）",CF$26=0),0,
IF(AND(テーブル!$B$3="交付申請（２次）",CF$26&gt;=1),CF60,
IF(AND(テーブル!$B$3="交付申請兼実績報告（２次）",CF$26=0),0,
IF(AND(テーブル!$B$3="交付申請兼実績報告（２次）",CF$26&gt;=1),CF60,
IF(AND(テーブル!$B$3="実績報告（２次）",CF$26=0),0,
IF(AND(テーブル!$B$3="実績報告（２次）",CF$26&gt;=1),CF60)))))))))),0)</f>
        <v>0</v>
      </c>
      <c r="CG34" s="1997">
        <f>IFERROR(
IF(テーブル!$B$3="交付申請",CG60,
IF(AND(テーブル!$B$3="変更申請",CG$26=0),0,
IF(AND(テーブル!$B$3="変更申請",CG$26&gt;=1),CG60,
IF(テーブル!$B$3="実績報告（１次）",CG60,
IF(AND(テーブル!$B$3="交付申請（２次）",CG$26=0),0,
IF(AND(テーブル!$B$3="交付申請（２次）",CG$26&gt;=1),CG60,
IF(AND(テーブル!$B$3="交付申請兼実績報告（２次）",CG$26=0),0,
IF(AND(テーブル!$B$3="交付申請兼実績報告（２次）",CG$26&gt;=1),CG60,
IF(AND(テーブル!$B$3="実績報告（２次）",CG$26=0),0,
IF(AND(テーブル!$B$3="実績報告（２次）",CG$26&gt;=1),CG60)))))))))),0)</f>
        <v>0</v>
      </c>
      <c r="CH34" s="1997">
        <f>IFERROR(
IF(テーブル!$B$3="交付申請",CH60,
IF(AND(テーブル!$B$3="変更申請",CH$26=0),0,
IF(AND(テーブル!$B$3="変更申請",CH$26&gt;=1),CH60,
IF(テーブル!$B$3="実績報告（１次）",CH60,
IF(AND(テーブル!$B$3="交付申請（２次）",CH$26=0),0,
IF(AND(テーブル!$B$3="交付申請（２次）",CH$26&gt;=1),CH60,
IF(AND(テーブル!$B$3="交付申請兼実績報告（２次）",CH$26=0),0,
IF(AND(テーブル!$B$3="交付申請兼実績報告（２次）",CH$26&gt;=1),CH60,
IF(AND(テーブル!$B$3="実績報告（２次）",CH$26=0),0,
IF(AND(テーブル!$B$3="実績報告（２次）",CH$26&gt;=1),CH60)))))))))),0)</f>
        <v>0</v>
      </c>
      <c r="CI34" s="1997">
        <f>IFERROR(
IF(テーブル!$B$3="交付申請",CI60,
IF(AND(テーブル!$B$3="変更申請",CI$26=0),0,
IF(AND(テーブル!$B$3="変更申請",CI$26&gt;=1),CI60,
IF(テーブル!$B$3="実績報告（１次）",CI60,
IF(AND(テーブル!$B$3="交付申請（２次）",CI$26=0),0,
IF(AND(テーブル!$B$3="交付申請（２次）",CI$26&gt;=1),CI60,
IF(AND(テーブル!$B$3="交付申請兼実績報告（２次）",CI$26=0),0,
IF(AND(テーブル!$B$3="交付申請兼実績報告（２次）",CI$26&gt;=1),CI60,
IF(AND(テーブル!$B$3="実績報告（２次）",CI$26=0),0,
IF(AND(テーブル!$B$3="実績報告（２次）",CI$26&gt;=1),CI60)))))))))),0)</f>
        <v>0</v>
      </c>
      <c r="CJ34" s="1997">
        <f>IFERROR(
IF(テーブル!$B$3="交付申請",CJ60,
IF(AND(テーブル!$B$3="変更申請",CJ$26=0),0,
IF(AND(テーブル!$B$3="変更申請",CJ$26&gt;=1),CJ60,
IF(テーブル!$B$3="実績報告（１次）",CJ60,
IF(AND(テーブル!$B$3="交付申請（２次）",CJ$26=0),0,
IF(AND(テーブル!$B$3="交付申請（２次）",CJ$26&gt;=1),CJ60,
IF(AND(テーブル!$B$3="交付申請兼実績報告（２次）",CJ$26=0),0,
IF(AND(テーブル!$B$3="交付申請兼実績報告（２次）",CJ$26&gt;=1),CJ60,
IF(AND(テーブル!$B$3="実績報告（２次）",CJ$26=0),0,
IF(AND(テーブル!$B$3="実績報告（２次）",CJ$26&gt;=1),CJ60)))))))))),0)</f>
        <v>0</v>
      </c>
      <c r="CK34" s="1997">
        <f>IFERROR(
IF(テーブル!$B$3="交付申請",CK60,
IF(AND(テーブル!$B$3="変更申請",CK$26=0),0,
IF(AND(テーブル!$B$3="変更申請",CK$26&gt;=1),CK60,
IF(テーブル!$B$3="実績報告（１次）",CK60,
IF(AND(テーブル!$B$3="交付申請（２次）",CK$26=0),0,
IF(AND(テーブル!$B$3="交付申請（２次）",CK$26&gt;=1),CK60,
IF(AND(テーブル!$B$3="交付申請兼実績報告（２次）",CK$26=0),0,
IF(AND(テーブル!$B$3="交付申請兼実績報告（２次）",CK$26&gt;=1),CK60,
IF(AND(テーブル!$B$3="実績報告（２次）",CK$26=0),0,
IF(AND(テーブル!$B$3="実績報告（２次）",CK$26&gt;=1),CK60)))))))))),0)</f>
        <v>0</v>
      </c>
      <c r="CL34" s="1997">
        <f>IFERROR(
IF(テーブル!$B$3="交付申請",CL60,
IF(AND(テーブル!$B$3="変更申請",CL$26=0),0,
IF(AND(テーブル!$B$3="変更申請",CL$26&gt;=1),CL60,
IF(テーブル!$B$3="実績報告（１次）",CL60,
IF(AND(テーブル!$B$3="交付申請（２次）",CL$26=0),0,
IF(AND(テーブル!$B$3="交付申請（２次）",CL$26&gt;=1),CL60,
IF(AND(テーブル!$B$3="交付申請兼実績報告（２次）",CL$26=0),0,
IF(AND(テーブル!$B$3="交付申請兼実績報告（２次）",CL$26&gt;=1),CL60,
IF(AND(テーブル!$B$3="実績報告（２次）",CL$26=0),0,
IF(AND(テーブル!$B$3="実績報告（２次）",CL$26&gt;=1),CL60)))))))))),0)</f>
        <v>0</v>
      </c>
      <c r="CM34" s="1997">
        <f>IFERROR(
IF(テーブル!$B$3="交付申請",CM60,
IF(AND(テーブル!$B$3="変更申請",CM$26=0),0,
IF(AND(テーブル!$B$3="変更申請",CM$26&gt;=1),CM60,
IF(テーブル!$B$3="実績報告（１次）",CM60,
IF(AND(テーブル!$B$3="交付申請（２次）",CM$26=0),0,
IF(AND(テーブル!$B$3="交付申請（２次）",CM$26&gt;=1),CM60,
IF(AND(テーブル!$B$3="交付申請兼実績報告（２次）",CM$26=0),0,
IF(AND(テーブル!$B$3="交付申請兼実績報告（２次）",CM$26&gt;=1),CM60,
IF(AND(テーブル!$B$3="実績報告（２次）",CM$26=0),0,
IF(AND(テーブル!$B$3="実績報告（２次）",CM$26&gt;=1),CM60)))))))))),0)</f>
        <v>0</v>
      </c>
      <c r="CN34" s="1997">
        <f>IFERROR(
IF(テーブル!$B$3="交付申請",CN60,
IF(AND(テーブル!$B$3="変更申請",CN$26=0),0,
IF(AND(テーブル!$B$3="変更申請",CN$26&gt;=1),CN60,
IF(テーブル!$B$3="実績報告（１次）",CN60,
IF(AND(テーブル!$B$3="交付申請（２次）",CN$26=0),0,
IF(AND(テーブル!$B$3="交付申請（２次）",CN$26&gt;=1),CN60,
IF(AND(テーブル!$B$3="交付申請兼実績報告（２次）",CN$26=0),0,
IF(AND(テーブル!$B$3="交付申請兼実績報告（２次）",CN$26&gt;=1),CN60,
IF(AND(テーブル!$B$3="実績報告（２次）",CN$26=0),0,
IF(AND(テーブル!$B$3="実績報告（２次）",CN$26&gt;=1),CN60)))))))))),0)</f>
        <v>0</v>
      </c>
      <c r="CO34" s="1997">
        <f>IFERROR(
IF(テーブル!$B$3="交付申請",CO60,
IF(AND(テーブル!$B$3="変更申請",CO$26=0),0,
IF(AND(テーブル!$B$3="変更申請",CO$26&gt;=1),CO60,
IF(テーブル!$B$3="実績報告（１次）",CO60,
IF(AND(テーブル!$B$3="交付申請（２次）",CO$26=0),0,
IF(AND(テーブル!$B$3="交付申請（２次）",CO$26&gt;=1),CO60,
IF(AND(テーブル!$B$3="交付申請兼実績報告（２次）",CO$26=0),0,
IF(AND(テーブル!$B$3="交付申請兼実績報告（２次）",CO$26&gt;=1),CO60,
IF(AND(テーブル!$B$3="実績報告（２次）",CO$26=0),0,
IF(AND(テーブル!$B$3="実績報告（２次）",CO$26&gt;=1),CO60)))))))))),0)</f>
        <v>0</v>
      </c>
      <c r="CP34" s="1997">
        <f>IFERROR(
IF(テーブル!$B$3="交付申請",CP60,
IF(AND(テーブル!$B$3="変更申請",CP$26=0),0,
IF(AND(テーブル!$B$3="変更申請",CP$26&gt;=1),CP60,
IF(テーブル!$B$3="実績報告（１次）",CP60,
IF(AND(テーブル!$B$3="交付申請（２次）",CP$26=0),0,
IF(AND(テーブル!$B$3="交付申請（２次）",CP$26&gt;=1),CP60,
IF(AND(テーブル!$B$3="交付申請兼実績報告（２次）",CP$26=0),0,
IF(AND(テーブル!$B$3="交付申請兼実績報告（２次）",CP$26&gt;=1),CP60,
IF(AND(テーブル!$B$3="実績報告（２次）",CP$26=0),0,
IF(AND(テーブル!$B$3="実績報告（２次）",CP$26&gt;=1),CP60)))))))))),0)</f>
        <v>0</v>
      </c>
      <c r="CQ34" s="1997">
        <f>IFERROR(
IF(テーブル!$B$3="交付申請",CQ60,
IF(AND(テーブル!$B$3="変更申請",CQ$26=0),0,
IF(AND(テーブル!$B$3="変更申請",CQ$26&gt;=1),CQ60,
IF(テーブル!$B$3="実績報告（１次）",CQ60,
IF(AND(テーブル!$B$3="交付申請（２次）",CQ$26=0),0,
IF(AND(テーブル!$B$3="交付申請（２次）",CQ$26&gt;=1),CQ60,
IF(AND(テーブル!$B$3="交付申請兼実績報告（２次）",CQ$26=0),0,
IF(AND(テーブル!$B$3="交付申請兼実績報告（２次）",CQ$26&gt;=1),CQ60,
IF(AND(テーブル!$B$3="実績報告（２次）",CQ$26=0),0,
IF(AND(テーブル!$B$3="実績報告（２次）",CQ$26&gt;=1),CQ60)))))))))),0)</f>
        <v>0</v>
      </c>
      <c r="CR34" s="1997">
        <f>IFERROR(
IF(テーブル!$B$3="交付申請",CR60,
IF(AND(テーブル!$B$3="変更申請",CR$26=0),0,
IF(AND(テーブル!$B$3="変更申請",CR$26&gt;=1),CR60,
IF(テーブル!$B$3="実績報告（１次）",CR60,
IF(AND(テーブル!$B$3="交付申請（２次）",CR$26=0),0,
IF(AND(テーブル!$B$3="交付申請（２次）",CR$26&gt;=1),CR60,
IF(AND(テーブル!$B$3="交付申請兼実績報告（２次）",CR$26=0),0,
IF(AND(テーブル!$B$3="交付申請兼実績報告（２次）",CR$26&gt;=1),CR60,
IF(AND(テーブル!$B$3="実績報告（２次）",CR$26=0),0,
IF(AND(テーブル!$B$3="実績報告（２次）",CR$26&gt;=1),CR60)))))))))),0)</f>
        <v>0</v>
      </c>
      <c r="CS34" s="1997">
        <f>IFERROR(
IF(テーブル!$B$3="交付申請",CS60,
IF(AND(テーブル!$B$3="変更申請",CS$26=0),0,
IF(AND(テーブル!$B$3="変更申請",CS$26&gt;=1),CS60,
IF(テーブル!$B$3="実績報告（１次）",CS60,
IF(AND(テーブル!$B$3="交付申請（２次）",CS$26=0),0,
IF(AND(テーブル!$B$3="交付申請（２次）",CS$26&gt;=1),CS60,
IF(AND(テーブル!$B$3="交付申請兼実績報告（２次）",CS$26=0),0,
IF(AND(テーブル!$B$3="交付申請兼実績報告（２次）",CS$26&gt;=1),CS60,
IF(AND(テーブル!$B$3="実績報告（２次）",CS$26=0),0,
IF(AND(テーブル!$B$3="実績報告（２次）",CS$26&gt;=1),CS60)))))))))),0)</f>
        <v>0</v>
      </c>
      <c r="CT34" s="1997">
        <f>IFERROR(
IF(テーブル!$B$3="交付申請",CT60,
IF(AND(テーブル!$B$3="変更申請",CT$26=0),0,
IF(AND(テーブル!$B$3="変更申請",CT$26&gt;=1),CT60,
IF(テーブル!$B$3="実績報告（１次）",CT60,
IF(AND(テーブル!$B$3="交付申請（２次）",CT$26=0),0,
IF(AND(テーブル!$B$3="交付申請（２次）",CT$26&gt;=1),CT60,
IF(AND(テーブル!$B$3="交付申請兼実績報告（２次）",CT$26=0),0,
IF(AND(テーブル!$B$3="交付申請兼実績報告（２次）",CT$26&gt;=1),CT60,
IF(AND(テーブル!$B$3="実績報告（２次）",CT$26=0),0,
IF(AND(テーブル!$B$3="実績報告（２次）",CT$26&gt;=1),CT60)))))))))),0)</f>
        <v>0</v>
      </c>
      <c r="CU34" s="1997">
        <f>IFERROR(
IF(テーブル!$B$3="交付申請",CU60,
IF(AND(テーブル!$B$3="変更申請",CU$26=0),0,
IF(AND(テーブル!$B$3="変更申請",CU$26&gt;=1),CU60,
IF(テーブル!$B$3="実績報告（１次）",CU60,
IF(AND(テーブル!$B$3="交付申請（２次）",CU$26=0),0,
IF(AND(テーブル!$B$3="交付申請（２次）",CU$26&gt;=1),CU60,
IF(AND(テーブル!$B$3="交付申請兼実績報告（２次）",CU$26=0),0,
IF(AND(テーブル!$B$3="交付申請兼実績報告（２次）",CU$26&gt;=1),CU60,
IF(AND(テーブル!$B$3="実績報告（２次）",CU$26=0),0,
IF(AND(テーブル!$B$3="実績報告（２次）",CU$26&gt;=1),CU60)))))))))),0)</f>
        <v>0</v>
      </c>
      <c r="CV34" s="1997">
        <f>IFERROR(
IF(テーブル!$B$3="交付申請",CV60,
IF(AND(テーブル!$B$3="変更申請",CV$26=0),0,
IF(AND(テーブル!$B$3="変更申請",CV$26&gt;=1),CV60,
IF(テーブル!$B$3="実績報告（１次）",CV60,
IF(AND(テーブル!$B$3="交付申請（２次）",CV$26=0),0,
IF(AND(テーブル!$B$3="交付申請（２次）",CV$26&gt;=1),CV60,
IF(AND(テーブル!$B$3="交付申請兼実績報告（２次）",CV$26=0),0,
IF(AND(テーブル!$B$3="交付申請兼実績報告（２次）",CV$26&gt;=1),CV60,
IF(AND(テーブル!$B$3="実績報告（２次）",CV$26=0),0,
IF(AND(テーブル!$B$3="実績報告（２次）",CV$26&gt;=1),CV60)))))))))),0)</f>
        <v>0</v>
      </c>
      <c r="CW34" s="1997">
        <f>IFERROR(
IF(テーブル!$B$3="交付申請",CW60,
IF(AND(テーブル!$B$3="変更申請",CW$26=0),0,
IF(AND(テーブル!$B$3="変更申請",CW$26&gt;=1),CW60,
IF(テーブル!$B$3="実績報告（１次）",CW60,
IF(AND(テーブル!$B$3="交付申請（２次）",CW$26=0),0,
IF(AND(テーブル!$B$3="交付申請（２次）",CW$26&gt;=1),CW60,
IF(AND(テーブル!$B$3="交付申請兼実績報告（２次）",CW$26=0),0,
IF(AND(テーブル!$B$3="交付申請兼実績報告（２次）",CW$26&gt;=1),CW60,
IF(AND(テーブル!$B$3="実績報告（２次）",CW$26=0),0,
IF(AND(テーブル!$B$3="実績報告（２次）",CW$26&gt;=1),CW60)))))))))),0)</f>
        <v>0</v>
      </c>
      <c r="CX34" s="1997">
        <f>IFERROR(
IF(テーブル!$B$3="交付申請",CX60,
IF(AND(テーブル!$B$3="変更申請",CX$26=0),0,
IF(AND(テーブル!$B$3="変更申請",CX$26&gt;=1),CX60,
IF(テーブル!$B$3="実績報告（１次）",CX60,
IF(AND(テーブル!$B$3="交付申請（２次）",CX$26=0),0,
IF(AND(テーブル!$B$3="交付申請（２次）",CX$26&gt;=1),CX60,
IF(AND(テーブル!$B$3="交付申請兼実績報告（２次）",CX$26=0),0,
IF(AND(テーブル!$B$3="交付申請兼実績報告（２次）",CX$26&gt;=1),CX60,
IF(AND(テーブル!$B$3="実績報告（２次）",CX$26=0),0,
IF(AND(テーブル!$B$3="実績報告（２次）",CX$26&gt;=1),CX60)))))))))),0)</f>
        <v>0</v>
      </c>
      <c r="CY34" s="1997">
        <f>IFERROR(
IF(テーブル!$B$3="交付申請",CY60,
IF(AND(テーブル!$B$3="変更申請",CY$26=0),0,
IF(AND(テーブル!$B$3="変更申請",CY$26&gt;=1),CY60,
IF(テーブル!$B$3="実績報告（１次）",CY60,
IF(AND(テーブル!$B$3="交付申請（２次）",CY$26=0),0,
IF(AND(テーブル!$B$3="交付申請（２次）",CY$26&gt;=1),CY60,
IF(AND(テーブル!$B$3="交付申請兼実績報告（２次）",CY$26=0),0,
IF(AND(テーブル!$B$3="交付申請兼実績報告（２次）",CY$26&gt;=1),CY60,
IF(AND(テーブル!$B$3="実績報告（２次）",CY$26=0),0,
IF(AND(テーブル!$B$3="実績報告（２次）",CY$26&gt;=1),CY60)))))))))),0)</f>
        <v>0</v>
      </c>
      <c r="CZ34" s="1997">
        <f>IFERROR(
IF(テーブル!$B$3="交付申請",CZ60,
IF(AND(テーブル!$B$3="変更申請",CZ$26=0),0,
IF(AND(テーブル!$B$3="変更申請",CZ$26&gt;=1),CZ60,
IF(テーブル!$B$3="実績報告（１次）",CZ60,
IF(AND(テーブル!$B$3="交付申請（２次）",CZ$26=0),0,
IF(AND(テーブル!$B$3="交付申請（２次）",CZ$26&gt;=1),CZ60,
IF(AND(テーブル!$B$3="交付申請兼実績報告（２次）",CZ$26=0),0,
IF(AND(テーブル!$B$3="交付申請兼実績報告（２次）",CZ$26&gt;=1),CZ60,
IF(AND(テーブル!$B$3="実績報告（２次）",CZ$26=0),0,
IF(AND(テーブル!$B$3="実績報告（２次）",CZ$26&gt;=1),CZ60)))))))))),0)</f>
        <v>0</v>
      </c>
      <c r="DA34" s="1997">
        <f>IFERROR(
IF(テーブル!$B$3="交付申請",DA60,
IF(AND(テーブル!$B$3="変更申請",DA$26=0),0,
IF(AND(テーブル!$B$3="変更申請",DA$26&gt;=1),DA60,
IF(テーブル!$B$3="実績報告（１次）",DA60,
IF(AND(テーブル!$B$3="交付申請（２次）",DA$26=0),0,
IF(AND(テーブル!$B$3="交付申請（２次）",DA$26&gt;=1),DA60,
IF(AND(テーブル!$B$3="交付申請兼実績報告（２次）",DA$26=0),0,
IF(AND(テーブル!$B$3="交付申請兼実績報告（２次）",DA$26&gt;=1),DA60,
IF(AND(テーブル!$B$3="実績報告（２次）",DA$26=0),0,
IF(AND(テーブル!$B$3="実績報告（２次）",DA$26&gt;=1),DA60)))))))))),0)</f>
        <v>0</v>
      </c>
      <c r="DB34" s="1997">
        <f>IFERROR(
IF(テーブル!$B$3="交付申請",DB60,
IF(AND(テーブル!$B$3="変更申請",DB$26=0),0,
IF(AND(テーブル!$B$3="変更申請",DB$26&gt;=1),DB60,
IF(テーブル!$B$3="実績報告（１次）",DB60,
IF(AND(テーブル!$B$3="交付申請（２次）",DB$26=0),0,
IF(AND(テーブル!$B$3="交付申請（２次）",DB$26&gt;=1),DB60,
IF(AND(テーブル!$B$3="交付申請兼実績報告（２次）",DB$26=0),0,
IF(AND(テーブル!$B$3="交付申請兼実績報告（２次）",DB$26&gt;=1),DB60,
IF(AND(テーブル!$B$3="実績報告（２次）",DB$26=0),0,
IF(AND(テーブル!$B$3="実績報告（２次）",DB$26&gt;=1),DB60)))))))))),0)</f>
        <v>0</v>
      </c>
      <c r="DC34" s="1997">
        <f>IFERROR(
IF(テーブル!$B$3="交付申請",DC60,
IF(AND(テーブル!$B$3="変更申請",DC$26=0),0,
IF(AND(テーブル!$B$3="変更申請",DC$26&gt;=1),DC60,
IF(テーブル!$B$3="実績報告（１次）",DC60,
IF(AND(テーブル!$B$3="交付申請（２次）",DC$26=0),0,
IF(AND(テーブル!$B$3="交付申請（２次）",DC$26&gt;=1),DC60,
IF(AND(テーブル!$B$3="交付申請兼実績報告（２次）",DC$26=0),0,
IF(AND(テーブル!$B$3="交付申請兼実績報告（２次）",DC$26&gt;=1),DC60,
IF(AND(テーブル!$B$3="実績報告（２次）",DC$26=0),0,
IF(AND(テーブル!$B$3="実績報告（２次）",DC$26&gt;=1),DC60)))))))))),0)</f>
        <v>0</v>
      </c>
      <c r="DD34" s="1997">
        <f>IFERROR(
IF(テーブル!$B$3="交付申請",DD60,
IF(AND(テーブル!$B$3="変更申請",DD$26=0),0,
IF(AND(テーブル!$B$3="変更申請",DD$26&gt;=1),DD60,
IF(テーブル!$B$3="実績報告（１次）",DD60,
IF(AND(テーブル!$B$3="交付申請（２次）",DD$26=0),0,
IF(AND(テーブル!$B$3="交付申請（２次）",DD$26&gt;=1),DD60,
IF(AND(テーブル!$B$3="交付申請兼実績報告（２次）",DD$26=0),0,
IF(AND(テーブル!$B$3="交付申請兼実績報告（２次）",DD$26&gt;=1),DD60,
IF(AND(テーブル!$B$3="実績報告（２次）",DD$26=0),0,
IF(AND(テーブル!$B$3="実績報告（２次）",DD$26&gt;=1),DD60)))))))))),0)</f>
        <v>0</v>
      </c>
      <c r="DE34" s="1997">
        <f>IFERROR(
IF(テーブル!$B$3="交付申請",DE60,
IF(AND(テーブル!$B$3="変更申請",DE$26=0),0,
IF(AND(テーブル!$B$3="変更申請",DE$26&gt;=1),DE60,
IF(テーブル!$B$3="実績報告（１次）",DE60,
IF(AND(テーブル!$B$3="交付申請（２次）",DE$26=0),0,
IF(AND(テーブル!$B$3="交付申請（２次）",DE$26&gt;=1),DE60,
IF(AND(テーブル!$B$3="交付申請兼実績報告（２次）",DE$26=0),0,
IF(AND(テーブル!$B$3="交付申請兼実績報告（２次）",DE$26&gt;=1),DE60,
IF(AND(テーブル!$B$3="実績報告（２次）",DE$26=0),0,
IF(AND(テーブル!$B$3="実績報告（２次）",DE$26&gt;=1),DE60)))))))))),0)</f>
        <v>0</v>
      </c>
      <c r="DF34" s="1997">
        <f>IFERROR(
IF(テーブル!$B$3="交付申請",DF60,
IF(AND(テーブル!$B$3="変更申請",DF$26=0),0,
IF(AND(テーブル!$B$3="変更申請",DF$26&gt;=1),DF60,
IF(テーブル!$B$3="実績報告（１次）",DF60,
IF(AND(テーブル!$B$3="交付申請（２次）",DF$26=0),0,
IF(AND(テーブル!$B$3="交付申請（２次）",DF$26&gt;=1),DF60,
IF(AND(テーブル!$B$3="交付申請兼実績報告（２次）",DF$26=0),0,
IF(AND(テーブル!$B$3="交付申請兼実績報告（２次）",DF$26&gt;=1),DF60,
IF(AND(テーブル!$B$3="実績報告（２次）",DF$26=0),0,
IF(AND(テーブル!$B$3="実績報告（２次）",DF$26&gt;=1),DF60)))))))))),0)</f>
        <v>0</v>
      </c>
      <c r="DG34" s="1997">
        <f>IFERROR(
IF(テーブル!$B$3="交付申請",DG60,
IF(AND(テーブル!$B$3="変更申請",DG$26=0),0,
IF(AND(テーブル!$B$3="変更申請",DG$26&gt;=1),DG60,
IF(テーブル!$B$3="実績報告（１次）",DG60,
IF(AND(テーブル!$B$3="交付申請（２次）",DG$26=0),0,
IF(AND(テーブル!$B$3="交付申請（２次）",DG$26&gt;=1),DG60,
IF(AND(テーブル!$B$3="交付申請兼実績報告（２次）",DG$26=0),0,
IF(AND(テーブル!$B$3="交付申請兼実績報告（２次）",DG$26&gt;=1),DG60,
IF(AND(テーブル!$B$3="実績報告（２次）",DG$26=0),0,
IF(AND(テーブル!$B$3="実績報告（２次）",DG$26&gt;=1),DG60)))))))))),0)</f>
        <v>0</v>
      </c>
      <c r="DH34" s="1997">
        <f>IFERROR(
IF(テーブル!$B$3="交付申請",DH60,
IF(AND(テーブル!$B$3="変更申請",DH$26=0),0,
IF(AND(テーブル!$B$3="変更申請",DH$26&gt;=1),DH60,
IF(テーブル!$B$3="実績報告（１次）",DH60,
IF(AND(テーブル!$B$3="交付申請（２次）",DH$26=0),0,
IF(AND(テーブル!$B$3="交付申請（２次）",DH$26&gt;=1),DH60,
IF(AND(テーブル!$B$3="交付申請兼実績報告（２次）",DH$26=0),0,
IF(AND(テーブル!$B$3="交付申請兼実績報告（２次）",DH$26&gt;=1),DH60,
IF(AND(テーブル!$B$3="実績報告（２次）",DH$26=0),0,
IF(AND(テーブル!$B$3="実績報告（２次）",DH$26&gt;=1),DH60)))))))))),0)</f>
        <v>0</v>
      </c>
      <c r="DI34" s="1997">
        <f>IFERROR(
IF(テーブル!$B$3="交付申請",DI60,
IF(AND(テーブル!$B$3="変更申請",DI$26=0),0,
IF(AND(テーブル!$B$3="変更申請",DI$26&gt;=1),DI60,
IF(テーブル!$B$3="実績報告（１次）",DI60,
IF(AND(テーブル!$B$3="交付申請（２次）",DI$26=0),0,
IF(AND(テーブル!$B$3="交付申請（２次）",DI$26&gt;=1),DI60,
IF(AND(テーブル!$B$3="交付申請兼実績報告（２次）",DI$26=0),0,
IF(AND(テーブル!$B$3="交付申請兼実績報告（２次）",DI$26&gt;=1),DI60,
IF(AND(テーブル!$B$3="実績報告（２次）",DI$26=0),0,
IF(AND(テーブル!$B$3="実績報告（２次）",DI$26&gt;=1),DI60)))))))))),0)</f>
        <v>0</v>
      </c>
      <c r="DJ34" s="1997">
        <f>IFERROR(
IF(テーブル!$B$3="交付申請",DJ60,
IF(AND(テーブル!$B$3="変更申請",DJ$26=0),0,
IF(AND(テーブル!$B$3="変更申請",DJ$26&gt;=1),DJ60,
IF(テーブル!$B$3="実績報告（１次）",DJ60,
IF(AND(テーブル!$B$3="交付申請（２次）",DJ$26=0),0,
IF(AND(テーブル!$B$3="交付申請（２次）",DJ$26&gt;=1),DJ60,
IF(AND(テーブル!$B$3="交付申請兼実績報告（２次）",DJ$26=0),0,
IF(AND(テーブル!$B$3="交付申請兼実績報告（２次）",DJ$26&gt;=1),DJ60,
IF(AND(テーブル!$B$3="実績報告（２次）",DJ$26=0),0,
IF(AND(テーブル!$B$3="実績報告（２次）",DJ$26&gt;=1),DJ60)))))))))),0)</f>
        <v>0</v>
      </c>
      <c r="DK34" s="1997">
        <f>IFERROR(
IF(テーブル!$B$3="交付申請",DK60,
IF(AND(テーブル!$B$3="変更申請",DK$26=0),0,
IF(AND(テーブル!$B$3="変更申請",DK$26&gt;=1),DK60,
IF(テーブル!$B$3="実績報告（１次）",DK60,
IF(AND(テーブル!$B$3="交付申請（２次）",DK$26=0),0,
IF(AND(テーブル!$B$3="交付申請（２次）",DK$26&gt;=1),DK60,
IF(AND(テーブル!$B$3="交付申請兼実績報告（２次）",DK$26=0),0,
IF(AND(テーブル!$B$3="交付申請兼実績報告（２次）",DK$26&gt;=1),DK60,
IF(AND(テーブル!$B$3="実績報告（２次）",DK$26=0),0,
IF(AND(テーブル!$B$3="実績報告（２次）",DK$26&gt;=1),DK60)))))))))),0)</f>
        <v>0</v>
      </c>
      <c r="DL34" s="1997">
        <f>IFERROR(
IF(テーブル!$B$3="交付申請",DL60,
IF(AND(テーブル!$B$3="変更申請",DL$26=0),0,
IF(AND(テーブル!$B$3="変更申請",DL$26&gt;=1),DL60,
IF(テーブル!$B$3="実績報告（１次）",DL60,
IF(AND(テーブル!$B$3="交付申請（２次）",DL$26=0),0,
IF(AND(テーブル!$B$3="交付申請（２次）",DL$26&gt;=1),DL60,
IF(AND(テーブル!$B$3="交付申請兼実績報告（２次）",DL$26=0),0,
IF(AND(テーブル!$B$3="交付申請兼実績報告（２次）",DL$26&gt;=1),DL60,
IF(AND(テーブル!$B$3="実績報告（２次）",DL$26=0),0,
IF(AND(テーブル!$B$3="実績報告（２次）",DL$26&gt;=1),DL60)))))))))),0)</f>
        <v>0</v>
      </c>
      <c r="DM34" s="1997">
        <f>IFERROR(
IF(テーブル!$B$3="交付申請",DM60,
IF(AND(テーブル!$B$3="変更申請",DM$26=0),0,
IF(AND(テーブル!$B$3="変更申請",DM$26&gt;=1),DM60,
IF(テーブル!$B$3="実績報告（１次）",DM60,
IF(AND(テーブル!$B$3="交付申請（２次）",DM$26=0),0,
IF(AND(テーブル!$B$3="交付申請（２次）",DM$26&gt;=1),DM60,
IF(AND(テーブル!$B$3="交付申請兼実績報告（２次）",DM$26=0),0,
IF(AND(テーブル!$B$3="交付申請兼実績報告（２次）",DM$26&gt;=1),DM60,
IF(AND(テーブル!$B$3="実績報告（２次）",DM$26=0),0,
IF(AND(テーブル!$B$3="実績報告（２次）",DM$26&gt;=1),DM60)))))))))),0)</f>
        <v>0</v>
      </c>
      <c r="DN34" s="1997">
        <f>IFERROR(
IF(テーブル!$B$3="交付申請",DN60,
IF(AND(テーブル!$B$3="変更申請",DN$26=0),0,
IF(AND(テーブル!$B$3="変更申請",DN$26&gt;=1),DN60,
IF(テーブル!$B$3="実績報告（１次）",DN60,
IF(AND(テーブル!$B$3="交付申請（２次）",DN$26=0),0,
IF(AND(テーブル!$B$3="交付申請（２次）",DN$26&gt;=1),DN60,
IF(AND(テーブル!$B$3="交付申請兼実績報告（２次）",DN$26=0),0,
IF(AND(テーブル!$B$3="交付申請兼実績報告（２次）",DN$26&gt;=1),DN60,
IF(AND(テーブル!$B$3="実績報告（２次）",DN$26=0),0,
IF(AND(テーブル!$B$3="実績報告（２次）",DN$26&gt;=1),DN60)))))))))),0)</f>
        <v>0</v>
      </c>
      <c r="DO34" s="1997">
        <f>IFERROR(
IF(テーブル!$B$3="交付申請",DO60,
IF(AND(テーブル!$B$3="変更申請",DO$26=0),0,
IF(AND(テーブル!$B$3="変更申請",DO$26&gt;=1),DO60,
IF(テーブル!$B$3="実績報告（１次）",DO60,
IF(AND(テーブル!$B$3="交付申請（２次）",DO$26=0),0,
IF(AND(テーブル!$B$3="交付申請（２次）",DO$26&gt;=1),DO60,
IF(AND(テーブル!$B$3="交付申請兼実績報告（２次）",DO$26=0),0,
IF(AND(テーブル!$B$3="交付申請兼実績報告（２次）",DO$26&gt;=1),DO60,
IF(AND(テーブル!$B$3="実績報告（２次）",DO$26=0),0,
IF(AND(テーブル!$B$3="実績報告（２次）",DO$26&gt;=1),DO60)))))))))),0)</f>
        <v>0</v>
      </c>
      <c r="DP34" s="1997">
        <f>IFERROR(
IF(テーブル!$B$3="交付申請",DP60,
IF(AND(テーブル!$B$3="変更申請",DP$26=0),0,
IF(AND(テーブル!$B$3="変更申請",DP$26&gt;=1),DP60,
IF(テーブル!$B$3="実績報告（１次）",DP60,
IF(AND(テーブル!$B$3="交付申請（２次）",DP$26=0),0,
IF(AND(テーブル!$B$3="交付申請（２次）",DP$26&gt;=1),DP60,
IF(AND(テーブル!$B$3="交付申請兼実績報告（２次）",DP$26=0),0,
IF(AND(テーブル!$B$3="交付申請兼実績報告（２次）",DP$26&gt;=1),DP60,
IF(AND(テーブル!$B$3="実績報告（２次）",DP$26=0),0,
IF(AND(テーブル!$B$3="実績報告（２次）",DP$26&gt;=1),DP60)))))))))),0)</f>
        <v>0</v>
      </c>
      <c r="DQ34" s="1997">
        <f>IFERROR(
IF(テーブル!$B$3="交付申請",DQ60,
IF(AND(テーブル!$B$3="変更申請",DQ$26=0),0,
IF(AND(テーブル!$B$3="変更申請",DQ$26&gt;=1),DQ60,
IF(テーブル!$B$3="実績報告（１次）",DQ60,
IF(AND(テーブル!$B$3="交付申請（２次）",DQ$26=0),0,
IF(AND(テーブル!$B$3="交付申請（２次）",DQ$26&gt;=1),DQ60,
IF(AND(テーブル!$B$3="交付申請兼実績報告（２次）",DQ$26=0),0,
IF(AND(テーブル!$B$3="交付申請兼実績報告（２次）",DQ$26&gt;=1),DQ60,
IF(AND(テーブル!$B$3="実績報告（２次）",DQ$26=0),0,
IF(AND(テーブル!$B$3="実績報告（２次）",DQ$26&gt;=1),DQ60)))))))))),0)</f>
        <v>0</v>
      </c>
      <c r="DR34" s="1997">
        <f>IFERROR(
IF(テーブル!$B$3="交付申請",DR60,
IF(AND(テーブル!$B$3="変更申請",DR$26=0),0,
IF(AND(テーブル!$B$3="変更申請",DR$26&gt;=1),DR60,
IF(テーブル!$B$3="実績報告（１次）",DR60,
IF(AND(テーブル!$B$3="交付申請（２次）",DR$26=0),0,
IF(AND(テーブル!$B$3="交付申請（２次）",DR$26&gt;=1),DR60,
IF(AND(テーブル!$B$3="交付申請兼実績報告（２次）",DR$26=0),0,
IF(AND(テーブル!$B$3="交付申請兼実績報告（２次）",DR$26&gt;=1),DR60,
IF(AND(テーブル!$B$3="実績報告（２次）",DR$26=0),0,
IF(AND(テーブル!$B$3="実績報告（２次）",DR$26&gt;=1),DR60)))))))))),0)</f>
        <v>0</v>
      </c>
      <c r="DS34" s="1997">
        <f>IFERROR(
IF(テーブル!$B$3="交付申請",DS60,
IF(AND(テーブル!$B$3="変更申請",DS$26=0),0,
IF(AND(テーブル!$B$3="変更申請",DS$26&gt;=1),DS60,
IF(テーブル!$B$3="実績報告（１次）",DS60,
IF(AND(テーブル!$B$3="交付申請（２次）",DS$26=0),0,
IF(AND(テーブル!$B$3="交付申請（２次）",DS$26&gt;=1),DS60,
IF(AND(テーブル!$B$3="交付申請兼実績報告（２次）",DS$26=0),0,
IF(AND(テーブル!$B$3="交付申請兼実績報告（２次）",DS$26&gt;=1),DS60,
IF(AND(テーブル!$B$3="実績報告（２次）",DS$26=0),0,
IF(AND(テーブル!$B$3="実績報告（２次）",DS$26&gt;=1),DS60)))))))))),0)</f>
        <v>0</v>
      </c>
      <c r="DT34" s="1997">
        <f>IFERROR(
IF(テーブル!$B$3="交付申請",DT60,
IF(AND(テーブル!$B$3="変更申請",DT$26=0),0,
IF(AND(テーブル!$B$3="変更申請",DT$26&gt;=1),DT60,
IF(テーブル!$B$3="実績報告（１次）",DT60,
IF(AND(テーブル!$B$3="交付申請（２次）",DT$26=0),0,
IF(AND(テーブル!$B$3="交付申請（２次）",DT$26&gt;=1),DT60,
IF(AND(テーブル!$B$3="交付申請兼実績報告（２次）",DT$26=0),0,
IF(AND(テーブル!$B$3="交付申請兼実績報告（２次）",DT$26&gt;=1),DT60,
IF(AND(テーブル!$B$3="実績報告（２次）",DT$26=0),0,
IF(AND(テーブル!$B$3="実績報告（２次）",DT$26&gt;=1),DT60)))))))))),0)</f>
        <v>0</v>
      </c>
      <c r="DU34" s="1997">
        <f>IFERROR(
IF(テーブル!$B$3="交付申請",DU60,
IF(AND(テーブル!$B$3="変更申請",DU$26=0),0,
IF(AND(テーブル!$B$3="変更申請",DU$26&gt;=1),DU60,
IF(テーブル!$B$3="実績報告（１次）",DU60,
IF(AND(テーブル!$B$3="交付申請（２次）",DU$26=0),0,
IF(AND(テーブル!$B$3="交付申請（２次）",DU$26&gt;=1),DU60,
IF(AND(テーブル!$B$3="交付申請兼実績報告（２次）",DU$26=0),0,
IF(AND(テーブル!$B$3="交付申請兼実績報告（２次）",DU$26&gt;=1),DU60,
IF(AND(テーブル!$B$3="実績報告（２次）",DU$26=0),0,
IF(AND(テーブル!$B$3="実績報告（２次）",DU$26&gt;=1),DU60)))))))))),0)</f>
        <v>0</v>
      </c>
      <c r="DV34" s="1997">
        <f>IFERROR(
IF(テーブル!$B$3="交付申請",DV60,
IF(AND(テーブル!$B$3="変更申請",DV$26=0),0,
IF(AND(テーブル!$B$3="変更申請",DV$26&gt;=1),DV60,
IF(テーブル!$B$3="実績報告（１次）",DV60,
IF(AND(テーブル!$B$3="交付申請（２次）",DV$26=0),0,
IF(AND(テーブル!$B$3="交付申請（２次）",DV$26&gt;=1),DV60,
IF(AND(テーブル!$B$3="交付申請兼実績報告（２次）",DV$26=0),0,
IF(AND(テーブル!$B$3="交付申請兼実績報告（２次）",DV$26&gt;=1),DV60,
IF(AND(テーブル!$B$3="実績報告（２次）",DV$26=0),0,
IF(AND(テーブル!$B$3="実績報告（２次）",DV$26&gt;=1),DV60)))))))))),0)</f>
        <v>0</v>
      </c>
      <c r="DW34" s="1997">
        <f>IFERROR(
IF(テーブル!$B$3="交付申請",DW60,
IF(AND(テーブル!$B$3="変更申請",DW$26=0),0,
IF(AND(テーブル!$B$3="変更申請",DW$26&gt;=1),DW60,
IF(テーブル!$B$3="実績報告（１次）",DW60,
IF(AND(テーブル!$B$3="交付申請（２次）",DW$26=0),0,
IF(AND(テーブル!$B$3="交付申請（２次）",DW$26&gt;=1),DW60,
IF(AND(テーブル!$B$3="交付申請兼実績報告（２次）",DW$26=0),0,
IF(AND(テーブル!$B$3="交付申請兼実績報告（２次）",DW$26&gt;=1),DW60,
IF(AND(テーブル!$B$3="実績報告（２次）",DW$26=0),0,
IF(AND(テーブル!$B$3="実績報告（２次）",DW$26&gt;=1),DW60)))))))))),0)</f>
        <v>0</v>
      </c>
      <c r="DX34" s="1997">
        <f>IFERROR(
IF(テーブル!$B$3="交付申請",DX60,
IF(AND(テーブル!$B$3="変更申請",DX$26=0),0,
IF(AND(テーブル!$B$3="変更申請",DX$26&gt;=1),DX60,
IF(テーブル!$B$3="実績報告（１次）",DX60,
IF(AND(テーブル!$B$3="交付申請（２次）",DX$26=0),0,
IF(AND(テーブル!$B$3="交付申請（２次）",DX$26&gt;=1),DX60,
IF(AND(テーブル!$B$3="交付申請兼実績報告（２次）",DX$26=0),0,
IF(AND(テーブル!$B$3="交付申請兼実績報告（２次）",DX$26&gt;=1),DX60,
IF(AND(テーブル!$B$3="実績報告（２次）",DX$26=0),0,
IF(AND(テーブル!$B$3="実績報告（２次）",DX$26&gt;=1),DX60)))))))))),0)</f>
        <v>0</v>
      </c>
      <c r="DY34" s="1997">
        <f>IFERROR(
IF(テーブル!$B$3="交付申請",DY60,
IF(AND(テーブル!$B$3="変更申請",DY$26=0),0,
IF(AND(テーブル!$B$3="変更申請",DY$26&gt;=1),DY60,
IF(テーブル!$B$3="実績報告（１次）",DY60,
IF(AND(テーブル!$B$3="交付申請（２次）",DY$26=0),0,
IF(AND(テーブル!$B$3="交付申請（２次）",DY$26&gt;=1),DY60,
IF(AND(テーブル!$B$3="交付申請兼実績報告（２次）",DY$26=0),0,
IF(AND(テーブル!$B$3="交付申請兼実績報告（２次）",DY$26&gt;=1),DY60,
IF(AND(テーブル!$B$3="実績報告（２次）",DY$26=0),0,
IF(AND(テーブル!$B$3="実績報告（２次）",DY$26&gt;=1),DY60)))))))))),0)</f>
        <v>0</v>
      </c>
      <c r="DZ34" s="1997">
        <f>IFERROR(
IF(テーブル!$B$3="交付申請",DZ60,
IF(AND(テーブル!$B$3="変更申請",DZ$26=0),0,
IF(AND(テーブル!$B$3="変更申請",DZ$26&gt;=1),DZ60,
IF(テーブル!$B$3="実績報告（１次）",DZ60,
IF(AND(テーブル!$B$3="交付申請（２次）",DZ$26=0),0,
IF(AND(テーブル!$B$3="交付申請（２次）",DZ$26&gt;=1),DZ60,
IF(AND(テーブル!$B$3="交付申請兼実績報告（２次）",DZ$26=0),0,
IF(AND(テーブル!$B$3="交付申請兼実績報告（２次）",DZ$26&gt;=1),DZ60,
IF(AND(テーブル!$B$3="実績報告（２次）",DZ$26=0),0,
IF(AND(テーブル!$B$3="実績報告（２次）",DZ$26&gt;=1),DZ60)))))))))),0)</f>
        <v>0</v>
      </c>
      <c r="EA34" s="1997">
        <f>IFERROR(
IF(テーブル!$B$3="交付申請",EA60,
IF(AND(テーブル!$B$3="変更申請",EA$26=0),0,
IF(AND(テーブル!$B$3="変更申請",EA$26&gt;=1),EA60,
IF(テーブル!$B$3="実績報告（１次）",EA60,
IF(AND(テーブル!$B$3="交付申請（２次）",EA$26=0),0,
IF(AND(テーブル!$B$3="交付申請（２次）",EA$26&gt;=1),EA60,
IF(AND(テーブル!$B$3="交付申請兼実績報告（２次）",EA$26=0),0,
IF(AND(テーブル!$B$3="交付申請兼実績報告（２次）",EA$26&gt;=1),EA60,
IF(AND(テーブル!$B$3="実績報告（２次）",EA$26=0),0,
IF(AND(テーブル!$B$3="実績報告（２次）",EA$26&gt;=1),EA60)))))))))),0)</f>
        <v>0</v>
      </c>
      <c r="EB34" s="1997">
        <f>IFERROR(
IF(テーブル!$B$3="交付申請",EB60,
IF(AND(テーブル!$B$3="変更申請",EB$26=0),0,
IF(AND(テーブル!$B$3="変更申請",EB$26&gt;=1),EB60,
IF(テーブル!$B$3="実績報告（１次）",EB60,
IF(AND(テーブル!$B$3="交付申請（２次）",EB$26=0),0,
IF(AND(テーブル!$B$3="交付申請（２次）",EB$26&gt;=1),EB60,
IF(AND(テーブル!$B$3="交付申請兼実績報告（２次）",EB$26=0),0,
IF(AND(テーブル!$B$3="交付申請兼実績報告（２次）",EB$26&gt;=1),EB60,
IF(AND(テーブル!$B$3="実績報告（２次）",EB$26=0),0,
IF(AND(テーブル!$B$3="実績報告（２次）",EB$26&gt;=1),EB60)))))))))),0)</f>
        <v>0</v>
      </c>
      <c r="EC34" s="1997">
        <f>IFERROR(
IF(テーブル!$B$3="交付申請",EC60,
IF(AND(テーブル!$B$3="変更申請",EC$26=0),0,
IF(AND(テーブル!$B$3="変更申請",EC$26&gt;=1),EC60,
IF(テーブル!$B$3="実績報告（１次）",EC60,
IF(AND(テーブル!$B$3="交付申請（２次）",EC$26=0),0,
IF(AND(テーブル!$B$3="交付申請（２次）",EC$26&gt;=1),EC60,
IF(AND(テーブル!$B$3="交付申請兼実績報告（２次）",EC$26=0),0,
IF(AND(テーブル!$B$3="交付申請兼実績報告（２次）",EC$26&gt;=1),EC60,
IF(AND(テーブル!$B$3="実績報告（２次）",EC$26=0),0,
IF(AND(テーブル!$B$3="実績報告（２次）",EC$26&gt;=1),EC60)))))))))),0)</f>
        <v>0</v>
      </c>
      <c r="ED34" s="1997">
        <f>IFERROR(
IF(テーブル!$B$3="交付申請",ED60,
IF(AND(テーブル!$B$3="変更申請",ED$26=0),0,
IF(AND(テーブル!$B$3="変更申請",ED$26&gt;=1),ED60,
IF(テーブル!$B$3="実績報告（１次）",ED60,
IF(AND(テーブル!$B$3="交付申請（２次）",ED$26=0),0,
IF(AND(テーブル!$B$3="交付申請（２次）",ED$26&gt;=1),ED60,
IF(AND(テーブル!$B$3="交付申請兼実績報告（２次）",ED$26=0),0,
IF(AND(テーブル!$B$3="交付申請兼実績報告（２次）",ED$26&gt;=1),ED60,
IF(AND(テーブル!$B$3="実績報告（２次）",ED$26=0),0,
IF(AND(テーブル!$B$3="実績報告（２次）",ED$26&gt;=1),ED60)))))))))),0)</f>
        <v>0</v>
      </c>
      <c r="EE34" s="1997">
        <f>IFERROR(
IF(テーブル!$B$3="交付申請",EE60,
IF(AND(テーブル!$B$3="変更申請",EE$26=0),0,
IF(AND(テーブル!$B$3="変更申請",EE$26&gt;=1),EE60,
IF(テーブル!$B$3="実績報告（１次）",EE60,
IF(AND(テーブル!$B$3="交付申請（２次）",EE$26=0),0,
IF(AND(テーブル!$B$3="交付申請（２次）",EE$26&gt;=1),EE60,
IF(AND(テーブル!$B$3="交付申請兼実績報告（２次）",EE$26=0),0,
IF(AND(テーブル!$B$3="交付申請兼実績報告（２次）",EE$26&gt;=1),EE60,
IF(AND(テーブル!$B$3="実績報告（２次）",EE$26=0),0,
IF(AND(テーブル!$B$3="実績報告（２次）",EE$26&gt;=1),EE60)))))))))),0)</f>
        <v>0</v>
      </c>
      <c r="EF34" s="1997">
        <f>IFERROR(
IF(テーブル!$B$3="交付申請",EF60,
IF(AND(テーブル!$B$3="変更申請",EF$26=0),0,
IF(AND(テーブル!$B$3="変更申請",EF$26&gt;=1),EF60,
IF(テーブル!$B$3="実績報告（１次）",EF60,
IF(AND(テーブル!$B$3="交付申請（２次）",EF$26=0),0,
IF(AND(テーブル!$B$3="交付申請（２次）",EF$26&gt;=1),EF60,
IF(AND(テーブル!$B$3="交付申請兼実績報告（２次）",EF$26=0),0,
IF(AND(テーブル!$B$3="交付申請兼実績報告（２次）",EF$26&gt;=1),EF60,
IF(AND(テーブル!$B$3="実績報告（２次）",EF$26=0),0,
IF(AND(テーブル!$B$3="実績報告（２次）",EF$26&gt;=1),EF60)))))))))),0)</f>
        <v>0</v>
      </c>
      <c r="EG34" s="1997">
        <f>IFERROR(
IF(テーブル!$B$3="交付申請",EG60,
IF(AND(テーブル!$B$3="変更申請",EG$26=0),0,
IF(AND(テーブル!$B$3="変更申請",EG$26&gt;=1),EG60,
IF(テーブル!$B$3="実績報告（１次）",EG60,
IF(AND(テーブル!$B$3="交付申請（２次）",EG$26=0),0,
IF(AND(テーブル!$B$3="交付申請（２次）",EG$26&gt;=1),EG60,
IF(AND(テーブル!$B$3="交付申請兼実績報告（２次）",EG$26=0),0,
IF(AND(テーブル!$B$3="交付申請兼実績報告（２次）",EG$26&gt;=1),EG60,
IF(AND(テーブル!$B$3="実績報告（２次）",EG$26=0),0,
IF(AND(テーブル!$B$3="実績報告（２次）",EG$26&gt;=1),EG60)))))))))),0)</f>
        <v>0</v>
      </c>
      <c r="EH34" s="1997">
        <f>IFERROR(
IF(テーブル!$B$3="交付申請",EH60,
IF(AND(テーブル!$B$3="変更申請",EH$26=0),0,
IF(AND(テーブル!$B$3="変更申請",EH$26&gt;=1),EH60,
IF(テーブル!$B$3="実績報告（１次）",EH60,
IF(AND(テーブル!$B$3="交付申請（２次）",EH$26=0),0,
IF(AND(テーブル!$B$3="交付申請（２次）",EH$26&gt;=1),EH60,
IF(AND(テーブル!$B$3="交付申請兼実績報告（２次）",EH$26=0),0,
IF(AND(テーブル!$B$3="交付申請兼実績報告（２次）",EH$26&gt;=1),EH60,
IF(AND(テーブル!$B$3="実績報告（２次）",EH$26=0),0,
IF(AND(テーブル!$B$3="実績報告（２次）",EH$26&gt;=1),EH60)))))))))),0)</f>
        <v>0</v>
      </c>
      <c r="EI34" s="1997">
        <f>IFERROR(
IF(テーブル!$B$3="交付申請",EI60,
IF(AND(テーブル!$B$3="変更申請",EI$26=0),0,
IF(AND(テーブル!$B$3="変更申請",EI$26&gt;=1),EI60,
IF(テーブル!$B$3="実績報告（１次）",EI60,
IF(AND(テーブル!$B$3="交付申請（２次）",EI$26=0),0,
IF(AND(テーブル!$B$3="交付申請（２次）",EI$26&gt;=1),EI60,
IF(AND(テーブル!$B$3="交付申請兼実績報告（２次）",EI$26=0),0,
IF(AND(テーブル!$B$3="交付申請兼実績報告（２次）",EI$26&gt;=1),EI60,
IF(AND(テーブル!$B$3="実績報告（２次）",EI$26=0),0,
IF(AND(テーブル!$B$3="実績報告（２次）",EI$26&gt;=1),EI60)))))))))),0)</f>
        <v>0</v>
      </c>
      <c r="EJ34" s="1997">
        <f>IFERROR(
IF(テーブル!$B$3="交付申請",EJ60,
IF(AND(テーブル!$B$3="変更申請",EJ$26=0),0,
IF(AND(テーブル!$B$3="変更申請",EJ$26&gt;=1),EJ60,
IF(テーブル!$B$3="実績報告（１次）",EJ60,
IF(AND(テーブル!$B$3="交付申請（２次）",EJ$26=0),0,
IF(AND(テーブル!$B$3="交付申請（２次）",EJ$26&gt;=1),EJ60,
IF(AND(テーブル!$B$3="交付申請兼実績報告（２次）",EJ$26=0),0,
IF(AND(テーブル!$B$3="交付申請兼実績報告（２次）",EJ$26&gt;=1),EJ60,
IF(AND(テーブル!$B$3="実績報告（２次）",EJ$26=0),0,
IF(AND(テーブル!$B$3="実績報告（２次）",EJ$26&gt;=1),EJ60)))))))))),0)</f>
        <v>0</v>
      </c>
      <c r="EK34" s="1997">
        <f>IFERROR(
IF(テーブル!$B$3="交付申請",EK60,
IF(AND(テーブル!$B$3="変更申請",EK$26=0),0,
IF(AND(テーブル!$B$3="変更申請",EK$26&gt;=1),EK60,
IF(テーブル!$B$3="実績報告（１次）",EK60,
IF(AND(テーブル!$B$3="交付申請（２次）",EK$26=0),0,
IF(AND(テーブル!$B$3="交付申請（２次）",EK$26&gt;=1),EK60,
IF(AND(テーブル!$B$3="交付申請兼実績報告（２次）",EK$26=0),0,
IF(AND(テーブル!$B$3="交付申請兼実績報告（２次）",EK$26&gt;=1),EK60,
IF(AND(テーブル!$B$3="実績報告（２次）",EK$26=0),0,
IF(AND(テーブル!$B$3="実績報告（２次）",EK$26&gt;=1),EK60)))))))))),0)</f>
        <v>0</v>
      </c>
      <c r="EL34" s="1997">
        <f>IFERROR(
IF(テーブル!$B$3="交付申請",EL60,
IF(AND(テーブル!$B$3="変更申請",EL$26=0),0,
IF(AND(テーブル!$B$3="変更申請",EL$26&gt;=1),EL60,
IF(テーブル!$B$3="実績報告（１次）",EL60,
IF(AND(テーブル!$B$3="交付申請（２次）",EL$26=0),0,
IF(AND(テーブル!$B$3="交付申請（２次）",EL$26&gt;=1),EL60,
IF(AND(テーブル!$B$3="交付申請兼実績報告（２次）",EL$26=0),0,
IF(AND(テーブル!$B$3="交付申請兼実績報告（２次）",EL$26&gt;=1),EL60,
IF(AND(テーブル!$B$3="実績報告（２次）",EL$26=0),0,
IF(AND(テーブル!$B$3="実績報告（２次）",EL$26&gt;=1),EL60)))))))))),0)</f>
        <v>0</v>
      </c>
      <c r="EM34" s="1997">
        <f>IFERROR(
IF(テーブル!$B$3="交付申請",EM60,
IF(AND(テーブル!$B$3="変更申請",EM$26=0),0,
IF(AND(テーブル!$B$3="変更申請",EM$26&gt;=1),EM60,
IF(テーブル!$B$3="実績報告（１次）",EM60,
IF(AND(テーブル!$B$3="交付申請（２次）",EM$26=0),0,
IF(AND(テーブル!$B$3="交付申請（２次）",EM$26&gt;=1),EM60,
IF(AND(テーブル!$B$3="交付申請兼実績報告（２次）",EM$26=0),0,
IF(AND(テーブル!$B$3="交付申請兼実績報告（２次）",EM$26&gt;=1),EM60,
IF(AND(テーブル!$B$3="実績報告（２次）",EM$26=0),0,
IF(AND(テーブル!$B$3="実績報告（２次）",EM$26&gt;=1),EM60)))))))))),0)</f>
        <v>0</v>
      </c>
      <c r="EN34" s="1997">
        <f>IFERROR(
IF(テーブル!$B$3="交付申請",EN60,
IF(AND(テーブル!$B$3="変更申請",EN$26=0),0,
IF(AND(テーブル!$B$3="変更申請",EN$26&gt;=1),EN60,
IF(テーブル!$B$3="実績報告（１次）",EN60,
IF(AND(テーブル!$B$3="交付申請（２次）",EN$26=0),0,
IF(AND(テーブル!$B$3="交付申請（２次）",EN$26&gt;=1),EN60,
IF(AND(テーブル!$B$3="交付申請兼実績報告（２次）",EN$26=0),0,
IF(AND(テーブル!$B$3="交付申請兼実績報告（２次）",EN$26&gt;=1),EN60,
IF(AND(テーブル!$B$3="実績報告（２次）",EN$26=0),0,
IF(AND(テーブル!$B$3="実績報告（２次）",EN$26&gt;=1),EN60)))))))))),0)</f>
        <v>0</v>
      </c>
      <c r="EO34" s="1997">
        <f>IFERROR(
IF(テーブル!$B$3="交付申請",EO60,
IF(AND(テーブル!$B$3="変更申請",EO$26=0),0,
IF(AND(テーブル!$B$3="変更申請",EO$26&gt;=1),EO60,
IF(テーブル!$B$3="実績報告（１次）",EO60,
IF(AND(テーブル!$B$3="交付申請（２次）",EO$26=0),0,
IF(AND(テーブル!$B$3="交付申請（２次）",EO$26&gt;=1),EO60,
IF(AND(テーブル!$B$3="交付申請兼実績報告（２次）",EO$26=0),0,
IF(AND(テーブル!$B$3="交付申請兼実績報告（２次）",EO$26&gt;=1),EO60,
IF(AND(テーブル!$B$3="実績報告（２次）",EO$26=0),0,
IF(AND(テーブル!$B$3="実績報告（２次）",EO$26&gt;=1),EO60)))))))))),0)</f>
        <v>0</v>
      </c>
      <c r="EP34" s="1997">
        <f>IFERROR(
IF(テーブル!$B$3="交付申請",EP60,
IF(AND(テーブル!$B$3="変更申請",EP$26=0),0,
IF(AND(テーブル!$B$3="変更申請",EP$26&gt;=1),EP60,
IF(テーブル!$B$3="実績報告（１次）",EP60,
IF(AND(テーブル!$B$3="交付申請（２次）",EP$26=0),0,
IF(AND(テーブル!$B$3="交付申請（２次）",EP$26&gt;=1),EP60,
IF(AND(テーブル!$B$3="交付申請兼実績報告（２次）",EP$26=0),0,
IF(AND(テーブル!$B$3="交付申請兼実績報告（２次）",EP$26&gt;=1),EP60,
IF(AND(テーブル!$B$3="実績報告（２次）",EP$26=0),0,
IF(AND(テーブル!$B$3="実績報告（２次）",EP$26&gt;=1),EP60)))))))))),0)</f>
        <v>0</v>
      </c>
      <c r="EQ34" s="1997">
        <f>IFERROR(
IF(テーブル!$B$3="交付申請",EQ60,
IF(AND(テーブル!$B$3="変更申請",EQ$26=0),0,
IF(AND(テーブル!$B$3="変更申請",EQ$26&gt;=1),EQ60,
IF(テーブル!$B$3="実績報告（１次）",EQ60,
IF(AND(テーブル!$B$3="交付申請（２次）",EQ$26=0),0,
IF(AND(テーブル!$B$3="交付申請（２次）",EQ$26&gt;=1),EQ60,
IF(AND(テーブル!$B$3="交付申請兼実績報告（２次）",EQ$26=0),0,
IF(AND(テーブル!$B$3="交付申請兼実績報告（２次）",EQ$26&gt;=1),EQ60,
IF(AND(テーブル!$B$3="実績報告（２次）",EQ$26=0),0,
IF(AND(テーブル!$B$3="実績報告（２次）",EQ$26&gt;=1),EQ60)))))))))),0)</f>
        <v>0</v>
      </c>
      <c r="ER34" s="1997">
        <f>IFERROR(
IF(テーブル!$B$3="交付申請",ER60,
IF(AND(テーブル!$B$3="変更申請",ER$26=0),0,
IF(AND(テーブル!$B$3="変更申請",ER$26&gt;=1),ER60,
IF(テーブル!$B$3="実績報告（１次）",ER60,
IF(AND(テーブル!$B$3="交付申請（２次）",ER$26=0),0,
IF(AND(テーブル!$B$3="交付申請（２次）",ER$26&gt;=1),ER60,
IF(AND(テーブル!$B$3="交付申請兼実績報告（２次）",ER$26=0),0,
IF(AND(テーブル!$B$3="交付申請兼実績報告（２次）",ER$26&gt;=1),ER60,
IF(AND(テーブル!$B$3="実績報告（２次）",ER$26=0),0,
IF(AND(テーブル!$B$3="実績報告（２次）",ER$26&gt;=1),ER60)))))))))),0)</f>
        <v>0</v>
      </c>
      <c r="ES34" s="1997">
        <f>IFERROR(
IF(テーブル!$B$3="交付申請",ES60,
IF(AND(テーブル!$B$3="変更申請",ES$26=0),0,
IF(AND(テーブル!$B$3="変更申請",ES$26&gt;=1),ES60,
IF(テーブル!$B$3="実績報告（１次）",ES60,
IF(AND(テーブル!$B$3="交付申請（２次）",ES$26=0),0,
IF(AND(テーブル!$B$3="交付申請（２次）",ES$26&gt;=1),ES60,
IF(AND(テーブル!$B$3="交付申請兼実績報告（２次）",ES$26=0),0,
IF(AND(テーブル!$B$3="交付申請兼実績報告（２次）",ES$26&gt;=1),ES60,
IF(AND(テーブル!$B$3="実績報告（２次）",ES$26=0),0,
IF(AND(テーブル!$B$3="実績報告（２次）",ES$26&gt;=1),ES60)))))))))),0)</f>
        <v>0</v>
      </c>
      <c r="ET34" s="1997">
        <f>IFERROR(
IF(テーブル!$B$3="交付申請",ET60,
IF(AND(テーブル!$B$3="変更申請",ET$26=0),0,
IF(AND(テーブル!$B$3="変更申請",ET$26&gt;=1),ET60,
IF(テーブル!$B$3="実績報告（１次）",ET60,
IF(AND(テーブル!$B$3="交付申請（２次）",ET$26=0),0,
IF(AND(テーブル!$B$3="交付申請（２次）",ET$26&gt;=1),ET60,
IF(AND(テーブル!$B$3="交付申請兼実績報告（２次）",ET$26=0),0,
IF(AND(テーブル!$B$3="交付申請兼実績報告（２次）",ET$26&gt;=1),ET60,
IF(AND(テーブル!$B$3="実績報告（２次）",ET$26=0),0,
IF(AND(テーブル!$B$3="実績報告（２次）",ET$26&gt;=1),ET60)))))))))),0)</f>
        <v>0</v>
      </c>
      <c r="EU34" s="1997">
        <f>IFERROR(
IF(テーブル!$B$3="交付申請",EU60,
IF(AND(テーブル!$B$3="変更申請",EU$26=0),0,
IF(AND(テーブル!$B$3="変更申請",EU$26&gt;=1),EU60,
IF(テーブル!$B$3="実績報告（１次）",EU60,
IF(AND(テーブル!$B$3="交付申請（２次）",EU$26=0),0,
IF(AND(テーブル!$B$3="交付申請（２次）",EU$26&gt;=1),EU60,
IF(AND(テーブル!$B$3="交付申請兼実績報告（２次）",EU$26=0),0,
IF(AND(テーブル!$B$3="交付申請兼実績報告（２次）",EU$26&gt;=1),EU60,
IF(AND(テーブル!$B$3="実績報告（２次）",EU$26=0),0,
IF(AND(テーブル!$B$3="実績報告（２次）",EU$26&gt;=1),EU60)))))))))),0)</f>
        <v>0</v>
      </c>
      <c r="EV34" s="1997">
        <f>IFERROR(
IF(テーブル!$B$3="交付申請",EV60,
IF(AND(テーブル!$B$3="変更申請",EV$26=0),0,
IF(AND(テーブル!$B$3="変更申請",EV$26&gt;=1),EV60,
IF(テーブル!$B$3="実績報告（１次）",EV60,
IF(AND(テーブル!$B$3="交付申請（２次）",EV$26=0),0,
IF(AND(テーブル!$B$3="交付申請（２次）",EV$26&gt;=1),EV60,
IF(AND(テーブル!$B$3="交付申請兼実績報告（２次）",EV$26=0),0,
IF(AND(テーブル!$B$3="交付申請兼実績報告（２次）",EV$26&gt;=1),EV60,
IF(AND(テーブル!$B$3="実績報告（２次）",EV$26=0),0,
IF(AND(テーブル!$B$3="実績報告（２次）",EV$26&gt;=1),EV60)))))))))),0)</f>
        <v>0</v>
      </c>
      <c r="EW34" s="1997">
        <f>IFERROR(
IF(テーブル!$B$3="交付申請",EW60,
IF(AND(テーブル!$B$3="変更申請",EW$26=0),0,
IF(AND(テーブル!$B$3="変更申請",EW$26&gt;=1),EW60,
IF(テーブル!$B$3="実績報告（１次）",EW60,
IF(AND(テーブル!$B$3="交付申請（２次）",EW$26=0),0,
IF(AND(テーブル!$B$3="交付申請（２次）",EW$26&gt;=1),EW60,
IF(AND(テーブル!$B$3="交付申請兼実績報告（２次）",EW$26=0),0,
IF(AND(テーブル!$B$3="交付申請兼実績報告（２次）",EW$26&gt;=1),EW60,
IF(AND(テーブル!$B$3="実績報告（２次）",EW$26=0),0,
IF(AND(テーブル!$B$3="実績報告（２次）",EW$26&gt;=1),EW60)))))))))),0)</f>
        <v>0</v>
      </c>
      <c r="EX34" s="1997">
        <f>IFERROR(
IF(テーブル!$B$3="交付申請",EX60,
IF(AND(テーブル!$B$3="変更申請",EX$26=0),0,
IF(AND(テーブル!$B$3="変更申請",EX$26&gt;=1),EX60,
IF(テーブル!$B$3="実績報告（１次）",EX60,
IF(AND(テーブル!$B$3="交付申請（２次）",EX$26=0),0,
IF(AND(テーブル!$B$3="交付申請（２次）",EX$26&gt;=1),EX60,
IF(AND(テーブル!$B$3="交付申請兼実績報告（２次）",EX$26=0),0,
IF(AND(テーブル!$B$3="交付申請兼実績報告（２次）",EX$26&gt;=1),EX60,
IF(AND(テーブル!$B$3="実績報告（２次）",EX$26=0),0,
IF(AND(テーブル!$B$3="実績報告（２次）",EX$26&gt;=1),EX60)))))))))),0)</f>
        <v>0</v>
      </c>
      <c r="EY34" s="1997">
        <f>IFERROR(
IF(テーブル!$B$3="交付申請",EY60,
IF(AND(テーブル!$B$3="変更申請",EY$26=0),0,
IF(AND(テーブル!$B$3="変更申請",EY$26&gt;=1),EY60,
IF(テーブル!$B$3="実績報告（１次）",EY60,
IF(AND(テーブル!$B$3="交付申請（２次）",EY$26=0),0,
IF(AND(テーブル!$B$3="交付申請（２次）",EY$26&gt;=1),EY60,
IF(AND(テーブル!$B$3="交付申請兼実績報告（２次）",EY$26=0),0,
IF(AND(テーブル!$B$3="交付申請兼実績報告（２次）",EY$26&gt;=1),EY60,
IF(AND(テーブル!$B$3="実績報告（２次）",EY$26=0),0,
IF(AND(テーブル!$B$3="実績報告（２次）",EY$26&gt;=1),EY60)))))))))),0)</f>
        <v>0</v>
      </c>
      <c r="EZ34" s="1997">
        <f>IFERROR(
IF(テーブル!$B$3="交付申請",EZ60,
IF(AND(テーブル!$B$3="変更申請",EZ$26=0),0,
IF(AND(テーブル!$B$3="変更申請",EZ$26&gt;=1),EZ60,
IF(テーブル!$B$3="実績報告（１次）",EZ60,
IF(AND(テーブル!$B$3="交付申請（２次）",EZ$26=0),0,
IF(AND(テーブル!$B$3="交付申請（２次）",EZ$26&gt;=1),EZ60,
IF(AND(テーブル!$B$3="交付申請兼実績報告（２次）",EZ$26=0),0,
IF(AND(テーブル!$B$3="交付申請兼実績報告（２次）",EZ$26&gt;=1),EZ60,
IF(AND(テーブル!$B$3="実績報告（２次）",EZ$26=0),0,
IF(AND(テーブル!$B$3="実績報告（２次）",EZ$26&gt;=1),EZ60)))))))))),0)</f>
        <v>0</v>
      </c>
      <c r="FA34" s="1997">
        <f>IFERROR(
IF(テーブル!$B$3="交付申請",FA60,
IF(AND(テーブル!$B$3="変更申請",FA$26=0),0,
IF(AND(テーブル!$B$3="変更申請",FA$26&gt;=1),FA60,
IF(テーブル!$B$3="実績報告（１次）",FA60,
IF(AND(テーブル!$B$3="交付申請（２次）",FA$26=0),0,
IF(AND(テーブル!$B$3="交付申請（２次）",FA$26&gt;=1),FA60,
IF(AND(テーブル!$B$3="交付申請兼実績報告（２次）",FA$26=0),0,
IF(AND(テーブル!$B$3="交付申請兼実績報告（２次）",FA$26&gt;=1),FA60,
IF(AND(テーブル!$B$3="実績報告（２次）",FA$26=0),0,
IF(AND(テーブル!$B$3="実績報告（２次）",FA$26&gt;=1),FA60)))))))))),0)</f>
        <v>0</v>
      </c>
      <c r="FB34" s="1997">
        <f>IFERROR(
IF(テーブル!$B$3="交付申請",FB60,
IF(AND(テーブル!$B$3="変更申請",FB$26=0),0,
IF(AND(テーブル!$B$3="変更申請",FB$26&gt;=1),FB60,
IF(テーブル!$B$3="実績報告（１次）",FB60,
IF(AND(テーブル!$B$3="交付申請（２次）",FB$26=0),0,
IF(AND(テーブル!$B$3="交付申請（２次）",FB$26&gt;=1),FB60,
IF(AND(テーブル!$B$3="交付申請兼実績報告（２次）",FB$26=0),0,
IF(AND(テーブル!$B$3="交付申請兼実績報告（２次）",FB$26&gt;=1),FB60,
IF(AND(テーブル!$B$3="実績報告（２次）",FB$26=0),0,
IF(AND(テーブル!$B$3="実績報告（２次）",FB$26&gt;=1),FB60)))))))))),0)</f>
        <v>0</v>
      </c>
      <c r="FC34" s="1997">
        <f>IFERROR(
IF(テーブル!$B$3="交付申請",FC60,
IF(AND(テーブル!$B$3="変更申請",FC$26=0),0,
IF(AND(テーブル!$B$3="変更申請",FC$26&gt;=1),FC60,
IF(テーブル!$B$3="実績報告（１次）",FC60,
IF(AND(テーブル!$B$3="交付申請（２次）",FC$26=0),0,
IF(AND(テーブル!$B$3="交付申請（２次）",FC$26&gt;=1),FC60,
IF(AND(テーブル!$B$3="交付申請兼実績報告（２次）",FC$26=0),0,
IF(AND(テーブル!$B$3="交付申請兼実績報告（２次）",FC$26&gt;=1),FC60,
IF(AND(テーブル!$B$3="実績報告（２次）",FC$26=0),0,
IF(AND(テーブル!$B$3="実績報告（２次）",FC$26&gt;=1),FC60)))))))))),0)</f>
        <v>0</v>
      </c>
      <c r="FD34" s="1997">
        <f>IFERROR(
IF(テーブル!$B$3="交付申請",FD60,
IF(AND(テーブル!$B$3="変更申請",FD$26=0),0,
IF(AND(テーブル!$B$3="変更申請",FD$26&gt;=1),FD60,
IF(テーブル!$B$3="実績報告（１次）",FD60,
IF(AND(テーブル!$B$3="交付申請（２次）",FD$26=0),0,
IF(AND(テーブル!$B$3="交付申請（２次）",FD$26&gt;=1),FD60,
IF(AND(テーブル!$B$3="交付申請兼実績報告（２次）",FD$26=0),0,
IF(AND(テーブル!$B$3="交付申請兼実績報告（２次）",FD$26&gt;=1),FD60,
IF(AND(テーブル!$B$3="実績報告（２次）",FD$26=0),0,
IF(AND(テーブル!$B$3="実績報告（２次）",FD$26&gt;=1),FD60)))))))))),0)</f>
        <v>0</v>
      </c>
      <c r="FE34" s="1997">
        <f>IFERROR(
IF(テーブル!$B$3="交付申請",FE60,
IF(AND(テーブル!$B$3="変更申請",FE$26=0),0,
IF(AND(テーブル!$B$3="変更申請",FE$26&gt;=1),FE60,
IF(テーブル!$B$3="実績報告（１次）",FE60,
IF(AND(テーブル!$B$3="交付申請（２次）",FE$26=0),0,
IF(AND(テーブル!$B$3="交付申請（２次）",FE$26&gt;=1),FE60,
IF(AND(テーブル!$B$3="交付申請兼実績報告（２次）",FE$26=0),0,
IF(AND(テーブル!$B$3="交付申請兼実績報告（２次）",FE$26&gt;=1),FE60,
IF(AND(テーブル!$B$3="実績報告（２次）",FE$26=0),0,
IF(AND(テーブル!$B$3="実績報告（２次）",FE$26&gt;=1),FE60)))))))))),0)</f>
        <v>0</v>
      </c>
      <c r="FF34" s="1997">
        <f>IFERROR(
IF(テーブル!$B$3="交付申請",FF60,
IF(AND(テーブル!$B$3="変更申請",FF$26=0),0,
IF(AND(テーブル!$B$3="変更申請",FF$26&gt;=1),FF60,
IF(テーブル!$B$3="実績報告（１次）",FF60,
IF(AND(テーブル!$B$3="交付申請（２次）",FF$26=0),0,
IF(AND(テーブル!$B$3="交付申請（２次）",FF$26&gt;=1),FF60,
IF(AND(テーブル!$B$3="交付申請兼実績報告（２次）",FF$26=0),0,
IF(AND(テーブル!$B$3="交付申請兼実績報告（２次）",FF$26&gt;=1),FF60,
IF(AND(テーブル!$B$3="実績報告（２次）",FF$26=0),0,
IF(AND(テーブル!$B$3="実績報告（２次）",FF$26&gt;=1),FF60)))))))))),0)</f>
        <v>0</v>
      </c>
      <c r="FG34" s="1997">
        <f>IFERROR(
IF(テーブル!$B$3="交付申請",FG60,
IF(AND(テーブル!$B$3="変更申請",FG$26=0),0,
IF(AND(テーブル!$B$3="変更申請",FG$26&gt;=1),FG60,
IF(テーブル!$B$3="実績報告（１次）",FG60,
IF(AND(テーブル!$B$3="交付申請（２次）",FG$26=0),0,
IF(AND(テーブル!$B$3="交付申請（２次）",FG$26&gt;=1),FG60,
IF(AND(テーブル!$B$3="交付申請兼実績報告（２次）",FG$26=0),0,
IF(AND(テーブル!$B$3="交付申請兼実績報告（２次）",FG$26&gt;=1),FG60,
IF(AND(テーブル!$B$3="実績報告（２次）",FG$26=0),0,
IF(AND(テーブル!$B$3="実績報告（２次）",FG$26&gt;=1),FG60)))))))))),0)</f>
        <v>0</v>
      </c>
      <c r="FH34" s="1997">
        <f>IFERROR(
IF(テーブル!$B$3="交付申請",FH60,
IF(AND(テーブル!$B$3="変更申請",FH$26=0),0,
IF(AND(テーブル!$B$3="変更申請",FH$26&gt;=1),FH60,
IF(テーブル!$B$3="実績報告（１次）",FH60,
IF(AND(テーブル!$B$3="交付申請（２次）",FH$26=0),0,
IF(AND(テーブル!$B$3="交付申請（２次）",FH$26&gt;=1),FH60,
IF(AND(テーブル!$B$3="交付申請兼実績報告（２次）",FH$26=0),0,
IF(AND(テーブル!$B$3="交付申請兼実績報告（２次）",FH$26&gt;=1),FH60,
IF(AND(テーブル!$B$3="実績報告（２次）",FH$26=0),0,
IF(AND(テーブル!$B$3="実績報告（２次）",FH$26&gt;=1),FH60)))))))))),0)</f>
        <v>0</v>
      </c>
      <c r="FI34" s="1997">
        <f>IFERROR(
IF(テーブル!$B$3="交付申請",FI60,
IF(AND(テーブル!$B$3="変更申請",FI$26=0),0,
IF(AND(テーブル!$B$3="変更申請",FI$26&gt;=1),FI60,
IF(テーブル!$B$3="実績報告（１次）",FI60,
IF(AND(テーブル!$B$3="交付申請（２次）",FI$26=0),0,
IF(AND(テーブル!$B$3="交付申請（２次）",FI$26&gt;=1),FI60,
IF(AND(テーブル!$B$3="交付申請兼実績報告（２次）",FI$26=0),0,
IF(AND(テーブル!$B$3="交付申請兼実績報告（２次）",FI$26&gt;=1),FI60,
IF(AND(テーブル!$B$3="実績報告（２次）",FI$26=0),0,
IF(AND(テーブル!$B$3="実績報告（２次）",FI$26&gt;=1),FI60)))))))))),0)</f>
        <v>0</v>
      </c>
      <c r="FJ34" s="1997">
        <f>IFERROR(
IF(テーブル!$B$3="交付申請",FJ60,
IF(AND(テーブル!$B$3="変更申請",FJ$26=0),0,
IF(AND(テーブル!$B$3="変更申請",FJ$26&gt;=1),FJ60,
IF(テーブル!$B$3="実績報告（１次）",FJ60,
IF(AND(テーブル!$B$3="交付申請（２次）",FJ$26=0),0,
IF(AND(テーブル!$B$3="交付申請（２次）",FJ$26&gt;=1),FJ60,
IF(AND(テーブル!$B$3="交付申請兼実績報告（２次）",FJ$26=0),0,
IF(AND(テーブル!$B$3="交付申請兼実績報告（２次）",FJ$26&gt;=1),FJ60,
IF(AND(テーブル!$B$3="実績報告（２次）",FJ$26=0),0,
IF(AND(テーブル!$B$3="実績報告（２次）",FJ$26&gt;=1),FJ60)))))))))),0)</f>
        <v>0</v>
      </c>
      <c r="FK34" s="1997">
        <f>IFERROR(
IF(テーブル!$B$3="交付申請",FK60,
IF(AND(テーブル!$B$3="変更申請",FK$26=0),0,
IF(AND(テーブル!$B$3="変更申請",FK$26&gt;=1),FK60,
IF(テーブル!$B$3="実績報告（１次）",FK60,
IF(AND(テーブル!$B$3="交付申請（２次）",FK$26=0),0,
IF(AND(テーブル!$B$3="交付申請（２次）",FK$26&gt;=1),FK60,
IF(AND(テーブル!$B$3="交付申請兼実績報告（２次）",FK$26=0),0,
IF(AND(テーブル!$B$3="交付申請兼実績報告（２次）",FK$26&gt;=1),FK60,
IF(AND(テーブル!$B$3="実績報告（２次）",FK$26=0),0,
IF(AND(テーブル!$B$3="実績報告（２次）",FK$26&gt;=1),FK60)))))))))),0)</f>
        <v>0</v>
      </c>
      <c r="FL34" s="1997">
        <f>IFERROR(
IF(テーブル!$B$3="交付申請",FL60,
IF(AND(テーブル!$B$3="変更申請",FL$26=0),0,
IF(AND(テーブル!$B$3="変更申請",FL$26&gt;=1),FL60,
IF(テーブル!$B$3="実績報告（１次）",FL60,
IF(AND(テーブル!$B$3="交付申請（２次）",FL$26=0),0,
IF(AND(テーブル!$B$3="交付申請（２次）",FL$26&gt;=1),FL60,
IF(AND(テーブル!$B$3="交付申請兼実績報告（２次）",FL$26=0),0,
IF(AND(テーブル!$B$3="交付申請兼実績報告（２次）",FL$26&gt;=1),FL60,
IF(AND(テーブル!$B$3="実績報告（２次）",FL$26=0),0,
IF(AND(テーブル!$B$3="実績報告（２次）",FL$26&gt;=1),FL60)))))))))),0)</f>
        <v>0</v>
      </c>
      <c r="FM34" s="1997">
        <f>IFERROR(
IF(テーブル!$B$3="交付申請",FM60,
IF(AND(テーブル!$B$3="変更申請",FM$26=0),0,
IF(AND(テーブル!$B$3="変更申請",FM$26&gt;=1),FM60,
IF(テーブル!$B$3="実績報告（１次）",FM60,
IF(AND(テーブル!$B$3="交付申請（２次）",FM$26=0),0,
IF(AND(テーブル!$B$3="交付申請（２次）",FM$26&gt;=1),FM60,
IF(AND(テーブル!$B$3="交付申請兼実績報告（２次）",FM$26=0),0,
IF(AND(テーブル!$B$3="交付申請兼実績報告（２次）",FM$26&gt;=1),FM60,
IF(AND(テーブル!$B$3="実績報告（２次）",FM$26=0),0,
IF(AND(テーブル!$B$3="実績報告（２次）",FM$26&gt;=1),FM60)))))))))),0)</f>
        <v>0</v>
      </c>
      <c r="FN34" s="1997">
        <f>IFERROR(
IF(テーブル!$B$3="交付申請",FN60,
IF(AND(テーブル!$B$3="変更申請",FN$26=0),0,
IF(AND(テーブル!$B$3="変更申請",FN$26&gt;=1),FN60,
IF(テーブル!$B$3="実績報告（１次）",FN60,
IF(AND(テーブル!$B$3="交付申請（２次）",FN$26=0),0,
IF(AND(テーブル!$B$3="交付申請（２次）",FN$26&gt;=1),FN60,
IF(AND(テーブル!$B$3="交付申請兼実績報告（２次）",FN$26=0),0,
IF(AND(テーブル!$B$3="交付申請兼実績報告（２次）",FN$26&gt;=1),FN60,
IF(AND(テーブル!$B$3="実績報告（２次）",FN$26=0),0,
IF(AND(テーブル!$B$3="実績報告（２次）",FN$26&gt;=1),FN60)))))))))),0)</f>
        <v>0</v>
      </c>
      <c r="FO34" s="1997">
        <f>IFERROR(
IF(テーブル!$B$3="交付申請",FO60,
IF(AND(テーブル!$B$3="変更申請",FO$26=0),0,
IF(AND(テーブル!$B$3="変更申請",FO$26&gt;=1),FO60,
IF(テーブル!$B$3="実績報告（１次）",FO60,
IF(AND(テーブル!$B$3="交付申請（２次）",FO$26=0),0,
IF(AND(テーブル!$B$3="交付申請（２次）",FO$26&gt;=1),FO60,
IF(AND(テーブル!$B$3="交付申請兼実績報告（２次）",FO$26=0),0,
IF(AND(テーブル!$B$3="交付申請兼実績報告（２次）",FO$26&gt;=1),FO60,
IF(AND(テーブル!$B$3="実績報告（２次）",FO$26=0),0,
IF(AND(テーブル!$B$3="実績報告（２次）",FO$26&gt;=1),FO60)))))))))),0)</f>
        <v>0</v>
      </c>
      <c r="FP34" s="1997">
        <f>IFERROR(
IF(テーブル!$B$3="交付申請",FP60,
IF(AND(テーブル!$B$3="変更申請",FP$26=0),0,
IF(AND(テーブル!$B$3="変更申請",FP$26&gt;=1),FP60,
IF(テーブル!$B$3="実績報告（１次）",FP60,
IF(AND(テーブル!$B$3="交付申請（２次）",FP$26=0),0,
IF(AND(テーブル!$B$3="交付申請（２次）",FP$26&gt;=1),FP60,
IF(AND(テーブル!$B$3="交付申請兼実績報告（２次）",FP$26=0),0,
IF(AND(テーブル!$B$3="交付申請兼実績報告（２次）",FP$26&gt;=1),FP60,
IF(AND(テーブル!$B$3="実績報告（２次）",FP$26=0),0,
IF(AND(テーブル!$B$3="実績報告（２次）",FP$26&gt;=1),FP60)))))))))),0)</f>
        <v>0</v>
      </c>
      <c r="FQ34" s="1997">
        <f>IFERROR(
IF(テーブル!$B$3="交付申請",FQ60,
IF(AND(テーブル!$B$3="変更申請",FQ$26=0),0,
IF(AND(テーブル!$B$3="変更申請",FQ$26&gt;=1),FQ60,
IF(テーブル!$B$3="実績報告（１次）",FQ60,
IF(AND(テーブル!$B$3="交付申請（２次）",FQ$26=0),0,
IF(AND(テーブル!$B$3="交付申請（２次）",FQ$26&gt;=1),FQ60,
IF(AND(テーブル!$B$3="交付申請兼実績報告（２次）",FQ$26=0),0,
IF(AND(テーブル!$B$3="交付申請兼実績報告（２次）",FQ$26&gt;=1),FQ60,
IF(AND(テーブル!$B$3="実績報告（２次）",FQ$26=0),0,
IF(AND(テーブル!$B$3="実績報告（２次）",FQ$26&gt;=1),FQ60)))))))))),0)</f>
        <v>0</v>
      </c>
      <c r="FR34" s="1997">
        <f>IFERROR(
IF(テーブル!$B$3="交付申請",FR60,
IF(AND(テーブル!$B$3="変更申請",FR$26=0),0,
IF(AND(テーブル!$B$3="変更申請",FR$26&gt;=1),FR60,
IF(テーブル!$B$3="実績報告（１次）",FR60,
IF(AND(テーブル!$B$3="交付申請（２次）",FR$26=0),0,
IF(AND(テーブル!$B$3="交付申請（２次）",FR$26&gt;=1),FR60,
IF(AND(テーブル!$B$3="交付申請兼実績報告（２次）",FR$26=0),0,
IF(AND(テーブル!$B$3="交付申請兼実績報告（２次）",FR$26&gt;=1),FR60,
IF(AND(テーブル!$B$3="実績報告（２次）",FR$26=0),0,
IF(AND(テーブル!$B$3="実績報告（２次）",FR$26&gt;=1),FR60)))))))))),0)</f>
        <v>0</v>
      </c>
      <c r="FS34" s="1997">
        <f>IFERROR(
IF(テーブル!$B$3="交付申請",FS60,
IF(AND(テーブル!$B$3="変更申請",FS$26=0),0,
IF(AND(テーブル!$B$3="変更申請",FS$26&gt;=1),FS60,
IF(テーブル!$B$3="実績報告（１次）",FS60,
IF(AND(テーブル!$B$3="交付申請（２次）",FS$26=0),0,
IF(AND(テーブル!$B$3="交付申請（２次）",FS$26&gt;=1),FS60,
IF(AND(テーブル!$B$3="交付申請兼実績報告（２次）",FS$26=0),0,
IF(AND(テーブル!$B$3="交付申請兼実績報告（２次）",FS$26&gt;=1),FS60,
IF(AND(テーブル!$B$3="実績報告（２次）",FS$26=0),0,
IF(AND(テーブル!$B$3="実績報告（２次）",FS$26&gt;=1),FS60)))))))))),0)</f>
        <v>0</v>
      </c>
      <c r="FT34" s="1997">
        <f>IFERROR(
IF(テーブル!$B$3="交付申請",FT60,
IF(AND(テーブル!$B$3="変更申請",FT$26=0),0,
IF(AND(テーブル!$B$3="変更申請",FT$26&gt;=1),FT60,
IF(テーブル!$B$3="実績報告（１次）",FT60,
IF(AND(テーブル!$B$3="交付申請（２次）",FT$26=0),0,
IF(AND(テーブル!$B$3="交付申請（２次）",FT$26&gt;=1),FT60,
IF(AND(テーブル!$B$3="交付申請兼実績報告（２次）",FT$26=0),0,
IF(AND(テーブル!$B$3="交付申請兼実績報告（２次）",FT$26&gt;=1),FT60,
IF(AND(テーブル!$B$3="実績報告（２次）",FT$26=0),0,
IF(AND(テーブル!$B$3="実績報告（２次）",FT$26&gt;=1),FT60)))))))))),0)</f>
        <v>0</v>
      </c>
      <c r="FU34" s="1997">
        <f>IFERROR(
IF(テーブル!$B$3="交付申請",FU60,
IF(AND(テーブル!$B$3="変更申請",FU$26=0),0,
IF(AND(テーブル!$B$3="変更申請",FU$26&gt;=1),FU60,
IF(テーブル!$B$3="実績報告（１次）",FU60,
IF(AND(テーブル!$B$3="交付申請（２次）",FU$26=0),0,
IF(AND(テーブル!$B$3="交付申請（２次）",FU$26&gt;=1),FU60,
IF(AND(テーブル!$B$3="交付申請兼実績報告（２次）",FU$26=0),0,
IF(AND(テーブル!$B$3="交付申請兼実績報告（２次）",FU$26&gt;=1),FU60,
IF(AND(テーブル!$B$3="実績報告（２次）",FU$26=0),0,
IF(AND(テーブル!$B$3="実績報告（２次）",FU$26&gt;=1),FU60)))))))))),0)</f>
        <v>0</v>
      </c>
      <c r="FV34" s="1997">
        <f>IFERROR(
IF(テーブル!$B$3="交付申請",FV60,
IF(AND(テーブル!$B$3="変更申請",FV$26=0),0,
IF(AND(テーブル!$B$3="変更申請",FV$26&gt;=1),FV60,
IF(テーブル!$B$3="実績報告（１次）",FV60,
IF(AND(テーブル!$B$3="交付申請（２次）",FV$26=0),0,
IF(AND(テーブル!$B$3="交付申請（２次）",FV$26&gt;=1),FV60,
IF(AND(テーブル!$B$3="交付申請兼実績報告（２次）",FV$26=0),0,
IF(AND(テーブル!$B$3="交付申請兼実績報告（２次）",FV$26&gt;=1),FV60,
IF(AND(テーブル!$B$3="実績報告（２次）",FV$26=0),0,
IF(AND(テーブル!$B$3="実績報告（２次）",FV$26&gt;=1),FV60)))))))))),0)</f>
        <v>0</v>
      </c>
      <c r="FW34" s="1997">
        <f>IFERROR(
IF(テーブル!$B$3="交付申請",FW60,
IF(AND(テーブル!$B$3="変更申請",FW$26=0),0,
IF(AND(テーブル!$B$3="変更申請",FW$26&gt;=1),FW60,
IF(テーブル!$B$3="実績報告（１次）",FW60,
IF(AND(テーブル!$B$3="交付申請（２次）",FW$26=0),0,
IF(AND(テーブル!$B$3="交付申請（２次）",FW$26&gt;=1),FW60,
IF(AND(テーブル!$B$3="交付申請兼実績報告（２次）",FW$26=0),0,
IF(AND(テーブル!$B$3="交付申請兼実績報告（２次）",FW$26&gt;=1),FW60,
IF(AND(テーブル!$B$3="実績報告（２次）",FW$26=0),0,
IF(AND(テーブル!$B$3="実績報告（２次）",FW$26&gt;=1),FW60)))))))))),0)</f>
        <v>0</v>
      </c>
      <c r="FX34" s="1997">
        <f>IFERROR(
IF(テーブル!$B$3="交付申請",FX60,
IF(AND(テーブル!$B$3="変更申請",FX$26=0),0,
IF(AND(テーブル!$B$3="変更申請",FX$26&gt;=1),FX60,
IF(テーブル!$B$3="実績報告（１次）",FX60,
IF(AND(テーブル!$B$3="交付申請（２次）",FX$26=0),0,
IF(AND(テーブル!$B$3="交付申請（２次）",FX$26&gt;=1),FX60,
IF(AND(テーブル!$B$3="交付申請兼実績報告（２次）",FX$26=0),0,
IF(AND(テーブル!$B$3="交付申請兼実績報告（２次）",FX$26&gt;=1),FX60,
IF(AND(テーブル!$B$3="実績報告（２次）",FX$26=0),0,
IF(AND(テーブル!$B$3="実績報告（２次）",FX$26&gt;=1),FX60)))))))))),0)</f>
        <v>0</v>
      </c>
      <c r="FY34" s="1997">
        <f>IFERROR(
IF(テーブル!$B$3="交付申請",FY60,
IF(AND(テーブル!$B$3="変更申請",FY$26=0),0,
IF(AND(テーブル!$B$3="変更申請",FY$26&gt;=1),FY60,
IF(テーブル!$B$3="実績報告（１次）",FY60,
IF(AND(テーブル!$B$3="交付申請（２次）",FY$26=0),0,
IF(AND(テーブル!$B$3="交付申請（２次）",FY$26&gt;=1),FY60,
IF(AND(テーブル!$B$3="交付申請兼実績報告（２次）",FY$26=0),0,
IF(AND(テーブル!$B$3="交付申請兼実績報告（２次）",FY$26&gt;=1),FY60,
IF(AND(テーブル!$B$3="実績報告（２次）",FY$26=0),0,
IF(AND(テーブル!$B$3="実績報告（２次）",FY$26&gt;=1),FY60)))))))))),0)</f>
        <v>0</v>
      </c>
      <c r="FZ34" s="1997">
        <f>IFERROR(
IF(テーブル!$B$3="交付申請",FZ60,
IF(AND(テーブル!$B$3="変更申請",FZ$26=0),0,
IF(AND(テーブル!$B$3="変更申請",FZ$26&gt;=1),FZ60,
IF(テーブル!$B$3="実績報告（１次）",FZ60,
IF(AND(テーブル!$B$3="交付申請（２次）",FZ$26=0),0,
IF(AND(テーブル!$B$3="交付申請（２次）",FZ$26&gt;=1),FZ60,
IF(AND(テーブル!$B$3="交付申請兼実績報告（２次）",FZ$26=0),0,
IF(AND(テーブル!$B$3="交付申請兼実績報告（２次）",FZ$26&gt;=1),FZ60,
IF(AND(テーブル!$B$3="実績報告（２次）",FZ$26=0),0,
IF(AND(テーブル!$B$3="実績報告（２次）",FZ$26&gt;=1),FZ60)))))))))),0)</f>
        <v>0</v>
      </c>
      <c r="GA34" s="1997">
        <f>IFERROR(
IF(テーブル!$B$3="交付申請",GA60,
IF(AND(テーブル!$B$3="変更申請",GA$26=0),0,
IF(AND(テーブル!$B$3="変更申請",GA$26&gt;=1),GA60,
IF(テーブル!$B$3="実績報告（１次）",GA60,
IF(AND(テーブル!$B$3="交付申請（２次）",GA$26=0),0,
IF(AND(テーブル!$B$3="交付申請（２次）",GA$26&gt;=1),GA60,
IF(AND(テーブル!$B$3="交付申請兼実績報告（２次）",GA$26=0),0,
IF(AND(テーブル!$B$3="交付申請兼実績報告（２次）",GA$26&gt;=1),GA60,
IF(AND(テーブル!$B$3="実績報告（２次）",GA$26=0),0,
IF(AND(テーブル!$B$3="実績報告（２次）",GA$26&gt;=1),GA60)))))))))),0)</f>
        <v>0</v>
      </c>
      <c r="GB34" s="1997">
        <f>IFERROR(
IF(テーブル!$B$3="交付申請",GB60,
IF(AND(テーブル!$B$3="変更申請",GB$26=0),0,
IF(AND(テーブル!$B$3="変更申請",GB$26&gt;=1),GB60,
IF(テーブル!$B$3="実績報告（１次）",GB60,
IF(AND(テーブル!$B$3="交付申請（２次）",GB$26=0),0,
IF(AND(テーブル!$B$3="交付申請（２次）",GB$26&gt;=1),GB60,
IF(AND(テーブル!$B$3="交付申請兼実績報告（２次）",GB$26=0),0,
IF(AND(テーブル!$B$3="交付申請兼実績報告（２次）",GB$26&gt;=1),GB60,
IF(AND(テーブル!$B$3="実績報告（２次）",GB$26=0),0,
IF(AND(テーブル!$B$3="実績報告（２次）",GB$26&gt;=1),GB60)))))))))),0)</f>
        <v>0</v>
      </c>
      <c r="GC34" s="1997">
        <f>IFERROR(
IF(テーブル!$B$3="交付申請",GC60,
IF(AND(テーブル!$B$3="変更申請",GC$26=0),0,
IF(AND(テーブル!$B$3="変更申請",GC$26&gt;=1),GC60,
IF(テーブル!$B$3="実績報告（１次）",GC60,
IF(AND(テーブル!$B$3="交付申請（２次）",GC$26=0),0,
IF(AND(テーブル!$B$3="交付申請（２次）",GC$26&gt;=1),GC60,
IF(AND(テーブル!$B$3="交付申請兼実績報告（２次）",GC$26=0),0,
IF(AND(テーブル!$B$3="交付申請兼実績報告（２次）",GC$26&gt;=1),GC60,
IF(AND(テーブル!$B$3="実績報告（２次）",GC$26=0),0,
IF(AND(テーブル!$B$3="実績報告（２次）",GC$26&gt;=1),GC60)))))))))),0)</f>
        <v>0</v>
      </c>
      <c r="GD34" s="1997">
        <f>IFERROR(
IF(テーブル!$B$3="交付申請",GD60,
IF(AND(テーブル!$B$3="変更申請",GD$26=0),0,
IF(AND(テーブル!$B$3="変更申請",GD$26&gt;=1),GD60,
IF(テーブル!$B$3="実績報告（１次）",GD60,
IF(AND(テーブル!$B$3="交付申請（２次）",GD$26=0),0,
IF(AND(テーブル!$B$3="交付申請（２次）",GD$26&gt;=1),GD60,
IF(AND(テーブル!$B$3="交付申請兼実績報告（２次）",GD$26=0),0,
IF(AND(テーブル!$B$3="交付申請兼実績報告（２次）",GD$26&gt;=1),GD60,
IF(AND(テーブル!$B$3="実績報告（２次）",GD$26=0),0,
IF(AND(テーブル!$B$3="実績報告（２次）",GD$26&gt;=1),GD60)))))))))),0)</f>
        <v>0</v>
      </c>
      <c r="GE34" s="1997">
        <f>IFERROR(
IF(テーブル!$B$3="交付申請",GE60,
IF(AND(テーブル!$B$3="変更申請",GE$26=0),0,
IF(AND(テーブル!$B$3="変更申請",GE$26&gt;=1),GE60,
IF(テーブル!$B$3="実績報告（１次）",GE60,
IF(AND(テーブル!$B$3="交付申請（２次）",GE$26=0),0,
IF(AND(テーブル!$B$3="交付申請（２次）",GE$26&gt;=1),GE60,
IF(AND(テーブル!$B$3="交付申請兼実績報告（２次）",GE$26=0),0,
IF(AND(テーブル!$B$3="交付申請兼実績報告（２次）",GE$26&gt;=1),GE60,
IF(AND(テーブル!$B$3="実績報告（２次）",GE$26=0),0,
IF(AND(テーブル!$B$3="実績報告（２次）",GE$26&gt;=1),GE60)))))))))),0)</f>
        <v>0</v>
      </c>
      <c r="GF34" s="2019">
        <f>IFERROR(
IF(テーブル!$B$3="交付申請",GF60,
IF(AND(テーブル!$B$3="変更申請",GF$26=0),0,
IF(AND(テーブル!$B$3="変更申請",GF$26&gt;=1),GF60,
IF(テーブル!$B$3="実績報告（１次）",GF60,
IF(AND(テーブル!$B$3="交付申請（２次）",GF$26=0),0,
IF(AND(テーブル!$B$3="交付申請（２次）",GF$26&gt;=1),GF60,
IF(AND(テーブル!$B$3="交付申請兼実績報告（２次）",GF$26=0),0,
IF(AND(テーブル!$B$3="交付申請兼実績報告（２次）",GF$26&gt;=1),GF60,
IF(AND(テーブル!$B$3="実績報告（２次）",GF$26=0),0,
IF(AND(テーブル!$B$3="実績報告（２次）",GF$26&gt;=1),GF60)))))))))),0)</f>
        <v>0</v>
      </c>
      <c r="GG34" s="2006"/>
    </row>
    <row r="35" spans="1:189" s="638" customFormat="1" ht="18.75" x14ac:dyDescent="0.4">
      <c r="A35" s="2003"/>
      <c r="B35" s="2018" t="s">
        <v>1208</v>
      </c>
      <c r="C35" s="1690">
        <f t="shared" si="21"/>
        <v>0</v>
      </c>
      <c r="D35" s="1691"/>
      <c r="E35" s="637"/>
      <c r="F35" s="1997">
        <f>IFERROR(
IF(テーブル!$B$3="交付申請",F63,
IF(AND(テーブル!$B$3="変更申請",F$26=0),0,
IF(AND(テーブル!$B$3="変更申請",F$26&gt;=1),F63,
IF(テーブル!$B$3="実績報告（１次）",F63,
IF(AND(テーブル!$B$3="交付申請（２次）",F$26=0),0,
IF(AND(テーブル!$B$3="交付申請（２次）",F$26&gt;=1),F63,
IF(AND(テーブル!$B$3="交付申請兼実績報告（２次）",F$26=0),0,
IF(AND(テーブル!$B$3="交付申請兼実績報告（２次）",F$26&gt;=1),F63,
IF(AND(テーブル!$B$3="実績報告（２次）",F$26=0),0,
IF(AND(テーブル!$B$3="実績報告（２次）",F$26&gt;=1),F63)))))))))),0)</f>
        <v>0</v>
      </c>
      <c r="G35" s="1997">
        <f>IFERROR(
IF(テーブル!$B$3="交付申請",G63,
IF(AND(テーブル!$B$3="変更申請",G$26=0),0,
IF(AND(テーブル!$B$3="変更申請",G$26&gt;=1),G63,
IF(テーブル!$B$3="実績報告（１次）",G63,
IF(AND(テーブル!$B$3="交付申請（２次）",G$26=0),0,
IF(AND(テーブル!$B$3="交付申請（２次）",G$26&gt;=1),G63,
IF(AND(テーブル!$B$3="交付申請兼実績報告（２次）",G$26=0),0,
IF(AND(テーブル!$B$3="交付申請兼実績報告（２次）",G$26&gt;=1),G63,
IF(AND(テーブル!$B$3="実績報告（２次）",G$26=0),0,
IF(AND(テーブル!$B$3="実績報告（２次）",G$26&gt;=1),G63)))))))))),0)</f>
        <v>0</v>
      </c>
      <c r="H35" s="1997">
        <f>IFERROR(
IF(テーブル!$B$3="交付申請",H63,
IF(AND(テーブル!$B$3="変更申請",H$26=0),0,
IF(AND(テーブル!$B$3="変更申請",H$26&gt;=1),H63,
IF(テーブル!$B$3="実績報告（１次）",H63,
IF(AND(テーブル!$B$3="交付申請（２次）",H$26=0),0,
IF(AND(テーブル!$B$3="交付申請（２次）",H$26&gt;=1),H63,
IF(AND(テーブル!$B$3="交付申請兼実績報告（２次）",H$26=0),0,
IF(AND(テーブル!$B$3="交付申請兼実績報告（２次）",H$26&gt;=1),H63,
IF(AND(テーブル!$B$3="実績報告（２次）",H$26=0),0,
IF(AND(テーブル!$B$3="実績報告（２次）",H$26&gt;=1),H63)))))))))),0)</f>
        <v>0</v>
      </c>
      <c r="I35" s="1997">
        <f>IFERROR(
IF(テーブル!$B$3="交付申請",I63,
IF(AND(テーブル!$B$3="変更申請",I$26=0),0,
IF(AND(テーブル!$B$3="変更申請",I$26&gt;=1),I63,
IF(テーブル!$B$3="実績報告（１次）",I63,
IF(AND(テーブル!$B$3="交付申請（２次）",I$26=0),0,
IF(AND(テーブル!$B$3="交付申請（２次）",I$26&gt;=1),I63,
IF(AND(テーブル!$B$3="交付申請兼実績報告（２次）",I$26=0),0,
IF(AND(テーブル!$B$3="交付申請兼実績報告（２次）",I$26&gt;=1),I63,
IF(AND(テーブル!$B$3="実績報告（２次）",I$26=0),0,
IF(AND(テーブル!$B$3="実績報告（２次）",I$26&gt;=1),I63)))))))))),0)</f>
        <v>0</v>
      </c>
      <c r="J35" s="1997">
        <f>IFERROR(
IF(テーブル!$B$3="交付申請",J63,
IF(AND(テーブル!$B$3="変更申請",J$26=0),0,
IF(AND(テーブル!$B$3="変更申請",J$26&gt;=1),J63,
IF(テーブル!$B$3="実績報告（１次）",J63,
IF(AND(テーブル!$B$3="交付申請（２次）",J$26=0),0,
IF(AND(テーブル!$B$3="交付申請（２次）",J$26&gt;=1),J63,
IF(AND(テーブル!$B$3="交付申請兼実績報告（２次）",J$26=0),0,
IF(AND(テーブル!$B$3="交付申請兼実績報告（２次）",J$26&gt;=1),J63,
IF(AND(テーブル!$B$3="実績報告（２次）",J$26=0),0,
IF(AND(テーブル!$B$3="実績報告（２次）",J$26&gt;=1),J63)))))))))),0)</f>
        <v>0</v>
      </c>
      <c r="K35" s="1997">
        <f>IFERROR(
IF(テーブル!$B$3="交付申請",K63,
IF(AND(テーブル!$B$3="変更申請",K$26=0),0,
IF(AND(テーブル!$B$3="変更申請",K$26&gt;=1),K63,
IF(テーブル!$B$3="実績報告（１次）",K63,
IF(AND(テーブル!$B$3="交付申請（２次）",K$26=0),0,
IF(AND(テーブル!$B$3="交付申請（２次）",K$26&gt;=1),K63,
IF(AND(テーブル!$B$3="交付申請兼実績報告（２次）",K$26=0),0,
IF(AND(テーブル!$B$3="交付申請兼実績報告（２次）",K$26&gt;=1),K63,
IF(AND(テーブル!$B$3="実績報告（２次）",K$26=0),0,
IF(AND(テーブル!$B$3="実績報告（２次）",K$26&gt;=1),K63)))))))))),0)</f>
        <v>0</v>
      </c>
      <c r="L35" s="1997">
        <f>IFERROR(
IF(テーブル!$B$3="交付申請",L63,
IF(AND(テーブル!$B$3="変更申請",L$26=0),0,
IF(AND(テーブル!$B$3="変更申請",L$26&gt;=1),L63,
IF(テーブル!$B$3="実績報告（１次）",L63,
IF(AND(テーブル!$B$3="交付申請（２次）",L$26=0),0,
IF(AND(テーブル!$B$3="交付申請（２次）",L$26&gt;=1),L63,
IF(AND(テーブル!$B$3="交付申請兼実績報告（２次）",L$26=0),0,
IF(AND(テーブル!$B$3="交付申請兼実績報告（２次）",L$26&gt;=1),L63,
IF(AND(テーブル!$B$3="実績報告（２次）",L$26=0),0,
IF(AND(テーブル!$B$3="実績報告（２次）",L$26&gt;=1),L63)))))))))),0)</f>
        <v>0</v>
      </c>
      <c r="M35" s="1997">
        <f>IFERROR(
IF(テーブル!$B$3="交付申請",M63,
IF(AND(テーブル!$B$3="変更申請",M$26=0),0,
IF(AND(テーブル!$B$3="変更申請",M$26&gt;=1),M63,
IF(テーブル!$B$3="実績報告（１次）",M63,
IF(AND(テーブル!$B$3="交付申請（２次）",M$26=0),0,
IF(AND(テーブル!$B$3="交付申請（２次）",M$26&gt;=1),M63,
IF(AND(テーブル!$B$3="交付申請兼実績報告（２次）",M$26=0),0,
IF(AND(テーブル!$B$3="交付申請兼実績報告（２次）",M$26&gt;=1),M63,
IF(AND(テーブル!$B$3="実績報告（２次）",M$26=0),0,
IF(AND(テーブル!$B$3="実績報告（２次）",M$26&gt;=1),M63)))))))))),0)</f>
        <v>0</v>
      </c>
      <c r="N35" s="1997">
        <f>IFERROR(
IF(テーブル!$B$3="交付申請",N63,
IF(AND(テーブル!$B$3="変更申請",N$26=0),0,
IF(AND(テーブル!$B$3="変更申請",N$26&gt;=1),N63,
IF(テーブル!$B$3="実績報告（１次）",N63,
IF(AND(テーブル!$B$3="交付申請（２次）",N$26=0),0,
IF(AND(テーブル!$B$3="交付申請（２次）",N$26&gt;=1),N63,
IF(AND(テーブル!$B$3="交付申請兼実績報告（２次）",N$26=0),0,
IF(AND(テーブル!$B$3="交付申請兼実績報告（２次）",N$26&gt;=1),N63,
IF(AND(テーブル!$B$3="実績報告（２次）",N$26=0),0,
IF(AND(テーブル!$B$3="実績報告（２次）",N$26&gt;=1),N63)))))))))),0)</f>
        <v>0</v>
      </c>
      <c r="O35" s="1997">
        <f>IFERROR(
IF(テーブル!$B$3="交付申請",O63,
IF(AND(テーブル!$B$3="変更申請",O$26=0),0,
IF(AND(テーブル!$B$3="変更申請",O$26&gt;=1),O63,
IF(テーブル!$B$3="実績報告（１次）",O63,
IF(AND(テーブル!$B$3="交付申請（２次）",O$26=0),0,
IF(AND(テーブル!$B$3="交付申請（２次）",O$26&gt;=1),O63,
IF(AND(テーブル!$B$3="交付申請兼実績報告（２次）",O$26=0),0,
IF(AND(テーブル!$B$3="交付申請兼実績報告（２次）",O$26&gt;=1),O63,
IF(AND(テーブル!$B$3="実績報告（２次）",O$26=0),0,
IF(AND(テーブル!$B$3="実績報告（２次）",O$26&gt;=1),O63)))))))))),0)</f>
        <v>0</v>
      </c>
      <c r="P35" s="1997">
        <f>IFERROR(
IF(テーブル!$B$3="交付申請",P63,
IF(AND(テーブル!$B$3="変更申請",P$26=0),0,
IF(AND(テーブル!$B$3="変更申請",P$26&gt;=1),P63,
IF(テーブル!$B$3="実績報告（１次）",P63,
IF(AND(テーブル!$B$3="交付申請（２次）",P$26=0),0,
IF(AND(テーブル!$B$3="交付申請（２次）",P$26&gt;=1),P63,
IF(AND(テーブル!$B$3="交付申請兼実績報告（２次）",P$26=0),0,
IF(AND(テーブル!$B$3="交付申請兼実績報告（２次）",P$26&gt;=1),P63,
IF(AND(テーブル!$B$3="実績報告（２次）",P$26=0),0,
IF(AND(テーブル!$B$3="実績報告（２次）",P$26&gt;=1),P63)))))))))),0)</f>
        <v>0</v>
      </c>
      <c r="Q35" s="1997">
        <f>IFERROR(
IF(テーブル!$B$3="交付申請",Q63,
IF(AND(テーブル!$B$3="変更申請",Q$26=0),0,
IF(AND(テーブル!$B$3="変更申請",Q$26&gt;=1),Q63,
IF(テーブル!$B$3="実績報告（１次）",Q63,
IF(AND(テーブル!$B$3="交付申請（２次）",Q$26=0),0,
IF(AND(テーブル!$B$3="交付申請（２次）",Q$26&gt;=1),Q63,
IF(AND(テーブル!$B$3="交付申請兼実績報告（２次）",Q$26=0),0,
IF(AND(テーブル!$B$3="交付申請兼実績報告（２次）",Q$26&gt;=1),Q63,
IF(AND(テーブル!$B$3="実績報告（２次）",Q$26=0),0,
IF(AND(テーブル!$B$3="実績報告（２次）",Q$26&gt;=1),Q63)))))))))),0)</f>
        <v>0</v>
      </c>
      <c r="R35" s="1997">
        <f>IFERROR(
IF(テーブル!$B$3="交付申請",R63,
IF(AND(テーブル!$B$3="変更申請",R$26=0),0,
IF(AND(テーブル!$B$3="変更申請",R$26&gt;=1),R63,
IF(テーブル!$B$3="実績報告（１次）",R63,
IF(AND(テーブル!$B$3="交付申請（２次）",R$26=0),0,
IF(AND(テーブル!$B$3="交付申請（２次）",R$26&gt;=1),R63,
IF(AND(テーブル!$B$3="交付申請兼実績報告（２次）",R$26=0),0,
IF(AND(テーブル!$B$3="交付申請兼実績報告（２次）",R$26&gt;=1),R63,
IF(AND(テーブル!$B$3="実績報告（２次）",R$26=0),0,
IF(AND(テーブル!$B$3="実績報告（２次）",R$26&gt;=1),R63)))))))))),0)</f>
        <v>0</v>
      </c>
      <c r="S35" s="1997">
        <f>IFERROR(
IF(テーブル!$B$3="交付申請",S63,
IF(AND(テーブル!$B$3="変更申請",S$26=0),0,
IF(AND(テーブル!$B$3="変更申請",S$26&gt;=1),S63,
IF(テーブル!$B$3="実績報告（１次）",S63,
IF(AND(テーブル!$B$3="交付申請（２次）",S$26=0),0,
IF(AND(テーブル!$B$3="交付申請（２次）",S$26&gt;=1),S63,
IF(AND(テーブル!$B$3="交付申請兼実績報告（２次）",S$26=0),0,
IF(AND(テーブル!$B$3="交付申請兼実績報告（２次）",S$26&gt;=1),S63,
IF(AND(テーブル!$B$3="実績報告（２次）",S$26=0),0,
IF(AND(テーブル!$B$3="実績報告（２次）",S$26&gt;=1),S63)))))))))),0)</f>
        <v>0</v>
      </c>
      <c r="T35" s="1997">
        <f>IFERROR(
IF(テーブル!$B$3="交付申請",T63,
IF(AND(テーブル!$B$3="変更申請",T$26=0),0,
IF(AND(テーブル!$B$3="変更申請",T$26&gt;=1),T63,
IF(テーブル!$B$3="実績報告（１次）",T63,
IF(AND(テーブル!$B$3="交付申請（２次）",T$26=0),0,
IF(AND(テーブル!$B$3="交付申請（２次）",T$26&gt;=1),T63,
IF(AND(テーブル!$B$3="交付申請兼実績報告（２次）",T$26=0),0,
IF(AND(テーブル!$B$3="交付申請兼実績報告（２次）",T$26&gt;=1),T63,
IF(AND(テーブル!$B$3="実績報告（２次）",T$26=0),0,
IF(AND(テーブル!$B$3="実績報告（２次）",T$26&gt;=1),T63)))))))))),0)</f>
        <v>0</v>
      </c>
      <c r="U35" s="1997">
        <f>IFERROR(
IF(テーブル!$B$3="交付申請",U63,
IF(AND(テーブル!$B$3="変更申請",U$26=0),0,
IF(AND(テーブル!$B$3="変更申請",U$26&gt;=1),U63,
IF(テーブル!$B$3="実績報告（１次）",U63,
IF(AND(テーブル!$B$3="交付申請（２次）",U$26=0),0,
IF(AND(テーブル!$B$3="交付申請（２次）",U$26&gt;=1),U63,
IF(AND(テーブル!$B$3="交付申請兼実績報告（２次）",U$26=0),0,
IF(AND(テーブル!$B$3="交付申請兼実績報告（２次）",U$26&gt;=1),U63,
IF(AND(テーブル!$B$3="実績報告（２次）",U$26=0),0,
IF(AND(テーブル!$B$3="実績報告（２次）",U$26&gt;=1),U63)))))))))),0)</f>
        <v>0</v>
      </c>
      <c r="V35" s="1997">
        <f>IFERROR(
IF(テーブル!$B$3="交付申請",V63,
IF(AND(テーブル!$B$3="変更申請",V$26=0),0,
IF(AND(テーブル!$B$3="変更申請",V$26&gt;=1),V63,
IF(テーブル!$B$3="実績報告（１次）",V63,
IF(AND(テーブル!$B$3="交付申請（２次）",V$26=0),0,
IF(AND(テーブル!$B$3="交付申請（２次）",V$26&gt;=1),V63,
IF(AND(テーブル!$B$3="交付申請兼実績報告（２次）",V$26=0),0,
IF(AND(テーブル!$B$3="交付申請兼実績報告（２次）",V$26&gt;=1),V63,
IF(AND(テーブル!$B$3="実績報告（２次）",V$26=0),0,
IF(AND(テーブル!$B$3="実績報告（２次）",V$26&gt;=1),V63)))))))))),0)</f>
        <v>0</v>
      </c>
      <c r="W35" s="1997">
        <f>IFERROR(
IF(テーブル!$B$3="交付申請",W63,
IF(AND(テーブル!$B$3="変更申請",W$26=0),0,
IF(AND(テーブル!$B$3="変更申請",W$26&gt;=1),W63,
IF(テーブル!$B$3="実績報告（１次）",W63,
IF(AND(テーブル!$B$3="交付申請（２次）",W$26=0),0,
IF(AND(テーブル!$B$3="交付申請（２次）",W$26&gt;=1),W63,
IF(AND(テーブル!$B$3="交付申請兼実績報告（２次）",W$26=0),0,
IF(AND(テーブル!$B$3="交付申請兼実績報告（２次）",W$26&gt;=1),W63,
IF(AND(テーブル!$B$3="実績報告（２次）",W$26=0),0,
IF(AND(テーブル!$B$3="実績報告（２次）",W$26&gt;=1),W63)))))))))),0)</f>
        <v>0</v>
      </c>
      <c r="X35" s="1997">
        <f>IFERROR(
IF(テーブル!$B$3="交付申請",X63,
IF(AND(テーブル!$B$3="変更申請",X$26=0),0,
IF(AND(テーブル!$B$3="変更申請",X$26&gt;=1),X63,
IF(テーブル!$B$3="実績報告（１次）",X63,
IF(AND(テーブル!$B$3="交付申請（２次）",X$26=0),0,
IF(AND(テーブル!$B$3="交付申請（２次）",X$26&gt;=1),X63,
IF(AND(テーブル!$B$3="交付申請兼実績報告（２次）",X$26=0),0,
IF(AND(テーブル!$B$3="交付申請兼実績報告（２次）",X$26&gt;=1),X63,
IF(AND(テーブル!$B$3="実績報告（２次）",X$26=0),0,
IF(AND(テーブル!$B$3="実績報告（２次）",X$26&gt;=1),X63)))))))))),0)</f>
        <v>0</v>
      </c>
      <c r="Y35" s="1997">
        <f>IFERROR(
IF(テーブル!$B$3="交付申請",Y63,
IF(AND(テーブル!$B$3="変更申請",Y$26=0),0,
IF(AND(テーブル!$B$3="変更申請",Y$26&gt;=1),Y63,
IF(テーブル!$B$3="実績報告（１次）",Y63,
IF(AND(テーブル!$B$3="交付申請（２次）",Y$26=0),0,
IF(AND(テーブル!$B$3="交付申請（２次）",Y$26&gt;=1),Y63,
IF(AND(テーブル!$B$3="交付申請兼実績報告（２次）",Y$26=0),0,
IF(AND(テーブル!$B$3="交付申請兼実績報告（２次）",Y$26&gt;=1),Y63,
IF(AND(テーブル!$B$3="実績報告（２次）",Y$26=0),0,
IF(AND(テーブル!$B$3="実績報告（２次）",Y$26&gt;=1),Y63)))))))))),0)</f>
        <v>0</v>
      </c>
      <c r="Z35" s="1997">
        <f>IFERROR(
IF(テーブル!$B$3="交付申請",Z63,
IF(AND(テーブル!$B$3="変更申請",Z$26=0),0,
IF(AND(テーブル!$B$3="変更申請",Z$26&gt;=1),Z63,
IF(テーブル!$B$3="実績報告（１次）",Z63,
IF(AND(テーブル!$B$3="交付申請（２次）",Z$26=0),0,
IF(AND(テーブル!$B$3="交付申請（２次）",Z$26&gt;=1),Z63,
IF(AND(テーブル!$B$3="交付申請兼実績報告（２次）",Z$26=0),0,
IF(AND(テーブル!$B$3="交付申請兼実績報告（２次）",Z$26&gt;=1),Z63,
IF(AND(テーブル!$B$3="実績報告（２次）",Z$26=0),0,
IF(AND(テーブル!$B$3="実績報告（２次）",Z$26&gt;=1),Z63)))))))))),0)</f>
        <v>0</v>
      </c>
      <c r="AA35" s="1997">
        <f>IFERROR(
IF(テーブル!$B$3="交付申請",AA63,
IF(AND(テーブル!$B$3="変更申請",AA$26=0),0,
IF(AND(テーブル!$B$3="変更申請",AA$26&gt;=1),AA63,
IF(テーブル!$B$3="実績報告（１次）",AA63,
IF(AND(テーブル!$B$3="交付申請（２次）",AA$26=0),0,
IF(AND(テーブル!$B$3="交付申請（２次）",AA$26&gt;=1),AA63,
IF(AND(テーブル!$B$3="交付申請兼実績報告（２次）",AA$26=0),0,
IF(AND(テーブル!$B$3="交付申請兼実績報告（２次）",AA$26&gt;=1),AA63,
IF(AND(テーブル!$B$3="実績報告（２次）",AA$26=0),0,
IF(AND(テーブル!$B$3="実績報告（２次）",AA$26&gt;=1),AA63)))))))))),0)</f>
        <v>0</v>
      </c>
      <c r="AB35" s="1997">
        <f>IFERROR(
IF(テーブル!$B$3="交付申請",AB63,
IF(AND(テーブル!$B$3="変更申請",AB$26=0),0,
IF(AND(テーブル!$B$3="変更申請",AB$26&gt;=1),AB63,
IF(テーブル!$B$3="実績報告（１次）",AB63,
IF(AND(テーブル!$B$3="交付申請（２次）",AB$26=0),0,
IF(AND(テーブル!$B$3="交付申請（２次）",AB$26&gt;=1),AB63,
IF(AND(テーブル!$B$3="交付申請兼実績報告（２次）",AB$26=0),0,
IF(AND(テーブル!$B$3="交付申請兼実績報告（２次）",AB$26&gt;=1),AB63,
IF(AND(テーブル!$B$3="実績報告（２次）",AB$26=0),0,
IF(AND(テーブル!$B$3="実績報告（２次）",AB$26&gt;=1),AB63)))))))))),0)</f>
        <v>0</v>
      </c>
      <c r="AC35" s="1997">
        <f>IFERROR(
IF(テーブル!$B$3="交付申請",AC63,
IF(AND(テーブル!$B$3="変更申請",AC$26=0),0,
IF(AND(テーブル!$B$3="変更申請",AC$26&gt;=1),AC63,
IF(テーブル!$B$3="実績報告（１次）",AC63,
IF(AND(テーブル!$B$3="交付申請（２次）",AC$26=0),0,
IF(AND(テーブル!$B$3="交付申請（２次）",AC$26&gt;=1),AC63,
IF(AND(テーブル!$B$3="交付申請兼実績報告（２次）",AC$26=0),0,
IF(AND(テーブル!$B$3="交付申請兼実績報告（２次）",AC$26&gt;=1),AC63,
IF(AND(テーブル!$B$3="実績報告（２次）",AC$26=0),0,
IF(AND(テーブル!$B$3="実績報告（２次）",AC$26&gt;=1),AC63)))))))))),0)</f>
        <v>0</v>
      </c>
      <c r="AD35" s="1997">
        <f>IFERROR(
IF(テーブル!$B$3="交付申請",AD63,
IF(AND(テーブル!$B$3="変更申請",AD$26=0),0,
IF(AND(テーブル!$B$3="変更申請",AD$26&gt;=1),AD63,
IF(テーブル!$B$3="実績報告（１次）",AD63,
IF(AND(テーブル!$B$3="交付申請（２次）",AD$26=0),0,
IF(AND(テーブル!$B$3="交付申請（２次）",AD$26&gt;=1),AD63,
IF(AND(テーブル!$B$3="交付申請兼実績報告（２次）",AD$26=0),0,
IF(AND(テーブル!$B$3="交付申請兼実績報告（２次）",AD$26&gt;=1),AD63,
IF(AND(テーブル!$B$3="実績報告（２次）",AD$26=0),0,
IF(AND(テーブル!$B$3="実績報告（２次）",AD$26&gt;=1),AD63)))))))))),0)</f>
        <v>0</v>
      </c>
      <c r="AE35" s="1997">
        <f>IFERROR(
IF(テーブル!$B$3="交付申請",AE63,
IF(AND(テーブル!$B$3="変更申請",AE$26=0),0,
IF(AND(テーブル!$B$3="変更申請",AE$26&gt;=1),AE63,
IF(テーブル!$B$3="実績報告（１次）",AE63,
IF(AND(テーブル!$B$3="交付申請（２次）",AE$26=0),0,
IF(AND(テーブル!$B$3="交付申請（２次）",AE$26&gt;=1),AE63,
IF(AND(テーブル!$B$3="交付申請兼実績報告（２次）",AE$26=0),0,
IF(AND(テーブル!$B$3="交付申請兼実績報告（２次）",AE$26&gt;=1),AE63,
IF(AND(テーブル!$B$3="実績報告（２次）",AE$26=0),0,
IF(AND(テーブル!$B$3="実績報告（２次）",AE$26&gt;=1),AE63)))))))))),0)</f>
        <v>0</v>
      </c>
      <c r="AF35" s="1997">
        <f>IFERROR(
IF(テーブル!$B$3="交付申請",AF63,
IF(AND(テーブル!$B$3="変更申請",AF$26=0),0,
IF(AND(テーブル!$B$3="変更申請",AF$26&gt;=1),AF63,
IF(テーブル!$B$3="実績報告（１次）",AF63,
IF(AND(テーブル!$B$3="交付申請（２次）",AF$26=0),0,
IF(AND(テーブル!$B$3="交付申請（２次）",AF$26&gt;=1),AF63,
IF(AND(テーブル!$B$3="交付申請兼実績報告（２次）",AF$26=0),0,
IF(AND(テーブル!$B$3="交付申請兼実績報告（２次）",AF$26&gt;=1),AF63,
IF(AND(テーブル!$B$3="実績報告（２次）",AF$26=0),0,
IF(AND(テーブル!$B$3="実績報告（２次）",AF$26&gt;=1),AF63)))))))))),0)</f>
        <v>0</v>
      </c>
      <c r="AG35" s="1997">
        <f>IFERROR(
IF(テーブル!$B$3="交付申請",AG63,
IF(AND(テーブル!$B$3="変更申請",AG$26=0),0,
IF(AND(テーブル!$B$3="変更申請",AG$26&gt;=1),AG63,
IF(テーブル!$B$3="実績報告（１次）",AG63,
IF(AND(テーブル!$B$3="交付申請（２次）",AG$26=0),0,
IF(AND(テーブル!$B$3="交付申請（２次）",AG$26&gt;=1),AG63,
IF(AND(テーブル!$B$3="交付申請兼実績報告（２次）",AG$26=0),0,
IF(AND(テーブル!$B$3="交付申請兼実績報告（２次）",AG$26&gt;=1),AG63,
IF(AND(テーブル!$B$3="実績報告（２次）",AG$26=0),0,
IF(AND(テーブル!$B$3="実績報告（２次）",AG$26&gt;=1),AG63)))))))))),0)</f>
        <v>0</v>
      </c>
      <c r="AH35" s="1997">
        <f>IFERROR(
IF(テーブル!$B$3="交付申請",AH63,
IF(AND(テーブル!$B$3="変更申請",AH$26=0),0,
IF(AND(テーブル!$B$3="変更申請",AH$26&gt;=1),AH63,
IF(テーブル!$B$3="実績報告（１次）",AH63,
IF(AND(テーブル!$B$3="交付申請（２次）",AH$26=0),0,
IF(AND(テーブル!$B$3="交付申請（２次）",AH$26&gt;=1),AH63,
IF(AND(テーブル!$B$3="交付申請兼実績報告（２次）",AH$26=0),0,
IF(AND(テーブル!$B$3="交付申請兼実績報告（２次）",AH$26&gt;=1),AH63,
IF(AND(テーブル!$B$3="実績報告（２次）",AH$26=0),0,
IF(AND(テーブル!$B$3="実績報告（２次）",AH$26&gt;=1),AH63)))))))))),0)</f>
        <v>0</v>
      </c>
      <c r="AI35" s="1997">
        <f>IFERROR(
IF(テーブル!$B$3="交付申請",AI63,
IF(AND(テーブル!$B$3="変更申請",AI$26=0),0,
IF(AND(テーブル!$B$3="変更申請",AI$26&gt;=1),AI63,
IF(テーブル!$B$3="実績報告（１次）",AI63,
IF(AND(テーブル!$B$3="交付申請（２次）",AI$26=0),0,
IF(AND(テーブル!$B$3="交付申請（２次）",AI$26&gt;=1),AI63,
IF(AND(テーブル!$B$3="交付申請兼実績報告（２次）",AI$26=0),0,
IF(AND(テーブル!$B$3="交付申請兼実績報告（２次）",AI$26&gt;=1),AI63,
IF(AND(テーブル!$B$3="実績報告（２次）",AI$26=0),0,
IF(AND(テーブル!$B$3="実績報告（２次）",AI$26&gt;=1),AI63)))))))))),0)</f>
        <v>0</v>
      </c>
      <c r="AJ35" s="1997">
        <f>IFERROR(
IF(テーブル!$B$3="交付申請",AJ63,
IF(AND(テーブル!$B$3="変更申請",AJ$26=0),0,
IF(AND(テーブル!$B$3="変更申請",AJ$26&gt;=1),AJ63,
IF(テーブル!$B$3="実績報告（１次）",AJ63,
IF(AND(テーブル!$B$3="交付申請（２次）",AJ$26=0),0,
IF(AND(テーブル!$B$3="交付申請（２次）",AJ$26&gt;=1),AJ63,
IF(AND(テーブル!$B$3="交付申請兼実績報告（２次）",AJ$26=0),0,
IF(AND(テーブル!$B$3="交付申請兼実績報告（２次）",AJ$26&gt;=1),AJ63,
IF(AND(テーブル!$B$3="実績報告（２次）",AJ$26=0),0,
IF(AND(テーブル!$B$3="実績報告（２次）",AJ$26&gt;=1),AJ63)))))))))),0)</f>
        <v>0</v>
      </c>
      <c r="AK35" s="1997">
        <f>IFERROR(
IF(テーブル!$B$3="交付申請",AK63,
IF(AND(テーブル!$B$3="変更申請",AK$26=0),0,
IF(AND(テーブル!$B$3="変更申請",AK$26&gt;=1),AK63,
IF(テーブル!$B$3="実績報告（１次）",AK63,
IF(AND(テーブル!$B$3="交付申請（２次）",AK$26=0),0,
IF(AND(テーブル!$B$3="交付申請（２次）",AK$26&gt;=1),AK63,
IF(AND(テーブル!$B$3="交付申請兼実績報告（２次）",AK$26=0),0,
IF(AND(テーブル!$B$3="交付申請兼実績報告（２次）",AK$26&gt;=1),AK63,
IF(AND(テーブル!$B$3="実績報告（２次）",AK$26=0),0,
IF(AND(テーブル!$B$3="実績報告（２次）",AK$26&gt;=1),AK63)))))))))),0)</f>
        <v>0</v>
      </c>
      <c r="AL35" s="1997">
        <f>IFERROR(
IF(テーブル!$B$3="交付申請",AL63,
IF(AND(テーブル!$B$3="変更申請",AL$26=0),0,
IF(AND(テーブル!$B$3="変更申請",AL$26&gt;=1),AL63,
IF(テーブル!$B$3="実績報告（１次）",AL63,
IF(AND(テーブル!$B$3="交付申請（２次）",AL$26=0),0,
IF(AND(テーブル!$B$3="交付申請（２次）",AL$26&gt;=1),AL63,
IF(AND(テーブル!$B$3="交付申請兼実績報告（２次）",AL$26=0),0,
IF(AND(テーブル!$B$3="交付申請兼実績報告（２次）",AL$26&gt;=1),AL63,
IF(AND(テーブル!$B$3="実績報告（２次）",AL$26=0),0,
IF(AND(テーブル!$B$3="実績報告（２次）",AL$26&gt;=1),AL63)))))))))),0)</f>
        <v>0</v>
      </c>
      <c r="AM35" s="1997">
        <f>IFERROR(
IF(テーブル!$B$3="交付申請",AM63,
IF(AND(テーブル!$B$3="変更申請",AM$26=0),0,
IF(AND(テーブル!$B$3="変更申請",AM$26&gt;=1),AM63,
IF(テーブル!$B$3="実績報告（１次）",AM63,
IF(AND(テーブル!$B$3="交付申請（２次）",AM$26=0),0,
IF(AND(テーブル!$B$3="交付申請（２次）",AM$26&gt;=1),AM63,
IF(AND(テーブル!$B$3="交付申請兼実績報告（２次）",AM$26=0),0,
IF(AND(テーブル!$B$3="交付申請兼実績報告（２次）",AM$26&gt;=1),AM63,
IF(AND(テーブル!$B$3="実績報告（２次）",AM$26=0),0,
IF(AND(テーブル!$B$3="実績報告（２次）",AM$26&gt;=1),AM63)))))))))),0)</f>
        <v>0</v>
      </c>
      <c r="AN35" s="1997">
        <f>IFERROR(
IF(テーブル!$B$3="交付申請",AN63,
IF(AND(テーブル!$B$3="変更申請",AN$26=0),0,
IF(AND(テーブル!$B$3="変更申請",AN$26&gt;=1),AN63,
IF(テーブル!$B$3="実績報告（１次）",AN63,
IF(AND(テーブル!$B$3="交付申請（２次）",AN$26=0),0,
IF(AND(テーブル!$B$3="交付申請（２次）",AN$26&gt;=1),AN63,
IF(AND(テーブル!$B$3="交付申請兼実績報告（２次）",AN$26=0),0,
IF(AND(テーブル!$B$3="交付申請兼実績報告（２次）",AN$26&gt;=1),AN63,
IF(AND(テーブル!$B$3="実績報告（２次）",AN$26=0),0,
IF(AND(テーブル!$B$3="実績報告（２次）",AN$26&gt;=1),AN63)))))))))),0)</f>
        <v>0</v>
      </c>
      <c r="AO35" s="1997">
        <f>IFERROR(
IF(テーブル!$B$3="交付申請",AO63,
IF(AND(テーブル!$B$3="変更申請",AO$26=0),0,
IF(AND(テーブル!$B$3="変更申請",AO$26&gt;=1),AO63,
IF(テーブル!$B$3="実績報告（１次）",AO63,
IF(AND(テーブル!$B$3="交付申請（２次）",AO$26=0),0,
IF(AND(テーブル!$B$3="交付申請（２次）",AO$26&gt;=1),AO63,
IF(AND(テーブル!$B$3="交付申請兼実績報告（２次）",AO$26=0),0,
IF(AND(テーブル!$B$3="交付申請兼実績報告（２次）",AO$26&gt;=1),AO63,
IF(AND(テーブル!$B$3="実績報告（２次）",AO$26=0),0,
IF(AND(テーブル!$B$3="実績報告（２次）",AO$26&gt;=1),AO63)))))))))),0)</f>
        <v>0</v>
      </c>
      <c r="AP35" s="1997">
        <f>IFERROR(
IF(テーブル!$B$3="交付申請",AP63,
IF(AND(テーブル!$B$3="変更申請",AP$26=0),0,
IF(AND(テーブル!$B$3="変更申請",AP$26&gt;=1),AP63,
IF(テーブル!$B$3="実績報告（１次）",AP63,
IF(AND(テーブル!$B$3="交付申請（２次）",AP$26=0),0,
IF(AND(テーブル!$B$3="交付申請（２次）",AP$26&gt;=1),AP63,
IF(AND(テーブル!$B$3="交付申請兼実績報告（２次）",AP$26=0),0,
IF(AND(テーブル!$B$3="交付申請兼実績報告（２次）",AP$26&gt;=1),AP63,
IF(AND(テーブル!$B$3="実績報告（２次）",AP$26=0),0,
IF(AND(テーブル!$B$3="実績報告（２次）",AP$26&gt;=1),AP63)))))))))),0)</f>
        <v>0</v>
      </c>
      <c r="AQ35" s="1997">
        <f>IFERROR(
IF(テーブル!$B$3="交付申請",AQ63,
IF(AND(テーブル!$B$3="変更申請",AQ$26=0),0,
IF(AND(テーブル!$B$3="変更申請",AQ$26&gt;=1),AQ63,
IF(テーブル!$B$3="実績報告（１次）",AQ63,
IF(AND(テーブル!$B$3="交付申請（２次）",AQ$26=0),0,
IF(AND(テーブル!$B$3="交付申請（２次）",AQ$26&gt;=1),AQ63,
IF(AND(テーブル!$B$3="交付申請兼実績報告（２次）",AQ$26=0),0,
IF(AND(テーブル!$B$3="交付申請兼実績報告（２次）",AQ$26&gt;=1),AQ63,
IF(AND(テーブル!$B$3="実績報告（２次）",AQ$26=0),0,
IF(AND(テーブル!$B$3="実績報告（２次）",AQ$26&gt;=1),AQ63)))))))))),0)</f>
        <v>0</v>
      </c>
      <c r="AR35" s="1997">
        <f>IFERROR(
IF(テーブル!$B$3="交付申請",AR63,
IF(AND(テーブル!$B$3="変更申請",AR$26=0),0,
IF(AND(テーブル!$B$3="変更申請",AR$26&gt;=1),AR63,
IF(テーブル!$B$3="実績報告（１次）",AR63,
IF(AND(テーブル!$B$3="交付申請（２次）",AR$26=0),0,
IF(AND(テーブル!$B$3="交付申請（２次）",AR$26&gt;=1),AR63,
IF(AND(テーブル!$B$3="交付申請兼実績報告（２次）",AR$26=0),0,
IF(AND(テーブル!$B$3="交付申請兼実績報告（２次）",AR$26&gt;=1),AR63,
IF(AND(テーブル!$B$3="実績報告（２次）",AR$26=0),0,
IF(AND(テーブル!$B$3="実績報告（２次）",AR$26&gt;=1),AR63)))))))))),0)</f>
        <v>0</v>
      </c>
      <c r="AS35" s="1997">
        <f>IFERROR(
IF(テーブル!$B$3="交付申請",AS63,
IF(AND(テーブル!$B$3="変更申請",AS$26=0),0,
IF(AND(テーブル!$B$3="変更申請",AS$26&gt;=1),AS63,
IF(テーブル!$B$3="実績報告（１次）",AS63,
IF(AND(テーブル!$B$3="交付申請（２次）",AS$26=0),0,
IF(AND(テーブル!$B$3="交付申請（２次）",AS$26&gt;=1),AS63,
IF(AND(テーブル!$B$3="交付申請兼実績報告（２次）",AS$26=0),0,
IF(AND(テーブル!$B$3="交付申請兼実績報告（２次）",AS$26&gt;=1),AS63,
IF(AND(テーブル!$B$3="実績報告（２次）",AS$26=0),0,
IF(AND(テーブル!$B$3="実績報告（２次）",AS$26&gt;=1),AS63)))))))))),0)</f>
        <v>0</v>
      </c>
      <c r="AT35" s="1997">
        <f>IFERROR(
IF(テーブル!$B$3="交付申請",AT63,
IF(AND(テーブル!$B$3="変更申請",AT$26=0),0,
IF(AND(テーブル!$B$3="変更申請",AT$26&gt;=1),AT63,
IF(テーブル!$B$3="実績報告（１次）",AT63,
IF(AND(テーブル!$B$3="交付申請（２次）",AT$26=0),0,
IF(AND(テーブル!$B$3="交付申請（２次）",AT$26&gt;=1),AT63,
IF(AND(テーブル!$B$3="交付申請兼実績報告（２次）",AT$26=0),0,
IF(AND(テーブル!$B$3="交付申請兼実績報告（２次）",AT$26&gt;=1),AT63,
IF(AND(テーブル!$B$3="実績報告（２次）",AT$26=0),0,
IF(AND(テーブル!$B$3="実績報告（２次）",AT$26&gt;=1),AT63)))))))))),0)</f>
        <v>0</v>
      </c>
      <c r="AU35" s="1997">
        <f>IFERROR(
IF(テーブル!$B$3="交付申請",AU63,
IF(AND(テーブル!$B$3="変更申請",AU$26=0),0,
IF(AND(テーブル!$B$3="変更申請",AU$26&gt;=1),AU63,
IF(テーブル!$B$3="実績報告（１次）",AU63,
IF(AND(テーブル!$B$3="交付申請（２次）",AU$26=0),0,
IF(AND(テーブル!$B$3="交付申請（２次）",AU$26&gt;=1),AU63,
IF(AND(テーブル!$B$3="交付申請兼実績報告（２次）",AU$26=0),0,
IF(AND(テーブル!$B$3="交付申請兼実績報告（２次）",AU$26&gt;=1),AU63,
IF(AND(テーブル!$B$3="実績報告（２次）",AU$26=0),0,
IF(AND(テーブル!$B$3="実績報告（２次）",AU$26&gt;=1),AU63)))))))))),0)</f>
        <v>0</v>
      </c>
      <c r="AV35" s="1997">
        <f>IFERROR(
IF(テーブル!$B$3="交付申請",AV63,
IF(AND(テーブル!$B$3="変更申請",AV$26=0),0,
IF(AND(テーブル!$B$3="変更申請",AV$26&gt;=1),AV63,
IF(テーブル!$B$3="実績報告（１次）",AV63,
IF(AND(テーブル!$B$3="交付申請（２次）",AV$26=0),0,
IF(AND(テーブル!$B$3="交付申請（２次）",AV$26&gt;=1),AV63,
IF(AND(テーブル!$B$3="交付申請兼実績報告（２次）",AV$26=0),0,
IF(AND(テーブル!$B$3="交付申請兼実績報告（２次）",AV$26&gt;=1),AV63,
IF(AND(テーブル!$B$3="実績報告（２次）",AV$26=0),0,
IF(AND(テーブル!$B$3="実績報告（２次）",AV$26&gt;=1),AV63)))))))))),0)</f>
        <v>0</v>
      </c>
      <c r="AW35" s="1997">
        <f>IFERROR(
IF(テーブル!$B$3="交付申請",AW63,
IF(AND(テーブル!$B$3="変更申請",AW$26=0),0,
IF(AND(テーブル!$B$3="変更申請",AW$26&gt;=1),AW63,
IF(テーブル!$B$3="実績報告（１次）",AW63,
IF(AND(テーブル!$B$3="交付申請（２次）",AW$26=0),0,
IF(AND(テーブル!$B$3="交付申請（２次）",AW$26&gt;=1),AW63,
IF(AND(テーブル!$B$3="交付申請兼実績報告（２次）",AW$26=0),0,
IF(AND(テーブル!$B$3="交付申請兼実績報告（２次）",AW$26&gt;=1),AW63,
IF(AND(テーブル!$B$3="実績報告（２次）",AW$26=0),0,
IF(AND(テーブル!$B$3="実績報告（２次）",AW$26&gt;=1),AW63)))))))))),0)</f>
        <v>0</v>
      </c>
      <c r="AX35" s="1997">
        <f>IFERROR(
IF(テーブル!$B$3="交付申請",AX63,
IF(AND(テーブル!$B$3="変更申請",AX$26=0),0,
IF(AND(テーブル!$B$3="変更申請",AX$26&gt;=1),AX63,
IF(テーブル!$B$3="実績報告（１次）",AX63,
IF(AND(テーブル!$B$3="交付申請（２次）",AX$26=0),0,
IF(AND(テーブル!$B$3="交付申請（２次）",AX$26&gt;=1),AX63,
IF(AND(テーブル!$B$3="交付申請兼実績報告（２次）",AX$26=0),0,
IF(AND(テーブル!$B$3="交付申請兼実績報告（２次）",AX$26&gt;=1),AX63,
IF(AND(テーブル!$B$3="実績報告（２次）",AX$26=0),0,
IF(AND(テーブル!$B$3="実績報告（２次）",AX$26&gt;=1),AX63)))))))))),0)</f>
        <v>0</v>
      </c>
      <c r="AY35" s="1997">
        <f>IFERROR(
IF(テーブル!$B$3="交付申請",AY63,
IF(AND(テーブル!$B$3="変更申請",AY$26=0),0,
IF(AND(テーブル!$B$3="変更申請",AY$26&gt;=1),AY63,
IF(テーブル!$B$3="実績報告（１次）",AY63,
IF(AND(テーブル!$B$3="交付申請（２次）",AY$26=0),0,
IF(AND(テーブル!$B$3="交付申請（２次）",AY$26&gt;=1),AY63,
IF(AND(テーブル!$B$3="交付申請兼実績報告（２次）",AY$26=0),0,
IF(AND(テーブル!$B$3="交付申請兼実績報告（２次）",AY$26&gt;=1),AY63,
IF(AND(テーブル!$B$3="実績報告（２次）",AY$26=0),0,
IF(AND(テーブル!$B$3="実績報告（２次）",AY$26&gt;=1),AY63)))))))))),0)</f>
        <v>0</v>
      </c>
      <c r="AZ35" s="1997">
        <f>IFERROR(
IF(テーブル!$B$3="交付申請",AZ63,
IF(AND(テーブル!$B$3="変更申請",AZ$26=0),0,
IF(AND(テーブル!$B$3="変更申請",AZ$26&gt;=1),AZ63,
IF(テーブル!$B$3="実績報告（１次）",AZ63,
IF(AND(テーブル!$B$3="交付申請（２次）",AZ$26=0),0,
IF(AND(テーブル!$B$3="交付申請（２次）",AZ$26&gt;=1),AZ63,
IF(AND(テーブル!$B$3="交付申請兼実績報告（２次）",AZ$26=0),0,
IF(AND(テーブル!$B$3="交付申請兼実績報告（２次）",AZ$26&gt;=1),AZ63,
IF(AND(テーブル!$B$3="実績報告（２次）",AZ$26=0),0,
IF(AND(テーブル!$B$3="実績報告（２次）",AZ$26&gt;=1),AZ63)))))))))),0)</f>
        <v>0</v>
      </c>
      <c r="BA35" s="1997">
        <f>IFERROR(
IF(テーブル!$B$3="交付申請",BA63,
IF(AND(テーブル!$B$3="変更申請",BA$26=0),0,
IF(AND(テーブル!$B$3="変更申請",BA$26&gt;=1),BA63,
IF(テーブル!$B$3="実績報告（１次）",BA63,
IF(AND(テーブル!$B$3="交付申請（２次）",BA$26=0),0,
IF(AND(テーブル!$B$3="交付申請（２次）",BA$26&gt;=1),BA63,
IF(AND(テーブル!$B$3="交付申請兼実績報告（２次）",BA$26=0),0,
IF(AND(テーブル!$B$3="交付申請兼実績報告（２次）",BA$26&gt;=1),BA63,
IF(AND(テーブル!$B$3="実績報告（２次）",BA$26=0),0,
IF(AND(テーブル!$B$3="実績報告（２次）",BA$26&gt;=1),BA63)))))))))),0)</f>
        <v>0</v>
      </c>
      <c r="BB35" s="1997">
        <f>IFERROR(
IF(テーブル!$B$3="交付申請",BB63,
IF(AND(テーブル!$B$3="変更申請",BB$26=0),0,
IF(AND(テーブル!$B$3="変更申請",BB$26&gt;=1),BB63,
IF(テーブル!$B$3="実績報告（１次）",BB63,
IF(AND(テーブル!$B$3="交付申請（２次）",BB$26=0),0,
IF(AND(テーブル!$B$3="交付申請（２次）",BB$26&gt;=1),BB63,
IF(AND(テーブル!$B$3="交付申請兼実績報告（２次）",BB$26=0),0,
IF(AND(テーブル!$B$3="交付申請兼実績報告（２次）",BB$26&gt;=1),BB63,
IF(AND(テーブル!$B$3="実績報告（２次）",BB$26=0),0,
IF(AND(テーブル!$B$3="実績報告（２次）",BB$26&gt;=1),BB63)))))))))),0)</f>
        <v>0</v>
      </c>
      <c r="BC35" s="1997">
        <f>IFERROR(
IF(テーブル!$B$3="交付申請",BC63,
IF(AND(テーブル!$B$3="変更申請",BC$26=0),0,
IF(AND(テーブル!$B$3="変更申請",BC$26&gt;=1),BC63,
IF(テーブル!$B$3="実績報告（１次）",BC63,
IF(AND(テーブル!$B$3="交付申請（２次）",BC$26=0),0,
IF(AND(テーブル!$B$3="交付申請（２次）",BC$26&gt;=1),BC63,
IF(AND(テーブル!$B$3="交付申請兼実績報告（２次）",BC$26=0),0,
IF(AND(テーブル!$B$3="交付申請兼実績報告（２次）",BC$26&gt;=1),BC63,
IF(AND(テーブル!$B$3="実績報告（２次）",BC$26=0),0,
IF(AND(テーブル!$B$3="実績報告（２次）",BC$26&gt;=1),BC63)))))))))),0)</f>
        <v>0</v>
      </c>
      <c r="BD35" s="1997">
        <f>IFERROR(
IF(テーブル!$B$3="交付申請",BD63,
IF(AND(テーブル!$B$3="変更申請",BD$26=0),0,
IF(AND(テーブル!$B$3="変更申請",BD$26&gt;=1),BD63,
IF(テーブル!$B$3="実績報告（１次）",BD63,
IF(AND(テーブル!$B$3="交付申請（２次）",BD$26=0),0,
IF(AND(テーブル!$B$3="交付申請（２次）",BD$26&gt;=1),BD63,
IF(AND(テーブル!$B$3="交付申請兼実績報告（２次）",BD$26=0),0,
IF(AND(テーブル!$B$3="交付申請兼実績報告（２次）",BD$26&gt;=1),BD63,
IF(AND(テーブル!$B$3="実績報告（２次）",BD$26=0),0,
IF(AND(テーブル!$B$3="実績報告（２次）",BD$26&gt;=1),BD63)))))))))),0)</f>
        <v>0</v>
      </c>
      <c r="BE35" s="1997">
        <f>IFERROR(
IF(テーブル!$B$3="交付申請",BE63,
IF(AND(テーブル!$B$3="変更申請",BE$26=0),0,
IF(AND(テーブル!$B$3="変更申請",BE$26&gt;=1),BE63,
IF(テーブル!$B$3="実績報告（１次）",BE63,
IF(AND(テーブル!$B$3="交付申請（２次）",BE$26=0),0,
IF(AND(テーブル!$B$3="交付申請（２次）",BE$26&gt;=1),BE63,
IF(AND(テーブル!$B$3="交付申請兼実績報告（２次）",BE$26=0),0,
IF(AND(テーブル!$B$3="交付申請兼実績報告（２次）",BE$26&gt;=1),BE63,
IF(AND(テーブル!$B$3="実績報告（２次）",BE$26=0),0,
IF(AND(テーブル!$B$3="実績報告（２次）",BE$26&gt;=1),BE63)))))))))),0)</f>
        <v>0</v>
      </c>
      <c r="BF35" s="1997">
        <f>IFERROR(
IF(テーブル!$B$3="交付申請",BF63,
IF(AND(テーブル!$B$3="変更申請",BF$26=0),0,
IF(AND(テーブル!$B$3="変更申請",BF$26&gt;=1),BF63,
IF(テーブル!$B$3="実績報告（１次）",BF63,
IF(AND(テーブル!$B$3="交付申請（２次）",BF$26=0),0,
IF(AND(テーブル!$B$3="交付申請（２次）",BF$26&gt;=1),BF63,
IF(AND(テーブル!$B$3="交付申請兼実績報告（２次）",BF$26=0),0,
IF(AND(テーブル!$B$3="交付申請兼実績報告（２次）",BF$26&gt;=1),BF63,
IF(AND(テーブル!$B$3="実績報告（２次）",BF$26=0),0,
IF(AND(テーブル!$B$3="実績報告（２次）",BF$26&gt;=1),BF63)))))))))),0)</f>
        <v>0</v>
      </c>
      <c r="BG35" s="1997">
        <f>IFERROR(
IF(テーブル!$B$3="交付申請",BG63,
IF(AND(テーブル!$B$3="変更申請",BG$26=0),0,
IF(AND(テーブル!$B$3="変更申請",BG$26&gt;=1),BG63,
IF(テーブル!$B$3="実績報告（１次）",BG63,
IF(AND(テーブル!$B$3="交付申請（２次）",BG$26=0),0,
IF(AND(テーブル!$B$3="交付申請（２次）",BG$26&gt;=1),BG63,
IF(AND(テーブル!$B$3="交付申請兼実績報告（２次）",BG$26=0),0,
IF(AND(テーブル!$B$3="交付申請兼実績報告（２次）",BG$26&gt;=1),BG63,
IF(AND(テーブル!$B$3="実績報告（２次）",BG$26=0),0,
IF(AND(テーブル!$B$3="実績報告（２次）",BG$26&gt;=1),BG63)))))))))),0)</f>
        <v>0</v>
      </c>
      <c r="BH35" s="1997">
        <f>IFERROR(
IF(テーブル!$B$3="交付申請",BH63,
IF(AND(テーブル!$B$3="変更申請",BH$26=0),0,
IF(AND(テーブル!$B$3="変更申請",BH$26&gt;=1),BH63,
IF(テーブル!$B$3="実績報告（１次）",BH63,
IF(AND(テーブル!$B$3="交付申請（２次）",BH$26=0),0,
IF(AND(テーブル!$B$3="交付申請（２次）",BH$26&gt;=1),BH63,
IF(AND(テーブル!$B$3="交付申請兼実績報告（２次）",BH$26=0),0,
IF(AND(テーブル!$B$3="交付申請兼実績報告（２次）",BH$26&gt;=1),BH63,
IF(AND(テーブル!$B$3="実績報告（２次）",BH$26=0),0,
IF(AND(テーブル!$B$3="実績報告（２次）",BH$26&gt;=1),BH63)))))))))),0)</f>
        <v>0</v>
      </c>
      <c r="BI35" s="1997">
        <f>IFERROR(
IF(テーブル!$B$3="交付申請",BI63,
IF(AND(テーブル!$B$3="変更申請",BI$26=0),0,
IF(AND(テーブル!$B$3="変更申請",BI$26&gt;=1),BI63,
IF(テーブル!$B$3="実績報告（１次）",BI63,
IF(AND(テーブル!$B$3="交付申請（２次）",BI$26=0),0,
IF(AND(テーブル!$B$3="交付申請（２次）",BI$26&gt;=1),BI63,
IF(AND(テーブル!$B$3="交付申請兼実績報告（２次）",BI$26=0),0,
IF(AND(テーブル!$B$3="交付申請兼実績報告（２次）",BI$26&gt;=1),BI63,
IF(AND(テーブル!$B$3="実績報告（２次）",BI$26=0),0,
IF(AND(テーブル!$B$3="実績報告（２次）",BI$26&gt;=1),BI63)))))))))),0)</f>
        <v>0</v>
      </c>
      <c r="BJ35" s="1997">
        <f>IFERROR(
IF(テーブル!$B$3="交付申請",BJ63,
IF(AND(テーブル!$B$3="変更申請",BJ$26=0),0,
IF(AND(テーブル!$B$3="変更申請",BJ$26&gt;=1),BJ63,
IF(テーブル!$B$3="実績報告（１次）",BJ63,
IF(AND(テーブル!$B$3="交付申請（２次）",BJ$26=0),0,
IF(AND(テーブル!$B$3="交付申請（２次）",BJ$26&gt;=1),BJ63,
IF(AND(テーブル!$B$3="交付申請兼実績報告（２次）",BJ$26=0),0,
IF(AND(テーブル!$B$3="交付申請兼実績報告（２次）",BJ$26&gt;=1),BJ63,
IF(AND(テーブル!$B$3="実績報告（２次）",BJ$26=0),0,
IF(AND(テーブル!$B$3="実績報告（２次）",BJ$26&gt;=1),BJ63)))))))))),0)</f>
        <v>0</v>
      </c>
      <c r="BK35" s="1997">
        <f>IFERROR(
IF(テーブル!$B$3="交付申請",BK63,
IF(AND(テーブル!$B$3="変更申請",BK$26=0),0,
IF(AND(テーブル!$B$3="変更申請",BK$26&gt;=1),BK63,
IF(テーブル!$B$3="実績報告（１次）",BK63,
IF(AND(テーブル!$B$3="交付申請（２次）",BK$26=0),0,
IF(AND(テーブル!$B$3="交付申請（２次）",BK$26&gt;=1),BK63,
IF(AND(テーブル!$B$3="交付申請兼実績報告（２次）",BK$26=0),0,
IF(AND(テーブル!$B$3="交付申請兼実績報告（２次）",BK$26&gt;=1),BK63,
IF(AND(テーブル!$B$3="実績報告（２次）",BK$26=0),0,
IF(AND(テーブル!$B$3="実績報告（２次）",BK$26&gt;=1),BK63)))))))))),0)</f>
        <v>0</v>
      </c>
      <c r="BL35" s="1997">
        <f>IFERROR(
IF(テーブル!$B$3="交付申請",BL63,
IF(AND(テーブル!$B$3="変更申請",BL$26=0),0,
IF(AND(テーブル!$B$3="変更申請",BL$26&gt;=1),BL63,
IF(テーブル!$B$3="実績報告（１次）",BL63,
IF(AND(テーブル!$B$3="交付申請（２次）",BL$26=0),0,
IF(AND(テーブル!$B$3="交付申請（２次）",BL$26&gt;=1),BL63,
IF(AND(テーブル!$B$3="交付申請兼実績報告（２次）",BL$26=0),0,
IF(AND(テーブル!$B$3="交付申請兼実績報告（２次）",BL$26&gt;=1),BL63,
IF(AND(テーブル!$B$3="実績報告（２次）",BL$26=0),0,
IF(AND(テーブル!$B$3="実績報告（２次）",BL$26&gt;=1),BL63)))))))))),0)</f>
        <v>0</v>
      </c>
      <c r="BM35" s="1997">
        <f>IFERROR(
IF(テーブル!$B$3="交付申請",BM63,
IF(AND(テーブル!$B$3="変更申請",BM$26=0),0,
IF(AND(テーブル!$B$3="変更申請",BM$26&gt;=1),BM63,
IF(テーブル!$B$3="実績報告（１次）",BM63,
IF(AND(テーブル!$B$3="交付申請（２次）",BM$26=0),0,
IF(AND(テーブル!$B$3="交付申請（２次）",BM$26&gt;=1),BM63,
IF(AND(テーブル!$B$3="交付申請兼実績報告（２次）",BM$26=0),0,
IF(AND(テーブル!$B$3="交付申請兼実績報告（２次）",BM$26&gt;=1),BM63,
IF(AND(テーブル!$B$3="実績報告（２次）",BM$26=0),0,
IF(AND(テーブル!$B$3="実績報告（２次）",BM$26&gt;=1),BM63)))))))))),0)</f>
        <v>0</v>
      </c>
      <c r="BN35" s="1997">
        <f>IFERROR(
IF(テーブル!$B$3="交付申請",BN63,
IF(AND(テーブル!$B$3="変更申請",BN$26=0),0,
IF(AND(テーブル!$B$3="変更申請",BN$26&gt;=1),BN63,
IF(テーブル!$B$3="実績報告（１次）",BN63,
IF(AND(テーブル!$B$3="交付申請（２次）",BN$26=0),0,
IF(AND(テーブル!$B$3="交付申請（２次）",BN$26&gt;=1),BN63,
IF(AND(テーブル!$B$3="交付申請兼実績報告（２次）",BN$26=0),0,
IF(AND(テーブル!$B$3="交付申請兼実績報告（２次）",BN$26&gt;=1),BN63,
IF(AND(テーブル!$B$3="実績報告（２次）",BN$26=0),0,
IF(AND(テーブル!$B$3="実績報告（２次）",BN$26&gt;=1),BN63)))))))))),0)</f>
        <v>0</v>
      </c>
      <c r="BO35" s="1997">
        <f>IFERROR(
IF(テーブル!$B$3="交付申請",BO63,
IF(AND(テーブル!$B$3="変更申請",BO$26=0),0,
IF(AND(テーブル!$B$3="変更申請",BO$26&gt;=1),BO63,
IF(テーブル!$B$3="実績報告（１次）",BO63,
IF(AND(テーブル!$B$3="交付申請（２次）",BO$26=0),0,
IF(AND(テーブル!$B$3="交付申請（２次）",BO$26&gt;=1),BO63,
IF(AND(テーブル!$B$3="交付申請兼実績報告（２次）",BO$26=0),0,
IF(AND(テーブル!$B$3="交付申請兼実績報告（２次）",BO$26&gt;=1),BO63,
IF(AND(テーブル!$B$3="実績報告（２次）",BO$26=0),0,
IF(AND(テーブル!$B$3="実績報告（２次）",BO$26&gt;=1),BO63)))))))))),0)</f>
        <v>0</v>
      </c>
      <c r="BP35" s="1997">
        <f>IFERROR(
IF(テーブル!$B$3="交付申請",BP63,
IF(AND(テーブル!$B$3="変更申請",BP$26=0),0,
IF(AND(テーブル!$B$3="変更申請",BP$26&gt;=1),BP63,
IF(テーブル!$B$3="実績報告（１次）",BP63,
IF(AND(テーブル!$B$3="交付申請（２次）",BP$26=0),0,
IF(AND(テーブル!$B$3="交付申請（２次）",BP$26&gt;=1),BP63,
IF(AND(テーブル!$B$3="交付申請兼実績報告（２次）",BP$26=0),0,
IF(AND(テーブル!$B$3="交付申請兼実績報告（２次）",BP$26&gt;=1),BP63,
IF(AND(テーブル!$B$3="実績報告（２次）",BP$26=0),0,
IF(AND(テーブル!$B$3="実績報告（２次）",BP$26&gt;=1),BP63)))))))))),0)</f>
        <v>0</v>
      </c>
      <c r="BQ35" s="1997">
        <f>IFERROR(
IF(テーブル!$B$3="交付申請",BQ63,
IF(AND(テーブル!$B$3="変更申請",BQ$26=0),0,
IF(AND(テーブル!$B$3="変更申請",BQ$26&gt;=1),BQ63,
IF(テーブル!$B$3="実績報告（１次）",BQ63,
IF(AND(テーブル!$B$3="交付申請（２次）",BQ$26=0),0,
IF(AND(テーブル!$B$3="交付申請（２次）",BQ$26&gt;=1),BQ63,
IF(AND(テーブル!$B$3="交付申請兼実績報告（２次）",BQ$26=0),0,
IF(AND(テーブル!$B$3="交付申請兼実績報告（２次）",BQ$26&gt;=1),BQ63,
IF(AND(テーブル!$B$3="実績報告（２次）",BQ$26=0),0,
IF(AND(テーブル!$B$3="実績報告（２次）",BQ$26&gt;=1),BQ63)))))))))),0)</f>
        <v>0</v>
      </c>
      <c r="BR35" s="1997">
        <f>IFERROR(
IF(テーブル!$B$3="交付申請",BR63,
IF(AND(テーブル!$B$3="変更申請",BR$26=0),0,
IF(AND(テーブル!$B$3="変更申請",BR$26&gt;=1),BR63,
IF(テーブル!$B$3="実績報告（１次）",BR63,
IF(AND(テーブル!$B$3="交付申請（２次）",BR$26=0),0,
IF(AND(テーブル!$B$3="交付申請（２次）",BR$26&gt;=1),BR63,
IF(AND(テーブル!$B$3="交付申請兼実績報告（２次）",BR$26=0),0,
IF(AND(テーブル!$B$3="交付申請兼実績報告（２次）",BR$26&gt;=1),BR63,
IF(AND(テーブル!$B$3="実績報告（２次）",BR$26=0),0,
IF(AND(テーブル!$B$3="実績報告（２次）",BR$26&gt;=1),BR63)))))))))),0)</f>
        <v>0</v>
      </c>
      <c r="BS35" s="1997">
        <f>IFERROR(
IF(テーブル!$B$3="交付申請",BS63,
IF(AND(テーブル!$B$3="変更申請",BS$26=0),0,
IF(AND(テーブル!$B$3="変更申請",BS$26&gt;=1),BS63,
IF(テーブル!$B$3="実績報告（１次）",BS63,
IF(AND(テーブル!$B$3="交付申請（２次）",BS$26=0),0,
IF(AND(テーブル!$B$3="交付申請（２次）",BS$26&gt;=1),BS63,
IF(AND(テーブル!$B$3="交付申請兼実績報告（２次）",BS$26=0),0,
IF(AND(テーブル!$B$3="交付申請兼実績報告（２次）",BS$26&gt;=1),BS63,
IF(AND(テーブル!$B$3="実績報告（２次）",BS$26=0),0,
IF(AND(テーブル!$B$3="実績報告（２次）",BS$26&gt;=1),BS63)))))))))),0)</f>
        <v>0</v>
      </c>
      <c r="BT35" s="1997">
        <f>IFERROR(
IF(テーブル!$B$3="交付申請",BT63,
IF(AND(テーブル!$B$3="変更申請",BT$26=0),0,
IF(AND(テーブル!$B$3="変更申請",BT$26&gt;=1),BT63,
IF(テーブル!$B$3="実績報告（１次）",BT63,
IF(AND(テーブル!$B$3="交付申請（２次）",BT$26=0),0,
IF(AND(テーブル!$B$3="交付申請（２次）",BT$26&gt;=1),BT63,
IF(AND(テーブル!$B$3="交付申請兼実績報告（２次）",BT$26=0),0,
IF(AND(テーブル!$B$3="交付申請兼実績報告（２次）",BT$26&gt;=1),BT63,
IF(AND(テーブル!$B$3="実績報告（２次）",BT$26=0),0,
IF(AND(テーブル!$B$3="実績報告（２次）",BT$26&gt;=1),BT63)))))))))),0)</f>
        <v>0</v>
      </c>
      <c r="BU35" s="1997">
        <f>IFERROR(
IF(テーブル!$B$3="交付申請",BU63,
IF(AND(テーブル!$B$3="変更申請",BU$26=0),0,
IF(AND(テーブル!$B$3="変更申請",BU$26&gt;=1),BU63,
IF(テーブル!$B$3="実績報告（１次）",BU63,
IF(AND(テーブル!$B$3="交付申請（２次）",BU$26=0),0,
IF(AND(テーブル!$B$3="交付申請（２次）",BU$26&gt;=1),BU63,
IF(AND(テーブル!$B$3="交付申請兼実績報告（２次）",BU$26=0),0,
IF(AND(テーブル!$B$3="交付申請兼実績報告（２次）",BU$26&gt;=1),BU63,
IF(AND(テーブル!$B$3="実績報告（２次）",BU$26=0),0,
IF(AND(テーブル!$B$3="実績報告（２次）",BU$26&gt;=1),BU63)))))))))),0)</f>
        <v>0</v>
      </c>
      <c r="BV35" s="1997">
        <f>IFERROR(
IF(テーブル!$B$3="交付申請",BV63,
IF(AND(テーブル!$B$3="変更申請",BV$26=0),0,
IF(AND(テーブル!$B$3="変更申請",BV$26&gt;=1),BV63,
IF(テーブル!$B$3="実績報告（１次）",BV63,
IF(AND(テーブル!$B$3="交付申請（２次）",BV$26=0),0,
IF(AND(テーブル!$B$3="交付申請（２次）",BV$26&gt;=1),BV63,
IF(AND(テーブル!$B$3="交付申請兼実績報告（２次）",BV$26=0),0,
IF(AND(テーブル!$B$3="交付申請兼実績報告（２次）",BV$26&gt;=1),BV63,
IF(AND(テーブル!$B$3="実績報告（２次）",BV$26=0),0,
IF(AND(テーブル!$B$3="実績報告（２次）",BV$26&gt;=1),BV63)))))))))),0)</f>
        <v>0</v>
      </c>
      <c r="BW35" s="1997">
        <f>IFERROR(
IF(テーブル!$B$3="交付申請",BW63,
IF(AND(テーブル!$B$3="変更申請",BW$26=0),0,
IF(AND(テーブル!$B$3="変更申請",BW$26&gt;=1),BW63,
IF(テーブル!$B$3="実績報告（１次）",BW63,
IF(AND(テーブル!$B$3="交付申請（２次）",BW$26=0),0,
IF(AND(テーブル!$B$3="交付申請（２次）",BW$26&gt;=1),BW63,
IF(AND(テーブル!$B$3="交付申請兼実績報告（２次）",BW$26=0),0,
IF(AND(テーブル!$B$3="交付申請兼実績報告（２次）",BW$26&gt;=1),BW63,
IF(AND(テーブル!$B$3="実績報告（２次）",BW$26=0),0,
IF(AND(テーブル!$B$3="実績報告（２次）",BW$26&gt;=1),BW63)))))))))),0)</f>
        <v>0</v>
      </c>
      <c r="BX35" s="1997">
        <f>IFERROR(
IF(テーブル!$B$3="交付申請",BX63,
IF(AND(テーブル!$B$3="変更申請",BX$26=0),0,
IF(AND(テーブル!$B$3="変更申請",BX$26&gt;=1),BX63,
IF(テーブル!$B$3="実績報告（１次）",BX63,
IF(AND(テーブル!$B$3="交付申請（２次）",BX$26=0),0,
IF(AND(テーブル!$B$3="交付申請（２次）",BX$26&gt;=1),BX63,
IF(AND(テーブル!$B$3="交付申請兼実績報告（２次）",BX$26=0),0,
IF(AND(テーブル!$B$3="交付申請兼実績報告（２次）",BX$26&gt;=1),BX63,
IF(AND(テーブル!$B$3="実績報告（２次）",BX$26=0),0,
IF(AND(テーブル!$B$3="実績報告（２次）",BX$26&gt;=1),BX63)))))))))),0)</f>
        <v>0</v>
      </c>
      <c r="BY35" s="1997">
        <f>IFERROR(
IF(テーブル!$B$3="交付申請",BY63,
IF(AND(テーブル!$B$3="変更申請",BY$26=0),0,
IF(AND(テーブル!$B$3="変更申請",BY$26&gt;=1),BY63,
IF(テーブル!$B$3="実績報告（１次）",BY63,
IF(AND(テーブル!$B$3="交付申請（２次）",BY$26=0),0,
IF(AND(テーブル!$B$3="交付申請（２次）",BY$26&gt;=1),BY63,
IF(AND(テーブル!$B$3="交付申請兼実績報告（２次）",BY$26=0),0,
IF(AND(テーブル!$B$3="交付申請兼実績報告（２次）",BY$26&gt;=1),BY63,
IF(AND(テーブル!$B$3="実績報告（２次）",BY$26=0),0,
IF(AND(テーブル!$B$3="実績報告（２次）",BY$26&gt;=1),BY63)))))))))),0)</f>
        <v>0</v>
      </c>
      <c r="BZ35" s="1997">
        <f>IFERROR(
IF(テーブル!$B$3="交付申請",BZ63,
IF(AND(テーブル!$B$3="変更申請",BZ$26=0),0,
IF(AND(テーブル!$B$3="変更申請",BZ$26&gt;=1),BZ63,
IF(テーブル!$B$3="実績報告（１次）",BZ63,
IF(AND(テーブル!$B$3="交付申請（２次）",BZ$26=0),0,
IF(AND(テーブル!$B$3="交付申請（２次）",BZ$26&gt;=1),BZ63,
IF(AND(テーブル!$B$3="交付申請兼実績報告（２次）",BZ$26=0),0,
IF(AND(テーブル!$B$3="交付申請兼実績報告（２次）",BZ$26&gt;=1),BZ63,
IF(AND(テーブル!$B$3="実績報告（２次）",BZ$26=0),0,
IF(AND(テーブル!$B$3="実績報告（２次）",BZ$26&gt;=1),BZ63)))))))))),0)</f>
        <v>0</v>
      </c>
      <c r="CA35" s="1997">
        <f>IFERROR(
IF(テーブル!$B$3="交付申請",CA63,
IF(AND(テーブル!$B$3="変更申請",CA$26=0),0,
IF(AND(テーブル!$B$3="変更申請",CA$26&gt;=1),CA63,
IF(テーブル!$B$3="実績報告（１次）",CA63,
IF(AND(テーブル!$B$3="交付申請（２次）",CA$26=0),0,
IF(AND(テーブル!$B$3="交付申請（２次）",CA$26&gt;=1),CA63,
IF(AND(テーブル!$B$3="交付申請兼実績報告（２次）",CA$26=0),0,
IF(AND(テーブル!$B$3="交付申請兼実績報告（２次）",CA$26&gt;=1),CA63,
IF(AND(テーブル!$B$3="実績報告（２次）",CA$26=0),0,
IF(AND(テーブル!$B$3="実績報告（２次）",CA$26&gt;=1),CA63)))))))))),0)</f>
        <v>0</v>
      </c>
      <c r="CB35" s="1997">
        <f>IFERROR(
IF(テーブル!$B$3="交付申請",CB63,
IF(AND(テーブル!$B$3="変更申請",CB$26=0),0,
IF(AND(テーブル!$B$3="変更申請",CB$26&gt;=1),CB63,
IF(テーブル!$B$3="実績報告（１次）",CB63,
IF(AND(テーブル!$B$3="交付申請（２次）",CB$26=0),0,
IF(AND(テーブル!$B$3="交付申請（２次）",CB$26&gt;=1),CB63,
IF(AND(テーブル!$B$3="交付申請兼実績報告（２次）",CB$26=0),0,
IF(AND(テーブル!$B$3="交付申請兼実績報告（２次）",CB$26&gt;=1),CB63,
IF(AND(テーブル!$B$3="実績報告（２次）",CB$26=0),0,
IF(AND(テーブル!$B$3="実績報告（２次）",CB$26&gt;=1),CB63)))))))))),0)</f>
        <v>0</v>
      </c>
      <c r="CC35" s="1997">
        <f>IFERROR(
IF(テーブル!$B$3="交付申請",CC63,
IF(AND(テーブル!$B$3="変更申請",CC$26=0),0,
IF(AND(テーブル!$B$3="変更申請",CC$26&gt;=1),CC63,
IF(テーブル!$B$3="実績報告（１次）",CC63,
IF(AND(テーブル!$B$3="交付申請（２次）",CC$26=0),0,
IF(AND(テーブル!$B$3="交付申請（２次）",CC$26&gt;=1),CC63,
IF(AND(テーブル!$B$3="交付申請兼実績報告（２次）",CC$26=0),0,
IF(AND(テーブル!$B$3="交付申請兼実績報告（２次）",CC$26&gt;=1),CC63,
IF(AND(テーブル!$B$3="実績報告（２次）",CC$26=0),0,
IF(AND(テーブル!$B$3="実績報告（２次）",CC$26&gt;=1),CC63)))))))))),0)</f>
        <v>0</v>
      </c>
      <c r="CD35" s="1997">
        <f>IFERROR(
IF(テーブル!$B$3="交付申請",CD63,
IF(AND(テーブル!$B$3="変更申請",CD$26=0),0,
IF(AND(テーブル!$B$3="変更申請",CD$26&gt;=1),CD63,
IF(テーブル!$B$3="実績報告（１次）",CD63,
IF(AND(テーブル!$B$3="交付申請（２次）",CD$26=0),0,
IF(AND(テーブル!$B$3="交付申請（２次）",CD$26&gt;=1),CD63,
IF(AND(テーブル!$B$3="交付申請兼実績報告（２次）",CD$26=0),0,
IF(AND(テーブル!$B$3="交付申請兼実績報告（２次）",CD$26&gt;=1),CD63,
IF(AND(テーブル!$B$3="実績報告（２次）",CD$26=0),0,
IF(AND(テーブル!$B$3="実績報告（２次）",CD$26&gt;=1),CD63)))))))))),0)</f>
        <v>0</v>
      </c>
      <c r="CE35" s="1997">
        <f>IFERROR(
IF(テーブル!$B$3="交付申請",CE63,
IF(AND(テーブル!$B$3="変更申請",CE$26=0),0,
IF(AND(テーブル!$B$3="変更申請",CE$26&gt;=1),CE63,
IF(テーブル!$B$3="実績報告（１次）",CE63,
IF(AND(テーブル!$B$3="交付申請（２次）",CE$26=0),0,
IF(AND(テーブル!$B$3="交付申請（２次）",CE$26&gt;=1),CE63,
IF(AND(テーブル!$B$3="交付申請兼実績報告（２次）",CE$26=0),0,
IF(AND(テーブル!$B$3="交付申請兼実績報告（２次）",CE$26&gt;=1),CE63,
IF(AND(テーブル!$B$3="実績報告（２次）",CE$26=0),0,
IF(AND(テーブル!$B$3="実績報告（２次）",CE$26&gt;=1),CE63)))))))))),0)</f>
        <v>0</v>
      </c>
      <c r="CF35" s="1997">
        <f>IFERROR(
IF(テーブル!$B$3="交付申請",CF63,
IF(AND(テーブル!$B$3="変更申請",CF$26=0),0,
IF(AND(テーブル!$B$3="変更申請",CF$26&gt;=1),CF63,
IF(テーブル!$B$3="実績報告（１次）",CF63,
IF(AND(テーブル!$B$3="交付申請（２次）",CF$26=0),0,
IF(AND(テーブル!$B$3="交付申請（２次）",CF$26&gt;=1),CF63,
IF(AND(テーブル!$B$3="交付申請兼実績報告（２次）",CF$26=0),0,
IF(AND(テーブル!$B$3="交付申請兼実績報告（２次）",CF$26&gt;=1),CF63,
IF(AND(テーブル!$B$3="実績報告（２次）",CF$26=0),0,
IF(AND(テーブル!$B$3="実績報告（２次）",CF$26&gt;=1),CF63)))))))))),0)</f>
        <v>0</v>
      </c>
      <c r="CG35" s="1997">
        <f>IFERROR(
IF(テーブル!$B$3="交付申請",CG63,
IF(AND(テーブル!$B$3="変更申請",CG$26=0),0,
IF(AND(テーブル!$B$3="変更申請",CG$26&gt;=1),CG63,
IF(テーブル!$B$3="実績報告（１次）",CG63,
IF(AND(テーブル!$B$3="交付申請（２次）",CG$26=0),0,
IF(AND(テーブル!$B$3="交付申請（２次）",CG$26&gt;=1),CG63,
IF(AND(テーブル!$B$3="交付申請兼実績報告（２次）",CG$26=0),0,
IF(AND(テーブル!$B$3="交付申請兼実績報告（２次）",CG$26&gt;=1),CG63,
IF(AND(テーブル!$B$3="実績報告（２次）",CG$26=0),0,
IF(AND(テーブル!$B$3="実績報告（２次）",CG$26&gt;=1),CG63)))))))))),0)</f>
        <v>0</v>
      </c>
      <c r="CH35" s="1997">
        <f>IFERROR(
IF(テーブル!$B$3="交付申請",CH63,
IF(AND(テーブル!$B$3="変更申請",CH$26=0),0,
IF(AND(テーブル!$B$3="変更申請",CH$26&gt;=1),CH63,
IF(テーブル!$B$3="実績報告（１次）",CH63,
IF(AND(テーブル!$B$3="交付申請（２次）",CH$26=0),0,
IF(AND(テーブル!$B$3="交付申請（２次）",CH$26&gt;=1),CH63,
IF(AND(テーブル!$B$3="交付申請兼実績報告（２次）",CH$26=0),0,
IF(AND(テーブル!$B$3="交付申請兼実績報告（２次）",CH$26&gt;=1),CH63,
IF(AND(テーブル!$B$3="実績報告（２次）",CH$26=0),0,
IF(AND(テーブル!$B$3="実績報告（２次）",CH$26&gt;=1),CH63)))))))))),0)</f>
        <v>0</v>
      </c>
      <c r="CI35" s="1997">
        <f>IFERROR(
IF(テーブル!$B$3="交付申請",CI63,
IF(AND(テーブル!$B$3="変更申請",CI$26=0),0,
IF(AND(テーブル!$B$3="変更申請",CI$26&gt;=1),CI63,
IF(テーブル!$B$3="実績報告（１次）",CI63,
IF(AND(テーブル!$B$3="交付申請（２次）",CI$26=0),0,
IF(AND(テーブル!$B$3="交付申請（２次）",CI$26&gt;=1),CI63,
IF(AND(テーブル!$B$3="交付申請兼実績報告（２次）",CI$26=0),0,
IF(AND(テーブル!$B$3="交付申請兼実績報告（２次）",CI$26&gt;=1),CI63,
IF(AND(テーブル!$B$3="実績報告（２次）",CI$26=0),0,
IF(AND(テーブル!$B$3="実績報告（２次）",CI$26&gt;=1),CI63)))))))))),0)</f>
        <v>0</v>
      </c>
      <c r="CJ35" s="1997">
        <f>IFERROR(
IF(テーブル!$B$3="交付申請",CJ63,
IF(AND(テーブル!$B$3="変更申請",CJ$26=0),0,
IF(AND(テーブル!$B$3="変更申請",CJ$26&gt;=1),CJ63,
IF(テーブル!$B$3="実績報告（１次）",CJ63,
IF(AND(テーブル!$B$3="交付申請（２次）",CJ$26=0),0,
IF(AND(テーブル!$B$3="交付申請（２次）",CJ$26&gt;=1),CJ63,
IF(AND(テーブル!$B$3="交付申請兼実績報告（２次）",CJ$26=0),0,
IF(AND(テーブル!$B$3="交付申請兼実績報告（２次）",CJ$26&gt;=1),CJ63,
IF(AND(テーブル!$B$3="実績報告（２次）",CJ$26=0),0,
IF(AND(テーブル!$B$3="実績報告（２次）",CJ$26&gt;=1),CJ63)))))))))),0)</f>
        <v>0</v>
      </c>
      <c r="CK35" s="1997">
        <f>IFERROR(
IF(テーブル!$B$3="交付申請",CK63,
IF(AND(テーブル!$B$3="変更申請",CK$26=0),0,
IF(AND(テーブル!$B$3="変更申請",CK$26&gt;=1),CK63,
IF(テーブル!$B$3="実績報告（１次）",CK63,
IF(AND(テーブル!$B$3="交付申請（２次）",CK$26=0),0,
IF(AND(テーブル!$B$3="交付申請（２次）",CK$26&gt;=1),CK63,
IF(AND(テーブル!$B$3="交付申請兼実績報告（２次）",CK$26=0),0,
IF(AND(テーブル!$B$3="交付申請兼実績報告（２次）",CK$26&gt;=1),CK63,
IF(AND(テーブル!$B$3="実績報告（２次）",CK$26=0),0,
IF(AND(テーブル!$B$3="実績報告（２次）",CK$26&gt;=1),CK63)))))))))),0)</f>
        <v>0</v>
      </c>
      <c r="CL35" s="1997">
        <f>IFERROR(
IF(テーブル!$B$3="交付申請",CL63,
IF(AND(テーブル!$B$3="変更申請",CL$26=0),0,
IF(AND(テーブル!$B$3="変更申請",CL$26&gt;=1),CL63,
IF(テーブル!$B$3="実績報告（１次）",CL63,
IF(AND(テーブル!$B$3="交付申請（２次）",CL$26=0),0,
IF(AND(テーブル!$B$3="交付申請（２次）",CL$26&gt;=1),CL63,
IF(AND(テーブル!$B$3="交付申請兼実績報告（２次）",CL$26=0),0,
IF(AND(テーブル!$B$3="交付申請兼実績報告（２次）",CL$26&gt;=1),CL63,
IF(AND(テーブル!$B$3="実績報告（２次）",CL$26=0),0,
IF(AND(テーブル!$B$3="実績報告（２次）",CL$26&gt;=1),CL63)))))))))),0)</f>
        <v>0</v>
      </c>
      <c r="CM35" s="1997">
        <f>IFERROR(
IF(テーブル!$B$3="交付申請",CM63,
IF(AND(テーブル!$B$3="変更申請",CM$26=0),0,
IF(AND(テーブル!$B$3="変更申請",CM$26&gt;=1),CM63,
IF(テーブル!$B$3="実績報告（１次）",CM63,
IF(AND(テーブル!$B$3="交付申請（２次）",CM$26=0),0,
IF(AND(テーブル!$B$3="交付申請（２次）",CM$26&gt;=1),CM63,
IF(AND(テーブル!$B$3="交付申請兼実績報告（２次）",CM$26=0),0,
IF(AND(テーブル!$B$3="交付申請兼実績報告（２次）",CM$26&gt;=1),CM63,
IF(AND(テーブル!$B$3="実績報告（２次）",CM$26=0),0,
IF(AND(テーブル!$B$3="実績報告（２次）",CM$26&gt;=1),CM63)))))))))),0)</f>
        <v>0</v>
      </c>
      <c r="CN35" s="1997">
        <f>IFERROR(
IF(テーブル!$B$3="交付申請",CN63,
IF(AND(テーブル!$B$3="変更申請",CN$26=0),0,
IF(AND(テーブル!$B$3="変更申請",CN$26&gt;=1),CN63,
IF(テーブル!$B$3="実績報告（１次）",CN63,
IF(AND(テーブル!$B$3="交付申請（２次）",CN$26=0),0,
IF(AND(テーブル!$B$3="交付申請（２次）",CN$26&gt;=1),CN63,
IF(AND(テーブル!$B$3="交付申請兼実績報告（２次）",CN$26=0),0,
IF(AND(テーブル!$B$3="交付申請兼実績報告（２次）",CN$26&gt;=1),CN63,
IF(AND(テーブル!$B$3="実績報告（２次）",CN$26=0),0,
IF(AND(テーブル!$B$3="実績報告（２次）",CN$26&gt;=1),CN63)))))))))),0)</f>
        <v>0</v>
      </c>
      <c r="CO35" s="1997">
        <f>IFERROR(
IF(テーブル!$B$3="交付申請",CO63,
IF(AND(テーブル!$B$3="変更申請",CO$26=0),0,
IF(AND(テーブル!$B$3="変更申請",CO$26&gt;=1),CO63,
IF(テーブル!$B$3="実績報告（１次）",CO63,
IF(AND(テーブル!$B$3="交付申請（２次）",CO$26=0),0,
IF(AND(テーブル!$B$3="交付申請（２次）",CO$26&gt;=1),CO63,
IF(AND(テーブル!$B$3="交付申請兼実績報告（２次）",CO$26=0),0,
IF(AND(テーブル!$B$3="交付申請兼実績報告（２次）",CO$26&gt;=1),CO63,
IF(AND(テーブル!$B$3="実績報告（２次）",CO$26=0),0,
IF(AND(テーブル!$B$3="実績報告（２次）",CO$26&gt;=1),CO63)))))))))),0)</f>
        <v>0</v>
      </c>
      <c r="CP35" s="1997">
        <f>IFERROR(
IF(テーブル!$B$3="交付申請",CP63,
IF(AND(テーブル!$B$3="変更申請",CP$26=0),0,
IF(AND(テーブル!$B$3="変更申請",CP$26&gt;=1),CP63,
IF(テーブル!$B$3="実績報告（１次）",CP63,
IF(AND(テーブル!$B$3="交付申請（２次）",CP$26=0),0,
IF(AND(テーブル!$B$3="交付申請（２次）",CP$26&gt;=1),CP63,
IF(AND(テーブル!$B$3="交付申請兼実績報告（２次）",CP$26=0),0,
IF(AND(テーブル!$B$3="交付申請兼実績報告（２次）",CP$26&gt;=1),CP63,
IF(AND(テーブル!$B$3="実績報告（２次）",CP$26=0),0,
IF(AND(テーブル!$B$3="実績報告（２次）",CP$26&gt;=1),CP63)))))))))),0)</f>
        <v>0</v>
      </c>
      <c r="CQ35" s="1997">
        <f>IFERROR(
IF(テーブル!$B$3="交付申請",CQ63,
IF(AND(テーブル!$B$3="変更申請",CQ$26=0),0,
IF(AND(テーブル!$B$3="変更申請",CQ$26&gt;=1),CQ63,
IF(テーブル!$B$3="実績報告（１次）",CQ63,
IF(AND(テーブル!$B$3="交付申請（２次）",CQ$26=0),0,
IF(AND(テーブル!$B$3="交付申請（２次）",CQ$26&gt;=1),CQ63,
IF(AND(テーブル!$B$3="交付申請兼実績報告（２次）",CQ$26=0),0,
IF(AND(テーブル!$B$3="交付申請兼実績報告（２次）",CQ$26&gt;=1),CQ63,
IF(AND(テーブル!$B$3="実績報告（２次）",CQ$26=0),0,
IF(AND(テーブル!$B$3="実績報告（２次）",CQ$26&gt;=1),CQ63)))))))))),0)</f>
        <v>0</v>
      </c>
      <c r="CR35" s="1997">
        <f>IFERROR(
IF(テーブル!$B$3="交付申請",CR63,
IF(AND(テーブル!$B$3="変更申請",CR$26=0),0,
IF(AND(テーブル!$B$3="変更申請",CR$26&gt;=1),CR63,
IF(テーブル!$B$3="実績報告（１次）",CR63,
IF(AND(テーブル!$B$3="交付申請（２次）",CR$26=0),0,
IF(AND(テーブル!$B$3="交付申請（２次）",CR$26&gt;=1),CR63,
IF(AND(テーブル!$B$3="交付申請兼実績報告（２次）",CR$26=0),0,
IF(AND(テーブル!$B$3="交付申請兼実績報告（２次）",CR$26&gt;=1),CR63,
IF(AND(テーブル!$B$3="実績報告（２次）",CR$26=0),0,
IF(AND(テーブル!$B$3="実績報告（２次）",CR$26&gt;=1),CR63)))))))))),0)</f>
        <v>0</v>
      </c>
      <c r="CS35" s="1997">
        <f>IFERROR(
IF(テーブル!$B$3="交付申請",CS63,
IF(AND(テーブル!$B$3="変更申請",CS$26=0),0,
IF(AND(テーブル!$B$3="変更申請",CS$26&gt;=1),CS63,
IF(テーブル!$B$3="実績報告（１次）",CS63,
IF(AND(テーブル!$B$3="交付申請（２次）",CS$26=0),0,
IF(AND(テーブル!$B$3="交付申請（２次）",CS$26&gt;=1),CS63,
IF(AND(テーブル!$B$3="交付申請兼実績報告（２次）",CS$26=0),0,
IF(AND(テーブル!$B$3="交付申請兼実績報告（２次）",CS$26&gt;=1),CS63,
IF(AND(テーブル!$B$3="実績報告（２次）",CS$26=0),0,
IF(AND(テーブル!$B$3="実績報告（２次）",CS$26&gt;=1),CS63)))))))))),0)</f>
        <v>0</v>
      </c>
      <c r="CT35" s="1997">
        <f>IFERROR(
IF(テーブル!$B$3="交付申請",CT63,
IF(AND(テーブル!$B$3="変更申請",CT$26=0),0,
IF(AND(テーブル!$B$3="変更申請",CT$26&gt;=1),CT63,
IF(テーブル!$B$3="実績報告（１次）",CT63,
IF(AND(テーブル!$B$3="交付申請（２次）",CT$26=0),0,
IF(AND(テーブル!$B$3="交付申請（２次）",CT$26&gt;=1),CT63,
IF(AND(テーブル!$B$3="交付申請兼実績報告（２次）",CT$26=0),0,
IF(AND(テーブル!$B$3="交付申請兼実績報告（２次）",CT$26&gt;=1),CT63,
IF(AND(テーブル!$B$3="実績報告（２次）",CT$26=0),0,
IF(AND(テーブル!$B$3="実績報告（２次）",CT$26&gt;=1),CT63)))))))))),0)</f>
        <v>0</v>
      </c>
      <c r="CU35" s="1997">
        <f>IFERROR(
IF(テーブル!$B$3="交付申請",CU63,
IF(AND(テーブル!$B$3="変更申請",CU$26=0),0,
IF(AND(テーブル!$B$3="変更申請",CU$26&gt;=1),CU63,
IF(テーブル!$B$3="実績報告（１次）",CU63,
IF(AND(テーブル!$B$3="交付申請（２次）",CU$26=0),0,
IF(AND(テーブル!$B$3="交付申請（２次）",CU$26&gt;=1),CU63,
IF(AND(テーブル!$B$3="交付申請兼実績報告（２次）",CU$26=0),0,
IF(AND(テーブル!$B$3="交付申請兼実績報告（２次）",CU$26&gt;=1),CU63,
IF(AND(テーブル!$B$3="実績報告（２次）",CU$26=0),0,
IF(AND(テーブル!$B$3="実績報告（２次）",CU$26&gt;=1),CU63)))))))))),0)</f>
        <v>0</v>
      </c>
      <c r="CV35" s="1997">
        <f>IFERROR(
IF(テーブル!$B$3="交付申請",CV63,
IF(AND(テーブル!$B$3="変更申請",CV$26=0),0,
IF(AND(テーブル!$B$3="変更申請",CV$26&gt;=1),CV63,
IF(テーブル!$B$3="実績報告（１次）",CV63,
IF(AND(テーブル!$B$3="交付申請（２次）",CV$26=0),0,
IF(AND(テーブル!$B$3="交付申請（２次）",CV$26&gt;=1),CV63,
IF(AND(テーブル!$B$3="交付申請兼実績報告（２次）",CV$26=0),0,
IF(AND(テーブル!$B$3="交付申請兼実績報告（２次）",CV$26&gt;=1),CV63,
IF(AND(テーブル!$B$3="実績報告（２次）",CV$26=0),0,
IF(AND(テーブル!$B$3="実績報告（２次）",CV$26&gt;=1),CV63)))))))))),0)</f>
        <v>0</v>
      </c>
      <c r="CW35" s="1997">
        <f>IFERROR(
IF(テーブル!$B$3="交付申請",CW63,
IF(AND(テーブル!$B$3="変更申請",CW$26=0),0,
IF(AND(テーブル!$B$3="変更申請",CW$26&gt;=1),CW63,
IF(テーブル!$B$3="実績報告（１次）",CW63,
IF(AND(テーブル!$B$3="交付申請（２次）",CW$26=0),0,
IF(AND(テーブル!$B$3="交付申請（２次）",CW$26&gt;=1),CW63,
IF(AND(テーブル!$B$3="交付申請兼実績報告（２次）",CW$26=0),0,
IF(AND(テーブル!$B$3="交付申請兼実績報告（２次）",CW$26&gt;=1),CW63,
IF(AND(テーブル!$B$3="実績報告（２次）",CW$26=0),0,
IF(AND(テーブル!$B$3="実績報告（２次）",CW$26&gt;=1),CW63)))))))))),0)</f>
        <v>0</v>
      </c>
      <c r="CX35" s="1997">
        <f>IFERROR(
IF(テーブル!$B$3="交付申請",CX63,
IF(AND(テーブル!$B$3="変更申請",CX$26=0),0,
IF(AND(テーブル!$B$3="変更申請",CX$26&gt;=1),CX63,
IF(テーブル!$B$3="実績報告（１次）",CX63,
IF(AND(テーブル!$B$3="交付申請（２次）",CX$26=0),0,
IF(AND(テーブル!$B$3="交付申請（２次）",CX$26&gt;=1),CX63,
IF(AND(テーブル!$B$3="交付申請兼実績報告（２次）",CX$26=0),0,
IF(AND(テーブル!$B$3="交付申請兼実績報告（２次）",CX$26&gt;=1),CX63,
IF(AND(テーブル!$B$3="実績報告（２次）",CX$26=0),0,
IF(AND(テーブル!$B$3="実績報告（２次）",CX$26&gt;=1),CX63)))))))))),0)</f>
        <v>0</v>
      </c>
      <c r="CY35" s="1997">
        <f>IFERROR(
IF(テーブル!$B$3="交付申請",CY63,
IF(AND(テーブル!$B$3="変更申請",CY$26=0),0,
IF(AND(テーブル!$B$3="変更申請",CY$26&gt;=1),CY63,
IF(テーブル!$B$3="実績報告（１次）",CY63,
IF(AND(テーブル!$B$3="交付申請（２次）",CY$26=0),0,
IF(AND(テーブル!$B$3="交付申請（２次）",CY$26&gt;=1),CY63,
IF(AND(テーブル!$B$3="交付申請兼実績報告（２次）",CY$26=0),0,
IF(AND(テーブル!$B$3="交付申請兼実績報告（２次）",CY$26&gt;=1),CY63,
IF(AND(テーブル!$B$3="実績報告（２次）",CY$26=0),0,
IF(AND(テーブル!$B$3="実績報告（２次）",CY$26&gt;=1),CY63)))))))))),0)</f>
        <v>0</v>
      </c>
      <c r="CZ35" s="1997">
        <f>IFERROR(
IF(テーブル!$B$3="交付申請",CZ63,
IF(AND(テーブル!$B$3="変更申請",CZ$26=0),0,
IF(AND(テーブル!$B$3="変更申請",CZ$26&gt;=1),CZ63,
IF(テーブル!$B$3="実績報告（１次）",CZ63,
IF(AND(テーブル!$B$3="交付申請（２次）",CZ$26=0),0,
IF(AND(テーブル!$B$3="交付申請（２次）",CZ$26&gt;=1),CZ63,
IF(AND(テーブル!$B$3="交付申請兼実績報告（２次）",CZ$26=0),0,
IF(AND(テーブル!$B$3="交付申請兼実績報告（２次）",CZ$26&gt;=1),CZ63,
IF(AND(テーブル!$B$3="実績報告（２次）",CZ$26=0),0,
IF(AND(テーブル!$B$3="実績報告（２次）",CZ$26&gt;=1),CZ63)))))))))),0)</f>
        <v>0</v>
      </c>
      <c r="DA35" s="1997">
        <f>IFERROR(
IF(テーブル!$B$3="交付申請",DA63,
IF(AND(テーブル!$B$3="変更申請",DA$26=0),0,
IF(AND(テーブル!$B$3="変更申請",DA$26&gt;=1),DA63,
IF(テーブル!$B$3="実績報告（１次）",DA63,
IF(AND(テーブル!$B$3="交付申請（２次）",DA$26=0),0,
IF(AND(テーブル!$B$3="交付申請（２次）",DA$26&gt;=1),DA63,
IF(AND(テーブル!$B$3="交付申請兼実績報告（２次）",DA$26=0),0,
IF(AND(テーブル!$B$3="交付申請兼実績報告（２次）",DA$26&gt;=1),DA63,
IF(AND(テーブル!$B$3="実績報告（２次）",DA$26=0),0,
IF(AND(テーブル!$B$3="実績報告（２次）",DA$26&gt;=1),DA63)))))))))),0)</f>
        <v>0</v>
      </c>
      <c r="DB35" s="1997">
        <f>IFERROR(
IF(テーブル!$B$3="交付申請",DB63,
IF(AND(テーブル!$B$3="変更申請",DB$26=0),0,
IF(AND(テーブル!$B$3="変更申請",DB$26&gt;=1),DB63,
IF(テーブル!$B$3="実績報告（１次）",DB63,
IF(AND(テーブル!$B$3="交付申請（２次）",DB$26=0),0,
IF(AND(テーブル!$B$3="交付申請（２次）",DB$26&gt;=1),DB63,
IF(AND(テーブル!$B$3="交付申請兼実績報告（２次）",DB$26=0),0,
IF(AND(テーブル!$B$3="交付申請兼実績報告（２次）",DB$26&gt;=1),DB63,
IF(AND(テーブル!$B$3="実績報告（２次）",DB$26=0),0,
IF(AND(テーブル!$B$3="実績報告（２次）",DB$26&gt;=1),DB63)))))))))),0)</f>
        <v>0</v>
      </c>
      <c r="DC35" s="1997">
        <f>IFERROR(
IF(テーブル!$B$3="交付申請",DC63,
IF(AND(テーブル!$B$3="変更申請",DC$26=0),0,
IF(AND(テーブル!$B$3="変更申請",DC$26&gt;=1),DC63,
IF(テーブル!$B$3="実績報告（１次）",DC63,
IF(AND(テーブル!$B$3="交付申請（２次）",DC$26=0),0,
IF(AND(テーブル!$B$3="交付申請（２次）",DC$26&gt;=1),DC63,
IF(AND(テーブル!$B$3="交付申請兼実績報告（２次）",DC$26=0),0,
IF(AND(テーブル!$B$3="交付申請兼実績報告（２次）",DC$26&gt;=1),DC63,
IF(AND(テーブル!$B$3="実績報告（２次）",DC$26=0),0,
IF(AND(テーブル!$B$3="実績報告（２次）",DC$26&gt;=1),DC63)))))))))),0)</f>
        <v>0</v>
      </c>
      <c r="DD35" s="1997">
        <f>IFERROR(
IF(テーブル!$B$3="交付申請",DD63,
IF(AND(テーブル!$B$3="変更申請",DD$26=0),0,
IF(AND(テーブル!$B$3="変更申請",DD$26&gt;=1),DD63,
IF(テーブル!$B$3="実績報告（１次）",DD63,
IF(AND(テーブル!$B$3="交付申請（２次）",DD$26=0),0,
IF(AND(テーブル!$B$3="交付申請（２次）",DD$26&gt;=1),DD63,
IF(AND(テーブル!$B$3="交付申請兼実績報告（２次）",DD$26=0),0,
IF(AND(テーブル!$B$3="交付申請兼実績報告（２次）",DD$26&gt;=1),DD63,
IF(AND(テーブル!$B$3="実績報告（２次）",DD$26=0),0,
IF(AND(テーブル!$B$3="実績報告（２次）",DD$26&gt;=1),DD63)))))))))),0)</f>
        <v>0</v>
      </c>
      <c r="DE35" s="1997">
        <f>IFERROR(
IF(テーブル!$B$3="交付申請",DE63,
IF(AND(テーブル!$B$3="変更申請",DE$26=0),0,
IF(AND(テーブル!$B$3="変更申請",DE$26&gt;=1),DE63,
IF(テーブル!$B$3="実績報告（１次）",DE63,
IF(AND(テーブル!$B$3="交付申請（２次）",DE$26=0),0,
IF(AND(テーブル!$B$3="交付申請（２次）",DE$26&gt;=1),DE63,
IF(AND(テーブル!$B$3="交付申請兼実績報告（２次）",DE$26=0),0,
IF(AND(テーブル!$B$3="交付申請兼実績報告（２次）",DE$26&gt;=1),DE63,
IF(AND(テーブル!$B$3="実績報告（２次）",DE$26=0),0,
IF(AND(テーブル!$B$3="実績報告（２次）",DE$26&gt;=1),DE63)))))))))),0)</f>
        <v>0</v>
      </c>
      <c r="DF35" s="1997">
        <f>IFERROR(
IF(テーブル!$B$3="交付申請",DF63,
IF(AND(テーブル!$B$3="変更申請",DF$26=0),0,
IF(AND(テーブル!$B$3="変更申請",DF$26&gt;=1),DF63,
IF(テーブル!$B$3="実績報告（１次）",DF63,
IF(AND(テーブル!$B$3="交付申請（２次）",DF$26=0),0,
IF(AND(テーブル!$B$3="交付申請（２次）",DF$26&gt;=1),DF63,
IF(AND(テーブル!$B$3="交付申請兼実績報告（２次）",DF$26=0),0,
IF(AND(テーブル!$B$3="交付申請兼実績報告（２次）",DF$26&gt;=1),DF63,
IF(AND(テーブル!$B$3="実績報告（２次）",DF$26=0),0,
IF(AND(テーブル!$B$3="実績報告（２次）",DF$26&gt;=1),DF63)))))))))),0)</f>
        <v>0</v>
      </c>
      <c r="DG35" s="1997">
        <f>IFERROR(
IF(テーブル!$B$3="交付申請",DG63,
IF(AND(テーブル!$B$3="変更申請",DG$26=0),0,
IF(AND(テーブル!$B$3="変更申請",DG$26&gt;=1),DG63,
IF(テーブル!$B$3="実績報告（１次）",DG63,
IF(AND(テーブル!$B$3="交付申請（２次）",DG$26=0),0,
IF(AND(テーブル!$B$3="交付申請（２次）",DG$26&gt;=1),DG63,
IF(AND(テーブル!$B$3="交付申請兼実績報告（２次）",DG$26=0),0,
IF(AND(テーブル!$B$3="交付申請兼実績報告（２次）",DG$26&gt;=1),DG63,
IF(AND(テーブル!$B$3="実績報告（２次）",DG$26=0),0,
IF(AND(テーブル!$B$3="実績報告（２次）",DG$26&gt;=1),DG63)))))))))),0)</f>
        <v>0</v>
      </c>
      <c r="DH35" s="1997">
        <f>IFERROR(
IF(テーブル!$B$3="交付申請",DH63,
IF(AND(テーブル!$B$3="変更申請",DH$26=0),0,
IF(AND(テーブル!$B$3="変更申請",DH$26&gt;=1),DH63,
IF(テーブル!$B$3="実績報告（１次）",DH63,
IF(AND(テーブル!$B$3="交付申請（２次）",DH$26=0),0,
IF(AND(テーブル!$B$3="交付申請（２次）",DH$26&gt;=1),DH63,
IF(AND(テーブル!$B$3="交付申請兼実績報告（２次）",DH$26=0),0,
IF(AND(テーブル!$B$3="交付申請兼実績報告（２次）",DH$26&gt;=1),DH63,
IF(AND(テーブル!$B$3="実績報告（２次）",DH$26=0),0,
IF(AND(テーブル!$B$3="実績報告（２次）",DH$26&gt;=1),DH63)))))))))),0)</f>
        <v>0</v>
      </c>
      <c r="DI35" s="1997">
        <f>IFERROR(
IF(テーブル!$B$3="交付申請",DI63,
IF(AND(テーブル!$B$3="変更申請",DI$26=0),0,
IF(AND(テーブル!$B$3="変更申請",DI$26&gt;=1),DI63,
IF(テーブル!$B$3="実績報告（１次）",DI63,
IF(AND(テーブル!$B$3="交付申請（２次）",DI$26=0),0,
IF(AND(テーブル!$B$3="交付申請（２次）",DI$26&gt;=1),DI63,
IF(AND(テーブル!$B$3="交付申請兼実績報告（２次）",DI$26=0),0,
IF(AND(テーブル!$B$3="交付申請兼実績報告（２次）",DI$26&gt;=1),DI63,
IF(AND(テーブル!$B$3="実績報告（２次）",DI$26=0),0,
IF(AND(テーブル!$B$3="実績報告（２次）",DI$26&gt;=1),DI63)))))))))),0)</f>
        <v>0</v>
      </c>
      <c r="DJ35" s="1997">
        <f>IFERROR(
IF(テーブル!$B$3="交付申請",DJ63,
IF(AND(テーブル!$B$3="変更申請",DJ$26=0),0,
IF(AND(テーブル!$B$3="変更申請",DJ$26&gt;=1),DJ63,
IF(テーブル!$B$3="実績報告（１次）",DJ63,
IF(AND(テーブル!$B$3="交付申請（２次）",DJ$26=0),0,
IF(AND(テーブル!$B$3="交付申請（２次）",DJ$26&gt;=1),DJ63,
IF(AND(テーブル!$B$3="交付申請兼実績報告（２次）",DJ$26=0),0,
IF(AND(テーブル!$B$3="交付申請兼実績報告（２次）",DJ$26&gt;=1),DJ63,
IF(AND(テーブル!$B$3="実績報告（２次）",DJ$26=0),0,
IF(AND(テーブル!$B$3="実績報告（２次）",DJ$26&gt;=1),DJ63)))))))))),0)</f>
        <v>0</v>
      </c>
      <c r="DK35" s="1997">
        <f>IFERROR(
IF(テーブル!$B$3="交付申請",DK63,
IF(AND(テーブル!$B$3="変更申請",DK$26=0),0,
IF(AND(テーブル!$B$3="変更申請",DK$26&gt;=1),DK63,
IF(テーブル!$B$3="実績報告（１次）",DK63,
IF(AND(テーブル!$B$3="交付申請（２次）",DK$26=0),0,
IF(AND(テーブル!$B$3="交付申請（２次）",DK$26&gt;=1),DK63,
IF(AND(テーブル!$B$3="交付申請兼実績報告（２次）",DK$26=0),0,
IF(AND(テーブル!$B$3="交付申請兼実績報告（２次）",DK$26&gt;=1),DK63,
IF(AND(テーブル!$B$3="実績報告（２次）",DK$26=0),0,
IF(AND(テーブル!$B$3="実績報告（２次）",DK$26&gt;=1),DK63)))))))))),0)</f>
        <v>0</v>
      </c>
      <c r="DL35" s="1997">
        <f>IFERROR(
IF(テーブル!$B$3="交付申請",DL63,
IF(AND(テーブル!$B$3="変更申請",DL$26=0),0,
IF(AND(テーブル!$B$3="変更申請",DL$26&gt;=1),DL63,
IF(テーブル!$B$3="実績報告（１次）",DL63,
IF(AND(テーブル!$B$3="交付申請（２次）",DL$26=0),0,
IF(AND(テーブル!$B$3="交付申請（２次）",DL$26&gt;=1),DL63,
IF(AND(テーブル!$B$3="交付申請兼実績報告（２次）",DL$26=0),0,
IF(AND(テーブル!$B$3="交付申請兼実績報告（２次）",DL$26&gt;=1),DL63,
IF(AND(テーブル!$B$3="実績報告（２次）",DL$26=0),0,
IF(AND(テーブル!$B$3="実績報告（２次）",DL$26&gt;=1),DL63)))))))))),0)</f>
        <v>0</v>
      </c>
      <c r="DM35" s="1997">
        <f>IFERROR(
IF(テーブル!$B$3="交付申請",DM63,
IF(AND(テーブル!$B$3="変更申請",DM$26=0),0,
IF(AND(テーブル!$B$3="変更申請",DM$26&gt;=1),DM63,
IF(テーブル!$B$3="実績報告（１次）",DM63,
IF(AND(テーブル!$B$3="交付申請（２次）",DM$26=0),0,
IF(AND(テーブル!$B$3="交付申請（２次）",DM$26&gt;=1),DM63,
IF(AND(テーブル!$B$3="交付申請兼実績報告（２次）",DM$26=0),0,
IF(AND(テーブル!$B$3="交付申請兼実績報告（２次）",DM$26&gt;=1),DM63,
IF(AND(テーブル!$B$3="実績報告（２次）",DM$26=0),0,
IF(AND(テーブル!$B$3="実績報告（２次）",DM$26&gt;=1),DM63)))))))))),0)</f>
        <v>0</v>
      </c>
      <c r="DN35" s="1997">
        <f>IFERROR(
IF(テーブル!$B$3="交付申請",DN63,
IF(AND(テーブル!$B$3="変更申請",DN$26=0),0,
IF(AND(テーブル!$B$3="変更申請",DN$26&gt;=1),DN63,
IF(テーブル!$B$3="実績報告（１次）",DN63,
IF(AND(テーブル!$B$3="交付申請（２次）",DN$26=0),0,
IF(AND(テーブル!$B$3="交付申請（２次）",DN$26&gt;=1),DN63,
IF(AND(テーブル!$B$3="交付申請兼実績報告（２次）",DN$26=0),0,
IF(AND(テーブル!$B$3="交付申請兼実績報告（２次）",DN$26&gt;=1),DN63,
IF(AND(テーブル!$B$3="実績報告（２次）",DN$26=0),0,
IF(AND(テーブル!$B$3="実績報告（２次）",DN$26&gt;=1),DN63)))))))))),0)</f>
        <v>0</v>
      </c>
      <c r="DO35" s="1997">
        <f>IFERROR(
IF(テーブル!$B$3="交付申請",DO63,
IF(AND(テーブル!$B$3="変更申請",DO$26=0),0,
IF(AND(テーブル!$B$3="変更申請",DO$26&gt;=1),DO63,
IF(テーブル!$B$3="実績報告（１次）",DO63,
IF(AND(テーブル!$B$3="交付申請（２次）",DO$26=0),0,
IF(AND(テーブル!$B$3="交付申請（２次）",DO$26&gt;=1),DO63,
IF(AND(テーブル!$B$3="交付申請兼実績報告（２次）",DO$26=0),0,
IF(AND(テーブル!$B$3="交付申請兼実績報告（２次）",DO$26&gt;=1),DO63,
IF(AND(テーブル!$B$3="実績報告（２次）",DO$26=0),0,
IF(AND(テーブル!$B$3="実績報告（２次）",DO$26&gt;=1),DO63)))))))))),0)</f>
        <v>0</v>
      </c>
      <c r="DP35" s="1997">
        <f>IFERROR(
IF(テーブル!$B$3="交付申請",DP63,
IF(AND(テーブル!$B$3="変更申請",DP$26=0),0,
IF(AND(テーブル!$B$3="変更申請",DP$26&gt;=1),DP63,
IF(テーブル!$B$3="実績報告（１次）",DP63,
IF(AND(テーブル!$B$3="交付申請（２次）",DP$26=0),0,
IF(AND(テーブル!$B$3="交付申請（２次）",DP$26&gt;=1),DP63,
IF(AND(テーブル!$B$3="交付申請兼実績報告（２次）",DP$26=0),0,
IF(AND(テーブル!$B$3="交付申請兼実績報告（２次）",DP$26&gt;=1),DP63,
IF(AND(テーブル!$B$3="実績報告（２次）",DP$26=0),0,
IF(AND(テーブル!$B$3="実績報告（２次）",DP$26&gt;=1),DP63)))))))))),0)</f>
        <v>0</v>
      </c>
      <c r="DQ35" s="1997">
        <f>IFERROR(
IF(テーブル!$B$3="交付申請",DQ63,
IF(AND(テーブル!$B$3="変更申請",DQ$26=0),0,
IF(AND(テーブル!$B$3="変更申請",DQ$26&gt;=1),DQ63,
IF(テーブル!$B$3="実績報告（１次）",DQ63,
IF(AND(テーブル!$B$3="交付申請（２次）",DQ$26=0),0,
IF(AND(テーブル!$B$3="交付申請（２次）",DQ$26&gt;=1),DQ63,
IF(AND(テーブル!$B$3="交付申請兼実績報告（２次）",DQ$26=0),0,
IF(AND(テーブル!$B$3="交付申請兼実績報告（２次）",DQ$26&gt;=1),DQ63,
IF(AND(テーブル!$B$3="実績報告（２次）",DQ$26=0),0,
IF(AND(テーブル!$B$3="実績報告（２次）",DQ$26&gt;=1),DQ63)))))))))),0)</f>
        <v>0</v>
      </c>
      <c r="DR35" s="1997">
        <f>IFERROR(
IF(テーブル!$B$3="交付申請",DR63,
IF(AND(テーブル!$B$3="変更申請",DR$26=0),0,
IF(AND(テーブル!$B$3="変更申請",DR$26&gt;=1),DR63,
IF(テーブル!$B$3="実績報告（１次）",DR63,
IF(AND(テーブル!$B$3="交付申請（２次）",DR$26=0),0,
IF(AND(テーブル!$B$3="交付申請（２次）",DR$26&gt;=1),DR63,
IF(AND(テーブル!$B$3="交付申請兼実績報告（２次）",DR$26=0),0,
IF(AND(テーブル!$B$3="交付申請兼実績報告（２次）",DR$26&gt;=1),DR63,
IF(AND(テーブル!$B$3="実績報告（２次）",DR$26=0),0,
IF(AND(テーブル!$B$3="実績報告（２次）",DR$26&gt;=1),DR63)))))))))),0)</f>
        <v>0</v>
      </c>
      <c r="DS35" s="1997">
        <f>IFERROR(
IF(テーブル!$B$3="交付申請",DS63,
IF(AND(テーブル!$B$3="変更申請",DS$26=0),0,
IF(AND(テーブル!$B$3="変更申請",DS$26&gt;=1),DS63,
IF(テーブル!$B$3="実績報告（１次）",DS63,
IF(AND(テーブル!$B$3="交付申請（２次）",DS$26=0),0,
IF(AND(テーブル!$B$3="交付申請（２次）",DS$26&gt;=1),DS63,
IF(AND(テーブル!$B$3="交付申請兼実績報告（２次）",DS$26=0),0,
IF(AND(テーブル!$B$3="交付申請兼実績報告（２次）",DS$26&gt;=1),DS63,
IF(AND(テーブル!$B$3="実績報告（２次）",DS$26=0),0,
IF(AND(テーブル!$B$3="実績報告（２次）",DS$26&gt;=1),DS63)))))))))),0)</f>
        <v>0</v>
      </c>
      <c r="DT35" s="1997">
        <f>IFERROR(
IF(テーブル!$B$3="交付申請",DT63,
IF(AND(テーブル!$B$3="変更申請",DT$26=0),0,
IF(AND(テーブル!$B$3="変更申請",DT$26&gt;=1),DT63,
IF(テーブル!$B$3="実績報告（１次）",DT63,
IF(AND(テーブル!$B$3="交付申請（２次）",DT$26=0),0,
IF(AND(テーブル!$B$3="交付申請（２次）",DT$26&gt;=1),DT63,
IF(AND(テーブル!$B$3="交付申請兼実績報告（２次）",DT$26=0),0,
IF(AND(テーブル!$B$3="交付申請兼実績報告（２次）",DT$26&gt;=1),DT63,
IF(AND(テーブル!$B$3="実績報告（２次）",DT$26=0),0,
IF(AND(テーブル!$B$3="実績報告（２次）",DT$26&gt;=1),DT63)))))))))),0)</f>
        <v>0</v>
      </c>
      <c r="DU35" s="1997">
        <f>IFERROR(
IF(テーブル!$B$3="交付申請",DU63,
IF(AND(テーブル!$B$3="変更申請",DU$26=0),0,
IF(AND(テーブル!$B$3="変更申請",DU$26&gt;=1),DU63,
IF(テーブル!$B$3="実績報告（１次）",DU63,
IF(AND(テーブル!$B$3="交付申請（２次）",DU$26=0),0,
IF(AND(テーブル!$B$3="交付申請（２次）",DU$26&gt;=1),DU63,
IF(AND(テーブル!$B$3="交付申請兼実績報告（２次）",DU$26=0),0,
IF(AND(テーブル!$B$3="交付申請兼実績報告（２次）",DU$26&gt;=1),DU63,
IF(AND(テーブル!$B$3="実績報告（２次）",DU$26=0),0,
IF(AND(テーブル!$B$3="実績報告（２次）",DU$26&gt;=1),DU63)))))))))),0)</f>
        <v>0</v>
      </c>
      <c r="DV35" s="1997">
        <f>IFERROR(
IF(テーブル!$B$3="交付申請",DV63,
IF(AND(テーブル!$B$3="変更申請",DV$26=0),0,
IF(AND(テーブル!$B$3="変更申請",DV$26&gt;=1),DV63,
IF(テーブル!$B$3="実績報告（１次）",DV63,
IF(AND(テーブル!$B$3="交付申請（２次）",DV$26=0),0,
IF(AND(テーブル!$B$3="交付申請（２次）",DV$26&gt;=1),DV63,
IF(AND(テーブル!$B$3="交付申請兼実績報告（２次）",DV$26=0),0,
IF(AND(テーブル!$B$3="交付申請兼実績報告（２次）",DV$26&gt;=1),DV63,
IF(AND(テーブル!$B$3="実績報告（２次）",DV$26=0),0,
IF(AND(テーブル!$B$3="実績報告（２次）",DV$26&gt;=1),DV63)))))))))),0)</f>
        <v>0</v>
      </c>
      <c r="DW35" s="1997">
        <f>IFERROR(
IF(テーブル!$B$3="交付申請",DW63,
IF(AND(テーブル!$B$3="変更申請",DW$26=0),0,
IF(AND(テーブル!$B$3="変更申請",DW$26&gt;=1),DW63,
IF(テーブル!$B$3="実績報告（１次）",DW63,
IF(AND(テーブル!$B$3="交付申請（２次）",DW$26=0),0,
IF(AND(テーブル!$B$3="交付申請（２次）",DW$26&gt;=1),DW63,
IF(AND(テーブル!$B$3="交付申請兼実績報告（２次）",DW$26=0),0,
IF(AND(テーブル!$B$3="交付申請兼実績報告（２次）",DW$26&gt;=1),DW63,
IF(AND(テーブル!$B$3="実績報告（２次）",DW$26=0),0,
IF(AND(テーブル!$B$3="実績報告（２次）",DW$26&gt;=1),DW63)))))))))),0)</f>
        <v>0</v>
      </c>
      <c r="DX35" s="1997">
        <f>IFERROR(
IF(テーブル!$B$3="交付申請",DX63,
IF(AND(テーブル!$B$3="変更申請",DX$26=0),0,
IF(AND(テーブル!$B$3="変更申請",DX$26&gt;=1),DX63,
IF(テーブル!$B$3="実績報告（１次）",DX63,
IF(AND(テーブル!$B$3="交付申請（２次）",DX$26=0),0,
IF(AND(テーブル!$B$3="交付申請（２次）",DX$26&gt;=1),DX63,
IF(AND(テーブル!$B$3="交付申請兼実績報告（２次）",DX$26=0),0,
IF(AND(テーブル!$B$3="交付申請兼実績報告（２次）",DX$26&gt;=1),DX63,
IF(AND(テーブル!$B$3="実績報告（２次）",DX$26=0),0,
IF(AND(テーブル!$B$3="実績報告（２次）",DX$26&gt;=1),DX63)))))))))),0)</f>
        <v>0</v>
      </c>
      <c r="DY35" s="1997">
        <f>IFERROR(
IF(テーブル!$B$3="交付申請",DY63,
IF(AND(テーブル!$B$3="変更申請",DY$26=0),0,
IF(AND(テーブル!$B$3="変更申請",DY$26&gt;=1),DY63,
IF(テーブル!$B$3="実績報告（１次）",DY63,
IF(AND(テーブル!$B$3="交付申請（２次）",DY$26=0),0,
IF(AND(テーブル!$B$3="交付申請（２次）",DY$26&gt;=1),DY63,
IF(AND(テーブル!$B$3="交付申請兼実績報告（２次）",DY$26=0),0,
IF(AND(テーブル!$B$3="交付申請兼実績報告（２次）",DY$26&gt;=1),DY63,
IF(AND(テーブル!$B$3="実績報告（２次）",DY$26=0),0,
IF(AND(テーブル!$B$3="実績報告（２次）",DY$26&gt;=1),DY63)))))))))),0)</f>
        <v>0</v>
      </c>
      <c r="DZ35" s="1997">
        <f>IFERROR(
IF(テーブル!$B$3="交付申請",DZ63,
IF(AND(テーブル!$B$3="変更申請",DZ$26=0),0,
IF(AND(テーブル!$B$3="変更申請",DZ$26&gt;=1),DZ63,
IF(テーブル!$B$3="実績報告（１次）",DZ63,
IF(AND(テーブル!$B$3="交付申請（２次）",DZ$26=0),0,
IF(AND(テーブル!$B$3="交付申請（２次）",DZ$26&gt;=1),DZ63,
IF(AND(テーブル!$B$3="交付申請兼実績報告（２次）",DZ$26=0),0,
IF(AND(テーブル!$B$3="交付申請兼実績報告（２次）",DZ$26&gt;=1),DZ63,
IF(AND(テーブル!$B$3="実績報告（２次）",DZ$26=0),0,
IF(AND(テーブル!$B$3="実績報告（２次）",DZ$26&gt;=1),DZ63)))))))))),0)</f>
        <v>0</v>
      </c>
      <c r="EA35" s="1997">
        <f>IFERROR(
IF(テーブル!$B$3="交付申請",EA63,
IF(AND(テーブル!$B$3="変更申請",EA$26=0),0,
IF(AND(テーブル!$B$3="変更申請",EA$26&gt;=1),EA63,
IF(テーブル!$B$3="実績報告（１次）",EA63,
IF(AND(テーブル!$B$3="交付申請（２次）",EA$26=0),0,
IF(AND(テーブル!$B$3="交付申請（２次）",EA$26&gt;=1),EA63,
IF(AND(テーブル!$B$3="交付申請兼実績報告（２次）",EA$26=0),0,
IF(AND(テーブル!$B$3="交付申請兼実績報告（２次）",EA$26&gt;=1),EA63,
IF(AND(テーブル!$B$3="実績報告（２次）",EA$26=0),0,
IF(AND(テーブル!$B$3="実績報告（２次）",EA$26&gt;=1),EA63)))))))))),0)</f>
        <v>0</v>
      </c>
      <c r="EB35" s="1997">
        <f>IFERROR(
IF(テーブル!$B$3="交付申請",EB63,
IF(AND(テーブル!$B$3="変更申請",EB$26=0),0,
IF(AND(テーブル!$B$3="変更申請",EB$26&gt;=1),EB63,
IF(テーブル!$B$3="実績報告（１次）",EB63,
IF(AND(テーブル!$B$3="交付申請（２次）",EB$26=0),0,
IF(AND(テーブル!$B$3="交付申請（２次）",EB$26&gt;=1),EB63,
IF(AND(テーブル!$B$3="交付申請兼実績報告（２次）",EB$26=0),0,
IF(AND(テーブル!$B$3="交付申請兼実績報告（２次）",EB$26&gt;=1),EB63,
IF(AND(テーブル!$B$3="実績報告（２次）",EB$26=0),0,
IF(AND(テーブル!$B$3="実績報告（２次）",EB$26&gt;=1),EB63)))))))))),0)</f>
        <v>0</v>
      </c>
      <c r="EC35" s="1997">
        <f>IFERROR(
IF(テーブル!$B$3="交付申請",EC63,
IF(AND(テーブル!$B$3="変更申請",EC$26=0),0,
IF(AND(テーブル!$B$3="変更申請",EC$26&gt;=1),EC63,
IF(テーブル!$B$3="実績報告（１次）",EC63,
IF(AND(テーブル!$B$3="交付申請（２次）",EC$26=0),0,
IF(AND(テーブル!$B$3="交付申請（２次）",EC$26&gt;=1),EC63,
IF(AND(テーブル!$B$3="交付申請兼実績報告（２次）",EC$26=0),0,
IF(AND(テーブル!$B$3="交付申請兼実績報告（２次）",EC$26&gt;=1),EC63,
IF(AND(テーブル!$B$3="実績報告（２次）",EC$26=0),0,
IF(AND(テーブル!$B$3="実績報告（２次）",EC$26&gt;=1),EC63)))))))))),0)</f>
        <v>0</v>
      </c>
      <c r="ED35" s="1997">
        <f>IFERROR(
IF(テーブル!$B$3="交付申請",ED63,
IF(AND(テーブル!$B$3="変更申請",ED$26=0),0,
IF(AND(テーブル!$B$3="変更申請",ED$26&gt;=1),ED63,
IF(テーブル!$B$3="実績報告（１次）",ED63,
IF(AND(テーブル!$B$3="交付申請（２次）",ED$26=0),0,
IF(AND(テーブル!$B$3="交付申請（２次）",ED$26&gt;=1),ED63,
IF(AND(テーブル!$B$3="交付申請兼実績報告（２次）",ED$26=0),0,
IF(AND(テーブル!$B$3="交付申請兼実績報告（２次）",ED$26&gt;=1),ED63,
IF(AND(テーブル!$B$3="実績報告（２次）",ED$26=0),0,
IF(AND(テーブル!$B$3="実績報告（２次）",ED$26&gt;=1),ED63)))))))))),0)</f>
        <v>0</v>
      </c>
      <c r="EE35" s="1997">
        <f>IFERROR(
IF(テーブル!$B$3="交付申請",EE63,
IF(AND(テーブル!$B$3="変更申請",EE$26=0),0,
IF(AND(テーブル!$B$3="変更申請",EE$26&gt;=1),EE63,
IF(テーブル!$B$3="実績報告（１次）",EE63,
IF(AND(テーブル!$B$3="交付申請（２次）",EE$26=0),0,
IF(AND(テーブル!$B$3="交付申請（２次）",EE$26&gt;=1),EE63,
IF(AND(テーブル!$B$3="交付申請兼実績報告（２次）",EE$26=0),0,
IF(AND(テーブル!$B$3="交付申請兼実績報告（２次）",EE$26&gt;=1),EE63,
IF(AND(テーブル!$B$3="実績報告（２次）",EE$26=0),0,
IF(AND(テーブル!$B$3="実績報告（２次）",EE$26&gt;=1),EE63)))))))))),0)</f>
        <v>0</v>
      </c>
      <c r="EF35" s="1997">
        <f>IFERROR(
IF(テーブル!$B$3="交付申請",EF63,
IF(AND(テーブル!$B$3="変更申請",EF$26=0),0,
IF(AND(テーブル!$B$3="変更申請",EF$26&gt;=1),EF63,
IF(テーブル!$B$3="実績報告（１次）",EF63,
IF(AND(テーブル!$B$3="交付申請（２次）",EF$26=0),0,
IF(AND(テーブル!$B$3="交付申請（２次）",EF$26&gt;=1),EF63,
IF(AND(テーブル!$B$3="交付申請兼実績報告（２次）",EF$26=0),0,
IF(AND(テーブル!$B$3="交付申請兼実績報告（２次）",EF$26&gt;=1),EF63,
IF(AND(テーブル!$B$3="実績報告（２次）",EF$26=0),0,
IF(AND(テーブル!$B$3="実績報告（２次）",EF$26&gt;=1),EF63)))))))))),0)</f>
        <v>0</v>
      </c>
      <c r="EG35" s="1997">
        <f>IFERROR(
IF(テーブル!$B$3="交付申請",EG63,
IF(AND(テーブル!$B$3="変更申請",EG$26=0),0,
IF(AND(テーブル!$B$3="変更申請",EG$26&gt;=1),EG63,
IF(テーブル!$B$3="実績報告（１次）",EG63,
IF(AND(テーブル!$B$3="交付申請（２次）",EG$26=0),0,
IF(AND(テーブル!$B$3="交付申請（２次）",EG$26&gt;=1),EG63,
IF(AND(テーブル!$B$3="交付申請兼実績報告（２次）",EG$26=0),0,
IF(AND(テーブル!$B$3="交付申請兼実績報告（２次）",EG$26&gt;=1),EG63,
IF(AND(テーブル!$B$3="実績報告（２次）",EG$26=0),0,
IF(AND(テーブル!$B$3="実績報告（２次）",EG$26&gt;=1),EG63)))))))))),0)</f>
        <v>0</v>
      </c>
      <c r="EH35" s="1997">
        <f>IFERROR(
IF(テーブル!$B$3="交付申請",EH63,
IF(AND(テーブル!$B$3="変更申請",EH$26=0),0,
IF(AND(テーブル!$B$3="変更申請",EH$26&gt;=1),EH63,
IF(テーブル!$B$3="実績報告（１次）",EH63,
IF(AND(テーブル!$B$3="交付申請（２次）",EH$26=0),0,
IF(AND(テーブル!$B$3="交付申請（２次）",EH$26&gt;=1),EH63,
IF(AND(テーブル!$B$3="交付申請兼実績報告（２次）",EH$26=0),0,
IF(AND(テーブル!$B$3="交付申請兼実績報告（２次）",EH$26&gt;=1),EH63,
IF(AND(テーブル!$B$3="実績報告（２次）",EH$26=0),0,
IF(AND(テーブル!$B$3="実績報告（２次）",EH$26&gt;=1),EH63)))))))))),0)</f>
        <v>0</v>
      </c>
      <c r="EI35" s="1997">
        <f>IFERROR(
IF(テーブル!$B$3="交付申請",EI63,
IF(AND(テーブル!$B$3="変更申請",EI$26=0),0,
IF(AND(テーブル!$B$3="変更申請",EI$26&gt;=1),EI63,
IF(テーブル!$B$3="実績報告（１次）",EI63,
IF(AND(テーブル!$B$3="交付申請（２次）",EI$26=0),0,
IF(AND(テーブル!$B$3="交付申請（２次）",EI$26&gt;=1),EI63,
IF(AND(テーブル!$B$3="交付申請兼実績報告（２次）",EI$26=0),0,
IF(AND(テーブル!$B$3="交付申請兼実績報告（２次）",EI$26&gt;=1),EI63,
IF(AND(テーブル!$B$3="実績報告（２次）",EI$26=0),0,
IF(AND(テーブル!$B$3="実績報告（２次）",EI$26&gt;=1),EI63)))))))))),0)</f>
        <v>0</v>
      </c>
      <c r="EJ35" s="1997">
        <f>IFERROR(
IF(テーブル!$B$3="交付申請",EJ63,
IF(AND(テーブル!$B$3="変更申請",EJ$26=0),0,
IF(AND(テーブル!$B$3="変更申請",EJ$26&gt;=1),EJ63,
IF(テーブル!$B$3="実績報告（１次）",EJ63,
IF(AND(テーブル!$B$3="交付申請（２次）",EJ$26=0),0,
IF(AND(テーブル!$B$3="交付申請（２次）",EJ$26&gt;=1),EJ63,
IF(AND(テーブル!$B$3="交付申請兼実績報告（２次）",EJ$26=0),0,
IF(AND(テーブル!$B$3="交付申請兼実績報告（２次）",EJ$26&gt;=1),EJ63,
IF(AND(テーブル!$B$3="実績報告（２次）",EJ$26=0),0,
IF(AND(テーブル!$B$3="実績報告（２次）",EJ$26&gt;=1),EJ63)))))))))),0)</f>
        <v>0</v>
      </c>
      <c r="EK35" s="1997">
        <f>IFERROR(
IF(テーブル!$B$3="交付申請",EK63,
IF(AND(テーブル!$B$3="変更申請",EK$26=0),0,
IF(AND(テーブル!$B$3="変更申請",EK$26&gt;=1),EK63,
IF(テーブル!$B$3="実績報告（１次）",EK63,
IF(AND(テーブル!$B$3="交付申請（２次）",EK$26=0),0,
IF(AND(テーブル!$B$3="交付申請（２次）",EK$26&gt;=1),EK63,
IF(AND(テーブル!$B$3="交付申請兼実績報告（２次）",EK$26=0),0,
IF(AND(テーブル!$B$3="交付申請兼実績報告（２次）",EK$26&gt;=1),EK63,
IF(AND(テーブル!$B$3="実績報告（２次）",EK$26=0),0,
IF(AND(テーブル!$B$3="実績報告（２次）",EK$26&gt;=1),EK63)))))))))),0)</f>
        <v>0</v>
      </c>
      <c r="EL35" s="1997">
        <f>IFERROR(
IF(テーブル!$B$3="交付申請",EL63,
IF(AND(テーブル!$B$3="変更申請",EL$26=0),0,
IF(AND(テーブル!$B$3="変更申請",EL$26&gt;=1),EL63,
IF(テーブル!$B$3="実績報告（１次）",EL63,
IF(AND(テーブル!$B$3="交付申請（２次）",EL$26=0),0,
IF(AND(テーブル!$B$3="交付申請（２次）",EL$26&gt;=1),EL63,
IF(AND(テーブル!$B$3="交付申請兼実績報告（２次）",EL$26=0),0,
IF(AND(テーブル!$B$3="交付申請兼実績報告（２次）",EL$26&gt;=1),EL63,
IF(AND(テーブル!$B$3="実績報告（２次）",EL$26=0),0,
IF(AND(テーブル!$B$3="実績報告（２次）",EL$26&gt;=1),EL63)))))))))),0)</f>
        <v>0</v>
      </c>
      <c r="EM35" s="1997">
        <f>IFERROR(
IF(テーブル!$B$3="交付申請",EM63,
IF(AND(テーブル!$B$3="変更申請",EM$26=0),0,
IF(AND(テーブル!$B$3="変更申請",EM$26&gt;=1),EM63,
IF(テーブル!$B$3="実績報告（１次）",EM63,
IF(AND(テーブル!$B$3="交付申請（２次）",EM$26=0),0,
IF(AND(テーブル!$B$3="交付申請（２次）",EM$26&gt;=1),EM63,
IF(AND(テーブル!$B$3="交付申請兼実績報告（２次）",EM$26=0),0,
IF(AND(テーブル!$B$3="交付申請兼実績報告（２次）",EM$26&gt;=1),EM63,
IF(AND(テーブル!$B$3="実績報告（２次）",EM$26=0),0,
IF(AND(テーブル!$B$3="実績報告（２次）",EM$26&gt;=1),EM63)))))))))),0)</f>
        <v>0</v>
      </c>
      <c r="EN35" s="1997">
        <f>IFERROR(
IF(テーブル!$B$3="交付申請",EN63,
IF(AND(テーブル!$B$3="変更申請",EN$26=0),0,
IF(AND(テーブル!$B$3="変更申請",EN$26&gt;=1),EN63,
IF(テーブル!$B$3="実績報告（１次）",EN63,
IF(AND(テーブル!$B$3="交付申請（２次）",EN$26=0),0,
IF(AND(テーブル!$B$3="交付申請（２次）",EN$26&gt;=1),EN63,
IF(AND(テーブル!$B$3="交付申請兼実績報告（２次）",EN$26=0),0,
IF(AND(テーブル!$B$3="交付申請兼実績報告（２次）",EN$26&gt;=1),EN63,
IF(AND(テーブル!$B$3="実績報告（２次）",EN$26=0),0,
IF(AND(テーブル!$B$3="実績報告（２次）",EN$26&gt;=1),EN63)))))))))),0)</f>
        <v>0</v>
      </c>
      <c r="EO35" s="1997">
        <f>IFERROR(
IF(テーブル!$B$3="交付申請",EO63,
IF(AND(テーブル!$B$3="変更申請",EO$26=0),0,
IF(AND(テーブル!$B$3="変更申請",EO$26&gt;=1),EO63,
IF(テーブル!$B$3="実績報告（１次）",EO63,
IF(AND(テーブル!$B$3="交付申請（２次）",EO$26=0),0,
IF(AND(テーブル!$B$3="交付申請（２次）",EO$26&gt;=1),EO63,
IF(AND(テーブル!$B$3="交付申請兼実績報告（２次）",EO$26=0),0,
IF(AND(テーブル!$B$3="交付申請兼実績報告（２次）",EO$26&gt;=1),EO63,
IF(AND(テーブル!$B$3="実績報告（２次）",EO$26=0),0,
IF(AND(テーブル!$B$3="実績報告（２次）",EO$26&gt;=1),EO63)))))))))),0)</f>
        <v>0</v>
      </c>
      <c r="EP35" s="1997">
        <f>IFERROR(
IF(テーブル!$B$3="交付申請",EP63,
IF(AND(テーブル!$B$3="変更申請",EP$26=0),0,
IF(AND(テーブル!$B$3="変更申請",EP$26&gt;=1),EP63,
IF(テーブル!$B$3="実績報告（１次）",EP63,
IF(AND(テーブル!$B$3="交付申請（２次）",EP$26=0),0,
IF(AND(テーブル!$B$3="交付申請（２次）",EP$26&gt;=1),EP63,
IF(AND(テーブル!$B$3="交付申請兼実績報告（２次）",EP$26=0),0,
IF(AND(テーブル!$B$3="交付申請兼実績報告（２次）",EP$26&gt;=1),EP63,
IF(AND(テーブル!$B$3="実績報告（２次）",EP$26=0),0,
IF(AND(テーブル!$B$3="実績報告（２次）",EP$26&gt;=1),EP63)))))))))),0)</f>
        <v>0</v>
      </c>
      <c r="EQ35" s="1997">
        <f>IFERROR(
IF(テーブル!$B$3="交付申請",EQ63,
IF(AND(テーブル!$B$3="変更申請",EQ$26=0),0,
IF(AND(テーブル!$B$3="変更申請",EQ$26&gt;=1),EQ63,
IF(テーブル!$B$3="実績報告（１次）",EQ63,
IF(AND(テーブル!$B$3="交付申請（２次）",EQ$26=0),0,
IF(AND(テーブル!$B$3="交付申請（２次）",EQ$26&gt;=1),EQ63,
IF(AND(テーブル!$B$3="交付申請兼実績報告（２次）",EQ$26=0),0,
IF(AND(テーブル!$B$3="交付申請兼実績報告（２次）",EQ$26&gt;=1),EQ63,
IF(AND(テーブル!$B$3="実績報告（２次）",EQ$26=0),0,
IF(AND(テーブル!$B$3="実績報告（２次）",EQ$26&gt;=1),EQ63)))))))))),0)</f>
        <v>0</v>
      </c>
      <c r="ER35" s="1997">
        <f>IFERROR(
IF(テーブル!$B$3="交付申請",ER63,
IF(AND(テーブル!$B$3="変更申請",ER$26=0),0,
IF(AND(テーブル!$B$3="変更申請",ER$26&gt;=1),ER63,
IF(テーブル!$B$3="実績報告（１次）",ER63,
IF(AND(テーブル!$B$3="交付申請（２次）",ER$26=0),0,
IF(AND(テーブル!$B$3="交付申請（２次）",ER$26&gt;=1),ER63,
IF(AND(テーブル!$B$3="交付申請兼実績報告（２次）",ER$26=0),0,
IF(AND(テーブル!$B$3="交付申請兼実績報告（２次）",ER$26&gt;=1),ER63,
IF(AND(テーブル!$B$3="実績報告（２次）",ER$26=0),0,
IF(AND(テーブル!$B$3="実績報告（２次）",ER$26&gt;=1),ER63)))))))))),0)</f>
        <v>0</v>
      </c>
      <c r="ES35" s="1997">
        <f>IFERROR(
IF(テーブル!$B$3="交付申請",ES63,
IF(AND(テーブル!$B$3="変更申請",ES$26=0),0,
IF(AND(テーブル!$B$3="変更申請",ES$26&gt;=1),ES63,
IF(テーブル!$B$3="実績報告（１次）",ES63,
IF(AND(テーブル!$B$3="交付申請（２次）",ES$26=0),0,
IF(AND(テーブル!$B$3="交付申請（２次）",ES$26&gt;=1),ES63,
IF(AND(テーブル!$B$3="交付申請兼実績報告（２次）",ES$26=0),0,
IF(AND(テーブル!$B$3="交付申請兼実績報告（２次）",ES$26&gt;=1),ES63,
IF(AND(テーブル!$B$3="実績報告（２次）",ES$26=0),0,
IF(AND(テーブル!$B$3="実績報告（２次）",ES$26&gt;=1),ES63)))))))))),0)</f>
        <v>0</v>
      </c>
      <c r="ET35" s="1997">
        <f>IFERROR(
IF(テーブル!$B$3="交付申請",ET63,
IF(AND(テーブル!$B$3="変更申請",ET$26=0),0,
IF(AND(テーブル!$B$3="変更申請",ET$26&gt;=1),ET63,
IF(テーブル!$B$3="実績報告（１次）",ET63,
IF(AND(テーブル!$B$3="交付申請（２次）",ET$26=0),0,
IF(AND(テーブル!$B$3="交付申請（２次）",ET$26&gt;=1),ET63,
IF(AND(テーブル!$B$3="交付申請兼実績報告（２次）",ET$26=0),0,
IF(AND(テーブル!$B$3="交付申請兼実績報告（２次）",ET$26&gt;=1),ET63,
IF(AND(テーブル!$B$3="実績報告（２次）",ET$26=0),0,
IF(AND(テーブル!$B$3="実績報告（２次）",ET$26&gt;=1),ET63)))))))))),0)</f>
        <v>0</v>
      </c>
      <c r="EU35" s="1997">
        <f>IFERROR(
IF(テーブル!$B$3="交付申請",EU63,
IF(AND(テーブル!$B$3="変更申請",EU$26=0),0,
IF(AND(テーブル!$B$3="変更申請",EU$26&gt;=1),EU63,
IF(テーブル!$B$3="実績報告（１次）",EU63,
IF(AND(テーブル!$B$3="交付申請（２次）",EU$26=0),0,
IF(AND(テーブル!$B$3="交付申請（２次）",EU$26&gt;=1),EU63,
IF(AND(テーブル!$B$3="交付申請兼実績報告（２次）",EU$26=0),0,
IF(AND(テーブル!$B$3="交付申請兼実績報告（２次）",EU$26&gt;=1),EU63,
IF(AND(テーブル!$B$3="実績報告（２次）",EU$26=0),0,
IF(AND(テーブル!$B$3="実績報告（２次）",EU$26&gt;=1),EU63)))))))))),0)</f>
        <v>0</v>
      </c>
      <c r="EV35" s="1997">
        <f>IFERROR(
IF(テーブル!$B$3="交付申請",EV63,
IF(AND(テーブル!$B$3="変更申請",EV$26=0),0,
IF(AND(テーブル!$B$3="変更申請",EV$26&gt;=1),EV63,
IF(テーブル!$B$3="実績報告（１次）",EV63,
IF(AND(テーブル!$B$3="交付申請（２次）",EV$26=0),0,
IF(AND(テーブル!$B$3="交付申請（２次）",EV$26&gt;=1),EV63,
IF(AND(テーブル!$B$3="交付申請兼実績報告（２次）",EV$26=0),0,
IF(AND(テーブル!$B$3="交付申請兼実績報告（２次）",EV$26&gt;=1),EV63,
IF(AND(テーブル!$B$3="実績報告（２次）",EV$26=0),0,
IF(AND(テーブル!$B$3="実績報告（２次）",EV$26&gt;=1),EV63)))))))))),0)</f>
        <v>0</v>
      </c>
      <c r="EW35" s="1997">
        <f>IFERROR(
IF(テーブル!$B$3="交付申請",EW63,
IF(AND(テーブル!$B$3="変更申請",EW$26=0),0,
IF(AND(テーブル!$B$3="変更申請",EW$26&gt;=1),EW63,
IF(テーブル!$B$3="実績報告（１次）",EW63,
IF(AND(テーブル!$B$3="交付申請（２次）",EW$26=0),0,
IF(AND(テーブル!$B$3="交付申請（２次）",EW$26&gt;=1),EW63,
IF(AND(テーブル!$B$3="交付申請兼実績報告（２次）",EW$26=0),0,
IF(AND(テーブル!$B$3="交付申請兼実績報告（２次）",EW$26&gt;=1),EW63,
IF(AND(テーブル!$B$3="実績報告（２次）",EW$26=0),0,
IF(AND(テーブル!$B$3="実績報告（２次）",EW$26&gt;=1),EW63)))))))))),0)</f>
        <v>0</v>
      </c>
      <c r="EX35" s="1997">
        <f>IFERROR(
IF(テーブル!$B$3="交付申請",EX63,
IF(AND(テーブル!$B$3="変更申請",EX$26=0),0,
IF(AND(テーブル!$B$3="変更申請",EX$26&gt;=1),EX63,
IF(テーブル!$B$3="実績報告（１次）",EX63,
IF(AND(テーブル!$B$3="交付申請（２次）",EX$26=0),0,
IF(AND(テーブル!$B$3="交付申請（２次）",EX$26&gt;=1),EX63,
IF(AND(テーブル!$B$3="交付申請兼実績報告（２次）",EX$26=0),0,
IF(AND(テーブル!$B$3="交付申請兼実績報告（２次）",EX$26&gt;=1),EX63,
IF(AND(テーブル!$B$3="実績報告（２次）",EX$26=0),0,
IF(AND(テーブル!$B$3="実績報告（２次）",EX$26&gt;=1),EX63)))))))))),0)</f>
        <v>0</v>
      </c>
      <c r="EY35" s="1997">
        <f>IFERROR(
IF(テーブル!$B$3="交付申請",EY63,
IF(AND(テーブル!$B$3="変更申請",EY$26=0),0,
IF(AND(テーブル!$B$3="変更申請",EY$26&gt;=1),EY63,
IF(テーブル!$B$3="実績報告（１次）",EY63,
IF(AND(テーブル!$B$3="交付申請（２次）",EY$26=0),0,
IF(AND(テーブル!$B$3="交付申請（２次）",EY$26&gt;=1),EY63,
IF(AND(テーブル!$B$3="交付申請兼実績報告（２次）",EY$26=0),0,
IF(AND(テーブル!$B$3="交付申請兼実績報告（２次）",EY$26&gt;=1),EY63,
IF(AND(テーブル!$B$3="実績報告（２次）",EY$26=0),0,
IF(AND(テーブル!$B$3="実績報告（２次）",EY$26&gt;=1),EY63)))))))))),0)</f>
        <v>0</v>
      </c>
      <c r="EZ35" s="1997">
        <f>IFERROR(
IF(テーブル!$B$3="交付申請",EZ63,
IF(AND(テーブル!$B$3="変更申請",EZ$26=0),0,
IF(AND(テーブル!$B$3="変更申請",EZ$26&gt;=1),EZ63,
IF(テーブル!$B$3="実績報告（１次）",EZ63,
IF(AND(テーブル!$B$3="交付申請（２次）",EZ$26=0),0,
IF(AND(テーブル!$B$3="交付申請（２次）",EZ$26&gt;=1),EZ63,
IF(AND(テーブル!$B$3="交付申請兼実績報告（２次）",EZ$26=0),0,
IF(AND(テーブル!$B$3="交付申請兼実績報告（２次）",EZ$26&gt;=1),EZ63,
IF(AND(テーブル!$B$3="実績報告（２次）",EZ$26=0),0,
IF(AND(テーブル!$B$3="実績報告（２次）",EZ$26&gt;=1),EZ63)))))))))),0)</f>
        <v>0</v>
      </c>
      <c r="FA35" s="1997">
        <f>IFERROR(
IF(テーブル!$B$3="交付申請",FA63,
IF(AND(テーブル!$B$3="変更申請",FA$26=0),0,
IF(AND(テーブル!$B$3="変更申請",FA$26&gt;=1),FA63,
IF(テーブル!$B$3="実績報告（１次）",FA63,
IF(AND(テーブル!$B$3="交付申請（２次）",FA$26=0),0,
IF(AND(テーブル!$B$3="交付申請（２次）",FA$26&gt;=1),FA63,
IF(AND(テーブル!$B$3="交付申請兼実績報告（２次）",FA$26=0),0,
IF(AND(テーブル!$B$3="交付申請兼実績報告（２次）",FA$26&gt;=1),FA63,
IF(AND(テーブル!$B$3="実績報告（２次）",FA$26=0),0,
IF(AND(テーブル!$B$3="実績報告（２次）",FA$26&gt;=1),FA63)))))))))),0)</f>
        <v>0</v>
      </c>
      <c r="FB35" s="1997">
        <f>IFERROR(
IF(テーブル!$B$3="交付申請",FB63,
IF(AND(テーブル!$B$3="変更申請",FB$26=0),0,
IF(AND(テーブル!$B$3="変更申請",FB$26&gt;=1),FB63,
IF(テーブル!$B$3="実績報告（１次）",FB63,
IF(AND(テーブル!$B$3="交付申請（２次）",FB$26=0),0,
IF(AND(テーブル!$B$3="交付申請（２次）",FB$26&gt;=1),FB63,
IF(AND(テーブル!$B$3="交付申請兼実績報告（２次）",FB$26=0),0,
IF(AND(テーブル!$B$3="交付申請兼実績報告（２次）",FB$26&gt;=1),FB63,
IF(AND(テーブル!$B$3="実績報告（２次）",FB$26=0),0,
IF(AND(テーブル!$B$3="実績報告（２次）",FB$26&gt;=1),FB63)))))))))),0)</f>
        <v>0</v>
      </c>
      <c r="FC35" s="1997">
        <f>IFERROR(
IF(テーブル!$B$3="交付申請",FC63,
IF(AND(テーブル!$B$3="変更申請",FC$26=0),0,
IF(AND(テーブル!$B$3="変更申請",FC$26&gt;=1),FC63,
IF(テーブル!$B$3="実績報告（１次）",FC63,
IF(AND(テーブル!$B$3="交付申請（２次）",FC$26=0),0,
IF(AND(テーブル!$B$3="交付申請（２次）",FC$26&gt;=1),FC63,
IF(AND(テーブル!$B$3="交付申請兼実績報告（２次）",FC$26=0),0,
IF(AND(テーブル!$B$3="交付申請兼実績報告（２次）",FC$26&gt;=1),FC63,
IF(AND(テーブル!$B$3="実績報告（２次）",FC$26=0),0,
IF(AND(テーブル!$B$3="実績報告（２次）",FC$26&gt;=1),FC63)))))))))),0)</f>
        <v>0</v>
      </c>
      <c r="FD35" s="1997">
        <f>IFERROR(
IF(テーブル!$B$3="交付申請",FD63,
IF(AND(テーブル!$B$3="変更申請",FD$26=0),0,
IF(AND(テーブル!$B$3="変更申請",FD$26&gt;=1),FD63,
IF(テーブル!$B$3="実績報告（１次）",FD63,
IF(AND(テーブル!$B$3="交付申請（２次）",FD$26=0),0,
IF(AND(テーブル!$B$3="交付申請（２次）",FD$26&gt;=1),FD63,
IF(AND(テーブル!$B$3="交付申請兼実績報告（２次）",FD$26=0),0,
IF(AND(テーブル!$B$3="交付申請兼実績報告（２次）",FD$26&gt;=1),FD63,
IF(AND(テーブル!$B$3="実績報告（２次）",FD$26=0),0,
IF(AND(テーブル!$B$3="実績報告（２次）",FD$26&gt;=1),FD63)))))))))),0)</f>
        <v>0</v>
      </c>
      <c r="FE35" s="1997">
        <f>IFERROR(
IF(テーブル!$B$3="交付申請",FE63,
IF(AND(テーブル!$B$3="変更申請",FE$26=0),0,
IF(AND(テーブル!$B$3="変更申請",FE$26&gt;=1),FE63,
IF(テーブル!$B$3="実績報告（１次）",FE63,
IF(AND(テーブル!$B$3="交付申請（２次）",FE$26=0),0,
IF(AND(テーブル!$B$3="交付申請（２次）",FE$26&gt;=1),FE63,
IF(AND(テーブル!$B$3="交付申請兼実績報告（２次）",FE$26=0),0,
IF(AND(テーブル!$B$3="交付申請兼実績報告（２次）",FE$26&gt;=1),FE63,
IF(AND(テーブル!$B$3="実績報告（２次）",FE$26=0),0,
IF(AND(テーブル!$B$3="実績報告（２次）",FE$26&gt;=1),FE63)))))))))),0)</f>
        <v>0</v>
      </c>
      <c r="FF35" s="1997">
        <f>IFERROR(
IF(テーブル!$B$3="交付申請",FF63,
IF(AND(テーブル!$B$3="変更申請",FF$26=0),0,
IF(AND(テーブル!$B$3="変更申請",FF$26&gt;=1),FF63,
IF(テーブル!$B$3="実績報告（１次）",FF63,
IF(AND(テーブル!$B$3="交付申請（２次）",FF$26=0),0,
IF(AND(テーブル!$B$3="交付申請（２次）",FF$26&gt;=1),FF63,
IF(AND(テーブル!$B$3="交付申請兼実績報告（２次）",FF$26=0),0,
IF(AND(テーブル!$B$3="交付申請兼実績報告（２次）",FF$26&gt;=1),FF63,
IF(AND(テーブル!$B$3="実績報告（２次）",FF$26=0),0,
IF(AND(テーブル!$B$3="実績報告（２次）",FF$26&gt;=1),FF63)))))))))),0)</f>
        <v>0</v>
      </c>
      <c r="FG35" s="1997">
        <f>IFERROR(
IF(テーブル!$B$3="交付申請",FG63,
IF(AND(テーブル!$B$3="変更申請",FG$26=0),0,
IF(AND(テーブル!$B$3="変更申請",FG$26&gt;=1),FG63,
IF(テーブル!$B$3="実績報告（１次）",FG63,
IF(AND(テーブル!$B$3="交付申請（２次）",FG$26=0),0,
IF(AND(テーブル!$B$3="交付申請（２次）",FG$26&gt;=1),FG63,
IF(AND(テーブル!$B$3="交付申請兼実績報告（２次）",FG$26=0),0,
IF(AND(テーブル!$B$3="交付申請兼実績報告（２次）",FG$26&gt;=1),FG63,
IF(AND(テーブル!$B$3="実績報告（２次）",FG$26=0),0,
IF(AND(テーブル!$B$3="実績報告（２次）",FG$26&gt;=1),FG63)))))))))),0)</f>
        <v>0</v>
      </c>
      <c r="FH35" s="1997">
        <f>IFERROR(
IF(テーブル!$B$3="交付申請",FH63,
IF(AND(テーブル!$B$3="変更申請",FH$26=0),0,
IF(AND(テーブル!$B$3="変更申請",FH$26&gt;=1),FH63,
IF(テーブル!$B$3="実績報告（１次）",FH63,
IF(AND(テーブル!$B$3="交付申請（２次）",FH$26=0),0,
IF(AND(テーブル!$B$3="交付申請（２次）",FH$26&gt;=1),FH63,
IF(AND(テーブル!$B$3="交付申請兼実績報告（２次）",FH$26=0),0,
IF(AND(テーブル!$B$3="交付申請兼実績報告（２次）",FH$26&gt;=1),FH63,
IF(AND(テーブル!$B$3="実績報告（２次）",FH$26=0),0,
IF(AND(テーブル!$B$3="実績報告（２次）",FH$26&gt;=1),FH63)))))))))),0)</f>
        <v>0</v>
      </c>
      <c r="FI35" s="1997">
        <f>IFERROR(
IF(テーブル!$B$3="交付申請",FI63,
IF(AND(テーブル!$B$3="変更申請",FI$26=0),0,
IF(AND(テーブル!$B$3="変更申請",FI$26&gt;=1),FI63,
IF(テーブル!$B$3="実績報告（１次）",FI63,
IF(AND(テーブル!$B$3="交付申請（２次）",FI$26=0),0,
IF(AND(テーブル!$B$3="交付申請（２次）",FI$26&gt;=1),FI63,
IF(AND(テーブル!$B$3="交付申請兼実績報告（２次）",FI$26=0),0,
IF(AND(テーブル!$B$3="交付申請兼実績報告（２次）",FI$26&gt;=1),FI63,
IF(AND(テーブル!$B$3="実績報告（２次）",FI$26=0),0,
IF(AND(テーブル!$B$3="実績報告（２次）",FI$26&gt;=1),FI63)))))))))),0)</f>
        <v>0</v>
      </c>
      <c r="FJ35" s="1997">
        <f>IFERROR(
IF(テーブル!$B$3="交付申請",FJ63,
IF(AND(テーブル!$B$3="変更申請",FJ$26=0),0,
IF(AND(テーブル!$B$3="変更申請",FJ$26&gt;=1),FJ63,
IF(テーブル!$B$3="実績報告（１次）",FJ63,
IF(AND(テーブル!$B$3="交付申請（２次）",FJ$26=0),0,
IF(AND(テーブル!$B$3="交付申請（２次）",FJ$26&gt;=1),FJ63,
IF(AND(テーブル!$B$3="交付申請兼実績報告（２次）",FJ$26=0),0,
IF(AND(テーブル!$B$3="交付申請兼実績報告（２次）",FJ$26&gt;=1),FJ63,
IF(AND(テーブル!$B$3="実績報告（２次）",FJ$26=0),0,
IF(AND(テーブル!$B$3="実績報告（２次）",FJ$26&gt;=1),FJ63)))))))))),0)</f>
        <v>0</v>
      </c>
      <c r="FK35" s="1997">
        <f>IFERROR(
IF(テーブル!$B$3="交付申請",FK63,
IF(AND(テーブル!$B$3="変更申請",FK$26=0),0,
IF(AND(テーブル!$B$3="変更申請",FK$26&gt;=1),FK63,
IF(テーブル!$B$3="実績報告（１次）",FK63,
IF(AND(テーブル!$B$3="交付申請（２次）",FK$26=0),0,
IF(AND(テーブル!$B$3="交付申請（２次）",FK$26&gt;=1),FK63,
IF(AND(テーブル!$B$3="交付申請兼実績報告（２次）",FK$26=0),0,
IF(AND(テーブル!$B$3="交付申請兼実績報告（２次）",FK$26&gt;=1),FK63,
IF(AND(テーブル!$B$3="実績報告（２次）",FK$26=0),0,
IF(AND(テーブル!$B$3="実績報告（２次）",FK$26&gt;=1),FK63)))))))))),0)</f>
        <v>0</v>
      </c>
      <c r="FL35" s="1997">
        <f>IFERROR(
IF(テーブル!$B$3="交付申請",FL63,
IF(AND(テーブル!$B$3="変更申請",FL$26=0),0,
IF(AND(テーブル!$B$3="変更申請",FL$26&gt;=1),FL63,
IF(テーブル!$B$3="実績報告（１次）",FL63,
IF(AND(テーブル!$B$3="交付申請（２次）",FL$26=0),0,
IF(AND(テーブル!$B$3="交付申請（２次）",FL$26&gt;=1),FL63,
IF(AND(テーブル!$B$3="交付申請兼実績報告（２次）",FL$26=0),0,
IF(AND(テーブル!$B$3="交付申請兼実績報告（２次）",FL$26&gt;=1),FL63,
IF(AND(テーブル!$B$3="実績報告（２次）",FL$26=0),0,
IF(AND(テーブル!$B$3="実績報告（２次）",FL$26&gt;=1),FL63)))))))))),0)</f>
        <v>0</v>
      </c>
      <c r="FM35" s="1997">
        <f>IFERROR(
IF(テーブル!$B$3="交付申請",FM63,
IF(AND(テーブル!$B$3="変更申請",FM$26=0),0,
IF(AND(テーブル!$B$3="変更申請",FM$26&gt;=1),FM63,
IF(テーブル!$B$3="実績報告（１次）",FM63,
IF(AND(テーブル!$B$3="交付申請（２次）",FM$26=0),0,
IF(AND(テーブル!$B$3="交付申請（２次）",FM$26&gt;=1),FM63,
IF(AND(テーブル!$B$3="交付申請兼実績報告（２次）",FM$26=0),0,
IF(AND(テーブル!$B$3="交付申請兼実績報告（２次）",FM$26&gt;=1),FM63,
IF(AND(テーブル!$B$3="実績報告（２次）",FM$26=0),0,
IF(AND(テーブル!$B$3="実績報告（２次）",FM$26&gt;=1),FM63)))))))))),0)</f>
        <v>0</v>
      </c>
      <c r="FN35" s="1997">
        <f>IFERROR(
IF(テーブル!$B$3="交付申請",FN63,
IF(AND(テーブル!$B$3="変更申請",FN$26=0),0,
IF(AND(テーブル!$B$3="変更申請",FN$26&gt;=1),FN63,
IF(テーブル!$B$3="実績報告（１次）",FN63,
IF(AND(テーブル!$B$3="交付申請（２次）",FN$26=0),0,
IF(AND(テーブル!$B$3="交付申請（２次）",FN$26&gt;=1),FN63,
IF(AND(テーブル!$B$3="交付申請兼実績報告（２次）",FN$26=0),0,
IF(AND(テーブル!$B$3="交付申請兼実績報告（２次）",FN$26&gt;=1),FN63,
IF(AND(テーブル!$B$3="実績報告（２次）",FN$26=0),0,
IF(AND(テーブル!$B$3="実績報告（２次）",FN$26&gt;=1),FN63)))))))))),0)</f>
        <v>0</v>
      </c>
      <c r="FO35" s="1997">
        <f>IFERROR(
IF(テーブル!$B$3="交付申請",FO63,
IF(AND(テーブル!$B$3="変更申請",FO$26=0),0,
IF(AND(テーブル!$B$3="変更申請",FO$26&gt;=1),FO63,
IF(テーブル!$B$3="実績報告（１次）",FO63,
IF(AND(テーブル!$B$3="交付申請（２次）",FO$26=0),0,
IF(AND(テーブル!$B$3="交付申請（２次）",FO$26&gt;=1),FO63,
IF(AND(テーブル!$B$3="交付申請兼実績報告（２次）",FO$26=0),0,
IF(AND(テーブル!$B$3="交付申請兼実績報告（２次）",FO$26&gt;=1),FO63,
IF(AND(テーブル!$B$3="実績報告（２次）",FO$26=0),0,
IF(AND(テーブル!$B$3="実績報告（２次）",FO$26&gt;=1),FO63)))))))))),0)</f>
        <v>0</v>
      </c>
      <c r="FP35" s="1997">
        <f>IFERROR(
IF(テーブル!$B$3="交付申請",FP63,
IF(AND(テーブル!$B$3="変更申請",FP$26=0),0,
IF(AND(テーブル!$B$3="変更申請",FP$26&gt;=1),FP63,
IF(テーブル!$B$3="実績報告（１次）",FP63,
IF(AND(テーブル!$B$3="交付申請（２次）",FP$26=0),0,
IF(AND(テーブル!$B$3="交付申請（２次）",FP$26&gt;=1),FP63,
IF(AND(テーブル!$B$3="交付申請兼実績報告（２次）",FP$26=0),0,
IF(AND(テーブル!$B$3="交付申請兼実績報告（２次）",FP$26&gt;=1),FP63,
IF(AND(テーブル!$B$3="実績報告（２次）",FP$26=0),0,
IF(AND(テーブル!$B$3="実績報告（２次）",FP$26&gt;=1),FP63)))))))))),0)</f>
        <v>0</v>
      </c>
      <c r="FQ35" s="1997">
        <f>IFERROR(
IF(テーブル!$B$3="交付申請",FQ63,
IF(AND(テーブル!$B$3="変更申請",FQ$26=0),0,
IF(AND(テーブル!$B$3="変更申請",FQ$26&gt;=1),FQ63,
IF(テーブル!$B$3="実績報告（１次）",FQ63,
IF(AND(テーブル!$B$3="交付申請（２次）",FQ$26=0),0,
IF(AND(テーブル!$B$3="交付申請（２次）",FQ$26&gt;=1),FQ63,
IF(AND(テーブル!$B$3="交付申請兼実績報告（２次）",FQ$26=0),0,
IF(AND(テーブル!$B$3="交付申請兼実績報告（２次）",FQ$26&gt;=1),FQ63,
IF(AND(テーブル!$B$3="実績報告（２次）",FQ$26=0),0,
IF(AND(テーブル!$B$3="実績報告（２次）",FQ$26&gt;=1),FQ63)))))))))),0)</f>
        <v>0</v>
      </c>
      <c r="FR35" s="1997">
        <f>IFERROR(
IF(テーブル!$B$3="交付申請",FR63,
IF(AND(テーブル!$B$3="変更申請",FR$26=0),0,
IF(AND(テーブル!$B$3="変更申請",FR$26&gt;=1),FR63,
IF(テーブル!$B$3="実績報告（１次）",FR63,
IF(AND(テーブル!$B$3="交付申請（２次）",FR$26=0),0,
IF(AND(テーブル!$B$3="交付申請（２次）",FR$26&gt;=1),FR63,
IF(AND(テーブル!$B$3="交付申請兼実績報告（２次）",FR$26=0),0,
IF(AND(テーブル!$B$3="交付申請兼実績報告（２次）",FR$26&gt;=1),FR63,
IF(AND(テーブル!$B$3="実績報告（２次）",FR$26=0),0,
IF(AND(テーブル!$B$3="実績報告（２次）",FR$26&gt;=1),FR63)))))))))),0)</f>
        <v>0</v>
      </c>
      <c r="FS35" s="1997">
        <f>IFERROR(
IF(テーブル!$B$3="交付申請",FS63,
IF(AND(テーブル!$B$3="変更申請",FS$26=0),0,
IF(AND(テーブル!$B$3="変更申請",FS$26&gt;=1),FS63,
IF(テーブル!$B$3="実績報告（１次）",FS63,
IF(AND(テーブル!$B$3="交付申請（２次）",FS$26=0),0,
IF(AND(テーブル!$B$3="交付申請（２次）",FS$26&gt;=1),FS63,
IF(AND(テーブル!$B$3="交付申請兼実績報告（２次）",FS$26=0),0,
IF(AND(テーブル!$B$3="交付申請兼実績報告（２次）",FS$26&gt;=1),FS63,
IF(AND(テーブル!$B$3="実績報告（２次）",FS$26=0),0,
IF(AND(テーブル!$B$3="実績報告（２次）",FS$26&gt;=1),FS63)))))))))),0)</f>
        <v>0</v>
      </c>
      <c r="FT35" s="1997">
        <f>IFERROR(
IF(テーブル!$B$3="交付申請",FT63,
IF(AND(テーブル!$B$3="変更申請",FT$26=0),0,
IF(AND(テーブル!$B$3="変更申請",FT$26&gt;=1),FT63,
IF(テーブル!$B$3="実績報告（１次）",FT63,
IF(AND(テーブル!$B$3="交付申請（２次）",FT$26=0),0,
IF(AND(テーブル!$B$3="交付申請（２次）",FT$26&gt;=1),FT63,
IF(AND(テーブル!$B$3="交付申請兼実績報告（２次）",FT$26=0),0,
IF(AND(テーブル!$B$3="交付申請兼実績報告（２次）",FT$26&gt;=1),FT63,
IF(AND(テーブル!$B$3="実績報告（２次）",FT$26=0),0,
IF(AND(テーブル!$B$3="実績報告（２次）",FT$26&gt;=1),FT63)))))))))),0)</f>
        <v>0</v>
      </c>
      <c r="FU35" s="1997">
        <f>IFERROR(
IF(テーブル!$B$3="交付申請",FU63,
IF(AND(テーブル!$B$3="変更申請",FU$26=0),0,
IF(AND(テーブル!$B$3="変更申請",FU$26&gt;=1),FU63,
IF(テーブル!$B$3="実績報告（１次）",FU63,
IF(AND(テーブル!$B$3="交付申請（２次）",FU$26=0),0,
IF(AND(テーブル!$B$3="交付申請（２次）",FU$26&gt;=1),FU63,
IF(AND(テーブル!$B$3="交付申請兼実績報告（２次）",FU$26=0),0,
IF(AND(テーブル!$B$3="交付申請兼実績報告（２次）",FU$26&gt;=1),FU63,
IF(AND(テーブル!$B$3="実績報告（２次）",FU$26=0),0,
IF(AND(テーブル!$B$3="実績報告（２次）",FU$26&gt;=1),FU63)))))))))),0)</f>
        <v>0</v>
      </c>
      <c r="FV35" s="1997">
        <f>IFERROR(
IF(テーブル!$B$3="交付申請",FV63,
IF(AND(テーブル!$B$3="変更申請",FV$26=0),0,
IF(AND(テーブル!$B$3="変更申請",FV$26&gt;=1),FV63,
IF(テーブル!$B$3="実績報告（１次）",FV63,
IF(AND(テーブル!$B$3="交付申請（２次）",FV$26=0),0,
IF(AND(テーブル!$B$3="交付申請（２次）",FV$26&gt;=1),FV63,
IF(AND(テーブル!$B$3="交付申請兼実績報告（２次）",FV$26=0),0,
IF(AND(テーブル!$B$3="交付申請兼実績報告（２次）",FV$26&gt;=1),FV63,
IF(AND(テーブル!$B$3="実績報告（２次）",FV$26=0),0,
IF(AND(テーブル!$B$3="実績報告（２次）",FV$26&gt;=1),FV63)))))))))),0)</f>
        <v>0</v>
      </c>
      <c r="FW35" s="1997">
        <f>IFERROR(
IF(テーブル!$B$3="交付申請",FW63,
IF(AND(テーブル!$B$3="変更申請",FW$26=0),0,
IF(AND(テーブル!$B$3="変更申請",FW$26&gt;=1),FW63,
IF(テーブル!$B$3="実績報告（１次）",FW63,
IF(AND(テーブル!$B$3="交付申請（２次）",FW$26=0),0,
IF(AND(テーブル!$B$3="交付申請（２次）",FW$26&gt;=1),FW63,
IF(AND(テーブル!$B$3="交付申請兼実績報告（２次）",FW$26=0),0,
IF(AND(テーブル!$B$3="交付申請兼実績報告（２次）",FW$26&gt;=1),FW63,
IF(AND(テーブル!$B$3="実績報告（２次）",FW$26=0),0,
IF(AND(テーブル!$B$3="実績報告（２次）",FW$26&gt;=1),FW63)))))))))),0)</f>
        <v>0</v>
      </c>
      <c r="FX35" s="1997">
        <f>IFERROR(
IF(テーブル!$B$3="交付申請",FX63,
IF(AND(テーブル!$B$3="変更申請",FX$26=0),0,
IF(AND(テーブル!$B$3="変更申請",FX$26&gt;=1),FX63,
IF(テーブル!$B$3="実績報告（１次）",FX63,
IF(AND(テーブル!$B$3="交付申請（２次）",FX$26=0),0,
IF(AND(テーブル!$B$3="交付申請（２次）",FX$26&gt;=1),FX63,
IF(AND(テーブル!$B$3="交付申請兼実績報告（２次）",FX$26=0),0,
IF(AND(テーブル!$B$3="交付申請兼実績報告（２次）",FX$26&gt;=1),FX63,
IF(AND(テーブル!$B$3="実績報告（２次）",FX$26=0),0,
IF(AND(テーブル!$B$3="実績報告（２次）",FX$26&gt;=1),FX63)))))))))),0)</f>
        <v>0</v>
      </c>
      <c r="FY35" s="1997">
        <f>IFERROR(
IF(テーブル!$B$3="交付申請",FY63,
IF(AND(テーブル!$B$3="変更申請",FY$26=0),0,
IF(AND(テーブル!$B$3="変更申請",FY$26&gt;=1),FY63,
IF(テーブル!$B$3="実績報告（１次）",FY63,
IF(AND(テーブル!$B$3="交付申請（２次）",FY$26=0),0,
IF(AND(テーブル!$B$3="交付申請（２次）",FY$26&gt;=1),FY63,
IF(AND(テーブル!$B$3="交付申請兼実績報告（２次）",FY$26=0),0,
IF(AND(テーブル!$B$3="交付申請兼実績報告（２次）",FY$26&gt;=1),FY63,
IF(AND(テーブル!$B$3="実績報告（２次）",FY$26=0),0,
IF(AND(テーブル!$B$3="実績報告（２次）",FY$26&gt;=1),FY63)))))))))),0)</f>
        <v>0</v>
      </c>
      <c r="FZ35" s="1997">
        <f>IFERROR(
IF(テーブル!$B$3="交付申請",FZ63,
IF(AND(テーブル!$B$3="変更申請",FZ$26=0),0,
IF(AND(テーブル!$B$3="変更申請",FZ$26&gt;=1),FZ63,
IF(テーブル!$B$3="実績報告（１次）",FZ63,
IF(AND(テーブル!$B$3="交付申請（２次）",FZ$26=0),0,
IF(AND(テーブル!$B$3="交付申請（２次）",FZ$26&gt;=1),FZ63,
IF(AND(テーブル!$B$3="交付申請兼実績報告（２次）",FZ$26=0),0,
IF(AND(テーブル!$B$3="交付申請兼実績報告（２次）",FZ$26&gt;=1),FZ63,
IF(AND(テーブル!$B$3="実績報告（２次）",FZ$26=0),0,
IF(AND(テーブル!$B$3="実績報告（２次）",FZ$26&gt;=1),FZ63)))))))))),0)</f>
        <v>0</v>
      </c>
      <c r="GA35" s="1997">
        <f>IFERROR(
IF(テーブル!$B$3="交付申請",GA63,
IF(AND(テーブル!$B$3="変更申請",GA$26=0),0,
IF(AND(テーブル!$B$3="変更申請",GA$26&gt;=1),GA63,
IF(テーブル!$B$3="実績報告（１次）",GA63,
IF(AND(テーブル!$B$3="交付申請（２次）",GA$26=0),0,
IF(AND(テーブル!$B$3="交付申請（２次）",GA$26&gt;=1),GA63,
IF(AND(テーブル!$B$3="交付申請兼実績報告（２次）",GA$26=0),0,
IF(AND(テーブル!$B$3="交付申請兼実績報告（２次）",GA$26&gt;=1),GA63,
IF(AND(テーブル!$B$3="実績報告（２次）",GA$26=0),0,
IF(AND(テーブル!$B$3="実績報告（２次）",GA$26&gt;=1),GA63)))))))))),0)</f>
        <v>0</v>
      </c>
      <c r="GB35" s="1997">
        <f>IFERROR(
IF(テーブル!$B$3="交付申請",GB63,
IF(AND(テーブル!$B$3="変更申請",GB$26=0),0,
IF(AND(テーブル!$B$3="変更申請",GB$26&gt;=1),GB63,
IF(テーブル!$B$3="実績報告（１次）",GB63,
IF(AND(テーブル!$B$3="交付申請（２次）",GB$26=0),0,
IF(AND(テーブル!$B$3="交付申請（２次）",GB$26&gt;=1),GB63,
IF(AND(テーブル!$B$3="交付申請兼実績報告（２次）",GB$26=0),0,
IF(AND(テーブル!$B$3="交付申請兼実績報告（２次）",GB$26&gt;=1),GB63,
IF(AND(テーブル!$B$3="実績報告（２次）",GB$26=0),0,
IF(AND(テーブル!$B$3="実績報告（２次）",GB$26&gt;=1),GB63)))))))))),0)</f>
        <v>0</v>
      </c>
      <c r="GC35" s="1997">
        <f>IFERROR(
IF(テーブル!$B$3="交付申請",GC63,
IF(AND(テーブル!$B$3="変更申請",GC$26=0),0,
IF(AND(テーブル!$B$3="変更申請",GC$26&gt;=1),GC63,
IF(テーブル!$B$3="実績報告（１次）",GC63,
IF(AND(テーブル!$B$3="交付申請（２次）",GC$26=0),0,
IF(AND(テーブル!$B$3="交付申請（２次）",GC$26&gt;=1),GC63,
IF(AND(テーブル!$B$3="交付申請兼実績報告（２次）",GC$26=0),0,
IF(AND(テーブル!$B$3="交付申請兼実績報告（２次）",GC$26&gt;=1),GC63,
IF(AND(テーブル!$B$3="実績報告（２次）",GC$26=0),0,
IF(AND(テーブル!$B$3="実績報告（２次）",GC$26&gt;=1),GC63)))))))))),0)</f>
        <v>0</v>
      </c>
      <c r="GD35" s="1997">
        <f>IFERROR(
IF(テーブル!$B$3="交付申請",GD63,
IF(AND(テーブル!$B$3="変更申請",GD$26=0),0,
IF(AND(テーブル!$B$3="変更申請",GD$26&gt;=1),GD63,
IF(テーブル!$B$3="実績報告（１次）",GD63,
IF(AND(テーブル!$B$3="交付申請（２次）",GD$26=0),0,
IF(AND(テーブル!$B$3="交付申請（２次）",GD$26&gt;=1),GD63,
IF(AND(テーブル!$B$3="交付申請兼実績報告（２次）",GD$26=0),0,
IF(AND(テーブル!$B$3="交付申請兼実績報告（２次）",GD$26&gt;=1),GD63,
IF(AND(テーブル!$B$3="実績報告（２次）",GD$26=0),0,
IF(AND(テーブル!$B$3="実績報告（２次）",GD$26&gt;=1),GD63)))))))))),0)</f>
        <v>0</v>
      </c>
      <c r="GE35" s="1997">
        <f>IFERROR(
IF(テーブル!$B$3="交付申請",GE63,
IF(AND(テーブル!$B$3="変更申請",GE$26=0),0,
IF(AND(テーブル!$B$3="変更申請",GE$26&gt;=1),GE63,
IF(テーブル!$B$3="実績報告（１次）",GE63,
IF(AND(テーブル!$B$3="交付申請（２次）",GE$26=0),0,
IF(AND(テーブル!$B$3="交付申請（２次）",GE$26&gt;=1),GE63,
IF(AND(テーブル!$B$3="交付申請兼実績報告（２次）",GE$26=0),0,
IF(AND(テーブル!$B$3="交付申請兼実績報告（２次）",GE$26&gt;=1),GE63,
IF(AND(テーブル!$B$3="実績報告（２次）",GE$26=0),0,
IF(AND(テーブル!$B$3="実績報告（２次）",GE$26&gt;=1),GE63)))))))))),0)</f>
        <v>0</v>
      </c>
      <c r="GF35" s="2019">
        <f>IFERROR(
IF(テーブル!$B$3="交付申請",GF63,
IF(AND(テーブル!$B$3="変更申請",GF$26=0),0,
IF(AND(テーブル!$B$3="変更申請",GF$26&gt;=1),GF63,
IF(テーブル!$B$3="実績報告（１次）",GF63,
IF(AND(テーブル!$B$3="交付申請（２次）",GF$26=0),0,
IF(AND(テーブル!$B$3="交付申請（２次）",GF$26&gt;=1),GF63,
IF(AND(テーブル!$B$3="交付申請兼実績報告（２次）",GF$26=0),0,
IF(AND(テーブル!$B$3="交付申請兼実績報告（２次）",GF$26&gt;=1),GF63,
IF(AND(テーブル!$B$3="実績報告（２次）",GF$26=0),0,
IF(AND(テーブル!$B$3="実績報告（２次）",GF$26&gt;=1),GF63)))))))))),0)</f>
        <v>0</v>
      </c>
      <c r="GG35" s="2006"/>
    </row>
    <row r="36" spans="1:189" s="638" customFormat="1" ht="18.75" x14ac:dyDescent="0.4">
      <c r="A36" s="2003"/>
      <c r="B36" s="2018" t="s">
        <v>1209</v>
      </c>
      <c r="C36" s="1690">
        <f t="shared" si="21"/>
        <v>0</v>
      </c>
      <c r="D36" s="1691"/>
      <c r="E36" s="637"/>
      <c r="F36" s="1997">
        <f>IFERROR(
IF(テーブル!$B$3="交付申請",F66,
IF(AND(テーブル!$B$3="変更申請",F$26=0),0,
IF(AND(テーブル!$B$3="変更申請",F$26&gt;=1),F66,
IF(テーブル!$B$3="実績報告（１次）",F66,
IF(AND(テーブル!$B$3="交付申請（２次）",F$26=0),0,
IF(AND(テーブル!$B$3="交付申請（２次）",F$26&gt;=1),F66,
IF(AND(テーブル!$B$3="交付申請兼実績報告（２次）",F$26=0),0,
IF(AND(テーブル!$B$3="交付申請兼実績報告（２次）",F$26&gt;=1),F66,
IF(AND(テーブル!$B$3="実績報告（２次）",F$26=0),0,
IF(AND(テーブル!$B$3="実績報告（２次）",F$26&gt;=1),F66)))))))))),0)</f>
        <v>0</v>
      </c>
      <c r="G36" s="1997">
        <f>IFERROR(
IF(テーブル!$B$3="交付申請",G66,
IF(AND(テーブル!$B$3="変更申請",G$26=0),0,
IF(AND(テーブル!$B$3="変更申請",G$26&gt;=1),G66,
IF(テーブル!$B$3="実績報告（１次）",G66,
IF(AND(テーブル!$B$3="交付申請（２次）",G$26=0),0,
IF(AND(テーブル!$B$3="交付申請（２次）",G$26&gt;=1),G66,
IF(AND(テーブル!$B$3="交付申請兼実績報告（２次）",G$26=0),0,
IF(AND(テーブル!$B$3="交付申請兼実績報告（２次）",G$26&gt;=1),G66,
IF(AND(テーブル!$B$3="実績報告（２次）",G$26=0),0,
IF(AND(テーブル!$B$3="実績報告（２次）",G$26&gt;=1),G66)))))))))),0)</f>
        <v>0</v>
      </c>
      <c r="H36" s="1997">
        <f>IFERROR(
IF(テーブル!$B$3="交付申請",H66,
IF(AND(テーブル!$B$3="変更申請",H$26=0),0,
IF(AND(テーブル!$B$3="変更申請",H$26&gt;=1),H66,
IF(テーブル!$B$3="実績報告（１次）",H66,
IF(AND(テーブル!$B$3="交付申請（２次）",H$26=0),0,
IF(AND(テーブル!$B$3="交付申請（２次）",H$26&gt;=1),H66,
IF(AND(テーブル!$B$3="交付申請兼実績報告（２次）",H$26=0),0,
IF(AND(テーブル!$B$3="交付申請兼実績報告（２次）",H$26&gt;=1),H66,
IF(AND(テーブル!$B$3="実績報告（２次）",H$26=0),0,
IF(AND(テーブル!$B$3="実績報告（２次）",H$26&gt;=1),H66)))))))))),0)</f>
        <v>0</v>
      </c>
      <c r="I36" s="1997">
        <f>IFERROR(
IF(テーブル!$B$3="交付申請",I66,
IF(AND(テーブル!$B$3="変更申請",I$26=0),0,
IF(AND(テーブル!$B$3="変更申請",I$26&gt;=1),I66,
IF(テーブル!$B$3="実績報告（１次）",I66,
IF(AND(テーブル!$B$3="交付申請（２次）",I$26=0),0,
IF(AND(テーブル!$B$3="交付申請（２次）",I$26&gt;=1),I66,
IF(AND(テーブル!$B$3="交付申請兼実績報告（２次）",I$26=0),0,
IF(AND(テーブル!$B$3="交付申請兼実績報告（２次）",I$26&gt;=1),I66,
IF(AND(テーブル!$B$3="実績報告（２次）",I$26=0),0,
IF(AND(テーブル!$B$3="実績報告（２次）",I$26&gt;=1),I66)))))))))),0)</f>
        <v>0</v>
      </c>
      <c r="J36" s="1997">
        <f>IFERROR(
IF(テーブル!$B$3="交付申請",J66,
IF(AND(テーブル!$B$3="変更申請",J$26=0),0,
IF(AND(テーブル!$B$3="変更申請",J$26&gt;=1),J66,
IF(テーブル!$B$3="実績報告（１次）",J66,
IF(AND(テーブル!$B$3="交付申請（２次）",J$26=0),0,
IF(AND(テーブル!$B$3="交付申請（２次）",J$26&gt;=1),J66,
IF(AND(テーブル!$B$3="交付申請兼実績報告（２次）",J$26=0),0,
IF(AND(テーブル!$B$3="交付申請兼実績報告（２次）",J$26&gt;=1),J66,
IF(AND(テーブル!$B$3="実績報告（２次）",J$26=0),0,
IF(AND(テーブル!$B$3="実績報告（２次）",J$26&gt;=1),J66)))))))))),0)</f>
        <v>0</v>
      </c>
      <c r="K36" s="1997">
        <f>IFERROR(
IF(テーブル!$B$3="交付申請",K66,
IF(AND(テーブル!$B$3="変更申請",K$26=0),0,
IF(AND(テーブル!$B$3="変更申請",K$26&gt;=1),K66,
IF(テーブル!$B$3="実績報告（１次）",K66,
IF(AND(テーブル!$B$3="交付申請（２次）",K$26=0),0,
IF(AND(テーブル!$B$3="交付申請（２次）",K$26&gt;=1),K66,
IF(AND(テーブル!$B$3="交付申請兼実績報告（２次）",K$26=0),0,
IF(AND(テーブル!$B$3="交付申請兼実績報告（２次）",K$26&gt;=1),K66,
IF(AND(テーブル!$B$3="実績報告（２次）",K$26=0),0,
IF(AND(テーブル!$B$3="実績報告（２次）",K$26&gt;=1),K66)))))))))),0)</f>
        <v>0</v>
      </c>
      <c r="L36" s="1997">
        <f>IFERROR(
IF(テーブル!$B$3="交付申請",L66,
IF(AND(テーブル!$B$3="変更申請",L$26=0),0,
IF(AND(テーブル!$B$3="変更申請",L$26&gt;=1),L66,
IF(テーブル!$B$3="実績報告（１次）",L66,
IF(AND(テーブル!$B$3="交付申請（２次）",L$26=0),0,
IF(AND(テーブル!$B$3="交付申請（２次）",L$26&gt;=1),L66,
IF(AND(テーブル!$B$3="交付申請兼実績報告（２次）",L$26=0),0,
IF(AND(テーブル!$B$3="交付申請兼実績報告（２次）",L$26&gt;=1),L66,
IF(AND(テーブル!$B$3="実績報告（２次）",L$26=0),0,
IF(AND(テーブル!$B$3="実績報告（２次）",L$26&gt;=1),L66)))))))))),0)</f>
        <v>0</v>
      </c>
      <c r="M36" s="1997">
        <f>IFERROR(
IF(テーブル!$B$3="交付申請",M66,
IF(AND(テーブル!$B$3="変更申請",M$26=0),0,
IF(AND(テーブル!$B$3="変更申請",M$26&gt;=1),M66,
IF(テーブル!$B$3="実績報告（１次）",M66,
IF(AND(テーブル!$B$3="交付申請（２次）",M$26=0),0,
IF(AND(テーブル!$B$3="交付申請（２次）",M$26&gt;=1),M66,
IF(AND(テーブル!$B$3="交付申請兼実績報告（２次）",M$26=0),0,
IF(AND(テーブル!$B$3="交付申請兼実績報告（２次）",M$26&gt;=1),M66,
IF(AND(テーブル!$B$3="実績報告（２次）",M$26=0),0,
IF(AND(テーブル!$B$3="実績報告（２次）",M$26&gt;=1),M66)))))))))),0)</f>
        <v>0</v>
      </c>
      <c r="N36" s="1997">
        <f>IFERROR(
IF(テーブル!$B$3="交付申請",N66,
IF(AND(テーブル!$B$3="変更申請",N$26=0),0,
IF(AND(テーブル!$B$3="変更申請",N$26&gt;=1),N66,
IF(テーブル!$B$3="実績報告（１次）",N66,
IF(AND(テーブル!$B$3="交付申請（２次）",N$26=0),0,
IF(AND(テーブル!$B$3="交付申請（２次）",N$26&gt;=1),N66,
IF(AND(テーブル!$B$3="交付申請兼実績報告（２次）",N$26=0),0,
IF(AND(テーブル!$B$3="交付申請兼実績報告（２次）",N$26&gt;=1),N66,
IF(AND(テーブル!$B$3="実績報告（２次）",N$26=0),0,
IF(AND(テーブル!$B$3="実績報告（２次）",N$26&gt;=1),N66)))))))))),0)</f>
        <v>0</v>
      </c>
      <c r="O36" s="1997">
        <f>IFERROR(
IF(テーブル!$B$3="交付申請",O66,
IF(AND(テーブル!$B$3="変更申請",O$26=0),0,
IF(AND(テーブル!$B$3="変更申請",O$26&gt;=1),O66,
IF(テーブル!$B$3="実績報告（１次）",O66,
IF(AND(テーブル!$B$3="交付申請（２次）",O$26=0),0,
IF(AND(テーブル!$B$3="交付申請（２次）",O$26&gt;=1),O66,
IF(AND(テーブル!$B$3="交付申請兼実績報告（２次）",O$26=0),0,
IF(AND(テーブル!$B$3="交付申請兼実績報告（２次）",O$26&gt;=1),O66,
IF(AND(テーブル!$B$3="実績報告（２次）",O$26=0),0,
IF(AND(テーブル!$B$3="実績報告（２次）",O$26&gt;=1),O66)))))))))),0)</f>
        <v>0</v>
      </c>
      <c r="P36" s="1997">
        <f>IFERROR(
IF(テーブル!$B$3="交付申請",P66,
IF(AND(テーブル!$B$3="変更申請",P$26=0),0,
IF(AND(テーブル!$B$3="変更申請",P$26&gt;=1),P66,
IF(テーブル!$B$3="実績報告（１次）",P66,
IF(AND(テーブル!$B$3="交付申請（２次）",P$26=0),0,
IF(AND(テーブル!$B$3="交付申請（２次）",P$26&gt;=1),P66,
IF(AND(テーブル!$B$3="交付申請兼実績報告（２次）",P$26=0),0,
IF(AND(テーブル!$B$3="交付申請兼実績報告（２次）",P$26&gt;=1),P66,
IF(AND(テーブル!$B$3="実績報告（２次）",P$26=0),0,
IF(AND(テーブル!$B$3="実績報告（２次）",P$26&gt;=1),P66)))))))))),0)</f>
        <v>0</v>
      </c>
      <c r="Q36" s="1997">
        <f>IFERROR(
IF(テーブル!$B$3="交付申請",Q66,
IF(AND(テーブル!$B$3="変更申請",Q$26=0),0,
IF(AND(テーブル!$B$3="変更申請",Q$26&gt;=1),Q66,
IF(テーブル!$B$3="実績報告（１次）",Q66,
IF(AND(テーブル!$B$3="交付申請（２次）",Q$26=0),0,
IF(AND(テーブル!$B$3="交付申請（２次）",Q$26&gt;=1),Q66,
IF(AND(テーブル!$B$3="交付申請兼実績報告（２次）",Q$26=0),0,
IF(AND(テーブル!$B$3="交付申請兼実績報告（２次）",Q$26&gt;=1),Q66,
IF(AND(テーブル!$B$3="実績報告（２次）",Q$26=0),0,
IF(AND(テーブル!$B$3="実績報告（２次）",Q$26&gt;=1),Q66)))))))))),0)</f>
        <v>0</v>
      </c>
      <c r="R36" s="1997">
        <f>IFERROR(
IF(テーブル!$B$3="交付申請",R66,
IF(AND(テーブル!$B$3="変更申請",R$26=0),0,
IF(AND(テーブル!$B$3="変更申請",R$26&gt;=1),R66,
IF(テーブル!$B$3="実績報告（１次）",R66,
IF(AND(テーブル!$B$3="交付申請（２次）",R$26=0),0,
IF(AND(テーブル!$B$3="交付申請（２次）",R$26&gt;=1),R66,
IF(AND(テーブル!$B$3="交付申請兼実績報告（２次）",R$26=0),0,
IF(AND(テーブル!$B$3="交付申請兼実績報告（２次）",R$26&gt;=1),R66,
IF(AND(テーブル!$B$3="実績報告（２次）",R$26=0),0,
IF(AND(テーブル!$B$3="実績報告（２次）",R$26&gt;=1),R66)))))))))),0)</f>
        <v>0</v>
      </c>
      <c r="S36" s="1997">
        <f>IFERROR(
IF(テーブル!$B$3="交付申請",S66,
IF(AND(テーブル!$B$3="変更申請",S$26=0),0,
IF(AND(テーブル!$B$3="変更申請",S$26&gt;=1),S66,
IF(テーブル!$B$3="実績報告（１次）",S66,
IF(AND(テーブル!$B$3="交付申請（２次）",S$26=0),0,
IF(AND(テーブル!$B$3="交付申請（２次）",S$26&gt;=1),S66,
IF(AND(テーブル!$B$3="交付申請兼実績報告（２次）",S$26=0),0,
IF(AND(テーブル!$B$3="交付申請兼実績報告（２次）",S$26&gt;=1),S66,
IF(AND(テーブル!$B$3="実績報告（２次）",S$26=0),0,
IF(AND(テーブル!$B$3="実績報告（２次）",S$26&gt;=1),S66)))))))))),0)</f>
        <v>0</v>
      </c>
      <c r="T36" s="1997">
        <f>IFERROR(
IF(テーブル!$B$3="交付申請",T66,
IF(AND(テーブル!$B$3="変更申請",T$26=0),0,
IF(AND(テーブル!$B$3="変更申請",T$26&gt;=1),T66,
IF(テーブル!$B$3="実績報告（１次）",T66,
IF(AND(テーブル!$B$3="交付申請（２次）",T$26=0),0,
IF(AND(テーブル!$B$3="交付申請（２次）",T$26&gt;=1),T66,
IF(AND(テーブル!$B$3="交付申請兼実績報告（２次）",T$26=0),0,
IF(AND(テーブル!$B$3="交付申請兼実績報告（２次）",T$26&gt;=1),T66,
IF(AND(テーブル!$B$3="実績報告（２次）",T$26=0),0,
IF(AND(テーブル!$B$3="実績報告（２次）",T$26&gt;=1),T66)))))))))),0)</f>
        <v>0</v>
      </c>
      <c r="U36" s="1997">
        <f>IFERROR(
IF(テーブル!$B$3="交付申請",U66,
IF(AND(テーブル!$B$3="変更申請",U$26=0),0,
IF(AND(テーブル!$B$3="変更申請",U$26&gt;=1),U66,
IF(テーブル!$B$3="実績報告（１次）",U66,
IF(AND(テーブル!$B$3="交付申請（２次）",U$26=0),0,
IF(AND(テーブル!$B$3="交付申請（２次）",U$26&gt;=1),U66,
IF(AND(テーブル!$B$3="交付申請兼実績報告（２次）",U$26=0),0,
IF(AND(テーブル!$B$3="交付申請兼実績報告（２次）",U$26&gt;=1),U66,
IF(AND(テーブル!$B$3="実績報告（２次）",U$26=0),0,
IF(AND(テーブル!$B$3="実績報告（２次）",U$26&gt;=1),U66)))))))))),0)</f>
        <v>0</v>
      </c>
      <c r="V36" s="1997">
        <f>IFERROR(
IF(テーブル!$B$3="交付申請",V66,
IF(AND(テーブル!$B$3="変更申請",V$26=0),0,
IF(AND(テーブル!$B$3="変更申請",V$26&gt;=1),V66,
IF(テーブル!$B$3="実績報告（１次）",V66,
IF(AND(テーブル!$B$3="交付申請（２次）",V$26=0),0,
IF(AND(テーブル!$B$3="交付申請（２次）",V$26&gt;=1),V66,
IF(AND(テーブル!$B$3="交付申請兼実績報告（２次）",V$26=0),0,
IF(AND(テーブル!$B$3="交付申請兼実績報告（２次）",V$26&gt;=1),V66,
IF(AND(テーブル!$B$3="実績報告（２次）",V$26=0),0,
IF(AND(テーブル!$B$3="実績報告（２次）",V$26&gt;=1),V66)))))))))),0)</f>
        <v>0</v>
      </c>
      <c r="W36" s="1997">
        <f>IFERROR(
IF(テーブル!$B$3="交付申請",W66,
IF(AND(テーブル!$B$3="変更申請",W$26=0),0,
IF(AND(テーブル!$B$3="変更申請",W$26&gt;=1),W66,
IF(テーブル!$B$3="実績報告（１次）",W66,
IF(AND(テーブル!$B$3="交付申請（２次）",W$26=0),0,
IF(AND(テーブル!$B$3="交付申請（２次）",W$26&gt;=1),W66,
IF(AND(テーブル!$B$3="交付申請兼実績報告（２次）",W$26=0),0,
IF(AND(テーブル!$B$3="交付申請兼実績報告（２次）",W$26&gt;=1),W66,
IF(AND(テーブル!$B$3="実績報告（２次）",W$26=0),0,
IF(AND(テーブル!$B$3="実績報告（２次）",W$26&gt;=1),W66)))))))))),0)</f>
        <v>0</v>
      </c>
      <c r="X36" s="1997">
        <f>IFERROR(
IF(テーブル!$B$3="交付申請",X66,
IF(AND(テーブル!$B$3="変更申請",X$26=0),0,
IF(AND(テーブル!$B$3="変更申請",X$26&gt;=1),X66,
IF(テーブル!$B$3="実績報告（１次）",X66,
IF(AND(テーブル!$B$3="交付申請（２次）",X$26=0),0,
IF(AND(テーブル!$B$3="交付申請（２次）",X$26&gt;=1),X66,
IF(AND(テーブル!$B$3="交付申請兼実績報告（２次）",X$26=0),0,
IF(AND(テーブル!$B$3="交付申請兼実績報告（２次）",X$26&gt;=1),X66,
IF(AND(テーブル!$B$3="実績報告（２次）",X$26=0),0,
IF(AND(テーブル!$B$3="実績報告（２次）",X$26&gt;=1),X66)))))))))),0)</f>
        <v>0</v>
      </c>
      <c r="Y36" s="1997">
        <f>IFERROR(
IF(テーブル!$B$3="交付申請",Y66,
IF(AND(テーブル!$B$3="変更申請",Y$26=0),0,
IF(AND(テーブル!$B$3="変更申請",Y$26&gt;=1),Y66,
IF(テーブル!$B$3="実績報告（１次）",Y66,
IF(AND(テーブル!$B$3="交付申請（２次）",Y$26=0),0,
IF(AND(テーブル!$B$3="交付申請（２次）",Y$26&gt;=1),Y66,
IF(AND(テーブル!$B$3="交付申請兼実績報告（２次）",Y$26=0),0,
IF(AND(テーブル!$B$3="交付申請兼実績報告（２次）",Y$26&gt;=1),Y66,
IF(AND(テーブル!$B$3="実績報告（２次）",Y$26=0),0,
IF(AND(テーブル!$B$3="実績報告（２次）",Y$26&gt;=1),Y66)))))))))),0)</f>
        <v>0</v>
      </c>
      <c r="Z36" s="1997">
        <f>IFERROR(
IF(テーブル!$B$3="交付申請",Z66,
IF(AND(テーブル!$B$3="変更申請",Z$26=0),0,
IF(AND(テーブル!$B$3="変更申請",Z$26&gt;=1),Z66,
IF(テーブル!$B$3="実績報告（１次）",Z66,
IF(AND(テーブル!$B$3="交付申請（２次）",Z$26=0),0,
IF(AND(テーブル!$B$3="交付申請（２次）",Z$26&gt;=1),Z66,
IF(AND(テーブル!$B$3="交付申請兼実績報告（２次）",Z$26=0),0,
IF(AND(テーブル!$B$3="交付申請兼実績報告（２次）",Z$26&gt;=1),Z66,
IF(AND(テーブル!$B$3="実績報告（２次）",Z$26=0),0,
IF(AND(テーブル!$B$3="実績報告（２次）",Z$26&gt;=1),Z66)))))))))),0)</f>
        <v>0</v>
      </c>
      <c r="AA36" s="1997">
        <f>IFERROR(
IF(テーブル!$B$3="交付申請",AA66,
IF(AND(テーブル!$B$3="変更申請",AA$26=0),0,
IF(AND(テーブル!$B$3="変更申請",AA$26&gt;=1),AA66,
IF(テーブル!$B$3="実績報告（１次）",AA66,
IF(AND(テーブル!$B$3="交付申請（２次）",AA$26=0),0,
IF(AND(テーブル!$B$3="交付申請（２次）",AA$26&gt;=1),AA66,
IF(AND(テーブル!$B$3="交付申請兼実績報告（２次）",AA$26=0),0,
IF(AND(テーブル!$B$3="交付申請兼実績報告（２次）",AA$26&gt;=1),AA66,
IF(AND(テーブル!$B$3="実績報告（２次）",AA$26=0),0,
IF(AND(テーブル!$B$3="実績報告（２次）",AA$26&gt;=1),AA66)))))))))),0)</f>
        <v>0</v>
      </c>
      <c r="AB36" s="1997">
        <f>IFERROR(
IF(テーブル!$B$3="交付申請",AB66,
IF(AND(テーブル!$B$3="変更申請",AB$26=0),0,
IF(AND(テーブル!$B$3="変更申請",AB$26&gt;=1),AB66,
IF(テーブル!$B$3="実績報告（１次）",AB66,
IF(AND(テーブル!$B$3="交付申請（２次）",AB$26=0),0,
IF(AND(テーブル!$B$3="交付申請（２次）",AB$26&gt;=1),AB66,
IF(AND(テーブル!$B$3="交付申請兼実績報告（２次）",AB$26=0),0,
IF(AND(テーブル!$B$3="交付申請兼実績報告（２次）",AB$26&gt;=1),AB66,
IF(AND(テーブル!$B$3="実績報告（２次）",AB$26=0),0,
IF(AND(テーブル!$B$3="実績報告（２次）",AB$26&gt;=1),AB66)))))))))),0)</f>
        <v>0</v>
      </c>
      <c r="AC36" s="1997">
        <f>IFERROR(
IF(テーブル!$B$3="交付申請",AC66,
IF(AND(テーブル!$B$3="変更申請",AC$26=0),0,
IF(AND(テーブル!$B$3="変更申請",AC$26&gt;=1),AC66,
IF(テーブル!$B$3="実績報告（１次）",AC66,
IF(AND(テーブル!$B$3="交付申請（２次）",AC$26=0),0,
IF(AND(テーブル!$B$3="交付申請（２次）",AC$26&gt;=1),AC66,
IF(AND(テーブル!$B$3="交付申請兼実績報告（２次）",AC$26=0),0,
IF(AND(テーブル!$B$3="交付申請兼実績報告（２次）",AC$26&gt;=1),AC66,
IF(AND(テーブル!$B$3="実績報告（２次）",AC$26=0),0,
IF(AND(テーブル!$B$3="実績報告（２次）",AC$26&gt;=1),AC66)))))))))),0)</f>
        <v>0</v>
      </c>
      <c r="AD36" s="1997">
        <f>IFERROR(
IF(テーブル!$B$3="交付申請",AD66,
IF(AND(テーブル!$B$3="変更申請",AD$26=0),0,
IF(AND(テーブル!$B$3="変更申請",AD$26&gt;=1),AD66,
IF(テーブル!$B$3="実績報告（１次）",AD66,
IF(AND(テーブル!$B$3="交付申請（２次）",AD$26=0),0,
IF(AND(テーブル!$B$3="交付申請（２次）",AD$26&gt;=1),AD66,
IF(AND(テーブル!$B$3="交付申請兼実績報告（２次）",AD$26=0),0,
IF(AND(テーブル!$B$3="交付申請兼実績報告（２次）",AD$26&gt;=1),AD66,
IF(AND(テーブル!$B$3="実績報告（２次）",AD$26=0),0,
IF(AND(テーブル!$B$3="実績報告（２次）",AD$26&gt;=1),AD66)))))))))),0)</f>
        <v>0</v>
      </c>
      <c r="AE36" s="1997">
        <f>IFERROR(
IF(テーブル!$B$3="交付申請",AE66,
IF(AND(テーブル!$B$3="変更申請",AE$26=0),0,
IF(AND(テーブル!$B$3="変更申請",AE$26&gt;=1),AE66,
IF(テーブル!$B$3="実績報告（１次）",AE66,
IF(AND(テーブル!$B$3="交付申請（２次）",AE$26=0),0,
IF(AND(テーブル!$B$3="交付申請（２次）",AE$26&gt;=1),AE66,
IF(AND(テーブル!$B$3="交付申請兼実績報告（２次）",AE$26=0),0,
IF(AND(テーブル!$B$3="交付申請兼実績報告（２次）",AE$26&gt;=1),AE66,
IF(AND(テーブル!$B$3="実績報告（２次）",AE$26=0),0,
IF(AND(テーブル!$B$3="実績報告（２次）",AE$26&gt;=1),AE66)))))))))),0)</f>
        <v>0</v>
      </c>
      <c r="AF36" s="1997">
        <f>IFERROR(
IF(テーブル!$B$3="交付申請",AF66,
IF(AND(テーブル!$B$3="変更申請",AF$26=0),0,
IF(AND(テーブル!$B$3="変更申請",AF$26&gt;=1),AF66,
IF(テーブル!$B$3="実績報告（１次）",AF66,
IF(AND(テーブル!$B$3="交付申請（２次）",AF$26=0),0,
IF(AND(テーブル!$B$3="交付申請（２次）",AF$26&gt;=1),AF66,
IF(AND(テーブル!$B$3="交付申請兼実績報告（２次）",AF$26=0),0,
IF(AND(テーブル!$B$3="交付申請兼実績報告（２次）",AF$26&gt;=1),AF66,
IF(AND(テーブル!$B$3="実績報告（２次）",AF$26=0),0,
IF(AND(テーブル!$B$3="実績報告（２次）",AF$26&gt;=1),AF66)))))))))),0)</f>
        <v>0</v>
      </c>
      <c r="AG36" s="1997">
        <f>IFERROR(
IF(テーブル!$B$3="交付申請",AG66,
IF(AND(テーブル!$B$3="変更申請",AG$26=0),0,
IF(AND(テーブル!$B$3="変更申請",AG$26&gt;=1),AG66,
IF(テーブル!$B$3="実績報告（１次）",AG66,
IF(AND(テーブル!$B$3="交付申請（２次）",AG$26=0),0,
IF(AND(テーブル!$B$3="交付申請（２次）",AG$26&gt;=1),AG66,
IF(AND(テーブル!$B$3="交付申請兼実績報告（２次）",AG$26=0),0,
IF(AND(テーブル!$B$3="交付申請兼実績報告（２次）",AG$26&gt;=1),AG66,
IF(AND(テーブル!$B$3="実績報告（２次）",AG$26=0),0,
IF(AND(テーブル!$B$3="実績報告（２次）",AG$26&gt;=1),AG66)))))))))),0)</f>
        <v>0</v>
      </c>
      <c r="AH36" s="1997">
        <f>IFERROR(
IF(テーブル!$B$3="交付申請",AH66,
IF(AND(テーブル!$B$3="変更申請",AH$26=0),0,
IF(AND(テーブル!$B$3="変更申請",AH$26&gt;=1),AH66,
IF(テーブル!$B$3="実績報告（１次）",AH66,
IF(AND(テーブル!$B$3="交付申請（２次）",AH$26=0),0,
IF(AND(テーブル!$B$3="交付申請（２次）",AH$26&gt;=1),AH66,
IF(AND(テーブル!$B$3="交付申請兼実績報告（２次）",AH$26=0),0,
IF(AND(テーブル!$B$3="交付申請兼実績報告（２次）",AH$26&gt;=1),AH66,
IF(AND(テーブル!$B$3="実績報告（２次）",AH$26=0),0,
IF(AND(テーブル!$B$3="実績報告（２次）",AH$26&gt;=1),AH66)))))))))),0)</f>
        <v>0</v>
      </c>
      <c r="AI36" s="1997">
        <f>IFERROR(
IF(テーブル!$B$3="交付申請",AI66,
IF(AND(テーブル!$B$3="変更申請",AI$26=0),0,
IF(AND(テーブル!$B$3="変更申請",AI$26&gt;=1),AI66,
IF(テーブル!$B$3="実績報告（１次）",AI66,
IF(AND(テーブル!$B$3="交付申請（２次）",AI$26=0),0,
IF(AND(テーブル!$B$3="交付申請（２次）",AI$26&gt;=1),AI66,
IF(AND(テーブル!$B$3="交付申請兼実績報告（２次）",AI$26=0),0,
IF(AND(テーブル!$B$3="交付申請兼実績報告（２次）",AI$26&gt;=1),AI66,
IF(AND(テーブル!$B$3="実績報告（２次）",AI$26=0),0,
IF(AND(テーブル!$B$3="実績報告（２次）",AI$26&gt;=1),AI66)))))))))),0)</f>
        <v>0</v>
      </c>
      <c r="AJ36" s="1997">
        <f>IFERROR(
IF(テーブル!$B$3="交付申請",AJ66,
IF(AND(テーブル!$B$3="変更申請",AJ$26=0),0,
IF(AND(テーブル!$B$3="変更申請",AJ$26&gt;=1),AJ66,
IF(テーブル!$B$3="実績報告（１次）",AJ66,
IF(AND(テーブル!$B$3="交付申請（２次）",AJ$26=0),0,
IF(AND(テーブル!$B$3="交付申請（２次）",AJ$26&gt;=1),AJ66,
IF(AND(テーブル!$B$3="交付申請兼実績報告（２次）",AJ$26=0),0,
IF(AND(テーブル!$B$3="交付申請兼実績報告（２次）",AJ$26&gt;=1),AJ66,
IF(AND(テーブル!$B$3="実績報告（２次）",AJ$26=0),0,
IF(AND(テーブル!$B$3="実績報告（２次）",AJ$26&gt;=1),AJ66)))))))))),0)</f>
        <v>0</v>
      </c>
      <c r="AK36" s="1997">
        <f>IFERROR(
IF(テーブル!$B$3="交付申請",AK66,
IF(AND(テーブル!$B$3="変更申請",AK$26=0),0,
IF(AND(テーブル!$B$3="変更申請",AK$26&gt;=1),AK66,
IF(テーブル!$B$3="実績報告（１次）",AK66,
IF(AND(テーブル!$B$3="交付申請（２次）",AK$26=0),0,
IF(AND(テーブル!$B$3="交付申請（２次）",AK$26&gt;=1),AK66,
IF(AND(テーブル!$B$3="交付申請兼実績報告（２次）",AK$26=0),0,
IF(AND(テーブル!$B$3="交付申請兼実績報告（２次）",AK$26&gt;=1),AK66,
IF(AND(テーブル!$B$3="実績報告（２次）",AK$26=0),0,
IF(AND(テーブル!$B$3="実績報告（２次）",AK$26&gt;=1),AK66)))))))))),0)</f>
        <v>0</v>
      </c>
      <c r="AL36" s="1997">
        <f>IFERROR(
IF(テーブル!$B$3="交付申請",AL66,
IF(AND(テーブル!$B$3="変更申請",AL$26=0),0,
IF(AND(テーブル!$B$3="変更申請",AL$26&gt;=1),AL66,
IF(テーブル!$B$3="実績報告（１次）",AL66,
IF(AND(テーブル!$B$3="交付申請（２次）",AL$26=0),0,
IF(AND(テーブル!$B$3="交付申請（２次）",AL$26&gt;=1),AL66,
IF(AND(テーブル!$B$3="交付申請兼実績報告（２次）",AL$26=0),0,
IF(AND(テーブル!$B$3="交付申請兼実績報告（２次）",AL$26&gt;=1),AL66,
IF(AND(テーブル!$B$3="実績報告（２次）",AL$26=0),0,
IF(AND(テーブル!$B$3="実績報告（２次）",AL$26&gt;=1),AL66)))))))))),0)</f>
        <v>0</v>
      </c>
      <c r="AM36" s="1997">
        <f>IFERROR(
IF(テーブル!$B$3="交付申請",AM66,
IF(AND(テーブル!$B$3="変更申請",AM$26=0),0,
IF(AND(テーブル!$B$3="変更申請",AM$26&gt;=1),AM66,
IF(テーブル!$B$3="実績報告（１次）",AM66,
IF(AND(テーブル!$B$3="交付申請（２次）",AM$26=0),0,
IF(AND(テーブル!$B$3="交付申請（２次）",AM$26&gt;=1),AM66,
IF(AND(テーブル!$B$3="交付申請兼実績報告（２次）",AM$26=0),0,
IF(AND(テーブル!$B$3="交付申請兼実績報告（２次）",AM$26&gt;=1),AM66,
IF(AND(テーブル!$B$3="実績報告（２次）",AM$26=0),0,
IF(AND(テーブル!$B$3="実績報告（２次）",AM$26&gt;=1),AM66)))))))))),0)</f>
        <v>0</v>
      </c>
      <c r="AN36" s="1997">
        <f>IFERROR(
IF(テーブル!$B$3="交付申請",AN66,
IF(AND(テーブル!$B$3="変更申請",AN$26=0),0,
IF(AND(テーブル!$B$3="変更申請",AN$26&gt;=1),AN66,
IF(テーブル!$B$3="実績報告（１次）",AN66,
IF(AND(テーブル!$B$3="交付申請（２次）",AN$26=0),0,
IF(AND(テーブル!$B$3="交付申請（２次）",AN$26&gt;=1),AN66,
IF(AND(テーブル!$B$3="交付申請兼実績報告（２次）",AN$26=0),0,
IF(AND(テーブル!$B$3="交付申請兼実績報告（２次）",AN$26&gt;=1),AN66,
IF(AND(テーブル!$B$3="実績報告（２次）",AN$26=0),0,
IF(AND(テーブル!$B$3="実績報告（２次）",AN$26&gt;=1),AN66)))))))))),0)</f>
        <v>0</v>
      </c>
      <c r="AO36" s="1997">
        <f>IFERROR(
IF(テーブル!$B$3="交付申請",AO66,
IF(AND(テーブル!$B$3="変更申請",AO$26=0),0,
IF(AND(テーブル!$B$3="変更申請",AO$26&gt;=1),AO66,
IF(テーブル!$B$3="実績報告（１次）",AO66,
IF(AND(テーブル!$B$3="交付申請（２次）",AO$26=0),0,
IF(AND(テーブル!$B$3="交付申請（２次）",AO$26&gt;=1),AO66,
IF(AND(テーブル!$B$3="交付申請兼実績報告（２次）",AO$26=0),0,
IF(AND(テーブル!$B$3="交付申請兼実績報告（２次）",AO$26&gt;=1),AO66,
IF(AND(テーブル!$B$3="実績報告（２次）",AO$26=0),0,
IF(AND(テーブル!$B$3="実績報告（２次）",AO$26&gt;=1),AO66)))))))))),0)</f>
        <v>0</v>
      </c>
      <c r="AP36" s="1997">
        <f>IFERROR(
IF(テーブル!$B$3="交付申請",AP66,
IF(AND(テーブル!$B$3="変更申請",AP$26=0),0,
IF(AND(テーブル!$B$3="変更申請",AP$26&gt;=1),AP66,
IF(テーブル!$B$3="実績報告（１次）",AP66,
IF(AND(テーブル!$B$3="交付申請（２次）",AP$26=0),0,
IF(AND(テーブル!$B$3="交付申請（２次）",AP$26&gt;=1),AP66,
IF(AND(テーブル!$B$3="交付申請兼実績報告（２次）",AP$26=0),0,
IF(AND(テーブル!$B$3="交付申請兼実績報告（２次）",AP$26&gt;=1),AP66,
IF(AND(テーブル!$B$3="実績報告（２次）",AP$26=0),0,
IF(AND(テーブル!$B$3="実績報告（２次）",AP$26&gt;=1),AP66)))))))))),0)</f>
        <v>0</v>
      </c>
      <c r="AQ36" s="1997">
        <f>IFERROR(
IF(テーブル!$B$3="交付申請",AQ66,
IF(AND(テーブル!$B$3="変更申請",AQ$26=0),0,
IF(AND(テーブル!$B$3="変更申請",AQ$26&gt;=1),AQ66,
IF(テーブル!$B$3="実績報告（１次）",AQ66,
IF(AND(テーブル!$B$3="交付申請（２次）",AQ$26=0),0,
IF(AND(テーブル!$B$3="交付申請（２次）",AQ$26&gt;=1),AQ66,
IF(AND(テーブル!$B$3="交付申請兼実績報告（２次）",AQ$26=0),0,
IF(AND(テーブル!$B$3="交付申請兼実績報告（２次）",AQ$26&gt;=1),AQ66,
IF(AND(テーブル!$B$3="実績報告（２次）",AQ$26=0),0,
IF(AND(テーブル!$B$3="実績報告（２次）",AQ$26&gt;=1),AQ66)))))))))),0)</f>
        <v>0</v>
      </c>
      <c r="AR36" s="1997">
        <f>IFERROR(
IF(テーブル!$B$3="交付申請",AR66,
IF(AND(テーブル!$B$3="変更申請",AR$26=0),0,
IF(AND(テーブル!$B$3="変更申請",AR$26&gt;=1),AR66,
IF(テーブル!$B$3="実績報告（１次）",AR66,
IF(AND(テーブル!$B$3="交付申請（２次）",AR$26=0),0,
IF(AND(テーブル!$B$3="交付申請（２次）",AR$26&gt;=1),AR66,
IF(AND(テーブル!$B$3="交付申請兼実績報告（２次）",AR$26=0),0,
IF(AND(テーブル!$B$3="交付申請兼実績報告（２次）",AR$26&gt;=1),AR66,
IF(AND(テーブル!$B$3="実績報告（２次）",AR$26=0),0,
IF(AND(テーブル!$B$3="実績報告（２次）",AR$26&gt;=1),AR66)))))))))),0)</f>
        <v>0</v>
      </c>
      <c r="AS36" s="1997">
        <f>IFERROR(
IF(テーブル!$B$3="交付申請",AS66,
IF(AND(テーブル!$B$3="変更申請",AS$26=0),0,
IF(AND(テーブル!$B$3="変更申請",AS$26&gt;=1),AS66,
IF(テーブル!$B$3="実績報告（１次）",AS66,
IF(AND(テーブル!$B$3="交付申請（２次）",AS$26=0),0,
IF(AND(テーブル!$B$3="交付申請（２次）",AS$26&gt;=1),AS66,
IF(AND(テーブル!$B$3="交付申請兼実績報告（２次）",AS$26=0),0,
IF(AND(テーブル!$B$3="交付申請兼実績報告（２次）",AS$26&gt;=1),AS66,
IF(AND(テーブル!$B$3="実績報告（２次）",AS$26=0),0,
IF(AND(テーブル!$B$3="実績報告（２次）",AS$26&gt;=1),AS66)))))))))),0)</f>
        <v>0</v>
      </c>
      <c r="AT36" s="1997">
        <f>IFERROR(
IF(テーブル!$B$3="交付申請",AT66,
IF(AND(テーブル!$B$3="変更申請",AT$26=0),0,
IF(AND(テーブル!$B$3="変更申請",AT$26&gt;=1),AT66,
IF(テーブル!$B$3="実績報告（１次）",AT66,
IF(AND(テーブル!$B$3="交付申請（２次）",AT$26=0),0,
IF(AND(テーブル!$B$3="交付申請（２次）",AT$26&gt;=1),AT66,
IF(AND(テーブル!$B$3="交付申請兼実績報告（２次）",AT$26=0),0,
IF(AND(テーブル!$B$3="交付申請兼実績報告（２次）",AT$26&gt;=1),AT66,
IF(AND(テーブル!$B$3="実績報告（２次）",AT$26=0),0,
IF(AND(テーブル!$B$3="実績報告（２次）",AT$26&gt;=1),AT66)))))))))),0)</f>
        <v>0</v>
      </c>
      <c r="AU36" s="1997">
        <f>IFERROR(
IF(テーブル!$B$3="交付申請",AU66,
IF(AND(テーブル!$B$3="変更申請",AU$26=0),0,
IF(AND(テーブル!$B$3="変更申請",AU$26&gt;=1),AU66,
IF(テーブル!$B$3="実績報告（１次）",AU66,
IF(AND(テーブル!$B$3="交付申請（２次）",AU$26=0),0,
IF(AND(テーブル!$B$3="交付申請（２次）",AU$26&gt;=1),AU66,
IF(AND(テーブル!$B$3="交付申請兼実績報告（２次）",AU$26=0),0,
IF(AND(テーブル!$B$3="交付申請兼実績報告（２次）",AU$26&gt;=1),AU66,
IF(AND(テーブル!$B$3="実績報告（２次）",AU$26=0),0,
IF(AND(テーブル!$B$3="実績報告（２次）",AU$26&gt;=1),AU66)))))))))),0)</f>
        <v>0</v>
      </c>
      <c r="AV36" s="1997">
        <f>IFERROR(
IF(テーブル!$B$3="交付申請",AV66,
IF(AND(テーブル!$B$3="変更申請",AV$26=0),0,
IF(AND(テーブル!$B$3="変更申請",AV$26&gt;=1),AV66,
IF(テーブル!$B$3="実績報告（１次）",AV66,
IF(AND(テーブル!$B$3="交付申請（２次）",AV$26=0),0,
IF(AND(テーブル!$B$3="交付申請（２次）",AV$26&gt;=1),AV66,
IF(AND(テーブル!$B$3="交付申請兼実績報告（２次）",AV$26=0),0,
IF(AND(テーブル!$B$3="交付申請兼実績報告（２次）",AV$26&gt;=1),AV66,
IF(AND(テーブル!$B$3="実績報告（２次）",AV$26=0),0,
IF(AND(テーブル!$B$3="実績報告（２次）",AV$26&gt;=1),AV66)))))))))),0)</f>
        <v>0</v>
      </c>
      <c r="AW36" s="1997">
        <f>IFERROR(
IF(テーブル!$B$3="交付申請",AW66,
IF(AND(テーブル!$B$3="変更申請",AW$26=0),0,
IF(AND(テーブル!$B$3="変更申請",AW$26&gt;=1),AW66,
IF(テーブル!$B$3="実績報告（１次）",AW66,
IF(AND(テーブル!$B$3="交付申請（２次）",AW$26=0),0,
IF(AND(テーブル!$B$3="交付申請（２次）",AW$26&gt;=1),AW66,
IF(AND(テーブル!$B$3="交付申請兼実績報告（２次）",AW$26=0),0,
IF(AND(テーブル!$B$3="交付申請兼実績報告（２次）",AW$26&gt;=1),AW66,
IF(AND(テーブル!$B$3="実績報告（２次）",AW$26=0),0,
IF(AND(テーブル!$B$3="実績報告（２次）",AW$26&gt;=1),AW66)))))))))),0)</f>
        <v>0</v>
      </c>
      <c r="AX36" s="1997">
        <f>IFERROR(
IF(テーブル!$B$3="交付申請",AX66,
IF(AND(テーブル!$B$3="変更申請",AX$26=0),0,
IF(AND(テーブル!$B$3="変更申請",AX$26&gt;=1),AX66,
IF(テーブル!$B$3="実績報告（１次）",AX66,
IF(AND(テーブル!$B$3="交付申請（２次）",AX$26=0),0,
IF(AND(テーブル!$B$3="交付申請（２次）",AX$26&gt;=1),AX66,
IF(AND(テーブル!$B$3="交付申請兼実績報告（２次）",AX$26=0),0,
IF(AND(テーブル!$B$3="交付申請兼実績報告（２次）",AX$26&gt;=1),AX66,
IF(AND(テーブル!$B$3="実績報告（２次）",AX$26=0),0,
IF(AND(テーブル!$B$3="実績報告（２次）",AX$26&gt;=1),AX66)))))))))),0)</f>
        <v>0</v>
      </c>
      <c r="AY36" s="1997">
        <f>IFERROR(
IF(テーブル!$B$3="交付申請",AY66,
IF(AND(テーブル!$B$3="変更申請",AY$26=0),0,
IF(AND(テーブル!$B$3="変更申請",AY$26&gt;=1),AY66,
IF(テーブル!$B$3="実績報告（１次）",AY66,
IF(AND(テーブル!$B$3="交付申請（２次）",AY$26=0),0,
IF(AND(テーブル!$B$3="交付申請（２次）",AY$26&gt;=1),AY66,
IF(AND(テーブル!$B$3="交付申請兼実績報告（２次）",AY$26=0),0,
IF(AND(テーブル!$B$3="交付申請兼実績報告（２次）",AY$26&gt;=1),AY66,
IF(AND(テーブル!$B$3="実績報告（２次）",AY$26=0),0,
IF(AND(テーブル!$B$3="実績報告（２次）",AY$26&gt;=1),AY66)))))))))),0)</f>
        <v>0</v>
      </c>
      <c r="AZ36" s="1997">
        <f>IFERROR(
IF(テーブル!$B$3="交付申請",AZ66,
IF(AND(テーブル!$B$3="変更申請",AZ$26=0),0,
IF(AND(テーブル!$B$3="変更申請",AZ$26&gt;=1),AZ66,
IF(テーブル!$B$3="実績報告（１次）",AZ66,
IF(AND(テーブル!$B$3="交付申請（２次）",AZ$26=0),0,
IF(AND(テーブル!$B$3="交付申請（２次）",AZ$26&gt;=1),AZ66,
IF(AND(テーブル!$B$3="交付申請兼実績報告（２次）",AZ$26=0),0,
IF(AND(テーブル!$B$3="交付申請兼実績報告（２次）",AZ$26&gt;=1),AZ66,
IF(AND(テーブル!$B$3="実績報告（２次）",AZ$26=0),0,
IF(AND(テーブル!$B$3="実績報告（２次）",AZ$26&gt;=1),AZ66)))))))))),0)</f>
        <v>0</v>
      </c>
      <c r="BA36" s="1997">
        <f>IFERROR(
IF(テーブル!$B$3="交付申請",BA66,
IF(AND(テーブル!$B$3="変更申請",BA$26=0),0,
IF(AND(テーブル!$B$3="変更申請",BA$26&gt;=1),BA66,
IF(テーブル!$B$3="実績報告（１次）",BA66,
IF(AND(テーブル!$B$3="交付申請（２次）",BA$26=0),0,
IF(AND(テーブル!$B$3="交付申請（２次）",BA$26&gt;=1),BA66,
IF(AND(テーブル!$B$3="交付申請兼実績報告（２次）",BA$26=0),0,
IF(AND(テーブル!$B$3="交付申請兼実績報告（２次）",BA$26&gt;=1),BA66,
IF(AND(テーブル!$B$3="実績報告（２次）",BA$26=0),0,
IF(AND(テーブル!$B$3="実績報告（２次）",BA$26&gt;=1),BA66)))))))))),0)</f>
        <v>0</v>
      </c>
      <c r="BB36" s="1997">
        <f>IFERROR(
IF(テーブル!$B$3="交付申請",BB66,
IF(AND(テーブル!$B$3="変更申請",BB$26=0),0,
IF(AND(テーブル!$B$3="変更申請",BB$26&gt;=1),BB66,
IF(テーブル!$B$3="実績報告（１次）",BB66,
IF(AND(テーブル!$B$3="交付申請（２次）",BB$26=0),0,
IF(AND(テーブル!$B$3="交付申請（２次）",BB$26&gt;=1),BB66,
IF(AND(テーブル!$B$3="交付申請兼実績報告（２次）",BB$26=0),0,
IF(AND(テーブル!$B$3="交付申請兼実績報告（２次）",BB$26&gt;=1),BB66,
IF(AND(テーブル!$B$3="実績報告（２次）",BB$26=0),0,
IF(AND(テーブル!$B$3="実績報告（２次）",BB$26&gt;=1),BB66)))))))))),0)</f>
        <v>0</v>
      </c>
      <c r="BC36" s="1997">
        <f>IFERROR(
IF(テーブル!$B$3="交付申請",BC66,
IF(AND(テーブル!$B$3="変更申請",BC$26=0),0,
IF(AND(テーブル!$B$3="変更申請",BC$26&gt;=1),BC66,
IF(テーブル!$B$3="実績報告（１次）",BC66,
IF(AND(テーブル!$B$3="交付申請（２次）",BC$26=0),0,
IF(AND(テーブル!$B$3="交付申請（２次）",BC$26&gt;=1),BC66,
IF(AND(テーブル!$B$3="交付申請兼実績報告（２次）",BC$26=0),0,
IF(AND(テーブル!$B$3="交付申請兼実績報告（２次）",BC$26&gt;=1),BC66,
IF(AND(テーブル!$B$3="実績報告（２次）",BC$26=0),0,
IF(AND(テーブル!$B$3="実績報告（２次）",BC$26&gt;=1),BC66)))))))))),0)</f>
        <v>0</v>
      </c>
      <c r="BD36" s="1997">
        <f>IFERROR(
IF(テーブル!$B$3="交付申請",BD66,
IF(AND(テーブル!$B$3="変更申請",BD$26=0),0,
IF(AND(テーブル!$B$3="変更申請",BD$26&gt;=1),BD66,
IF(テーブル!$B$3="実績報告（１次）",BD66,
IF(AND(テーブル!$B$3="交付申請（２次）",BD$26=0),0,
IF(AND(テーブル!$B$3="交付申請（２次）",BD$26&gt;=1),BD66,
IF(AND(テーブル!$B$3="交付申請兼実績報告（２次）",BD$26=0),0,
IF(AND(テーブル!$B$3="交付申請兼実績報告（２次）",BD$26&gt;=1),BD66,
IF(AND(テーブル!$B$3="実績報告（２次）",BD$26=0),0,
IF(AND(テーブル!$B$3="実績報告（２次）",BD$26&gt;=1),BD66)))))))))),0)</f>
        <v>0</v>
      </c>
      <c r="BE36" s="1997">
        <f>IFERROR(
IF(テーブル!$B$3="交付申請",BE66,
IF(AND(テーブル!$B$3="変更申請",BE$26=0),0,
IF(AND(テーブル!$B$3="変更申請",BE$26&gt;=1),BE66,
IF(テーブル!$B$3="実績報告（１次）",BE66,
IF(AND(テーブル!$B$3="交付申請（２次）",BE$26=0),0,
IF(AND(テーブル!$B$3="交付申請（２次）",BE$26&gt;=1),BE66,
IF(AND(テーブル!$B$3="交付申請兼実績報告（２次）",BE$26=0),0,
IF(AND(テーブル!$B$3="交付申請兼実績報告（２次）",BE$26&gt;=1),BE66,
IF(AND(テーブル!$B$3="実績報告（２次）",BE$26=0),0,
IF(AND(テーブル!$B$3="実績報告（２次）",BE$26&gt;=1),BE66)))))))))),0)</f>
        <v>0</v>
      </c>
      <c r="BF36" s="1997">
        <f>IFERROR(
IF(テーブル!$B$3="交付申請",BF66,
IF(AND(テーブル!$B$3="変更申請",BF$26=0),0,
IF(AND(テーブル!$B$3="変更申請",BF$26&gt;=1),BF66,
IF(テーブル!$B$3="実績報告（１次）",BF66,
IF(AND(テーブル!$B$3="交付申請（２次）",BF$26=0),0,
IF(AND(テーブル!$B$3="交付申請（２次）",BF$26&gt;=1),BF66,
IF(AND(テーブル!$B$3="交付申請兼実績報告（２次）",BF$26=0),0,
IF(AND(テーブル!$B$3="交付申請兼実績報告（２次）",BF$26&gt;=1),BF66,
IF(AND(テーブル!$B$3="実績報告（２次）",BF$26=0),0,
IF(AND(テーブル!$B$3="実績報告（２次）",BF$26&gt;=1),BF66)))))))))),0)</f>
        <v>0</v>
      </c>
      <c r="BG36" s="1997">
        <f>IFERROR(
IF(テーブル!$B$3="交付申請",BG66,
IF(AND(テーブル!$B$3="変更申請",BG$26=0),0,
IF(AND(テーブル!$B$3="変更申請",BG$26&gt;=1),BG66,
IF(テーブル!$B$3="実績報告（１次）",BG66,
IF(AND(テーブル!$B$3="交付申請（２次）",BG$26=0),0,
IF(AND(テーブル!$B$3="交付申請（２次）",BG$26&gt;=1),BG66,
IF(AND(テーブル!$B$3="交付申請兼実績報告（２次）",BG$26=0),0,
IF(AND(テーブル!$B$3="交付申請兼実績報告（２次）",BG$26&gt;=1),BG66,
IF(AND(テーブル!$B$3="実績報告（２次）",BG$26=0),0,
IF(AND(テーブル!$B$3="実績報告（２次）",BG$26&gt;=1),BG66)))))))))),0)</f>
        <v>0</v>
      </c>
      <c r="BH36" s="1997">
        <f>IFERROR(
IF(テーブル!$B$3="交付申請",BH66,
IF(AND(テーブル!$B$3="変更申請",BH$26=0),0,
IF(AND(テーブル!$B$3="変更申請",BH$26&gt;=1),BH66,
IF(テーブル!$B$3="実績報告（１次）",BH66,
IF(AND(テーブル!$B$3="交付申請（２次）",BH$26=0),0,
IF(AND(テーブル!$B$3="交付申請（２次）",BH$26&gt;=1),BH66,
IF(AND(テーブル!$B$3="交付申請兼実績報告（２次）",BH$26=0),0,
IF(AND(テーブル!$B$3="交付申請兼実績報告（２次）",BH$26&gt;=1),BH66,
IF(AND(テーブル!$B$3="実績報告（２次）",BH$26=0),0,
IF(AND(テーブル!$B$3="実績報告（２次）",BH$26&gt;=1),BH66)))))))))),0)</f>
        <v>0</v>
      </c>
      <c r="BI36" s="1997">
        <f>IFERROR(
IF(テーブル!$B$3="交付申請",BI66,
IF(AND(テーブル!$B$3="変更申請",BI$26=0),0,
IF(AND(テーブル!$B$3="変更申請",BI$26&gt;=1),BI66,
IF(テーブル!$B$3="実績報告（１次）",BI66,
IF(AND(テーブル!$B$3="交付申請（２次）",BI$26=0),0,
IF(AND(テーブル!$B$3="交付申請（２次）",BI$26&gt;=1),BI66,
IF(AND(テーブル!$B$3="交付申請兼実績報告（２次）",BI$26=0),0,
IF(AND(テーブル!$B$3="交付申請兼実績報告（２次）",BI$26&gt;=1),BI66,
IF(AND(テーブル!$B$3="実績報告（２次）",BI$26=0),0,
IF(AND(テーブル!$B$3="実績報告（２次）",BI$26&gt;=1),BI66)))))))))),0)</f>
        <v>0</v>
      </c>
      <c r="BJ36" s="1997">
        <f>IFERROR(
IF(テーブル!$B$3="交付申請",BJ66,
IF(AND(テーブル!$B$3="変更申請",BJ$26=0),0,
IF(AND(テーブル!$B$3="変更申請",BJ$26&gt;=1),BJ66,
IF(テーブル!$B$3="実績報告（１次）",BJ66,
IF(AND(テーブル!$B$3="交付申請（２次）",BJ$26=0),0,
IF(AND(テーブル!$B$3="交付申請（２次）",BJ$26&gt;=1),BJ66,
IF(AND(テーブル!$B$3="交付申請兼実績報告（２次）",BJ$26=0),0,
IF(AND(テーブル!$B$3="交付申請兼実績報告（２次）",BJ$26&gt;=1),BJ66,
IF(AND(テーブル!$B$3="実績報告（２次）",BJ$26=0),0,
IF(AND(テーブル!$B$3="実績報告（２次）",BJ$26&gt;=1),BJ66)))))))))),0)</f>
        <v>0</v>
      </c>
      <c r="BK36" s="1997">
        <f>IFERROR(
IF(テーブル!$B$3="交付申請",BK66,
IF(AND(テーブル!$B$3="変更申請",BK$26=0),0,
IF(AND(テーブル!$B$3="変更申請",BK$26&gt;=1),BK66,
IF(テーブル!$B$3="実績報告（１次）",BK66,
IF(AND(テーブル!$B$3="交付申請（２次）",BK$26=0),0,
IF(AND(テーブル!$B$3="交付申請（２次）",BK$26&gt;=1),BK66,
IF(AND(テーブル!$B$3="交付申請兼実績報告（２次）",BK$26=0),0,
IF(AND(テーブル!$B$3="交付申請兼実績報告（２次）",BK$26&gt;=1),BK66,
IF(AND(テーブル!$B$3="実績報告（２次）",BK$26=0),0,
IF(AND(テーブル!$B$3="実績報告（２次）",BK$26&gt;=1),BK66)))))))))),0)</f>
        <v>0</v>
      </c>
      <c r="BL36" s="1997">
        <f>IFERROR(
IF(テーブル!$B$3="交付申請",BL66,
IF(AND(テーブル!$B$3="変更申請",BL$26=0),0,
IF(AND(テーブル!$B$3="変更申請",BL$26&gt;=1),BL66,
IF(テーブル!$B$3="実績報告（１次）",BL66,
IF(AND(テーブル!$B$3="交付申請（２次）",BL$26=0),0,
IF(AND(テーブル!$B$3="交付申請（２次）",BL$26&gt;=1),BL66,
IF(AND(テーブル!$B$3="交付申請兼実績報告（２次）",BL$26=0),0,
IF(AND(テーブル!$B$3="交付申請兼実績報告（２次）",BL$26&gt;=1),BL66,
IF(AND(テーブル!$B$3="実績報告（２次）",BL$26=0),0,
IF(AND(テーブル!$B$3="実績報告（２次）",BL$26&gt;=1),BL66)))))))))),0)</f>
        <v>0</v>
      </c>
      <c r="BM36" s="1997">
        <f>IFERROR(
IF(テーブル!$B$3="交付申請",BM66,
IF(AND(テーブル!$B$3="変更申請",BM$26=0),0,
IF(AND(テーブル!$B$3="変更申請",BM$26&gt;=1),BM66,
IF(テーブル!$B$3="実績報告（１次）",BM66,
IF(AND(テーブル!$B$3="交付申請（２次）",BM$26=0),0,
IF(AND(テーブル!$B$3="交付申請（２次）",BM$26&gt;=1),BM66,
IF(AND(テーブル!$B$3="交付申請兼実績報告（２次）",BM$26=0),0,
IF(AND(テーブル!$B$3="交付申請兼実績報告（２次）",BM$26&gt;=1),BM66,
IF(AND(テーブル!$B$3="実績報告（２次）",BM$26=0),0,
IF(AND(テーブル!$B$3="実績報告（２次）",BM$26&gt;=1),BM66)))))))))),0)</f>
        <v>0</v>
      </c>
      <c r="BN36" s="1997">
        <f>IFERROR(
IF(テーブル!$B$3="交付申請",BN66,
IF(AND(テーブル!$B$3="変更申請",BN$26=0),0,
IF(AND(テーブル!$B$3="変更申請",BN$26&gt;=1),BN66,
IF(テーブル!$B$3="実績報告（１次）",BN66,
IF(AND(テーブル!$B$3="交付申請（２次）",BN$26=0),0,
IF(AND(テーブル!$B$3="交付申請（２次）",BN$26&gt;=1),BN66,
IF(AND(テーブル!$B$3="交付申請兼実績報告（２次）",BN$26=0),0,
IF(AND(テーブル!$B$3="交付申請兼実績報告（２次）",BN$26&gt;=1),BN66,
IF(AND(テーブル!$B$3="実績報告（２次）",BN$26=0),0,
IF(AND(テーブル!$B$3="実績報告（２次）",BN$26&gt;=1),BN66)))))))))),0)</f>
        <v>0</v>
      </c>
      <c r="BO36" s="1997">
        <f>IFERROR(
IF(テーブル!$B$3="交付申請",BO66,
IF(AND(テーブル!$B$3="変更申請",BO$26=0),0,
IF(AND(テーブル!$B$3="変更申請",BO$26&gt;=1),BO66,
IF(テーブル!$B$3="実績報告（１次）",BO66,
IF(AND(テーブル!$B$3="交付申請（２次）",BO$26=0),0,
IF(AND(テーブル!$B$3="交付申請（２次）",BO$26&gt;=1),BO66,
IF(AND(テーブル!$B$3="交付申請兼実績報告（２次）",BO$26=0),0,
IF(AND(テーブル!$B$3="交付申請兼実績報告（２次）",BO$26&gt;=1),BO66,
IF(AND(テーブル!$B$3="実績報告（２次）",BO$26=0),0,
IF(AND(テーブル!$B$3="実績報告（２次）",BO$26&gt;=1),BO66)))))))))),0)</f>
        <v>0</v>
      </c>
      <c r="BP36" s="1997">
        <f>IFERROR(
IF(テーブル!$B$3="交付申請",BP66,
IF(AND(テーブル!$B$3="変更申請",BP$26=0),0,
IF(AND(テーブル!$B$3="変更申請",BP$26&gt;=1),BP66,
IF(テーブル!$B$3="実績報告（１次）",BP66,
IF(AND(テーブル!$B$3="交付申請（２次）",BP$26=0),0,
IF(AND(テーブル!$B$3="交付申請（２次）",BP$26&gt;=1),BP66,
IF(AND(テーブル!$B$3="交付申請兼実績報告（２次）",BP$26=0),0,
IF(AND(テーブル!$B$3="交付申請兼実績報告（２次）",BP$26&gt;=1),BP66,
IF(AND(テーブル!$B$3="実績報告（２次）",BP$26=0),0,
IF(AND(テーブル!$B$3="実績報告（２次）",BP$26&gt;=1),BP66)))))))))),0)</f>
        <v>0</v>
      </c>
      <c r="BQ36" s="1997">
        <f>IFERROR(
IF(テーブル!$B$3="交付申請",BQ66,
IF(AND(テーブル!$B$3="変更申請",BQ$26=0),0,
IF(AND(テーブル!$B$3="変更申請",BQ$26&gt;=1),BQ66,
IF(テーブル!$B$3="実績報告（１次）",BQ66,
IF(AND(テーブル!$B$3="交付申請（２次）",BQ$26=0),0,
IF(AND(テーブル!$B$3="交付申請（２次）",BQ$26&gt;=1),BQ66,
IF(AND(テーブル!$B$3="交付申請兼実績報告（２次）",BQ$26=0),0,
IF(AND(テーブル!$B$3="交付申請兼実績報告（２次）",BQ$26&gt;=1),BQ66,
IF(AND(テーブル!$B$3="実績報告（２次）",BQ$26=0),0,
IF(AND(テーブル!$B$3="実績報告（２次）",BQ$26&gt;=1),BQ66)))))))))),0)</f>
        <v>0</v>
      </c>
      <c r="BR36" s="1997">
        <f>IFERROR(
IF(テーブル!$B$3="交付申請",BR66,
IF(AND(テーブル!$B$3="変更申請",BR$26=0),0,
IF(AND(テーブル!$B$3="変更申請",BR$26&gt;=1),BR66,
IF(テーブル!$B$3="実績報告（１次）",BR66,
IF(AND(テーブル!$B$3="交付申請（２次）",BR$26=0),0,
IF(AND(テーブル!$B$3="交付申請（２次）",BR$26&gt;=1),BR66,
IF(AND(テーブル!$B$3="交付申請兼実績報告（２次）",BR$26=0),0,
IF(AND(テーブル!$B$3="交付申請兼実績報告（２次）",BR$26&gt;=1),BR66,
IF(AND(テーブル!$B$3="実績報告（２次）",BR$26=0),0,
IF(AND(テーブル!$B$3="実績報告（２次）",BR$26&gt;=1),BR66)))))))))),0)</f>
        <v>0</v>
      </c>
      <c r="BS36" s="1997">
        <f>IFERROR(
IF(テーブル!$B$3="交付申請",BS66,
IF(AND(テーブル!$B$3="変更申請",BS$26=0),0,
IF(AND(テーブル!$B$3="変更申請",BS$26&gt;=1),BS66,
IF(テーブル!$B$3="実績報告（１次）",BS66,
IF(AND(テーブル!$B$3="交付申請（２次）",BS$26=0),0,
IF(AND(テーブル!$B$3="交付申請（２次）",BS$26&gt;=1),BS66,
IF(AND(テーブル!$B$3="交付申請兼実績報告（２次）",BS$26=0),0,
IF(AND(テーブル!$B$3="交付申請兼実績報告（２次）",BS$26&gt;=1),BS66,
IF(AND(テーブル!$B$3="実績報告（２次）",BS$26=0),0,
IF(AND(テーブル!$B$3="実績報告（２次）",BS$26&gt;=1),BS66)))))))))),0)</f>
        <v>0</v>
      </c>
      <c r="BT36" s="1997">
        <f>IFERROR(
IF(テーブル!$B$3="交付申請",BT66,
IF(AND(テーブル!$B$3="変更申請",BT$26=0),0,
IF(AND(テーブル!$B$3="変更申請",BT$26&gt;=1),BT66,
IF(テーブル!$B$3="実績報告（１次）",BT66,
IF(AND(テーブル!$B$3="交付申請（２次）",BT$26=0),0,
IF(AND(テーブル!$B$3="交付申請（２次）",BT$26&gt;=1),BT66,
IF(AND(テーブル!$B$3="交付申請兼実績報告（２次）",BT$26=0),0,
IF(AND(テーブル!$B$3="交付申請兼実績報告（２次）",BT$26&gt;=1),BT66,
IF(AND(テーブル!$B$3="実績報告（２次）",BT$26=0),0,
IF(AND(テーブル!$B$3="実績報告（２次）",BT$26&gt;=1),BT66)))))))))),0)</f>
        <v>0</v>
      </c>
      <c r="BU36" s="1997">
        <f>IFERROR(
IF(テーブル!$B$3="交付申請",BU66,
IF(AND(テーブル!$B$3="変更申請",BU$26=0),0,
IF(AND(テーブル!$B$3="変更申請",BU$26&gt;=1),BU66,
IF(テーブル!$B$3="実績報告（１次）",BU66,
IF(AND(テーブル!$B$3="交付申請（２次）",BU$26=0),0,
IF(AND(テーブル!$B$3="交付申請（２次）",BU$26&gt;=1),BU66,
IF(AND(テーブル!$B$3="交付申請兼実績報告（２次）",BU$26=0),0,
IF(AND(テーブル!$B$3="交付申請兼実績報告（２次）",BU$26&gt;=1),BU66,
IF(AND(テーブル!$B$3="実績報告（２次）",BU$26=0),0,
IF(AND(テーブル!$B$3="実績報告（２次）",BU$26&gt;=1),BU66)))))))))),0)</f>
        <v>0</v>
      </c>
      <c r="BV36" s="1997">
        <f>IFERROR(
IF(テーブル!$B$3="交付申請",BV66,
IF(AND(テーブル!$B$3="変更申請",BV$26=0),0,
IF(AND(テーブル!$B$3="変更申請",BV$26&gt;=1),BV66,
IF(テーブル!$B$3="実績報告（１次）",BV66,
IF(AND(テーブル!$B$3="交付申請（２次）",BV$26=0),0,
IF(AND(テーブル!$B$3="交付申請（２次）",BV$26&gt;=1),BV66,
IF(AND(テーブル!$B$3="交付申請兼実績報告（２次）",BV$26=0),0,
IF(AND(テーブル!$B$3="交付申請兼実績報告（２次）",BV$26&gt;=1),BV66,
IF(AND(テーブル!$B$3="実績報告（２次）",BV$26=0),0,
IF(AND(テーブル!$B$3="実績報告（２次）",BV$26&gt;=1),BV66)))))))))),0)</f>
        <v>0</v>
      </c>
      <c r="BW36" s="1997">
        <f>IFERROR(
IF(テーブル!$B$3="交付申請",BW66,
IF(AND(テーブル!$B$3="変更申請",BW$26=0),0,
IF(AND(テーブル!$B$3="変更申請",BW$26&gt;=1),BW66,
IF(テーブル!$B$3="実績報告（１次）",BW66,
IF(AND(テーブル!$B$3="交付申請（２次）",BW$26=0),0,
IF(AND(テーブル!$B$3="交付申請（２次）",BW$26&gt;=1),BW66,
IF(AND(テーブル!$B$3="交付申請兼実績報告（２次）",BW$26=0),0,
IF(AND(テーブル!$B$3="交付申請兼実績報告（２次）",BW$26&gt;=1),BW66,
IF(AND(テーブル!$B$3="実績報告（２次）",BW$26=0),0,
IF(AND(テーブル!$B$3="実績報告（２次）",BW$26&gt;=1),BW66)))))))))),0)</f>
        <v>0</v>
      </c>
      <c r="BX36" s="1997">
        <f>IFERROR(
IF(テーブル!$B$3="交付申請",BX66,
IF(AND(テーブル!$B$3="変更申請",BX$26=0),0,
IF(AND(テーブル!$B$3="変更申請",BX$26&gt;=1),BX66,
IF(テーブル!$B$3="実績報告（１次）",BX66,
IF(AND(テーブル!$B$3="交付申請（２次）",BX$26=0),0,
IF(AND(テーブル!$B$3="交付申請（２次）",BX$26&gt;=1),BX66,
IF(AND(テーブル!$B$3="交付申請兼実績報告（２次）",BX$26=0),0,
IF(AND(テーブル!$B$3="交付申請兼実績報告（２次）",BX$26&gt;=1),BX66,
IF(AND(テーブル!$B$3="実績報告（２次）",BX$26=0),0,
IF(AND(テーブル!$B$3="実績報告（２次）",BX$26&gt;=1),BX66)))))))))),0)</f>
        <v>0</v>
      </c>
      <c r="BY36" s="1997">
        <f>IFERROR(
IF(テーブル!$B$3="交付申請",BY66,
IF(AND(テーブル!$B$3="変更申請",BY$26=0),0,
IF(AND(テーブル!$B$3="変更申請",BY$26&gt;=1),BY66,
IF(テーブル!$B$3="実績報告（１次）",BY66,
IF(AND(テーブル!$B$3="交付申請（２次）",BY$26=0),0,
IF(AND(テーブル!$B$3="交付申請（２次）",BY$26&gt;=1),BY66,
IF(AND(テーブル!$B$3="交付申請兼実績報告（２次）",BY$26=0),0,
IF(AND(テーブル!$B$3="交付申請兼実績報告（２次）",BY$26&gt;=1),BY66,
IF(AND(テーブル!$B$3="実績報告（２次）",BY$26=0),0,
IF(AND(テーブル!$B$3="実績報告（２次）",BY$26&gt;=1),BY66)))))))))),0)</f>
        <v>0</v>
      </c>
      <c r="BZ36" s="1997">
        <f>IFERROR(
IF(テーブル!$B$3="交付申請",BZ66,
IF(AND(テーブル!$B$3="変更申請",BZ$26=0),0,
IF(AND(テーブル!$B$3="変更申請",BZ$26&gt;=1),BZ66,
IF(テーブル!$B$3="実績報告（１次）",BZ66,
IF(AND(テーブル!$B$3="交付申請（２次）",BZ$26=0),0,
IF(AND(テーブル!$B$3="交付申請（２次）",BZ$26&gt;=1),BZ66,
IF(AND(テーブル!$B$3="交付申請兼実績報告（２次）",BZ$26=0),0,
IF(AND(テーブル!$B$3="交付申請兼実績報告（２次）",BZ$26&gt;=1),BZ66,
IF(AND(テーブル!$B$3="実績報告（２次）",BZ$26=0),0,
IF(AND(テーブル!$B$3="実績報告（２次）",BZ$26&gt;=1),BZ66)))))))))),0)</f>
        <v>0</v>
      </c>
      <c r="CA36" s="1997">
        <f>IFERROR(
IF(テーブル!$B$3="交付申請",CA66,
IF(AND(テーブル!$B$3="変更申請",CA$26=0),0,
IF(AND(テーブル!$B$3="変更申請",CA$26&gt;=1),CA66,
IF(テーブル!$B$3="実績報告（１次）",CA66,
IF(AND(テーブル!$B$3="交付申請（２次）",CA$26=0),0,
IF(AND(テーブル!$B$3="交付申請（２次）",CA$26&gt;=1),CA66,
IF(AND(テーブル!$B$3="交付申請兼実績報告（２次）",CA$26=0),0,
IF(AND(テーブル!$B$3="交付申請兼実績報告（２次）",CA$26&gt;=1),CA66,
IF(AND(テーブル!$B$3="実績報告（２次）",CA$26=0),0,
IF(AND(テーブル!$B$3="実績報告（２次）",CA$26&gt;=1),CA66)))))))))),0)</f>
        <v>0</v>
      </c>
      <c r="CB36" s="1997">
        <f>IFERROR(
IF(テーブル!$B$3="交付申請",CB66,
IF(AND(テーブル!$B$3="変更申請",CB$26=0),0,
IF(AND(テーブル!$B$3="変更申請",CB$26&gt;=1),CB66,
IF(テーブル!$B$3="実績報告（１次）",CB66,
IF(AND(テーブル!$B$3="交付申請（２次）",CB$26=0),0,
IF(AND(テーブル!$B$3="交付申請（２次）",CB$26&gt;=1),CB66,
IF(AND(テーブル!$B$3="交付申請兼実績報告（２次）",CB$26=0),0,
IF(AND(テーブル!$B$3="交付申請兼実績報告（２次）",CB$26&gt;=1),CB66,
IF(AND(テーブル!$B$3="実績報告（２次）",CB$26=0),0,
IF(AND(テーブル!$B$3="実績報告（２次）",CB$26&gt;=1),CB66)))))))))),0)</f>
        <v>0</v>
      </c>
      <c r="CC36" s="1997">
        <f>IFERROR(
IF(テーブル!$B$3="交付申請",CC66,
IF(AND(テーブル!$B$3="変更申請",CC$26=0),0,
IF(AND(テーブル!$B$3="変更申請",CC$26&gt;=1),CC66,
IF(テーブル!$B$3="実績報告（１次）",CC66,
IF(AND(テーブル!$B$3="交付申請（２次）",CC$26=0),0,
IF(AND(テーブル!$B$3="交付申請（２次）",CC$26&gt;=1),CC66,
IF(AND(テーブル!$B$3="交付申請兼実績報告（２次）",CC$26=0),0,
IF(AND(テーブル!$B$3="交付申請兼実績報告（２次）",CC$26&gt;=1),CC66,
IF(AND(テーブル!$B$3="実績報告（２次）",CC$26=0),0,
IF(AND(テーブル!$B$3="実績報告（２次）",CC$26&gt;=1),CC66)))))))))),0)</f>
        <v>0</v>
      </c>
      <c r="CD36" s="1997">
        <f>IFERROR(
IF(テーブル!$B$3="交付申請",CD66,
IF(AND(テーブル!$B$3="変更申請",CD$26=0),0,
IF(AND(テーブル!$B$3="変更申請",CD$26&gt;=1),CD66,
IF(テーブル!$B$3="実績報告（１次）",CD66,
IF(AND(テーブル!$B$3="交付申請（２次）",CD$26=0),0,
IF(AND(テーブル!$B$3="交付申請（２次）",CD$26&gt;=1),CD66,
IF(AND(テーブル!$B$3="交付申請兼実績報告（２次）",CD$26=0),0,
IF(AND(テーブル!$B$3="交付申請兼実績報告（２次）",CD$26&gt;=1),CD66,
IF(AND(テーブル!$B$3="実績報告（２次）",CD$26=0),0,
IF(AND(テーブル!$B$3="実績報告（２次）",CD$26&gt;=1),CD66)))))))))),0)</f>
        <v>0</v>
      </c>
      <c r="CE36" s="1997">
        <f>IFERROR(
IF(テーブル!$B$3="交付申請",CE66,
IF(AND(テーブル!$B$3="変更申請",CE$26=0),0,
IF(AND(テーブル!$B$3="変更申請",CE$26&gt;=1),CE66,
IF(テーブル!$B$3="実績報告（１次）",CE66,
IF(AND(テーブル!$B$3="交付申請（２次）",CE$26=0),0,
IF(AND(テーブル!$B$3="交付申請（２次）",CE$26&gt;=1),CE66,
IF(AND(テーブル!$B$3="交付申請兼実績報告（２次）",CE$26=0),0,
IF(AND(テーブル!$B$3="交付申請兼実績報告（２次）",CE$26&gt;=1),CE66,
IF(AND(テーブル!$B$3="実績報告（２次）",CE$26=0),0,
IF(AND(テーブル!$B$3="実績報告（２次）",CE$26&gt;=1),CE66)))))))))),0)</f>
        <v>0</v>
      </c>
      <c r="CF36" s="1997">
        <f>IFERROR(
IF(テーブル!$B$3="交付申請",CF66,
IF(AND(テーブル!$B$3="変更申請",CF$26=0),0,
IF(AND(テーブル!$B$3="変更申請",CF$26&gt;=1),CF66,
IF(テーブル!$B$3="実績報告（１次）",CF66,
IF(AND(テーブル!$B$3="交付申請（２次）",CF$26=0),0,
IF(AND(テーブル!$B$3="交付申請（２次）",CF$26&gt;=1),CF66,
IF(AND(テーブル!$B$3="交付申請兼実績報告（２次）",CF$26=0),0,
IF(AND(テーブル!$B$3="交付申請兼実績報告（２次）",CF$26&gt;=1),CF66,
IF(AND(テーブル!$B$3="実績報告（２次）",CF$26=0),0,
IF(AND(テーブル!$B$3="実績報告（２次）",CF$26&gt;=1),CF66)))))))))),0)</f>
        <v>0</v>
      </c>
      <c r="CG36" s="1997">
        <f>IFERROR(
IF(テーブル!$B$3="交付申請",CG66,
IF(AND(テーブル!$B$3="変更申請",CG$26=0),0,
IF(AND(テーブル!$B$3="変更申請",CG$26&gt;=1),CG66,
IF(テーブル!$B$3="実績報告（１次）",CG66,
IF(AND(テーブル!$B$3="交付申請（２次）",CG$26=0),0,
IF(AND(テーブル!$B$3="交付申請（２次）",CG$26&gt;=1),CG66,
IF(AND(テーブル!$B$3="交付申請兼実績報告（２次）",CG$26=0),0,
IF(AND(テーブル!$B$3="交付申請兼実績報告（２次）",CG$26&gt;=1),CG66,
IF(AND(テーブル!$B$3="実績報告（２次）",CG$26=0),0,
IF(AND(テーブル!$B$3="実績報告（２次）",CG$26&gt;=1),CG66)))))))))),0)</f>
        <v>0</v>
      </c>
      <c r="CH36" s="1997">
        <f>IFERROR(
IF(テーブル!$B$3="交付申請",CH66,
IF(AND(テーブル!$B$3="変更申請",CH$26=0),0,
IF(AND(テーブル!$B$3="変更申請",CH$26&gt;=1),CH66,
IF(テーブル!$B$3="実績報告（１次）",CH66,
IF(AND(テーブル!$B$3="交付申請（２次）",CH$26=0),0,
IF(AND(テーブル!$B$3="交付申請（２次）",CH$26&gt;=1),CH66,
IF(AND(テーブル!$B$3="交付申請兼実績報告（２次）",CH$26=0),0,
IF(AND(テーブル!$B$3="交付申請兼実績報告（２次）",CH$26&gt;=1),CH66,
IF(AND(テーブル!$B$3="実績報告（２次）",CH$26=0),0,
IF(AND(テーブル!$B$3="実績報告（２次）",CH$26&gt;=1),CH66)))))))))),0)</f>
        <v>0</v>
      </c>
      <c r="CI36" s="1997">
        <f>IFERROR(
IF(テーブル!$B$3="交付申請",CI66,
IF(AND(テーブル!$B$3="変更申請",CI$26=0),0,
IF(AND(テーブル!$B$3="変更申請",CI$26&gt;=1),CI66,
IF(テーブル!$B$3="実績報告（１次）",CI66,
IF(AND(テーブル!$B$3="交付申請（２次）",CI$26=0),0,
IF(AND(テーブル!$B$3="交付申請（２次）",CI$26&gt;=1),CI66,
IF(AND(テーブル!$B$3="交付申請兼実績報告（２次）",CI$26=0),0,
IF(AND(テーブル!$B$3="交付申請兼実績報告（２次）",CI$26&gt;=1),CI66,
IF(AND(テーブル!$B$3="実績報告（２次）",CI$26=0),0,
IF(AND(テーブル!$B$3="実績報告（２次）",CI$26&gt;=1),CI66)))))))))),0)</f>
        <v>0</v>
      </c>
      <c r="CJ36" s="1997">
        <f>IFERROR(
IF(テーブル!$B$3="交付申請",CJ66,
IF(AND(テーブル!$B$3="変更申請",CJ$26=0),0,
IF(AND(テーブル!$B$3="変更申請",CJ$26&gt;=1),CJ66,
IF(テーブル!$B$3="実績報告（１次）",CJ66,
IF(AND(テーブル!$B$3="交付申請（２次）",CJ$26=0),0,
IF(AND(テーブル!$B$3="交付申請（２次）",CJ$26&gt;=1),CJ66,
IF(AND(テーブル!$B$3="交付申請兼実績報告（２次）",CJ$26=0),0,
IF(AND(テーブル!$B$3="交付申請兼実績報告（２次）",CJ$26&gt;=1),CJ66,
IF(AND(テーブル!$B$3="実績報告（２次）",CJ$26=0),0,
IF(AND(テーブル!$B$3="実績報告（２次）",CJ$26&gt;=1),CJ66)))))))))),0)</f>
        <v>0</v>
      </c>
      <c r="CK36" s="1997">
        <f>IFERROR(
IF(テーブル!$B$3="交付申請",CK66,
IF(AND(テーブル!$B$3="変更申請",CK$26=0),0,
IF(AND(テーブル!$B$3="変更申請",CK$26&gt;=1),CK66,
IF(テーブル!$B$3="実績報告（１次）",CK66,
IF(AND(テーブル!$B$3="交付申請（２次）",CK$26=0),0,
IF(AND(テーブル!$B$3="交付申請（２次）",CK$26&gt;=1),CK66,
IF(AND(テーブル!$B$3="交付申請兼実績報告（２次）",CK$26=0),0,
IF(AND(テーブル!$B$3="交付申請兼実績報告（２次）",CK$26&gt;=1),CK66,
IF(AND(テーブル!$B$3="実績報告（２次）",CK$26=0),0,
IF(AND(テーブル!$B$3="実績報告（２次）",CK$26&gt;=1),CK66)))))))))),0)</f>
        <v>0</v>
      </c>
      <c r="CL36" s="1997">
        <f>IFERROR(
IF(テーブル!$B$3="交付申請",CL66,
IF(AND(テーブル!$B$3="変更申請",CL$26=0),0,
IF(AND(テーブル!$B$3="変更申請",CL$26&gt;=1),CL66,
IF(テーブル!$B$3="実績報告（１次）",CL66,
IF(AND(テーブル!$B$3="交付申請（２次）",CL$26=0),0,
IF(AND(テーブル!$B$3="交付申請（２次）",CL$26&gt;=1),CL66,
IF(AND(テーブル!$B$3="交付申請兼実績報告（２次）",CL$26=0),0,
IF(AND(テーブル!$B$3="交付申請兼実績報告（２次）",CL$26&gt;=1),CL66,
IF(AND(テーブル!$B$3="実績報告（２次）",CL$26=0),0,
IF(AND(テーブル!$B$3="実績報告（２次）",CL$26&gt;=1),CL66)))))))))),0)</f>
        <v>0</v>
      </c>
      <c r="CM36" s="1997">
        <f>IFERROR(
IF(テーブル!$B$3="交付申請",CM66,
IF(AND(テーブル!$B$3="変更申請",CM$26=0),0,
IF(AND(テーブル!$B$3="変更申請",CM$26&gt;=1),CM66,
IF(テーブル!$B$3="実績報告（１次）",CM66,
IF(AND(テーブル!$B$3="交付申請（２次）",CM$26=0),0,
IF(AND(テーブル!$B$3="交付申請（２次）",CM$26&gt;=1),CM66,
IF(AND(テーブル!$B$3="交付申請兼実績報告（２次）",CM$26=0),0,
IF(AND(テーブル!$B$3="交付申請兼実績報告（２次）",CM$26&gt;=1),CM66,
IF(AND(テーブル!$B$3="実績報告（２次）",CM$26=0),0,
IF(AND(テーブル!$B$3="実績報告（２次）",CM$26&gt;=1),CM66)))))))))),0)</f>
        <v>0</v>
      </c>
      <c r="CN36" s="1997">
        <f>IFERROR(
IF(テーブル!$B$3="交付申請",CN66,
IF(AND(テーブル!$B$3="変更申請",CN$26=0),0,
IF(AND(テーブル!$B$3="変更申請",CN$26&gt;=1),CN66,
IF(テーブル!$B$3="実績報告（１次）",CN66,
IF(AND(テーブル!$B$3="交付申請（２次）",CN$26=0),0,
IF(AND(テーブル!$B$3="交付申請（２次）",CN$26&gt;=1),CN66,
IF(AND(テーブル!$B$3="交付申請兼実績報告（２次）",CN$26=0),0,
IF(AND(テーブル!$B$3="交付申請兼実績報告（２次）",CN$26&gt;=1),CN66,
IF(AND(テーブル!$B$3="実績報告（２次）",CN$26=0),0,
IF(AND(テーブル!$B$3="実績報告（２次）",CN$26&gt;=1),CN66)))))))))),0)</f>
        <v>0</v>
      </c>
      <c r="CO36" s="1997">
        <f>IFERROR(
IF(テーブル!$B$3="交付申請",CO66,
IF(AND(テーブル!$B$3="変更申請",CO$26=0),0,
IF(AND(テーブル!$B$3="変更申請",CO$26&gt;=1),CO66,
IF(テーブル!$B$3="実績報告（１次）",CO66,
IF(AND(テーブル!$B$3="交付申請（２次）",CO$26=0),0,
IF(AND(テーブル!$B$3="交付申請（２次）",CO$26&gt;=1),CO66,
IF(AND(テーブル!$B$3="交付申請兼実績報告（２次）",CO$26=0),0,
IF(AND(テーブル!$B$3="交付申請兼実績報告（２次）",CO$26&gt;=1),CO66,
IF(AND(テーブル!$B$3="実績報告（２次）",CO$26=0),0,
IF(AND(テーブル!$B$3="実績報告（２次）",CO$26&gt;=1),CO66)))))))))),0)</f>
        <v>0</v>
      </c>
      <c r="CP36" s="1997">
        <f>IFERROR(
IF(テーブル!$B$3="交付申請",CP66,
IF(AND(テーブル!$B$3="変更申請",CP$26=0),0,
IF(AND(テーブル!$B$3="変更申請",CP$26&gt;=1),CP66,
IF(テーブル!$B$3="実績報告（１次）",CP66,
IF(AND(テーブル!$B$3="交付申請（２次）",CP$26=0),0,
IF(AND(テーブル!$B$3="交付申請（２次）",CP$26&gt;=1),CP66,
IF(AND(テーブル!$B$3="交付申請兼実績報告（２次）",CP$26=0),0,
IF(AND(テーブル!$B$3="交付申請兼実績報告（２次）",CP$26&gt;=1),CP66,
IF(AND(テーブル!$B$3="実績報告（２次）",CP$26=0),0,
IF(AND(テーブル!$B$3="実績報告（２次）",CP$26&gt;=1),CP66)))))))))),0)</f>
        <v>0</v>
      </c>
      <c r="CQ36" s="1997">
        <f>IFERROR(
IF(テーブル!$B$3="交付申請",CQ66,
IF(AND(テーブル!$B$3="変更申請",CQ$26=0),0,
IF(AND(テーブル!$B$3="変更申請",CQ$26&gt;=1),CQ66,
IF(テーブル!$B$3="実績報告（１次）",CQ66,
IF(AND(テーブル!$B$3="交付申請（２次）",CQ$26=0),0,
IF(AND(テーブル!$B$3="交付申請（２次）",CQ$26&gt;=1),CQ66,
IF(AND(テーブル!$B$3="交付申請兼実績報告（２次）",CQ$26=0),0,
IF(AND(テーブル!$B$3="交付申請兼実績報告（２次）",CQ$26&gt;=1),CQ66,
IF(AND(テーブル!$B$3="実績報告（２次）",CQ$26=0),0,
IF(AND(テーブル!$B$3="実績報告（２次）",CQ$26&gt;=1),CQ66)))))))))),0)</f>
        <v>0</v>
      </c>
      <c r="CR36" s="1997">
        <f>IFERROR(
IF(テーブル!$B$3="交付申請",CR66,
IF(AND(テーブル!$B$3="変更申請",CR$26=0),0,
IF(AND(テーブル!$B$3="変更申請",CR$26&gt;=1),CR66,
IF(テーブル!$B$3="実績報告（１次）",CR66,
IF(AND(テーブル!$B$3="交付申請（２次）",CR$26=0),0,
IF(AND(テーブル!$B$3="交付申請（２次）",CR$26&gt;=1),CR66,
IF(AND(テーブル!$B$3="交付申請兼実績報告（２次）",CR$26=0),0,
IF(AND(テーブル!$B$3="交付申請兼実績報告（２次）",CR$26&gt;=1),CR66,
IF(AND(テーブル!$B$3="実績報告（２次）",CR$26=0),0,
IF(AND(テーブル!$B$3="実績報告（２次）",CR$26&gt;=1),CR66)))))))))),0)</f>
        <v>0</v>
      </c>
      <c r="CS36" s="1997">
        <f>IFERROR(
IF(テーブル!$B$3="交付申請",CS66,
IF(AND(テーブル!$B$3="変更申請",CS$26=0),0,
IF(AND(テーブル!$B$3="変更申請",CS$26&gt;=1),CS66,
IF(テーブル!$B$3="実績報告（１次）",CS66,
IF(AND(テーブル!$B$3="交付申請（２次）",CS$26=0),0,
IF(AND(テーブル!$B$3="交付申請（２次）",CS$26&gt;=1),CS66,
IF(AND(テーブル!$B$3="交付申請兼実績報告（２次）",CS$26=0),0,
IF(AND(テーブル!$B$3="交付申請兼実績報告（２次）",CS$26&gt;=1),CS66,
IF(AND(テーブル!$B$3="実績報告（２次）",CS$26=0),0,
IF(AND(テーブル!$B$3="実績報告（２次）",CS$26&gt;=1),CS66)))))))))),0)</f>
        <v>0</v>
      </c>
      <c r="CT36" s="1997">
        <f>IFERROR(
IF(テーブル!$B$3="交付申請",CT66,
IF(AND(テーブル!$B$3="変更申請",CT$26=0),0,
IF(AND(テーブル!$B$3="変更申請",CT$26&gt;=1),CT66,
IF(テーブル!$B$3="実績報告（１次）",CT66,
IF(AND(テーブル!$B$3="交付申請（２次）",CT$26=0),0,
IF(AND(テーブル!$B$3="交付申請（２次）",CT$26&gt;=1),CT66,
IF(AND(テーブル!$B$3="交付申請兼実績報告（２次）",CT$26=0),0,
IF(AND(テーブル!$B$3="交付申請兼実績報告（２次）",CT$26&gt;=1),CT66,
IF(AND(テーブル!$B$3="実績報告（２次）",CT$26=0),0,
IF(AND(テーブル!$B$3="実績報告（２次）",CT$26&gt;=1),CT66)))))))))),0)</f>
        <v>0</v>
      </c>
      <c r="CU36" s="1997">
        <f>IFERROR(
IF(テーブル!$B$3="交付申請",CU66,
IF(AND(テーブル!$B$3="変更申請",CU$26=0),0,
IF(AND(テーブル!$B$3="変更申請",CU$26&gt;=1),CU66,
IF(テーブル!$B$3="実績報告（１次）",CU66,
IF(AND(テーブル!$B$3="交付申請（２次）",CU$26=0),0,
IF(AND(テーブル!$B$3="交付申請（２次）",CU$26&gt;=1),CU66,
IF(AND(テーブル!$B$3="交付申請兼実績報告（２次）",CU$26=0),0,
IF(AND(テーブル!$B$3="交付申請兼実績報告（２次）",CU$26&gt;=1),CU66,
IF(AND(テーブル!$B$3="実績報告（２次）",CU$26=0),0,
IF(AND(テーブル!$B$3="実績報告（２次）",CU$26&gt;=1),CU66)))))))))),0)</f>
        <v>0</v>
      </c>
      <c r="CV36" s="1997">
        <f>IFERROR(
IF(テーブル!$B$3="交付申請",CV66,
IF(AND(テーブル!$B$3="変更申請",CV$26=0),0,
IF(AND(テーブル!$B$3="変更申請",CV$26&gt;=1),CV66,
IF(テーブル!$B$3="実績報告（１次）",CV66,
IF(AND(テーブル!$B$3="交付申請（２次）",CV$26=0),0,
IF(AND(テーブル!$B$3="交付申請（２次）",CV$26&gt;=1),CV66,
IF(AND(テーブル!$B$3="交付申請兼実績報告（２次）",CV$26=0),0,
IF(AND(テーブル!$B$3="交付申請兼実績報告（２次）",CV$26&gt;=1),CV66,
IF(AND(テーブル!$B$3="実績報告（２次）",CV$26=0),0,
IF(AND(テーブル!$B$3="実績報告（２次）",CV$26&gt;=1),CV66)))))))))),0)</f>
        <v>0</v>
      </c>
      <c r="CW36" s="1997">
        <f>IFERROR(
IF(テーブル!$B$3="交付申請",CW66,
IF(AND(テーブル!$B$3="変更申請",CW$26=0),0,
IF(AND(テーブル!$B$3="変更申請",CW$26&gt;=1),CW66,
IF(テーブル!$B$3="実績報告（１次）",CW66,
IF(AND(テーブル!$B$3="交付申請（２次）",CW$26=0),0,
IF(AND(テーブル!$B$3="交付申請（２次）",CW$26&gt;=1),CW66,
IF(AND(テーブル!$B$3="交付申請兼実績報告（２次）",CW$26=0),0,
IF(AND(テーブル!$B$3="交付申請兼実績報告（２次）",CW$26&gt;=1),CW66,
IF(AND(テーブル!$B$3="実績報告（２次）",CW$26=0),0,
IF(AND(テーブル!$B$3="実績報告（２次）",CW$26&gt;=1),CW66)))))))))),0)</f>
        <v>0</v>
      </c>
      <c r="CX36" s="1997">
        <f>IFERROR(
IF(テーブル!$B$3="交付申請",CX66,
IF(AND(テーブル!$B$3="変更申請",CX$26=0),0,
IF(AND(テーブル!$B$3="変更申請",CX$26&gt;=1),CX66,
IF(テーブル!$B$3="実績報告（１次）",CX66,
IF(AND(テーブル!$B$3="交付申請（２次）",CX$26=0),0,
IF(AND(テーブル!$B$3="交付申請（２次）",CX$26&gt;=1),CX66,
IF(AND(テーブル!$B$3="交付申請兼実績報告（２次）",CX$26=0),0,
IF(AND(テーブル!$B$3="交付申請兼実績報告（２次）",CX$26&gt;=1),CX66,
IF(AND(テーブル!$B$3="実績報告（２次）",CX$26=0),0,
IF(AND(テーブル!$B$3="実績報告（２次）",CX$26&gt;=1),CX66)))))))))),0)</f>
        <v>0</v>
      </c>
      <c r="CY36" s="1997">
        <f>IFERROR(
IF(テーブル!$B$3="交付申請",CY66,
IF(AND(テーブル!$B$3="変更申請",CY$26=0),0,
IF(AND(テーブル!$B$3="変更申請",CY$26&gt;=1),CY66,
IF(テーブル!$B$3="実績報告（１次）",CY66,
IF(AND(テーブル!$B$3="交付申請（２次）",CY$26=0),0,
IF(AND(テーブル!$B$3="交付申請（２次）",CY$26&gt;=1),CY66,
IF(AND(テーブル!$B$3="交付申請兼実績報告（２次）",CY$26=0),0,
IF(AND(テーブル!$B$3="交付申請兼実績報告（２次）",CY$26&gt;=1),CY66,
IF(AND(テーブル!$B$3="実績報告（２次）",CY$26=0),0,
IF(AND(テーブル!$B$3="実績報告（２次）",CY$26&gt;=1),CY66)))))))))),0)</f>
        <v>0</v>
      </c>
      <c r="CZ36" s="1997">
        <f>IFERROR(
IF(テーブル!$B$3="交付申請",CZ66,
IF(AND(テーブル!$B$3="変更申請",CZ$26=0),0,
IF(AND(テーブル!$B$3="変更申請",CZ$26&gt;=1),CZ66,
IF(テーブル!$B$3="実績報告（１次）",CZ66,
IF(AND(テーブル!$B$3="交付申請（２次）",CZ$26=0),0,
IF(AND(テーブル!$B$3="交付申請（２次）",CZ$26&gt;=1),CZ66,
IF(AND(テーブル!$B$3="交付申請兼実績報告（２次）",CZ$26=0),0,
IF(AND(テーブル!$B$3="交付申請兼実績報告（２次）",CZ$26&gt;=1),CZ66,
IF(AND(テーブル!$B$3="実績報告（２次）",CZ$26=0),0,
IF(AND(テーブル!$B$3="実績報告（２次）",CZ$26&gt;=1),CZ66)))))))))),0)</f>
        <v>0</v>
      </c>
      <c r="DA36" s="1997">
        <f>IFERROR(
IF(テーブル!$B$3="交付申請",DA66,
IF(AND(テーブル!$B$3="変更申請",DA$26=0),0,
IF(AND(テーブル!$B$3="変更申請",DA$26&gt;=1),DA66,
IF(テーブル!$B$3="実績報告（１次）",DA66,
IF(AND(テーブル!$B$3="交付申請（２次）",DA$26=0),0,
IF(AND(テーブル!$B$3="交付申請（２次）",DA$26&gt;=1),DA66,
IF(AND(テーブル!$B$3="交付申請兼実績報告（２次）",DA$26=0),0,
IF(AND(テーブル!$B$3="交付申請兼実績報告（２次）",DA$26&gt;=1),DA66,
IF(AND(テーブル!$B$3="実績報告（２次）",DA$26=0),0,
IF(AND(テーブル!$B$3="実績報告（２次）",DA$26&gt;=1),DA66)))))))))),0)</f>
        <v>0</v>
      </c>
      <c r="DB36" s="1997">
        <f>IFERROR(
IF(テーブル!$B$3="交付申請",DB66,
IF(AND(テーブル!$B$3="変更申請",DB$26=0),0,
IF(AND(テーブル!$B$3="変更申請",DB$26&gt;=1),DB66,
IF(テーブル!$B$3="実績報告（１次）",DB66,
IF(AND(テーブル!$B$3="交付申請（２次）",DB$26=0),0,
IF(AND(テーブル!$B$3="交付申請（２次）",DB$26&gt;=1),DB66,
IF(AND(テーブル!$B$3="交付申請兼実績報告（２次）",DB$26=0),0,
IF(AND(テーブル!$B$3="交付申請兼実績報告（２次）",DB$26&gt;=1),DB66,
IF(AND(テーブル!$B$3="実績報告（２次）",DB$26=0),0,
IF(AND(テーブル!$B$3="実績報告（２次）",DB$26&gt;=1),DB66)))))))))),0)</f>
        <v>0</v>
      </c>
      <c r="DC36" s="1997">
        <f>IFERROR(
IF(テーブル!$B$3="交付申請",DC66,
IF(AND(テーブル!$B$3="変更申請",DC$26=0),0,
IF(AND(テーブル!$B$3="変更申請",DC$26&gt;=1),DC66,
IF(テーブル!$B$3="実績報告（１次）",DC66,
IF(AND(テーブル!$B$3="交付申請（２次）",DC$26=0),0,
IF(AND(テーブル!$B$3="交付申請（２次）",DC$26&gt;=1),DC66,
IF(AND(テーブル!$B$3="交付申請兼実績報告（２次）",DC$26=0),0,
IF(AND(テーブル!$B$3="交付申請兼実績報告（２次）",DC$26&gt;=1),DC66,
IF(AND(テーブル!$B$3="実績報告（２次）",DC$26=0),0,
IF(AND(テーブル!$B$3="実績報告（２次）",DC$26&gt;=1),DC66)))))))))),0)</f>
        <v>0</v>
      </c>
      <c r="DD36" s="1997">
        <f>IFERROR(
IF(テーブル!$B$3="交付申請",DD66,
IF(AND(テーブル!$B$3="変更申請",DD$26=0),0,
IF(AND(テーブル!$B$3="変更申請",DD$26&gt;=1),DD66,
IF(テーブル!$B$3="実績報告（１次）",DD66,
IF(AND(テーブル!$B$3="交付申請（２次）",DD$26=0),0,
IF(AND(テーブル!$B$3="交付申請（２次）",DD$26&gt;=1),DD66,
IF(AND(テーブル!$B$3="交付申請兼実績報告（２次）",DD$26=0),0,
IF(AND(テーブル!$B$3="交付申請兼実績報告（２次）",DD$26&gt;=1),DD66,
IF(AND(テーブル!$B$3="実績報告（２次）",DD$26=0),0,
IF(AND(テーブル!$B$3="実績報告（２次）",DD$26&gt;=1),DD66)))))))))),0)</f>
        <v>0</v>
      </c>
      <c r="DE36" s="1997">
        <f>IFERROR(
IF(テーブル!$B$3="交付申請",DE66,
IF(AND(テーブル!$B$3="変更申請",DE$26=0),0,
IF(AND(テーブル!$B$3="変更申請",DE$26&gt;=1),DE66,
IF(テーブル!$B$3="実績報告（１次）",DE66,
IF(AND(テーブル!$B$3="交付申請（２次）",DE$26=0),0,
IF(AND(テーブル!$B$3="交付申請（２次）",DE$26&gt;=1),DE66,
IF(AND(テーブル!$B$3="交付申請兼実績報告（２次）",DE$26=0),0,
IF(AND(テーブル!$B$3="交付申請兼実績報告（２次）",DE$26&gt;=1),DE66,
IF(AND(テーブル!$B$3="実績報告（２次）",DE$26=0),0,
IF(AND(テーブル!$B$3="実績報告（２次）",DE$26&gt;=1),DE66)))))))))),0)</f>
        <v>0</v>
      </c>
      <c r="DF36" s="1997">
        <f>IFERROR(
IF(テーブル!$B$3="交付申請",DF66,
IF(AND(テーブル!$B$3="変更申請",DF$26=0),0,
IF(AND(テーブル!$B$3="変更申請",DF$26&gt;=1),DF66,
IF(テーブル!$B$3="実績報告（１次）",DF66,
IF(AND(テーブル!$B$3="交付申請（２次）",DF$26=0),0,
IF(AND(テーブル!$B$3="交付申請（２次）",DF$26&gt;=1),DF66,
IF(AND(テーブル!$B$3="交付申請兼実績報告（２次）",DF$26=0),0,
IF(AND(テーブル!$B$3="交付申請兼実績報告（２次）",DF$26&gt;=1),DF66,
IF(AND(テーブル!$B$3="実績報告（２次）",DF$26=0),0,
IF(AND(テーブル!$B$3="実績報告（２次）",DF$26&gt;=1),DF66)))))))))),0)</f>
        <v>0</v>
      </c>
      <c r="DG36" s="1997">
        <f>IFERROR(
IF(テーブル!$B$3="交付申請",DG66,
IF(AND(テーブル!$B$3="変更申請",DG$26=0),0,
IF(AND(テーブル!$B$3="変更申請",DG$26&gt;=1),DG66,
IF(テーブル!$B$3="実績報告（１次）",DG66,
IF(AND(テーブル!$B$3="交付申請（２次）",DG$26=0),0,
IF(AND(テーブル!$B$3="交付申請（２次）",DG$26&gt;=1),DG66,
IF(AND(テーブル!$B$3="交付申請兼実績報告（２次）",DG$26=0),0,
IF(AND(テーブル!$B$3="交付申請兼実績報告（２次）",DG$26&gt;=1),DG66,
IF(AND(テーブル!$B$3="実績報告（２次）",DG$26=0),0,
IF(AND(テーブル!$B$3="実績報告（２次）",DG$26&gt;=1),DG66)))))))))),0)</f>
        <v>0</v>
      </c>
      <c r="DH36" s="1997">
        <f>IFERROR(
IF(テーブル!$B$3="交付申請",DH66,
IF(AND(テーブル!$B$3="変更申請",DH$26=0),0,
IF(AND(テーブル!$B$3="変更申請",DH$26&gt;=1),DH66,
IF(テーブル!$B$3="実績報告（１次）",DH66,
IF(AND(テーブル!$B$3="交付申請（２次）",DH$26=0),0,
IF(AND(テーブル!$B$3="交付申請（２次）",DH$26&gt;=1),DH66,
IF(AND(テーブル!$B$3="交付申請兼実績報告（２次）",DH$26=0),0,
IF(AND(テーブル!$B$3="交付申請兼実績報告（２次）",DH$26&gt;=1),DH66,
IF(AND(テーブル!$B$3="実績報告（２次）",DH$26=0),0,
IF(AND(テーブル!$B$3="実績報告（２次）",DH$26&gt;=1),DH66)))))))))),0)</f>
        <v>0</v>
      </c>
      <c r="DI36" s="1997">
        <f>IFERROR(
IF(テーブル!$B$3="交付申請",DI66,
IF(AND(テーブル!$B$3="変更申請",DI$26=0),0,
IF(AND(テーブル!$B$3="変更申請",DI$26&gt;=1),DI66,
IF(テーブル!$B$3="実績報告（１次）",DI66,
IF(AND(テーブル!$B$3="交付申請（２次）",DI$26=0),0,
IF(AND(テーブル!$B$3="交付申請（２次）",DI$26&gt;=1),DI66,
IF(AND(テーブル!$B$3="交付申請兼実績報告（２次）",DI$26=0),0,
IF(AND(テーブル!$B$3="交付申請兼実績報告（２次）",DI$26&gt;=1),DI66,
IF(AND(テーブル!$B$3="実績報告（２次）",DI$26=0),0,
IF(AND(テーブル!$B$3="実績報告（２次）",DI$26&gt;=1),DI66)))))))))),0)</f>
        <v>0</v>
      </c>
      <c r="DJ36" s="1997">
        <f>IFERROR(
IF(テーブル!$B$3="交付申請",DJ66,
IF(AND(テーブル!$B$3="変更申請",DJ$26=0),0,
IF(AND(テーブル!$B$3="変更申請",DJ$26&gt;=1),DJ66,
IF(テーブル!$B$3="実績報告（１次）",DJ66,
IF(AND(テーブル!$B$3="交付申請（２次）",DJ$26=0),0,
IF(AND(テーブル!$B$3="交付申請（２次）",DJ$26&gt;=1),DJ66,
IF(AND(テーブル!$B$3="交付申請兼実績報告（２次）",DJ$26=0),0,
IF(AND(テーブル!$B$3="交付申請兼実績報告（２次）",DJ$26&gt;=1),DJ66,
IF(AND(テーブル!$B$3="実績報告（２次）",DJ$26=0),0,
IF(AND(テーブル!$B$3="実績報告（２次）",DJ$26&gt;=1),DJ66)))))))))),0)</f>
        <v>0</v>
      </c>
      <c r="DK36" s="1997">
        <f>IFERROR(
IF(テーブル!$B$3="交付申請",DK66,
IF(AND(テーブル!$B$3="変更申請",DK$26=0),0,
IF(AND(テーブル!$B$3="変更申請",DK$26&gt;=1),DK66,
IF(テーブル!$B$3="実績報告（１次）",DK66,
IF(AND(テーブル!$B$3="交付申請（２次）",DK$26=0),0,
IF(AND(テーブル!$B$3="交付申請（２次）",DK$26&gt;=1),DK66,
IF(AND(テーブル!$B$3="交付申請兼実績報告（２次）",DK$26=0),0,
IF(AND(テーブル!$B$3="交付申請兼実績報告（２次）",DK$26&gt;=1),DK66,
IF(AND(テーブル!$B$3="実績報告（２次）",DK$26=0),0,
IF(AND(テーブル!$B$3="実績報告（２次）",DK$26&gt;=1),DK66)))))))))),0)</f>
        <v>0</v>
      </c>
      <c r="DL36" s="1997">
        <f>IFERROR(
IF(テーブル!$B$3="交付申請",DL66,
IF(AND(テーブル!$B$3="変更申請",DL$26=0),0,
IF(AND(テーブル!$B$3="変更申請",DL$26&gt;=1),DL66,
IF(テーブル!$B$3="実績報告（１次）",DL66,
IF(AND(テーブル!$B$3="交付申請（２次）",DL$26=0),0,
IF(AND(テーブル!$B$3="交付申請（２次）",DL$26&gt;=1),DL66,
IF(AND(テーブル!$B$3="交付申請兼実績報告（２次）",DL$26=0),0,
IF(AND(テーブル!$B$3="交付申請兼実績報告（２次）",DL$26&gt;=1),DL66,
IF(AND(テーブル!$B$3="実績報告（２次）",DL$26=0),0,
IF(AND(テーブル!$B$3="実績報告（２次）",DL$26&gt;=1),DL66)))))))))),0)</f>
        <v>0</v>
      </c>
      <c r="DM36" s="1997">
        <f>IFERROR(
IF(テーブル!$B$3="交付申請",DM66,
IF(AND(テーブル!$B$3="変更申請",DM$26=0),0,
IF(AND(テーブル!$B$3="変更申請",DM$26&gt;=1),DM66,
IF(テーブル!$B$3="実績報告（１次）",DM66,
IF(AND(テーブル!$B$3="交付申請（２次）",DM$26=0),0,
IF(AND(テーブル!$B$3="交付申請（２次）",DM$26&gt;=1),DM66,
IF(AND(テーブル!$B$3="交付申請兼実績報告（２次）",DM$26=0),0,
IF(AND(テーブル!$B$3="交付申請兼実績報告（２次）",DM$26&gt;=1),DM66,
IF(AND(テーブル!$B$3="実績報告（２次）",DM$26=0),0,
IF(AND(テーブル!$B$3="実績報告（２次）",DM$26&gt;=1),DM66)))))))))),0)</f>
        <v>0</v>
      </c>
      <c r="DN36" s="1997">
        <f>IFERROR(
IF(テーブル!$B$3="交付申請",DN66,
IF(AND(テーブル!$B$3="変更申請",DN$26=0),0,
IF(AND(テーブル!$B$3="変更申請",DN$26&gt;=1),DN66,
IF(テーブル!$B$3="実績報告（１次）",DN66,
IF(AND(テーブル!$B$3="交付申請（２次）",DN$26=0),0,
IF(AND(テーブル!$B$3="交付申請（２次）",DN$26&gt;=1),DN66,
IF(AND(テーブル!$B$3="交付申請兼実績報告（２次）",DN$26=0),0,
IF(AND(テーブル!$B$3="交付申請兼実績報告（２次）",DN$26&gt;=1),DN66,
IF(AND(テーブル!$B$3="実績報告（２次）",DN$26=0),0,
IF(AND(テーブル!$B$3="実績報告（２次）",DN$26&gt;=1),DN66)))))))))),0)</f>
        <v>0</v>
      </c>
      <c r="DO36" s="1997">
        <f>IFERROR(
IF(テーブル!$B$3="交付申請",DO66,
IF(AND(テーブル!$B$3="変更申請",DO$26=0),0,
IF(AND(テーブル!$B$3="変更申請",DO$26&gt;=1),DO66,
IF(テーブル!$B$3="実績報告（１次）",DO66,
IF(AND(テーブル!$B$3="交付申請（２次）",DO$26=0),0,
IF(AND(テーブル!$B$3="交付申請（２次）",DO$26&gt;=1),DO66,
IF(AND(テーブル!$B$3="交付申請兼実績報告（２次）",DO$26=0),0,
IF(AND(テーブル!$B$3="交付申請兼実績報告（２次）",DO$26&gt;=1),DO66,
IF(AND(テーブル!$B$3="実績報告（２次）",DO$26=0),0,
IF(AND(テーブル!$B$3="実績報告（２次）",DO$26&gt;=1),DO66)))))))))),0)</f>
        <v>0</v>
      </c>
      <c r="DP36" s="1997">
        <f>IFERROR(
IF(テーブル!$B$3="交付申請",DP66,
IF(AND(テーブル!$B$3="変更申請",DP$26=0),0,
IF(AND(テーブル!$B$3="変更申請",DP$26&gt;=1),DP66,
IF(テーブル!$B$3="実績報告（１次）",DP66,
IF(AND(テーブル!$B$3="交付申請（２次）",DP$26=0),0,
IF(AND(テーブル!$B$3="交付申請（２次）",DP$26&gt;=1),DP66,
IF(AND(テーブル!$B$3="交付申請兼実績報告（２次）",DP$26=0),0,
IF(AND(テーブル!$B$3="交付申請兼実績報告（２次）",DP$26&gt;=1),DP66,
IF(AND(テーブル!$B$3="実績報告（２次）",DP$26=0),0,
IF(AND(テーブル!$B$3="実績報告（２次）",DP$26&gt;=1),DP66)))))))))),0)</f>
        <v>0</v>
      </c>
      <c r="DQ36" s="1997">
        <f>IFERROR(
IF(テーブル!$B$3="交付申請",DQ66,
IF(AND(テーブル!$B$3="変更申請",DQ$26=0),0,
IF(AND(テーブル!$B$3="変更申請",DQ$26&gt;=1),DQ66,
IF(テーブル!$B$3="実績報告（１次）",DQ66,
IF(AND(テーブル!$B$3="交付申請（２次）",DQ$26=0),0,
IF(AND(テーブル!$B$3="交付申請（２次）",DQ$26&gt;=1),DQ66,
IF(AND(テーブル!$B$3="交付申請兼実績報告（２次）",DQ$26=0),0,
IF(AND(テーブル!$B$3="交付申請兼実績報告（２次）",DQ$26&gt;=1),DQ66,
IF(AND(テーブル!$B$3="実績報告（２次）",DQ$26=0),0,
IF(AND(テーブル!$B$3="実績報告（２次）",DQ$26&gt;=1),DQ66)))))))))),0)</f>
        <v>0</v>
      </c>
      <c r="DR36" s="1997">
        <f>IFERROR(
IF(テーブル!$B$3="交付申請",DR66,
IF(AND(テーブル!$B$3="変更申請",DR$26=0),0,
IF(AND(テーブル!$B$3="変更申請",DR$26&gt;=1),DR66,
IF(テーブル!$B$3="実績報告（１次）",DR66,
IF(AND(テーブル!$B$3="交付申請（２次）",DR$26=0),0,
IF(AND(テーブル!$B$3="交付申請（２次）",DR$26&gt;=1),DR66,
IF(AND(テーブル!$B$3="交付申請兼実績報告（２次）",DR$26=0),0,
IF(AND(テーブル!$B$3="交付申請兼実績報告（２次）",DR$26&gt;=1),DR66,
IF(AND(テーブル!$B$3="実績報告（２次）",DR$26=0),0,
IF(AND(テーブル!$B$3="実績報告（２次）",DR$26&gt;=1),DR66)))))))))),0)</f>
        <v>0</v>
      </c>
      <c r="DS36" s="1997">
        <f>IFERROR(
IF(テーブル!$B$3="交付申請",DS66,
IF(AND(テーブル!$B$3="変更申請",DS$26=0),0,
IF(AND(テーブル!$B$3="変更申請",DS$26&gt;=1),DS66,
IF(テーブル!$B$3="実績報告（１次）",DS66,
IF(AND(テーブル!$B$3="交付申請（２次）",DS$26=0),0,
IF(AND(テーブル!$B$3="交付申請（２次）",DS$26&gt;=1),DS66,
IF(AND(テーブル!$B$3="交付申請兼実績報告（２次）",DS$26=0),0,
IF(AND(テーブル!$B$3="交付申請兼実績報告（２次）",DS$26&gt;=1),DS66,
IF(AND(テーブル!$B$3="実績報告（２次）",DS$26=0),0,
IF(AND(テーブル!$B$3="実績報告（２次）",DS$26&gt;=1),DS66)))))))))),0)</f>
        <v>0</v>
      </c>
      <c r="DT36" s="1997">
        <f>IFERROR(
IF(テーブル!$B$3="交付申請",DT66,
IF(AND(テーブル!$B$3="変更申請",DT$26=0),0,
IF(AND(テーブル!$B$3="変更申請",DT$26&gt;=1),DT66,
IF(テーブル!$B$3="実績報告（１次）",DT66,
IF(AND(テーブル!$B$3="交付申請（２次）",DT$26=0),0,
IF(AND(テーブル!$B$3="交付申請（２次）",DT$26&gt;=1),DT66,
IF(AND(テーブル!$B$3="交付申請兼実績報告（２次）",DT$26=0),0,
IF(AND(テーブル!$B$3="交付申請兼実績報告（２次）",DT$26&gt;=1),DT66,
IF(AND(テーブル!$B$3="実績報告（２次）",DT$26=0),0,
IF(AND(テーブル!$B$3="実績報告（２次）",DT$26&gt;=1),DT66)))))))))),0)</f>
        <v>0</v>
      </c>
      <c r="DU36" s="1997">
        <f>IFERROR(
IF(テーブル!$B$3="交付申請",DU66,
IF(AND(テーブル!$B$3="変更申請",DU$26=0),0,
IF(AND(テーブル!$B$3="変更申請",DU$26&gt;=1),DU66,
IF(テーブル!$B$3="実績報告（１次）",DU66,
IF(AND(テーブル!$B$3="交付申請（２次）",DU$26=0),0,
IF(AND(テーブル!$B$3="交付申請（２次）",DU$26&gt;=1),DU66,
IF(AND(テーブル!$B$3="交付申請兼実績報告（２次）",DU$26=0),0,
IF(AND(テーブル!$B$3="交付申請兼実績報告（２次）",DU$26&gt;=1),DU66,
IF(AND(テーブル!$B$3="実績報告（２次）",DU$26=0),0,
IF(AND(テーブル!$B$3="実績報告（２次）",DU$26&gt;=1),DU66)))))))))),0)</f>
        <v>0</v>
      </c>
      <c r="DV36" s="1997">
        <f>IFERROR(
IF(テーブル!$B$3="交付申請",DV66,
IF(AND(テーブル!$B$3="変更申請",DV$26=0),0,
IF(AND(テーブル!$B$3="変更申請",DV$26&gt;=1),DV66,
IF(テーブル!$B$3="実績報告（１次）",DV66,
IF(AND(テーブル!$B$3="交付申請（２次）",DV$26=0),0,
IF(AND(テーブル!$B$3="交付申請（２次）",DV$26&gt;=1),DV66,
IF(AND(テーブル!$B$3="交付申請兼実績報告（２次）",DV$26=0),0,
IF(AND(テーブル!$B$3="交付申請兼実績報告（２次）",DV$26&gt;=1),DV66,
IF(AND(テーブル!$B$3="実績報告（２次）",DV$26=0),0,
IF(AND(テーブル!$B$3="実績報告（２次）",DV$26&gt;=1),DV66)))))))))),0)</f>
        <v>0</v>
      </c>
      <c r="DW36" s="1997">
        <f>IFERROR(
IF(テーブル!$B$3="交付申請",DW66,
IF(AND(テーブル!$B$3="変更申請",DW$26=0),0,
IF(AND(テーブル!$B$3="変更申請",DW$26&gt;=1),DW66,
IF(テーブル!$B$3="実績報告（１次）",DW66,
IF(AND(テーブル!$B$3="交付申請（２次）",DW$26=0),0,
IF(AND(テーブル!$B$3="交付申請（２次）",DW$26&gt;=1),DW66,
IF(AND(テーブル!$B$3="交付申請兼実績報告（２次）",DW$26=0),0,
IF(AND(テーブル!$B$3="交付申請兼実績報告（２次）",DW$26&gt;=1),DW66,
IF(AND(テーブル!$B$3="実績報告（２次）",DW$26=0),0,
IF(AND(テーブル!$B$3="実績報告（２次）",DW$26&gt;=1),DW66)))))))))),0)</f>
        <v>0</v>
      </c>
      <c r="DX36" s="1997">
        <f>IFERROR(
IF(テーブル!$B$3="交付申請",DX66,
IF(AND(テーブル!$B$3="変更申請",DX$26=0),0,
IF(AND(テーブル!$B$3="変更申請",DX$26&gt;=1),DX66,
IF(テーブル!$B$3="実績報告（１次）",DX66,
IF(AND(テーブル!$B$3="交付申請（２次）",DX$26=0),0,
IF(AND(テーブル!$B$3="交付申請（２次）",DX$26&gt;=1),DX66,
IF(AND(テーブル!$B$3="交付申請兼実績報告（２次）",DX$26=0),0,
IF(AND(テーブル!$B$3="交付申請兼実績報告（２次）",DX$26&gt;=1),DX66,
IF(AND(テーブル!$B$3="実績報告（２次）",DX$26=0),0,
IF(AND(テーブル!$B$3="実績報告（２次）",DX$26&gt;=1),DX66)))))))))),0)</f>
        <v>0</v>
      </c>
      <c r="DY36" s="1997">
        <f>IFERROR(
IF(テーブル!$B$3="交付申請",DY66,
IF(AND(テーブル!$B$3="変更申請",DY$26=0),0,
IF(AND(テーブル!$B$3="変更申請",DY$26&gt;=1),DY66,
IF(テーブル!$B$3="実績報告（１次）",DY66,
IF(AND(テーブル!$B$3="交付申請（２次）",DY$26=0),0,
IF(AND(テーブル!$B$3="交付申請（２次）",DY$26&gt;=1),DY66,
IF(AND(テーブル!$B$3="交付申請兼実績報告（２次）",DY$26=0),0,
IF(AND(テーブル!$B$3="交付申請兼実績報告（２次）",DY$26&gt;=1),DY66,
IF(AND(テーブル!$B$3="実績報告（２次）",DY$26=0),0,
IF(AND(テーブル!$B$3="実績報告（２次）",DY$26&gt;=1),DY66)))))))))),0)</f>
        <v>0</v>
      </c>
      <c r="DZ36" s="1997">
        <f>IFERROR(
IF(テーブル!$B$3="交付申請",DZ66,
IF(AND(テーブル!$B$3="変更申請",DZ$26=0),0,
IF(AND(テーブル!$B$3="変更申請",DZ$26&gt;=1),DZ66,
IF(テーブル!$B$3="実績報告（１次）",DZ66,
IF(AND(テーブル!$B$3="交付申請（２次）",DZ$26=0),0,
IF(AND(テーブル!$B$3="交付申請（２次）",DZ$26&gt;=1),DZ66,
IF(AND(テーブル!$B$3="交付申請兼実績報告（２次）",DZ$26=0),0,
IF(AND(テーブル!$B$3="交付申請兼実績報告（２次）",DZ$26&gt;=1),DZ66,
IF(AND(テーブル!$B$3="実績報告（２次）",DZ$26=0),0,
IF(AND(テーブル!$B$3="実績報告（２次）",DZ$26&gt;=1),DZ66)))))))))),0)</f>
        <v>0</v>
      </c>
      <c r="EA36" s="1997">
        <f>IFERROR(
IF(テーブル!$B$3="交付申請",EA66,
IF(AND(テーブル!$B$3="変更申請",EA$26=0),0,
IF(AND(テーブル!$B$3="変更申請",EA$26&gt;=1),EA66,
IF(テーブル!$B$3="実績報告（１次）",EA66,
IF(AND(テーブル!$B$3="交付申請（２次）",EA$26=0),0,
IF(AND(テーブル!$B$3="交付申請（２次）",EA$26&gt;=1),EA66,
IF(AND(テーブル!$B$3="交付申請兼実績報告（２次）",EA$26=0),0,
IF(AND(テーブル!$B$3="交付申請兼実績報告（２次）",EA$26&gt;=1),EA66,
IF(AND(テーブル!$B$3="実績報告（２次）",EA$26=0),0,
IF(AND(テーブル!$B$3="実績報告（２次）",EA$26&gt;=1),EA66)))))))))),0)</f>
        <v>0</v>
      </c>
      <c r="EB36" s="1997">
        <f>IFERROR(
IF(テーブル!$B$3="交付申請",EB66,
IF(AND(テーブル!$B$3="変更申請",EB$26=0),0,
IF(AND(テーブル!$B$3="変更申請",EB$26&gt;=1),EB66,
IF(テーブル!$B$3="実績報告（１次）",EB66,
IF(AND(テーブル!$B$3="交付申請（２次）",EB$26=0),0,
IF(AND(テーブル!$B$3="交付申請（２次）",EB$26&gt;=1),EB66,
IF(AND(テーブル!$B$3="交付申請兼実績報告（２次）",EB$26=0),0,
IF(AND(テーブル!$B$3="交付申請兼実績報告（２次）",EB$26&gt;=1),EB66,
IF(AND(テーブル!$B$3="実績報告（２次）",EB$26=0),0,
IF(AND(テーブル!$B$3="実績報告（２次）",EB$26&gt;=1),EB66)))))))))),0)</f>
        <v>0</v>
      </c>
      <c r="EC36" s="1997">
        <f>IFERROR(
IF(テーブル!$B$3="交付申請",EC66,
IF(AND(テーブル!$B$3="変更申請",EC$26=0),0,
IF(AND(テーブル!$B$3="変更申請",EC$26&gt;=1),EC66,
IF(テーブル!$B$3="実績報告（１次）",EC66,
IF(AND(テーブル!$B$3="交付申請（２次）",EC$26=0),0,
IF(AND(テーブル!$B$3="交付申請（２次）",EC$26&gt;=1),EC66,
IF(AND(テーブル!$B$3="交付申請兼実績報告（２次）",EC$26=0),0,
IF(AND(テーブル!$B$3="交付申請兼実績報告（２次）",EC$26&gt;=1),EC66,
IF(AND(テーブル!$B$3="実績報告（２次）",EC$26=0),0,
IF(AND(テーブル!$B$3="実績報告（２次）",EC$26&gt;=1),EC66)))))))))),0)</f>
        <v>0</v>
      </c>
      <c r="ED36" s="1997">
        <f>IFERROR(
IF(テーブル!$B$3="交付申請",ED66,
IF(AND(テーブル!$B$3="変更申請",ED$26=0),0,
IF(AND(テーブル!$B$3="変更申請",ED$26&gt;=1),ED66,
IF(テーブル!$B$3="実績報告（１次）",ED66,
IF(AND(テーブル!$B$3="交付申請（２次）",ED$26=0),0,
IF(AND(テーブル!$B$3="交付申請（２次）",ED$26&gt;=1),ED66,
IF(AND(テーブル!$B$3="交付申請兼実績報告（２次）",ED$26=0),0,
IF(AND(テーブル!$B$3="交付申請兼実績報告（２次）",ED$26&gt;=1),ED66,
IF(AND(テーブル!$B$3="実績報告（２次）",ED$26=0),0,
IF(AND(テーブル!$B$3="実績報告（２次）",ED$26&gt;=1),ED66)))))))))),0)</f>
        <v>0</v>
      </c>
      <c r="EE36" s="1997">
        <f>IFERROR(
IF(テーブル!$B$3="交付申請",EE66,
IF(AND(テーブル!$B$3="変更申請",EE$26=0),0,
IF(AND(テーブル!$B$3="変更申請",EE$26&gt;=1),EE66,
IF(テーブル!$B$3="実績報告（１次）",EE66,
IF(AND(テーブル!$B$3="交付申請（２次）",EE$26=0),0,
IF(AND(テーブル!$B$3="交付申請（２次）",EE$26&gt;=1),EE66,
IF(AND(テーブル!$B$3="交付申請兼実績報告（２次）",EE$26=0),0,
IF(AND(テーブル!$B$3="交付申請兼実績報告（２次）",EE$26&gt;=1),EE66,
IF(AND(テーブル!$B$3="実績報告（２次）",EE$26=0),0,
IF(AND(テーブル!$B$3="実績報告（２次）",EE$26&gt;=1),EE66)))))))))),0)</f>
        <v>0</v>
      </c>
      <c r="EF36" s="1997">
        <f>IFERROR(
IF(テーブル!$B$3="交付申請",EF66,
IF(AND(テーブル!$B$3="変更申請",EF$26=0),0,
IF(AND(テーブル!$B$3="変更申請",EF$26&gt;=1),EF66,
IF(テーブル!$B$3="実績報告（１次）",EF66,
IF(AND(テーブル!$B$3="交付申請（２次）",EF$26=0),0,
IF(AND(テーブル!$B$3="交付申請（２次）",EF$26&gt;=1),EF66,
IF(AND(テーブル!$B$3="交付申請兼実績報告（２次）",EF$26=0),0,
IF(AND(テーブル!$B$3="交付申請兼実績報告（２次）",EF$26&gt;=1),EF66,
IF(AND(テーブル!$B$3="実績報告（２次）",EF$26=0),0,
IF(AND(テーブル!$B$3="実績報告（２次）",EF$26&gt;=1),EF66)))))))))),0)</f>
        <v>0</v>
      </c>
      <c r="EG36" s="1997">
        <f>IFERROR(
IF(テーブル!$B$3="交付申請",EG66,
IF(AND(テーブル!$B$3="変更申請",EG$26=0),0,
IF(AND(テーブル!$B$3="変更申請",EG$26&gt;=1),EG66,
IF(テーブル!$B$3="実績報告（１次）",EG66,
IF(AND(テーブル!$B$3="交付申請（２次）",EG$26=0),0,
IF(AND(テーブル!$B$3="交付申請（２次）",EG$26&gt;=1),EG66,
IF(AND(テーブル!$B$3="交付申請兼実績報告（２次）",EG$26=0),0,
IF(AND(テーブル!$B$3="交付申請兼実績報告（２次）",EG$26&gt;=1),EG66,
IF(AND(テーブル!$B$3="実績報告（２次）",EG$26=0),0,
IF(AND(テーブル!$B$3="実績報告（２次）",EG$26&gt;=1),EG66)))))))))),0)</f>
        <v>0</v>
      </c>
      <c r="EH36" s="1997">
        <f>IFERROR(
IF(テーブル!$B$3="交付申請",EH66,
IF(AND(テーブル!$B$3="変更申請",EH$26=0),0,
IF(AND(テーブル!$B$3="変更申請",EH$26&gt;=1),EH66,
IF(テーブル!$B$3="実績報告（１次）",EH66,
IF(AND(テーブル!$B$3="交付申請（２次）",EH$26=0),0,
IF(AND(テーブル!$B$3="交付申請（２次）",EH$26&gt;=1),EH66,
IF(AND(テーブル!$B$3="交付申請兼実績報告（２次）",EH$26=0),0,
IF(AND(テーブル!$B$3="交付申請兼実績報告（２次）",EH$26&gt;=1),EH66,
IF(AND(テーブル!$B$3="実績報告（２次）",EH$26=0),0,
IF(AND(テーブル!$B$3="実績報告（２次）",EH$26&gt;=1),EH66)))))))))),0)</f>
        <v>0</v>
      </c>
      <c r="EI36" s="1997">
        <f>IFERROR(
IF(テーブル!$B$3="交付申請",EI66,
IF(AND(テーブル!$B$3="変更申請",EI$26=0),0,
IF(AND(テーブル!$B$3="変更申請",EI$26&gt;=1),EI66,
IF(テーブル!$B$3="実績報告（１次）",EI66,
IF(AND(テーブル!$B$3="交付申請（２次）",EI$26=0),0,
IF(AND(テーブル!$B$3="交付申請（２次）",EI$26&gt;=1),EI66,
IF(AND(テーブル!$B$3="交付申請兼実績報告（２次）",EI$26=0),0,
IF(AND(テーブル!$B$3="交付申請兼実績報告（２次）",EI$26&gt;=1),EI66,
IF(AND(テーブル!$B$3="実績報告（２次）",EI$26=0),0,
IF(AND(テーブル!$B$3="実績報告（２次）",EI$26&gt;=1),EI66)))))))))),0)</f>
        <v>0</v>
      </c>
      <c r="EJ36" s="1997">
        <f>IFERROR(
IF(テーブル!$B$3="交付申請",EJ66,
IF(AND(テーブル!$B$3="変更申請",EJ$26=0),0,
IF(AND(テーブル!$B$3="変更申請",EJ$26&gt;=1),EJ66,
IF(テーブル!$B$3="実績報告（１次）",EJ66,
IF(AND(テーブル!$B$3="交付申請（２次）",EJ$26=0),0,
IF(AND(テーブル!$B$3="交付申請（２次）",EJ$26&gt;=1),EJ66,
IF(AND(テーブル!$B$3="交付申請兼実績報告（２次）",EJ$26=0),0,
IF(AND(テーブル!$B$3="交付申請兼実績報告（２次）",EJ$26&gt;=1),EJ66,
IF(AND(テーブル!$B$3="実績報告（２次）",EJ$26=0),0,
IF(AND(テーブル!$B$3="実績報告（２次）",EJ$26&gt;=1),EJ66)))))))))),0)</f>
        <v>0</v>
      </c>
      <c r="EK36" s="1997">
        <f>IFERROR(
IF(テーブル!$B$3="交付申請",EK66,
IF(AND(テーブル!$B$3="変更申請",EK$26=0),0,
IF(AND(テーブル!$B$3="変更申請",EK$26&gt;=1),EK66,
IF(テーブル!$B$3="実績報告（１次）",EK66,
IF(AND(テーブル!$B$3="交付申請（２次）",EK$26=0),0,
IF(AND(テーブル!$B$3="交付申請（２次）",EK$26&gt;=1),EK66,
IF(AND(テーブル!$B$3="交付申請兼実績報告（２次）",EK$26=0),0,
IF(AND(テーブル!$B$3="交付申請兼実績報告（２次）",EK$26&gt;=1),EK66,
IF(AND(テーブル!$B$3="実績報告（２次）",EK$26=0),0,
IF(AND(テーブル!$B$3="実績報告（２次）",EK$26&gt;=1),EK66)))))))))),0)</f>
        <v>0</v>
      </c>
      <c r="EL36" s="1997">
        <f>IFERROR(
IF(テーブル!$B$3="交付申請",EL66,
IF(AND(テーブル!$B$3="変更申請",EL$26=0),0,
IF(AND(テーブル!$B$3="変更申請",EL$26&gt;=1),EL66,
IF(テーブル!$B$3="実績報告（１次）",EL66,
IF(AND(テーブル!$B$3="交付申請（２次）",EL$26=0),0,
IF(AND(テーブル!$B$3="交付申請（２次）",EL$26&gt;=1),EL66,
IF(AND(テーブル!$B$3="交付申請兼実績報告（２次）",EL$26=0),0,
IF(AND(テーブル!$B$3="交付申請兼実績報告（２次）",EL$26&gt;=1),EL66,
IF(AND(テーブル!$B$3="実績報告（２次）",EL$26=0),0,
IF(AND(テーブル!$B$3="実績報告（２次）",EL$26&gt;=1),EL66)))))))))),0)</f>
        <v>0</v>
      </c>
      <c r="EM36" s="1997">
        <f>IFERROR(
IF(テーブル!$B$3="交付申請",EM66,
IF(AND(テーブル!$B$3="変更申請",EM$26=0),0,
IF(AND(テーブル!$B$3="変更申請",EM$26&gt;=1),EM66,
IF(テーブル!$B$3="実績報告（１次）",EM66,
IF(AND(テーブル!$B$3="交付申請（２次）",EM$26=0),0,
IF(AND(テーブル!$B$3="交付申請（２次）",EM$26&gt;=1),EM66,
IF(AND(テーブル!$B$3="交付申請兼実績報告（２次）",EM$26=0),0,
IF(AND(テーブル!$B$3="交付申請兼実績報告（２次）",EM$26&gt;=1),EM66,
IF(AND(テーブル!$B$3="実績報告（２次）",EM$26=0),0,
IF(AND(テーブル!$B$3="実績報告（２次）",EM$26&gt;=1),EM66)))))))))),0)</f>
        <v>0</v>
      </c>
      <c r="EN36" s="1997">
        <f>IFERROR(
IF(テーブル!$B$3="交付申請",EN66,
IF(AND(テーブル!$B$3="変更申請",EN$26=0),0,
IF(AND(テーブル!$B$3="変更申請",EN$26&gt;=1),EN66,
IF(テーブル!$B$3="実績報告（１次）",EN66,
IF(AND(テーブル!$B$3="交付申請（２次）",EN$26=0),0,
IF(AND(テーブル!$B$3="交付申請（２次）",EN$26&gt;=1),EN66,
IF(AND(テーブル!$B$3="交付申請兼実績報告（２次）",EN$26=0),0,
IF(AND(テーブル!$B$3="交付申請兼実績報告（２次）",EN$26&gt;=1),EN66,
IF(AND(テーブル!$B$3="実績報告（２次）",EN$26=0),0,
IF(AND(テーブル!$B$3="実績報告（２次）",EN$26&gt;=1),EN66)))))))))),0)</f>
        <v>0</v>
      </c>
      <c r="EO36" s="1997">
        <f>IFERROR(
IF(テーブル!$B$3="交付申請",EO66,
IF(AND(テーブル!$B$3="変更申請",EO$26=0),0,
IF(AND(テーブル!$B$3="変更申請",EO$26&gt;=1),EO66,
IF(テーブル!$B$3="実績報告（１次）",EO66,
IF(AND(テーブル!$B$3="交付申請（２次）",EO$26=0),0,
IF(AND(テーブル!$B$3="交付申請（２次）",EO$26&gt;=1),EO66,
IF(AND(テーブル!$B$3="交付申請兼実績報告（２次）",EO$26=0),0,
IF(AND(テーブル!$B$3="交付申請兼実績報告（２次）",EO$26&gt;=1),EO66,
IF(AND(テーブル!$B$3="実績報告（２次）",EO$26=0),0,
IF(AND(テーブル!$B$3="実績報告（２次）",EO$26&gt;=1),EO66)))))))))),0)</f>
        <v>0</v>
      </c>
      <c r="EP36" s="1997">
        <f>IFERROR(
IF(テーブル!$B$3="交付申請",EP66,
IF(AND(テーブル!$B$3="変更申請",EP$26=0),0,
IF(AND(テーブル!$B$3="変更申請",EP$26&gt;=1),EP66,
IF(テーブル!$B$3="実績報告（１次）",EP66,
IF(AND(テーブル!$B$3="交付申請（２次）",EP$26=0),0,
IF(AND(テーブル!$B$3="交付申請（２次）",EP$26&gt;=1),EP66,
IF(AND(テーブル!$B$3="交付申請兼実績報告（２次）",EP$26=0),0,
IF(AND(テーブル!$B$3="交付申請兼実績報告（２次）",EP$26&gt;=1),EP66,
IF(AND(テーブル!$B$3="実績報告（２次）",EP$26=0),0,
IF(AND(テーブル!$B$3="実績報告（２次）",EP$26&gt;=1),EP66)))))))))),0)</f>
        <v>0</v>
      </c>
      <c r="EQ36" s="1997">
        <f>IFERROR(
IF(テーブル!$B$3="交付申請",EQ66,
IF(AND(テーブル!$B$3="変更申請",EQ$26=0),0,
IF(AND(テーブル!$B$3="変更申請",EQ$26&gt;=1),EQ66,
IF(テーブル!$B$3="実績報告（１次）",EQ66,
IF(AND(テーブル!$B$3="交付申請（２次）",EQ$26=0),0,
IF(AND(テーブル!$B$3="交付申請（２次）",EQ$26&gt;=1),EQ66,
IF(AND(テーブル!$B$3="交付申請兼実績報告（２次）",EQ$26=0),0,
IF(AND(テーブル!$B$3="交付申請兼実績報告（２次）",EQ$26&gt;=1),EQ66,
IF(AND(テーブル!$B$3="実績報告（２次）",EQ$26=0),0,
IF(AND(テーブル!$B$3="実績報告（２次）",EQ$26&gt;=1),EQ66)))))))))),0)</f>
        <v>0</v>
      </c>
      <c r="ER36" s="1997">
        <f>IFERROR(
IF(テーブル!$B$3="交付申請",ER66,
IF(AND(テーブル!$B$3="変更申請",ER$26=0),0,
IF(AND(テーブル!$B$3="変更申請",ER$26&gt;=1),ER66,
IF(テーブル!$B$3="実績報告（１次）",ER66,
IF(AND(テーブル!$B$3="交付申請（２次）",ER$26=0),0,
IF(AND(テーブル!$B$3="交付申請（２次）",ER$26&gt;=1),ER66,
IF(AND(テーブル!$B$3="交付申請兼実績報告（２次）",ER$26=0),0,
IF(AND(テーブル!$B$3="交付申請兼実績報告（２次）",ER$26&gt;=1),ER66,
IF(AND(テーブル!$B$3="実績報告（２次）",ER$26=0),0,
IF(AND(テーブル!$B$3="実績報告（２次）",ER$26&gt;=1),ER66)))))))))),0)</f>
        <v>0</v>
      </c>
      <c r="ES36" s="1997">
        <f>IFERROR(
IF(テーブル!$B$3="交付申請",ES66,
IF(AND(テーブル!$B$3="変更申請",ES$26=0),0,
IF(AND(テーブル!$B$3="変更申請",ES$26&gt;=1),ES66,
IF(テーブル!$B$3="実績報告（１次）",ES66,
IF(AND(テーブル!$B$3="交付申請（２次）",ES$26=0),0,
IF(AND(テーブル!$B$3="交付申請（２次）",ES$26&gt;=1),ES66,
IF(AND(テーブル!$B$3="交付申請兼実績報告（２次）",ES$26=0),0,
IF(AND(テーブル!$B$3="交付申請兼実績報告（２次）",ES$26&gt;=1),ES66,
IF(AND(テーブル!$B$3="実績報告（２次）",ES$26=0),0,
IF(AND(テーブル!$B$3="実績報告（２次）",ES$26&gt;=1),ES66)))))))))),0)</f>
        <v>0</v>
      </c>
      <c r="ET36" s="1997">
        <f>IFERROR(
IF(テーブル!$B$3="交付申請",ET66,
IF(AND(テーブル!$B$3="変更申請",ET$26=0),0,
IF(AND(テーブル!$B$3="変更申請",ET$26&gt;=1),ET66,
IF(テーブル!$B$3="実績報告（１次）",ET66,
IF(AND(テーブル!$B$3="交付申請（２次）",ET$26=0),0,
IF(AND(テーブル!$B$3="交付申請（２次）",ET$26&gt;=1),ET66,
IF(AND(テーブル!$B$3="交付申請兼実績報告（２次）",ET$26=0),0,
IF(AND(テーブル!$B$3="交付申請兼実績報告（２次）",ET$26&gt;=1),ET66,
IF(AND(テーブル!$B$3="実績報告（２次）",ET$26=0),0,
IF(AND(テーブル!$B$3="実績報告（２次）",ET$26&gt;=1),ET66)))))))))),0)</f>
        <v>0</v>
      </c>
      <c r="EU36" s="1997">
        <f>IFERROR(
IF(テーブル!$B$3="交付申請",EU66,
IF(AND(テーブル!$B$3="変更申請",EU$26=0),0,
IF(AND(テーブル!$B$3="変更申請",EU$26&gt;=1),EU66,
IF(テーブル!$B$3="実績報告（１次）",EU66,
IF(AND(テーブル!$B$3="交付申請（２次）",EU$26=0),0,
IF(AND(テーブル!$B$3="交付申請（２次）",EU$26&gt;=1),EU66,
IF(AND(テーブル!$B$3="交付申請兼実績報告（２次）",EU$26=0),0,
IF(AND(テーブル!$B$3="交付申請兼実績報告（２次）",EU$26&gt;=1),EU66,
IF(AND(テーブル!$B$3="実績報告（２次）",EU$26=0),0,
IF(AND(テーブル!$B$3="実績報告（２次）",EU$26&gt;=1),EU66)))))))))),0)</f>
        <v>0</v>
      </c>
      <c r="EV36" s="1997">
        <f>IFERROR(
IF(テーブル!$B$3="交付申請",EV66,
IF(AND(テーブル!$B$3="変更申請",EV$26=0),0,
IF(AND(テーブル!$B$3="変更申請",EV$26&gt;=1),EV66,
IF(テーブル!$B$3="実績報告（１次）",EV66,
IF(AND(テーブル!$B$3="交付申請（２次）",EV$26=0),0,
IF(AND(テーブル!$B$3="交付申請（２次）",EV$26&gt;=1),EV66,
IF(AND(テーブル!$B$3="交付申請兼実績報告（２次）",EV$26=0),0,
IF(AND(テーブル!$B$3="交付申請兼実績報告（２次）",EV$26&gt;=1),EV66,
IF(AND(テーブル!$B$3="実績報告（２次）",EV$26=0),0,
IF(AND(テーブル!$B$3="実績報告（２次）",EV$26&gt;=1),EV66)))))))))),0)</f>
        <v>0</v>
      </c>
      <c r="EW36" s="1997">
        <f>IFERROR(
IF(テーブル!$B$3="交付申請",EW66,
IF(AND(テーブル!$B$3="変更申請",EW$26=0),0,
IF(AND(テーブル!$B$3="変更申請",EW$26&gt;=1),EW66,
IF(テーブル!$B$3="実績報告（１次）",EW66,
IF(AND(テーブル!$B$3="交付申請（２次）",EW$26=0),0,
IF(AND(テーブル!$B$3="交付申請（２次）",EW$26&gt;=1),EW66,
IF(AND(テーブル!$B$3="交付申請兼実績報告（２次）",EW$26=0),0,
IF(AND(テーブル!$B$3="交付申請兼実績報告（２次）",EW$26&gt;=1),EW66,
IF(AND(テーブル!$B$3="実績報告（２次）",EW$26=0),0,
IF(AND(テーブル!$B$3="実績報告（２次）",EW$26&gt;=1),EW66)))))))))),0)</f>
        <v>0</v>
      </c>
      <c r="EX36" s="1997">
        <f>IFERROR(
IF(テーブル!$B$3="交付申請",EX66,
IF(AND(テーブル!$B$3="変更申請",EX$26=0),0,
IF(AND(テーブル!$B$3="変更申請",EX$26&gt;=1),EX66,
IF(テーブル!$B$3="実績報告（１次）",EX66,
IF(AND(テーブル!$B$3="交付申請（２次）",EX$26=0),0,
IF(AND(テーブル!$B$3="交付申請（２次）",EX$26&gt;=1),EX66,
IF(AND(テーブル!$B$3="交付申請兼実績報告（２次）",EX$26=0),0,
IF(AND(テーブル!$B$3="交付申請兼実績報告（２次）",EX$26&gt;=1),EX66,
IF(AND(テーブル!$B$3="実績報告（２次）",EX$26=0),0,
IF(AND(テーブル!$B$3="実績報告（２次）",EX$26&gt;=1),EX66)))))))))),0)</f>
        <v>0</v>
      </c>
      <c r="EY36" s="1997">
        <f>IFERROR(
IF(テーブル!$B$3="交付申請",EY66,
IF(AND(テーブル!$B$3="変更申請",EY$26=0),0,
IF(AND(テーブル!$B$3="変更申請",EY$26&gt;=1),EY66,
IF(テーブル!$B$3="実績報告（１次）",EY66,
IF(AND(テーブル!$B$3="交付申請（２次）",EY$26=0),0,
IF(AND(テーブル!$B$3="交付申請（２次）",EY$26&gt;=1),EY66,
IF(AND(テーブル!$B$3="交付申請兼実績報告（２次）",EY$26=0),0,
IF(AND(テーブル!$B$3="交付申請兼実績報告（２次）",EY$26&gt;=1),EY66,
IF(AND(テーブル!$B$3="実績報告（２次）",EY$26=0),0,
IF(AND(テーブル!$B$3="実績報告（２次）",EY$26&gt;=1),EY66)))))))))),0)</f>
        <v>0</v>
      </c>
      <c r="EZ36" s="1997">
        <f>IFERROR(
IF(テーブル!$B$3="交付申請",EZ66,
IF(AND(テーブル!$B$3="変更申請",EZ$26=0),0,
IF(AND(テーブル!$B$3="変更申請",EZ$26&gt;=1),EZ66,
IF(テーブル!$B$3="実績報告（１次）",EZ66,
IF(AND(テーブル!$B$3="交付申請（２次）",EZ$26=0),0,
IF(AND(テーブル!$B$3="交付申請（２次）",EZ$26&gt;=1),EZ66,
IF(AND(テーブル!$B$3="交付申請兼実績報告（２次）",EZ$26=0),0,
IF(AND(テーブル!$B$3="交付申請兼実績報告（２次）",EZ$26&gt;=1),EZ66,
IF(AND(テーブル!$B$3="実績報告（２次）",EZ$26=0),0,
IF(AND(テーブル!$B$3="実績報告（２次）",EZ$26&gt;=1),EZ66)))))))))),0)</f>
        <v>0</v>
      </c>
      <c r="FA36" s="1997">
        <f>IFERROR(
IF(テーブル!$B$3="交付申請",FA66,
IF(AND(テーブル!$B$3="変更申請",FA$26=0),0,
IF(AND(テーブル!$B$3="変更申請",FA$26&gt;=1),FA66,
IF(テーブル!$B$3="実績報告（１次）",FA66,
IF(AND(テーブル!$B$3="交付申請（２次）",FA$26=0),0,
IF(AND(テーブル!$B$3="交付申請（２次）",FA$26&gt;=1),FA66,
IF(AND(テーブル!$B$3="交付申請兼実績報告（２次）",FA$26=0),0,
IF(AND(テーブル!$B$3="交付申請兼実績報告（２次）",FA$26&gt;=1),FA66,
IF(AND(テーブル!$B$3="実績報告（２次）",FA$26=0),0,
IF(AND(テーブル!$B$3="実績報告（２次）",FA$26&gt;=1),FA66)))))))))),0)</f>
        <v>0</v>
      </c>
      <c r="FB36" s="1997">
        <f>IFERROR(
IF(テーブル!$B$3="交付申請",FB66,
IF(AND(テーブル!$B$3="変更申請",FB$26=0),0,
IF(AND(テーブル!$B$3="変更申請",FB$26&gt;=1),FB66,
IF(テーブル!$B$3="実績報告（１次）",FB66,
IF(AND(テーブル!$B$3="交付申請（２次）",FB$26=0),0,
IF(AND(テーブル!$B$3="交付申請（２次）",FB$26&gt;=1),FB66,
IF(AND(テーブル!$B$3="交付申請兼実績報告（２次）",FB$26=0),0,
IF(AND(テーブル!$B$3="交付申請兼実績報告（２次）",FB$26&gt;=1),FB66,
IF(AND(テーブル!$B$3="実績報告（２次）",FB$26=0),0,
IF(AND(テーブル!$B$3="実績報告（２次）",FB$26&gt;=1),FB66)))))))))),0)</f>
        <v>0</v>
      </c>
      <c r="FC36" s="1997">
        <f>IFERROR(
IF(テーブル!$B$3="交付申請",FC66,
IF(AND(テーブル!$B$3="変更申請",FC$26=0),0,
IF(AND(テーブル!$B$3="変更申請",FC$26&gt;=1),FC66,
IF(テーブル!$B$3="実績報告（１次）",FC66,
IF(AND(テーブル!$B$3="交付申請（２次）",FC$26=0),0,
IF(AND(テーブル!$B$3="交付申請（２次）",FC$26&gt;=1),FC66,
IF(AND(テーブル!$B$3="交付申請兼実績報告（２次）",FC$26=0),0,
IF(AND(テーブル!$B$3="交付申請兼実績報告（２次）",FC$26&gt;=1),FC66,
IF(AND(テーブル!$B$3="実績報告（２次）",FC$26=0),0,
IF(AND(テーブル!$B$3="実績報告（２次）",FC$26&gt;=1),FC66)))))))))),0)</f>
        <v>0</v>
      </c>
      <c r="FD36" s="1997">
        <f>IFERROR(
IF(テーブル!$B$3="交付申請",FD66,
IF(AND(テーブル!$B$3="変更申請",FD$26=0),0,
IF(AND(テーブル!$B$3="変更申請",FD$26&gt;=1),FD66,
IF(テーブル!$B$3="実績報告（１次）",FD66,
IF(AND(テーブル!$B$3="交付申請（２次）",FD$26=0),0,
IF(AND(テーブル!$B$3="交付申請（２次）",FD$26&gt;=1),FD66,
IF(AND(テーブル!$B$3="交付申請兼実績報告（２次）",FD$26=0),0,
IF(AND(テーブル!$B$3="交付申請兼実績報告（２次）",FD$26&gt;=1),FD66,
IF(AND(テーブル!$B$3="実績報告（２次）",FD$26=0),0,
IF(AND(テーブル!$B$3="実績報告（２次）",FD$26&gt;=1),FD66)))))))))),0)</f>
        <v>0</v>
      </c>
      <c r="FE36" s="1997">
        <f>IFERROR(
IF(テーブル!$B$3="交付申請",FE66,
IF(AND(テーブル!$B$3="変更申請",FE$26=0),0,
IF(AND(テーブル!$B$3="変更申請",FE$26&gt;=1),FE66,
IF(テーブル!$B$3="実績報告（１次）",FE66,
IF(AND(テーブル!$B$3="交付申請（２次）",FE$26=0),0,
IF(AND(テーブル!$B$3="交付申請（２次）",FE$26&gt;=1),FE66,
IF(AND(テーブル!$B$3="交付申請兼実績報告（２次）",FE$26=0),0,
IF(AND(テーブル!$B$3="交付申請兼実績報告（２次）",FE$26&gt;=1),FE66,
IF(AND(テーブル!$B$3="実績報告（２次）",FE$26=0),0,
IF(AND(テーブル!$B$3="実績報告（２次）",FE$26&gt;=1),FE66)))))))))),0)</f>
        <v>0</v>
      </c>
      <c r="FF36" s="1997">
        <f>IFERROR(
IF(テーブル!$B$3="交付申請",FF66,
IF(AND(テーブル!$B$3="変更申請",FF$26=0),0,
IF(AND(テーブル!$B$3="変更申請",FF$26&gt;=1),FF66,
IF(テーブル!$B$3="実績報告（１次）",FF66,
IF(AND(テーブル!$B$3="交付申請（２次）",FF$26=0),0,
IF(AND(テーブル!$B$3="交付申請（２次）",FF$26&gt;=1),FF66,
IF(AND(テーブル!$B$3="交付申請兼実績報告（２次）",FF$26=0),0,
IF(AND(テーブル!$B$3="交付申請兼実績報告（２次）",FF$26&gt;=1),FF66,
IF(AND(テーブル!$B$3="実績報告（２次）",FF$26=0),0,
IF(AND(テーブル!$B$3="実績報告（２次）",FF$26&gt;=1),FF66)))))))))),0)</f>
        <v>0</v>
      </c>
      <c r="FG36" s="1997">
        <f>IFERROR(
IF(テーブル!$B$3="交付申請",FG66,
IF(AND(テーブル!$B$3="変更申請",FG$26=0),0,
IF(AND(テーブル!$B$3="変更申請",FG$26&gt;=1),FG66,
IF(テーブル!$B$3="実績報告（１次）",FG66,
IF(AND(テーブル!$B$3="交付申請（２次）",FG$26=0),0,
IF(AND(テーブル!$B$3="交付申請（２次）",FG$26&gt;=1),FG66,
IF(AND(テーブル!$B$3="交付申請兼実績報告（２次）",FG$26=0),0,
IF(AND(テーブル!$B$3="交付申請兼実績報告（２次）",FG$26&gt;=1),FG66,
IF(AND(テーブル!$B$3="実績報告（２次）",FG$26=0),0,
IF(AND(テーブル!$B$3="実績報告（２次）",FG$26&gt;=1),FG66)))))))))),0)</f>
        <v>0</v>
      </c>
      <c r="FH36" s="1997">
        <f>IFERROR(
IF(テーブル!$B$3="交付申請",FH66,
IF(AND(テーブル!$B$3="変更申請",FH$26=0),0,
IF(AND(テーブル!$B$3="変更申請",FH$26&gt;=1),FH66,
IF(テーブル!$B$3="実績報告（１次）",FH66,
IF(AND(テーブル!$B$3="交付申請（２次）",FH$26=0),0,
IF(AND(テーブル!$B$3="交付申請（２次）",FH$26&gt;=1),FH66,
IF(AND(テーブル!$B$3="交付申請兼実績報告（２次）",FH$26=0),0,
IF(AND(テーブル!$B$3="交付申請兼実績報告（２次）",FH$26&gt;=1),FH66,
IF(AND(テーブル!$B$3="実績報告（２次）",FH$26=0),0,
IF(AND(テーブル!$B$3="実績報告（２次）",FH$26&gt;=1),FH66)))))))))),0)</f>
        <v>0</v>
      </c>
      <c r="FI36" s="1997">
        <f>IFERROR(
IF(テーブル!$B$3="交付申請",FI66,
IF(AND(テーブル!$B$3="変更申請",FI$26=0),0,
IF(AND(テーブル!$B$3="変更申請",FI$26&gt;=1),FI66,
IF(テーブル!$B$3="実績報告（１次）",FI66,
IF(AND(テーブル!$B$3="交付申請（２次）",FI$26=0),0,
IF(AND(テーブル!$B$3="交付申請（２次）",FI$26&gt;=1),FI66,
IF(AND(テーブル!$B$3="交付申請兼実績報告（２次）",FI$26=0),0,
IF(AND(テーブル!$B$3="交付申請兼実績報告（２次）",FI$26&gt;=1),FI66,
IF(AND(テーブル!$B$3="実績報告（２次）",FI$26=0),0,
IF(AND(テーブル!$B$3="実績報告（２次）",FI$26&gt;=1),FI66)))))))))),0)</f>
        <v>0</v>
      </c>
      <c r="FJ36" s="1997">
        <f>IFERROR(
IF(テーブル!$B$3="交付申請",FJ66,
IF(AND(テーブル!$B$3="変更申請",FJ$26=0),0,
IF(AND(テーブル!$B$3="変更申請",FJ$26&gt;=1),FJ66,
IF(テーブル!$B$3="実績報告（１次）",FJ66,
IF(AND(テーブル!$B$3="交付申請（２次）",FJ$26=0),0,
IF(AND(テーブル!$B$3="交付申請（２次）",FJ$26&gt;=1),FJ66,
IF(AND(テーブル!$B$3="交付申請兼実績報告（２次）",FJ$26=0),0,
IF(AND(テーブル!$B$3="交付申請兼実績報告（２次）",FJ$26&gt;=1),FJ66,
IF(AND(テーブル!$B$3="実績報告（２次）",FJ$26=0),0,
IF(AND(テーブル!$B$3="実績報告（２次）",FJ$26&gt;=1),FJ66)))))))))),0)</f>
        <v>0</v>
      </c>
      <c r="FK36" s="1997">
        <f>IFERROR(
IF(テーブル!$B$3="交付申請",FK66,
IF(AND(テーブル!$B$3="変更申請",FK$26=0),0,
IF(AND(テーブル!$B$3="変更申請",FK$26&gt;=1),FK66,
IF(テーブル!$B$3="実績報告（１次）",FK66,
IF(AND(テーブル!$B$3="交付申請（２次）",FK$26=0),0,
IF(AND(テーブル!$B$3="交付申請（２次）",FK$26&gt;=1),FK66,
IF(AND(テーブル!$B$3="交付申請兼実績報告（２次）",FK$26=0),0,
IF(AND(テーブル!$B$3="交付申請兼実績報告（２次）",FK$26&gt;=1),FK66,
IF(AND(テーブル!$B$3="実績報告（２次）",FK$26=0),0,
IF(AND(テーブル!$B$3="実績報告（２次）",FK$26&gt;=1),FK66)))))))))),0)</f>
        <v>0</v>
      </c>
      <c r="FL36" s="1997">
        <f>IFERROR(
IF(テーブル!$B$3="交付申請",FL66,
IF(AND(テーブル!$B$3="変更申請",FL$26=0),0,
IF(AND(テーブル!$B$3="変更申請",FL$26&gt;=1),FL66,
IF(テーブル!$B$3="実績報告（１次）",FL66,
IF(AND(テーブル!$B$3="交付申請（２次）",FL$26=0),0,
IF(AND(テーブル!$B$3="交付申請（２次）",FL$26&gt;=1),FL66,
IF(AND(テーブル!$B$3="交付申請兼実績報告（２次）",FL$26=0),0,
IF(AND(テーブル!$B$3="交付申請兼実績報告（２次）",FL$26&gt;=1),FL66,
IF(AND(テーブル!$B$3="実績報告（２次）",FL$26=0),0,
IF(AND(テーブル!$B$3="実績報告（２次）",FL$26&gt;=1),FL66)))))))))),0)</f>
        <v>0</v>
      </c>
      <c r="FM36" s="1997">
        <f>IFERROR(
IF(テーブル!$B$3="交付申請",FM66,
IF(AND(テーブル!$B$3="変更申請",FM$26=0),0,
IF(AND(テーブル!$B$3="変更申請",FM$26&gt;=1),FM66,
IF(テーブル!$B$3="実績報告（１次）",FM66,
IF(AND(テーブル!$B$3="交付申請（２次）",FM$26=0),0,
IF(AND(テーブル!$B$3="交付申請（２次）",FM$26&gt;=1),FM66,
IF(AND(テーブル!$B$3="交付申請兼実績報告（２次）",FM$26=0),0,
IF(AND(テーブル!$B$3="交付申請兼実績報告（２次）",FM$26&gt;=1),FM66,
IF(AND(テーブル!$B$3="実績報告（２次）",FM$26=0),0,
IF(AND(テーブル!$B$3="実績報告（２次）",FM$26&gt;=1),FM66)))))))))),0)</f>
        <v>0</v>
      </c>
      <c r="FN36" s="1997">
        <f>IFERROR(
IF(テーブル!$B$3="交付申請",FN66,
IF(AND(テーブル!$B$3="変更申請",FN$26=0),0,
IF(AND(テーブル!$B$3="変更申請",FN$26&gt;=1),FN66,
IF(テーブル!$B$3="実績報告（１次）",FN66,
IF(AND(テーブル!$B$3="交付申請（２次）",FN$26=0),0,
IF(AND(テーブル!$B$3="交付申請（２次）",FN$26&gt;=1),FN66,
IF(AND(テーブル!$B$3="交付申請兼実績報告（２次）",FN$26=0),0,
IF(AND(テーブル!$B$3="交付申請兼実績報告（２次）",FN$26&gt;=1),FN66,
IF(AND(テーブル!$B$3="実績報告（２次）",FN$26=0),0,
IF(AND(テーブル!$B$3="実績報告（２次）",FN$26&gt;=1),FN66)))))))))),0)</f>
        <v>0</v>
      </c>
      <c r="FO36" s="1997">
        <f>IFERROR(
IF(テーブル!$B$3="交付申請",FO66,
IF(AND(テーブル!$B$3="変更申請",FO$26=0),0,
IF(AND(テーブル!$B$3="変更申請",FO$26&gt;=1),FO66,
IF(テーブル!$B$3="実績報告（１次）",FO66,
IF(AND(テーブル!$B$3="交付申請（２次）",FO$26=0),0,
IF(AND(テーブル!$B$3="交付申請（２次）",FO$26&gt;=1),FO66,
IF(AND(テーブル!$B$3="交付申請兼実績報告（２次）",FO$26=0),0,
IF(AND(テーブル!$B$3="交付申請兼実績報告（２次）",FO$26&gt;=1),FO66,
IF(AND(テーブル!$B$3="実績報告（２次）",FO$26=0),0,
IF(AND(テーブル!$B$3="実績報告（２次）",FO$26&gt;=1),FO66)))))))))),0)</f>
        <v>0</v>
      </c>
      <c r="FP36" s="1997">
        <f>IFERROR(
IF(テーブル!$B$3="交付申請",FP66,
IF(AND(テーブル!$B$3="変更申請",FP$26=0),0,
IF(AND(テーブル!$B$3="変更申請",FP$26&gt;=1),FP66,
IF(テーブル!$B$3="実績報告（１次）",FP66,
IF(AND(テーブル!$B$3="交付申請（２次）",FP$26=0),0,
IF(AND(テーブル!$B$3="交付申請（２次）",FP$26&gt;=1),FP66,
IF(AND(テーブル!$B$3="交付申請兼実績報告（２次）",FP$26=0),0,
IF(AND(テーブル!$B$3="交付申請兼実績報告（２次）",FP$26&gt;=1),FP66,
IF(AND(テーブル!$B$3="実績報告（２次）",FP$26=0),0,
IF(AND(テーブル!$B$3="実績報告（２次）",FP$26&gt;=1),FP66)))))))))),0)</f>
        <v>0</v>
      </c>
      <c r="FQ36" s="1997">
        <f>IFERROR(
IF(テーブル!$B$3="交付申請",FQ66,
IF(AND(テーブル!$B$3="変更申請",FQ$26=0),0,
IF(AND(テーブル!$B$3="変更申請",FQ$26&gt;=1),FQ66,
IF(テーブル!$B$3="実績報告（１次）",FQ66,
IF(AND(テーブル!$B$3="交付申請（２次）",FQ$26=0),0,
IF(AND(テーブル!$B$3="交付申請（２次）",FQ$26&gt;=1),FQ66,
IF(AND(テーブル!$B$3="交付申請兼実績報告（２次）",FQ$26=0),0,
IF(AND(テーブル!$B$3="交付申請兼実績報告（２次）",FQ$26&gt;=1),FQ66,
IF(AND(テーブル!$B$3="実績報告（２次）",FQ$26=0),0,
IF(AND(テーブル!$B$3="実績報告（２次）",FQ$26&gt;=1),FQ66)))))))))),0)</f>
        <v>0</v>
      </c>
      <c r="FR36" s="1997">
        <f>IFERROR(
IF(テーブル!$B$3="交付申請",FR66,
IF(AND(テーブル!$B$3="変更申請",FR$26=0),0,
IF(AND(テーブル!$B$3="変更申請",FR$26&gt;=1),FR66,
IF(テーブル!$B$3="実績報告（１次）",FR66,
IF(AND(テーブル!$B$3="交付申請（２次）",FR$26=0),0,
IF(AND(テーブル!$B$3="交付申請（２次）",FR$26&gt;=1),FR66,
IF(AND(テーブル!$B$3="交付申請兼実績報告（２次）",FR$26=0),0,
IF(AND(テーブル!$B$3="交付申請兼実績報告（２次）",FR$26&gt;=1),FR66,
IF(AND(テーブル!$B$3="実績報告（２次）",FR$26=0),0,
IF(AND(テーブル!$B$3="実績報告（２次）",FR$26&gt;=1),FR66)))))))))),0)</f>
        <v>0</v>
      </c>
      <c r="FS36" s="1997">
        <f>IFERROR(
IF(テーブル!$B$3="交付申請",FS66,
IF(AND(テーブル!$B$3="変更申請",FS$26=0),0,
IF(AND(テーブル!$B$3="変更申請",FS$26&gt;=1),FS66,
IF(テーブル!$B$3="実績報告（１次）",FS66,
IF(AND(テーブル!$B$3="交付申請（２次）",FS$26=0),0,
IF(AND(テーブル!$B$3="交付申請（２次）",FS$26&gt;=1),FS66,
IF(AND(テーブル!$B$3="交付申請兼実績報告（２次）",FS$26=0),0,
IF(AND(テーブル!$B$3="交付申請兼実績報告（２次）",FS$26&gt;=1),FS66,
IF(AND(テーブル!$B$3="実績報告（２次）",FS$26=0),0,
IF(AND(テーブル!$B$3="実績報告（２次）",FS$26&gt;=1),FS66)))))))))),0)</f>
        <v>0</v>
      </c>
      <c r="FT36" s="1997">
        <f>IFERROR(
IF(テーブル!$B$3="交付申請",FT66,
IF(AND(テーブル!$B$3="変更申請",FT$26=0),0,
IF(AND(テーブル!$B$3="変更申請",FT$26&gt;=1),FT66,
IF(テーブル!$B$3="実績報告（１次）",FT66,
IF(AND(テーブル!$B$3="交付申請（２次）",FT$26=0),0,
IF(AND(テーブル!$B$3="交付申請（２次）",FT$26&gt;=1),FT66,
IF(AND(テーブル!$B$3="交付申請兼実績報告（２次）",FT$26=0),0,
IF(AND(テーブル!$B$3="交付申請兼実績報告（２次）",FT$26&gt;=1),FT66,
IF(AND(テーブル!$B$3="実績報告（２次）",FT$26=0),0,
IF(AND(テーブル!$B$3="実績報告（２次）",FT$26&gt;=1),FT66)))))))))),0)</f>
        <v>0</v>
      </c>
      <c r="FU36" s="1997">
        <f>IFERROR(
IF(テーブル!$B$3="交付申請",FU66,
IF(AND(テーブル!$B$3="変更申請",FU$26=0),0,
IF(AND(テーブル!$B$3="変更申請",FU$26&gt;=1),FU66,
IF(テーブル!$B$3="実績報告（１次）",FU66,
IF(AND(テーブル!$B$3="交付申請（２次）",FU$26=0),0,
IF(AND(テーブル!$B$3="交付申請（２次）",FU$26&gt;=1),FU66,
IF(AND(テーブル!$B$3="交付申請兼実績報告（２次）",FU$26=0),0,
IF(AND(テーブル!$B$3="交付申請兼実績報告（２次）",FU$26&gt;=1),FU66,
IF(AND(テーブル!$B$3="実績報告（２次）",FU$26=0),0,
IF(AND(テーブル!$B$3="実績報告（２次）",FU$26&gt;=1),FU66)))))))))),0)</f>
        <v>0</v>
      </c>
      <c r="FV36" s="1997">
        <f>IFERROR(
IF(テーブル!$B$3="交付申請",FV66,
IF(AND(テーブル!$B$3="変更申請",FV$26=0),0,
IF(AND(テーブル!$B$3="変更申請",FV$26&gt;=1),FV66,
IF(テーブル!$B$3="実績報告（１次）",FV66,
IF(AND(テーブル!$B$3="交付申請（２次）",FV$26=0),0,
IF(AND(テーブル!$B$3="交付申請（２次）",FV$26&gt;=1),FV66,
IF(AND(テーブル!$B$3="交付申請兼実績報告（２次）",FV$26=0),0,
IF(AND(テーブル!$B$3="交付申請兼実績報告（２次）",FV$26&gt;=1),FV66,
IF(AND(テーブル!$B$3="実績報告（２次）",FV$26=0),0,
IF(AND(テーブル!$B$3="実績報告（２次）",FV$26&gt;=1),FV66)))))))))),0)</f>
        <v>0</v>
      </c>
      <c r="FW36" s="1997">
        <f>IFERROR(
IF(テーブル!$B$3="交付申請",FW66,
IF(AND(テーブル!$B$3="変更申請",FW$26=0),0,
IF(AND(テーブル!$B$3="変更申請",FW$26&gt;=1),FW66,
IF(テーブル!$B$3="実績報告（１次）",FW66,
IF(AND(テーブル!$B$3="交付申請（２次）",FW$26=0),0,
IF(AND(テーブル!$B$3="交付申請（２次）",FW$26&gt;=1),FW66,
IF(AND(テーブル!$B$3="交付申請兼実績報告（２次）",FW$26=0),0,
IF(AND(テーブル!$B$3="交付申請兼実績報告（２次）",FW$26&gt;=1),FW66,
IF(AND(テーブル!$B$3="実績報告（２次）",FW$26=0),0,
IF(AND(テーブル!$B$3="実績報告（２次）",FW$26&gt;=1),FW66)))))))))),0)</f>
        <v>0</v>
      </c>
      <c r="FX36" s="1997">
        <f>IFERROR(
IF(テーブル!$B$3="交付申請",FX66,
IF(AND(テーブル!$B$3="変更申請",FX$26=0),0,
IF(AND(テーブル!$B$3="変更申請",FX$26&gt;=1),FX66,
IF(テーブル!$B$3="実績報告（１次）",FX66,
IF(AND(テーブル!$B$3="交付申請（２次）",FX$26=0),0,
IF(AND(テーブル!$B$3="交付申請（２次）",FX$26&gt;=1),FX66,
IF(AND(テーブル!$B$3="交付申請兼実績報告（２次）",FX$26=0),0,
IF(AND(テーブル!$B$3="交付申請兼実績報告（２次）",FX$26&gt;=1),FX66,
IF(AND(テーブル!$B$3="実績報告（２次）",FX$26=0),0,
IF(AND(テーブル!$B$3="実績報告（２次）",FX$26&gt;=1),FX66)))))))))),0)</f>
        <v>0</v>
      </c>
      <c r="FY36" s="1997">
        <f>IFERROR(
IF(テーブル!$B$3="交付申請",FY66,
IF(AND(テーブル!$B$3="変更申請",FY$26=0),0,
IF(AND(テーブル!$B$3="変更申請",FY$26&gt;=1),FY66,
IF(テーブル!$B$3="実績報告（１次）",FY66,
IF(AND(テーブル!$B$3="交付申請（２次）",FY$26=0),0,
IF(AND(テーブル!$B$3="交付申請（２次）",FY$26&gt;=1),FY66,
IF(AND(テーブル!$B$3="交付申請兼実績報告（２次）",FY$26=0),0,
IF(AND(テーブル!$B$3="交付申請兼実績報告（２次）",FY$26&gt;=1),FY66,
IF(AND(テーブル!$B$3="実績報告（２次）",FY$26=0),0,
IF(AND(テーブル!$B$3="実績報告（２次）",FY$26&gt;=1),FY66)))))))))),0)</f>
        <v>0</v>
      </c>
      <c r="FZ36" s="1997">
        <f>IFERROR(
IF(テーブル!$B$3="交付申請",FZ66,
IF(AND(テーブル!$B$3="変更申請",FZ$26=0),0,
IF(AND(テーブル!$B$3="変更申請",FZ$26&gt;=1),FZ66,
IF(テーブル!$B$3="実績報告（１次）",FZ66,
IF(AND(テーブル!$B$3="交付申請（２次）",FZ$26=0),0,
IF(AND(テーブル!$B$3="交付申請（２次）",FZ$26&gt;=1),FZ66,
IF(AND(テーブル!$B$3="交付申請兼実績報告（２次）",FZ$26=0),0,
IF(AND(テーブル!$B$3="交付申請兼実績報告（２次）",FZ$26&gt;=1),FZ66,
IF(AND(テーブル!$B$3="実績報告（２次）",FZ$26=0),0,
IF(AND(テーブル!$B$3="実績報告（２次）",FZ$26&gt;=1),FZ66)))))))))),0)</f>
        <v>0</v>
      </c>
      <c r="GA36" s="1997">
        <f>IFERROR(
IF(テーブル!$B$3="交付申請",GA66,
IF(AND(テーブル!$B$3="変更申請",GA$26=0),0,
IF(AND(テーブル!$B$3="変更申請",GA$26&gt;=1),GA66,
IF(テーブル!$B$3="実績報告（１次）",GA66,
IF(AND(テーブル!$B$3="交付申請（２次）",GA$26=0),0,
IF(AND(テーブル!$B$3="交付申請（２次）",GA$26&gt;=1),GA66,
IF(AND(テーブル!$B$3="交付申請兼実績報告（２次）",GA$26=0),0,
IF(AND(テーブル!$B$3="交付申請兼実績報告（２次）",GA$26&gt;=1),GA66,
IF(AND(テーブル!$B$3="実績報告（２次）",GA$26=0),0,
IF(AND(テーブル!$B$3="実績報告（２次）",GA$26&gt;=1),GA66)))))))))),0)</f>
        <v>0</v>
      </c>
      <c r="GB36" s="1997">
        <f>IFERROR(
IF(テーブル!$B$3="交付申請",GB66,
IF(AND(テーブル!$B$3="変更申請",GB$26=0),0,
IF(AND(テーブル!$B$3="変更申請",GB$26&gt;=1),GB66,
IF(テーブル!$B$3="実績報告（１次）",GB66,
IF(AND(テーブル!$B$3="交付申請（２次）",GB$26=0),0,
IF(AND(テーブル!$B$3="交付申請（２次）",GB$26&gt;=1),GB66,
IF(AND(テーブル!$B$3="交付申請兼実績報告（２次）",GB$26=0),0,
IF(AND(テーブル!$B$3="交付申請兼実績報告（２次）",GB$26&gt;=1),GB66,
IF(AND(テーブル!$B$3="実績報告（２次）",GB$26=0),0,
IF(AND(テーブル!$B$3="実績報告（２次）",GB$26&gt;=1),GB66)))))))))),0)</f>
        <v>0</v>
      </c>
      <c r="GC36" s="1997">
        <f>IFERROR(
IF(テーブル!$B$3="交付申請",GC66,
IF(AND(テーブル!$B$3="変更申請",GC$26=0),0,
IF(AND(テーブル!$B$3="変更申請",GC$26&gt;=1),GC66,
IF(テーブル!$B$3="実績報告（１次）",GC66,
IF(AND(テーブル!$B$3="交付申請（２次）",GC$26=0),0,
IF(AND(テーブル!$B$3="交付申請（２次）",GC$26&gt;=1),GC66,
IF(AND(テーブル!$B$3="交付申請兼実績報告（２次）",GC$26=0),0,
IF(AND(テーブル!$B$3="交付申請兼実績報告（２次）",GC$26&gt;=1),GC66,
IF(AND(テーブル!$B$3="実績報告（２次）",GC$26=0),0,
IF(AND(テーブル!$B$3="実績報告（２次）",GC$26&gt;=1),GC66)))))))))),0)</f>
        <v>0</v>
      </c>
      <c r="GD36" s="1997">
        <f>IFERROR(
IF(テーブル!$B$3="交付申請",GD66,
IF(AND(テーブル!$B$3="変更申請",GD$26=0),0,
IF(AND(テーブル!$B$3="変更申請",GD$26&gt;=1),GD66,
IF(テーブル!$B$3="実績報告（１次）",GD66,
IF(AND(テーブル!$B$3="交付申請（２次）",GD$26=0),0,
IF(AND(テーブル!$B$3="交付申請（２次）",GD$26&gt;=1),GD66,
IF(AND(テーブル!$B$3="交付申請兼実績報告（２次）",GD$26=0),0,
IF(AND(テーブル!$B$3="交付申請兼実績報告（２次）",GD$26&gt;=1),GD66,
IF(AND(テーブル!$B$3="実績報告（２次）",GD$26=0),0,
IF(AND(テーブル!$B$3="実績報告（２次）",GD$26&gt;=1),GD66)))))))))),0)</f>
        <v>0</v>
      </c>
      <c r="GE36" s="1997">
        <f>IFERROR(
IF(テーブル!$B$3="交付申請",GE66,
IF(AND(テーブル!$B$3="変更申請",GE$26=0),0,
IF(AND(テーブル!$B$3="変更申請",GE$26&gt;=1),GE66,
IF(テーブル!$B$3="実績報告（１次）",GE66,
IF(AND(テーブル!$B$3="交付申請（２次）",GE$26=0),0,
IF(AND(テーブル!$B$3="交付申請（２次）",GE$26&gt;=1),GE66,
IF(AND(テーブル!$B$3="交付申請兼実績報告（２次）",GE$26=0),0,
IF(AND(テーブル!$B$3="交付申請兼実績報告（２次）",GE$26&gt;=1),GE66,
IF(AND(テーブル!$B$3="実績報告（２次）",GE$26=0),0,
IF(AND(テーブル!$B$3="実績報告（２次）",GE$26&gt;=1),GE66)))))))))),0)</f>
        <v>0</v>
      </c>
      <c r="GF36" s="2019">
        <f>IFERROR(
IF(テーブル!$B$3="交付申請",GF66,
IF(AND(テーブル!$B$3="変更申請",GF$26=0),0,
IF(AND(テーブル!$B$3="変更申請",GF$26&gt;=1),GF66,
IF(テーブル!$B$3="実績報告（１次）",GF66,
IF(AND(テーブル!$B$3="交付申請（２次）",GF$26=0),0,
IF(AND(テーブル!$B$3="交付申請（２次）",GF$26&gt;=1),GF66,
IF(AND(テーブル!$B$3="交付申請兼実績報告（２次）",GF$26=0),0,
IF(AND(テーブル!$B$3="交付申請兼実績報告（２次）",GF$26&gt;=1),GF66,
IF(AND(テーブル!$B$3="実績報告（２次）",GF$26=0),0,
IF(AND(テーブル!$B$3="実績報告（２次）",GF$26&gt;=1),GF66)))))))))),0)</f>
        <v>0</v>
      </c>
      <c r="GG36" s="2006"/>
    </row>
    <row r="37" spans="1:189" s="638" customFormat="1" ht="18.75" x14ac:dyDescent="0.4">
      <c r="A37" s="2003"/>
      <c r="B37" s="2018" t="s">
        <v>1210</v>
      </c>
      <c r="C37" s="1690">
        <f t="shared" si="21"/>
        <v>0</v>
      </c>
      <c r="D37" s="1691"/>
      <c r="E37" s="637"/>
      <c r="F37" s="1997">
        <f>IFERROR(
IF(テーブル!$B$3="交付申請",F69,
IF(AND(テーブル!$B$3="変更申請",F$26=0),0,
IF(AND(テーブル!$B$3="変更申請",F$26&gt;=1),F69,
IF(テーブル!$B$3="実績報告（１次）",F69,
IF(AND(テーブル!$B$3="交付申請（２次）",F$26=0),0,
IF(AND(テーブル!$B$3="交付申請（２次）",F$26&gt;=1),F69,
IF(AND(テーブル!$B$3="交付申請兼実績報告（２次）",F$26=0),0,
IF(AND(テーブル!$B$3="交付申請兼実績報告（２次）",F$26&gt;=1),F69,
IF(AND(テーブル!$B$3="実績報告（２次）",F$26=0),0,
IF(AND(テーブル!$B$3="実績報告（２次）",F$26&gt;=1),F69)))))))))),0)</f>
        <v>0</v>
      </c>
      <c r="G37" s="1997">
        <f>IFERROR(
IF(テーブル!$B$3="交付申請",G69,
IF(AND(テーブル!$B$3="変更申請",G$26=0),0,
IF(AND(テーブル!$B$3="変更申請",G$26&gt;=1),G69,
IF(テーブル!$B$3="実績報告（１次）",G69,
IF(AND(テーブル!$B$3="交付申請（２次）",G$26=0),0,
IF(AND(テーブル!$B$3="交付申請（２次）",G$26&gt;=1),G69,
IF(AND(テーブル!$B$3="交付申請兼実績報告（２次）",G$26=0),0,
IF(AND(テーブル!$B$3="交付申請兼実績報告（２次）",G$26&gt;=1),G69,
IF(AND(テーブル!$B$3="実績報告（２次）",G$26=0),0,
IF(AND(テーブル!$B$3="実績報告（２次）",G$26&gt;=1),G69)))))))))),0)</f>
        <v>0</v>
      </c>
      <c r="H37" s="1997">
        <f>IFERROR(
IF(テーブル!$B$3="交付申請",H69,
IF(AND(テーブル!$B$3="変更申請",H$26=0),0,
IF(AND(テーブル!$B$3="変更申請",H$26&gt;=1),H69,
IF(テーブル!$B$3="実績報告（１次）",H69,
IF(AND(テーブル!$B$3="交付申請（２次）",H$26=0),0,
IF(AND(テーブル!$B$3="交付申請（２次）",H$26&gt;=1),H69,
IF(AND(テーブル!$B$3="交付申請兼実績報告（２次）",H$26=0),0,
IF(AND(テーブル!$B$3="交付申請兼実績報告（２次）",H$26&gt;=1),H69,
IF(AND(テーブル!$B$3="実績報告（２次）",H$26=0),0,
IF(AND(テーブル!$B$3="実績報告（２次）",H$26&gt;=1),H69)))))))))),0)</f>
        <v>0</v>
      </c>
      <c r="I37" s="1997">
        <f>IFERROR(
IF(テーブル!$B$3="交付申請",I69,
IF(AND(テーブル!$B$3="変更申請",I$26=0),0,
IF(AND(テーブル!$B$3="変更申請",I$26&gt;=1),I69,
IF(テーブル!$B$3="実績報告（１次）",I69,
IF(AND(テーブル!$B$3="交付申請（２次）",I$26=0),0,
IF(AND(テーブル!$B$3="交付申請（２次）",I$26&gt;=1),I69,
IF(AND(テーブル!$B$3="交付申請兼実績報告（２次）",I$26=0),0,
IF(AND(テーブル!$B$3="交付申請兼実績報告（２次）",I$26&gt;=1),I69,
IF(AND(テーブル!$B$3="実績報告（２次）",I$26=0),0,
IF(AND(テーブル!$B$3="実績報告（２次）",I$26&gt;=1),I69)))))))))),0)</f>
        <v>0</v>
      </c>
      <c r="J37" s="1997">
        <f>IFERROR(
IF(テーブル!$B$3="交付申請",J69,
IF(AND(テーブル!$B$3="変更申請",J$26=0),0,
IF(AND(テーブル!$B$3="変更申請",J$26&gt;=1),J69,
IF(テーブル!$B$3="実績報告（１次）",J69,
IF(AND(テーブル!$B$3="交付申請（２次）",J$26=0),0,
IF(AND(テーブル!$B$3="交付申請（２次）",J$26&gt;=1),J69,
IF(AND(テーブル!$B$3="交付申請兼実績報告（２次）",J$26=0),0,
IF(AND(テーブル!$B$3="交付申請兼実績報告（２次）",J$26&gt;=1),J69,
IF(AND(テーブル!$B$3="実績報告（２次）",J$26=0),0,
IF(AND(テーブル!$B$3="実績報告（２次）",J$26&gt;=1),J69)))))))))),0)</f>
        <v>0</v>
      </c>
      <c r="K37" s="1997">
        <f>IFERROR(
IF(テーブル!$B$3="交付申請",K69,
IF(AND(テーブル!$B$3="変更申請",K$26=0),0,
IF(AND(テーブル!$B$3="変更申請",K$26&gt;=1),K69,
IF(テーブル!$B$3="実績報告（１次）",K69,
IF(AND(テーブル!$B$3="交付申請（２次）",K$26=0),0,
IF(AND(テーブル!$B$3="交付申請（２次）",K$26&gt;=1),K69,
IF(AND(テーブル!$B$3="交付申請兼実績報告（２次）",K$26=0),0,
IF(AND(テーブル!$B$3="交付申請兼実績報告（２次）",K$26&gt;=1),K69,
IF(AND(テーブル!$B$3="実績報告（２次）",K$26=0),0,
IF(AND(テーブル!$B$3="実績報告（２次）",K$26&gt;=1),K69)))))))))),0)</f>
        <v>0</v>
      </c>
      <c r="L37" s="1997">
        <f>IFERROR(
IF(テーブル!$B$3="交付申請",L69,
IF(AND(テーブル!$B$3="変更申請",L$26=0),0,
IF(AND(テーブル!$B$3="変更申請",L$26&gt;=1),L69,
IF(テーブル!$B$3="実績報告（１次）",L69,
IF(AND(テーブル!$B$3="交付申請（２次）",L$26=0),0,
IF(AND(テーブル!$B$3="交付申請（２次）",L$26&gt;=1),L69,
IF(AND(テーブル!$B$3="交付申請兼実績報告（２次）",L$26=0),0,
IF(AND(テーブル!$B$3="交付申請兼実績報告（２次）",L$26&gt;=1),L69,
IF(AND(テーブル!$B$3="実績報告（２次）",L$26=0),0,
IF(AND(テーブル!$B$3="実績報告（２次）",L$26&gt;=1),L69)))))))))),0)</f>
        <v>0</v>
      </c>
      <c r="M37" s="1997">
        <f>IFERROR(
IF(テーブル!$B$3="交付申請",M69,
IF(AND(テーブル!$B$3="変更申請",M$26=0),0,
IF(AND(テーブル!$B$3="変更申請",M$26&gt;=1),M69,
IF(テーブル!$B$3="実績報告（１次）",M69,
IF(AND(テーブル!$B$3="交付申請（２次）",M$26=0),0,
IF(AND(テーブル!$B$3="交付申請（２次）",M$26&gt;=1),M69,
IF(AND(テーブル!$B$3="交付申請兼実績報告（２次）",M$26=0),0,
IF(AND(テーブル!$B$3="交付申請兼実績報告（２次）",M$26&gt;=1),M69,
IF(AND(テーブル!$B$3="実績報告（２次）",M$26=0),0,
IF(AND(テーブル!$B$3="実績報告（２次）",M$26&gt;=1),M69)))))))))),0)</f>
        <v>0</v>
      </c>
      <c r="N37" s="1997">
        <f>IFERROR(
IF(テーブル!$B$3="交付申請",N69,
IF(AND(テーブル!$B$3="変更申請",N$26=0),0,
IF(AND(テーブル!$B$3="変更申請",N$26&gt;=1),N69,
IF(テーブル!$B$3="実績報告（１次）",N69,
IF(AND(テーブル!$B$3="交付申請（２次）",N$26=0),0,
IF(AND(テーブル!$B$3="交付申請（２次）",N$26&gt;=1),N69,
IF(AND(テーブル!$B$3="交付申請兼実績報告（２次）",N$26=0),0,
IF(AND(テーブル!$B$3="交付申請兼実績報告（２次）",N$26&gt;=1),N69,
IF(AND(テーブル!$B$3="実績報告（２次）",N$26=0),0,
IF(AND(テーブル!$B$3="実績報告（２次）",N$26&gt;=1),N69)))))))))),0)</f>
        <v>0</v>
      </c>
      <c r="O37" s="1997">
        <f>IFERROR(
IF(テーブル!$B$3="交付申請",O69,
IF(AND(テーブル!$B$3="変更申請",O$26=0),0,
IF(AND(テーブル!$B$3="変更申請",O$26&gt;=1),O69,
IF(テーブル!$B$3="実績報告（１次）",O69,
IF(AND(テーブル!$B$3="交付申請（２次）",O$26=0),0,
IF(AND(テーブル!$B$3="交付申請（２次）",O$26&gt;=1),O69,
IF(AND(テーブル!$B$3="交付申請兼実績報告（２次）",O$26=0),0,
IF(AND(テーブル!$B$3="交付申請兼実績報告（２次）",O$26&gt;=1),O69,
IF(AND(テーブル!$B$3="実績報告（２次）",O$26=0),0,
IF(AND(テーブル!$B$3="実績報告（２次）",O$26&gt;=1),O69)))))))))),0)</f>
        <v>0</v>
      </c>
      <c r="P37" s="1997">
        <f>IFERROR(
IF(テーブル!$B$3="交付申請",P69,
IF(AND(テーブル!$B$3="変更申請",P$26=0),0,
IF(AND(テーブル!$B$3="変更申請",P$26&gt;=1),P69,
IF(テーブル!$B$3="実績報告（１次）",P69,
IF(AND(テーブル!$B$3="交付申請（２次）",P$26=0),0,
IF(AND(テーブル!$B$3="交付申請（２次）",P$26&gt;=1),P69,
IF(AND(テーブル!$B$3="交付申請兼実績報告（２次）",P$26=0),0,
IF(AND(テーブル!$B$3="交付申請兼実績報告（２次）",P$26&gt;=1),P69,
IF(AND(テーブル!$B$3="実績報告（２次）",P$26=0),0,
IF(AND(テーブル!$B$3="実績報告（２次）",P$26&gt;=1),P69)))))))))),0)</f>
        <v>0</v>
      </c>
      <c r="Q37" s="1997">
        <f>IFERROR(
IF(テーブル!$B$3="交付申請",Q69,
IF(AND(テーブル!$B$3="変更申請",Q$26=0),0,
IF(AND(テーブル!$B$3="変更申請",Q$26&gt;=1),Q69,
IF(テーブル!$B$3="実績報告（１次）",Q69,
IF(AND(テーブル!$B$3="交付申請（２次）",Q$26=0),0,
IF(AND(テーブル!$B$3="交付申請（２次）",Q$26&gt;=1),Q69,
IF(AND(テーブル!$B$3="交付申請兼実績報告（２次）",Q$26=0),0,
IF(AND(テーブル!$B$3="交付申請兼実績報告（２次）",Q$26&gt;=1),Q69,
IF(AND(テーブル!$B$3="実績報告（２次）",Q$26=0),0,
IF(AND(テーブル!$B$3="実績報告（２次）",Q$26&gt;=1),Q69)))))))))),0)</f>
        <v>0</v>
      </c>
      <c r="R37" s="1997">
        <f>IFERROR(
IF(テーブル!$B$3="交付申請",R69,
IF(AND(テーブル!$B$3="変更申請",R$26=0),0,
IF(AND(テーブル!$B$3="変更申請",R$26&gt;=1),R69,
IF(テーブル!$B$3="実績報告（１次）",R69,
IF(AND(テーブル!$B$3="交付申請（２次）",R$26=0),0,
IF(AND(テーブル!$B$3="交付申請（２次）",R$26&gt;=1),R69,
IF(AND(テーブル!$B$3="交付申請兼実績報告（２次）",R$26=0),0,
IF(AND(テーブル!$B$3="交付申請兼実績報告（２次）",R$26&gt;=1),R69,
IF(AND(テーブル!$B$3="実績報告（２次）",R$26=0),0,
IF(AND(テーブル!$B$3="実績報告（２次）",R$26&gt;=1),R69)))))))))),0)</f>
        <v>0</v>
      </c>
      <c r="S37" s="1997">
        <f>IFERROR(
IF(テーブル!$B$3="交付申請",S69,
IF(AND(テーブル!$B$3="変更申請",S$26=0),0,
IF(AND(テーブル!$B$3="変更申請",S$26&gt;=1),S69,
IF(テーブル!$B$3="実績報告（１次）",S69,
IF(AND(テーブル!$B$3="交付申請（２次）",S$26=0),0,
IF(AND(テーブル!$B$3="交付申請（２次）",S$26&gt;=1),S69,
IF(AND(テーブル!$B$3="交付申請兼実績報告（２次）",S$26=0),0,
IF(AND(テーブル!$B$3="交付申請兼実績報告（２次）",S$26&gt;=1),S69,
IF(AND(テーブル!$B$3="実績報告（２次）",S$26=0),0,
IF(AND(テーブル!$B$3="実績報告（２次）",S$26&gt;=1),S69)))))))))),0)</f>
        <v>0</v>
      </c>
      <c r="T37" s="1997">
        <f>IFERROR(
IF(テーブル!$B$3="交付申請",T69,
IF(AND(テーブル!$B$3="変更申請",T$26=0),0,
IF(AND(テーブル!$B$3="変更申請",T$26&gt;=1),T69,
IF(テーブル!$B$3="実績報告（１次）",T69,
IF(AND(テーブル!$B$3="交付申請（２次）",T$26=0),0,
IF(AND(テーブル!$B$3="交付申請（２次）",T$26&gt;=1),T69,
IF(AND(テーブル!$B$3="交付申請兼実績報告（２次）",T$26=0),0,
IF(AND(テーブル!$B$3="交付申請兼実績報告（２次）",T$26&gt;=1),T69,
IF(AND(テーブル!$B$3="実績報告（２次）",T$26=0),0,
IF(AND(テーブル!$B$3="実績報告（２次）",T$26&gt;=1),T69)))))))))),0)</f>
        <v>0</v>
      </c>
      <c r="U37" s="1997">
        <f>IFERROR(
IF(テーブル!$B$3="交付申請",U69,
IF(AND(テーブル!$B$3="変更申請",U$26=0),0,
IF(AND(テーブル!$B$3="変更申請",U$26&gt;=1),U69,
IF(テーブル!$B$3="実績報告（１次）",U69,
IF(AND(テーブル!$B$3="交付申請（２次）",U$26=0),0,
IF(AND(テーブル!$B$3="交付申請（２次）",U$26&gt;=1),U69,
IF(AND(テーブル!$B$3="交付申請兼実績報告（２次）",U$26=0),0,
IF(AND(テーブル!$B$3="交付申請兼実績報告（２次）",U$26&gt;=1),U69,
IF(AND(テーブル!$B$3="実績報告（２次）",U$26=0),0,
IF(AND(テーブル!$B$3="実績報告（２次）",U$26&gt;=1),U69)))))))))),0)</f>
        <v>0</v>
      </c>
      <c r="V37" s="1997">
        <f>IFERROR(
IF(テーブル!$B$3="交付申請",V69,
IF(AND(テーブル!$B$3="変更申請",V$26=0),0,
IF(AND(テーブル!$B$3="変更申請",V$26&gt;=1),V69,
IF(テーブル!$B$3="実績報告（１次）",V69,
IF(AND(テーブル!$B$3="交付申請（２次）",V$26=0),0,
IF(AND(テーブル!$B$3="交付申請（２次）",V$26&gt;=1),V69,
IF(AND(テーブル!$B$3="交付申請兼実績報告（２次）",V$26=0),0,
IF(AND(テーブル!$B$3="交付申請兼実績報告（２次）",V$26&gt;=1),V69,
IF(AND(テーブル!$B$3="実績報告（２次）",V$26=0),0,
IF(AND(テーブル!$B$3="実績報告（２次）",V$26&gt;=1),V69)))))))))),0)</f>
        <v>0</v>
      </c>
      <c r="W37" s="1997">
        <f>IFERROR(
IF(テーブル!$B$3="交付申請",W69,
IF(AND(テーブル!$B$3="変更申請",W$26=0),0,
IF(AND(テーブル!$B$3="変更申請",W$26&gt;=1),W69,
IF(テーブル!$B$3="実績報告（１次）",W69,
IF(AND(テーブル!$B$3="交付申請（２次）",W$26=0),0,
IF(AND(テーブル!$B$3="交付申請（２次）",W$26&gt;=1),W69,
IF(AND(テーブル!$B$3="交付申請兼実績報告（２次）",W$26=0),0,
IF(AND(テーブル!$B$3="交付申請兼実績報告（２次）",W$26&gt;=1),W69,
IF(AND(テーブル!$B$3="実績報告（２次）",W$26=0),0,
IF(AND(テーブル!$B$3="実績報告（２次）",W$26&gt;=1),W69)))))))))),0)</f>
        <v>0</v>
      </c>
      <c r="X37" s="1997">
        <f>IFERROR(
IF(テーブル!$B$3="交付申請",X69,
IF(AND(テーブル!$B$3="変更申請",X$26=0),0,
IF(AND(テーブル!$B$3="変更申請",X$26&gt;=1),X69,
IF(テーブル!$B$3="実績報告（１次）",X69,
IF(AND(テーブル!$B$3="交付申請（２次）",X$26=0),0,
IF(AND(テーブル!$B$3="交付申請（２次）",X$26&gt;=1),X69,
IF(AND(テーブル!$B$3="交付申請兼実績報告（２次）",X$26=0),0,
IF(AND(テーブル!$B$3="交付申請兼実績報告（２次）",X$26&gt;=1),X69,
IF(AND(テーブル!$B$3="実績報告（２次）",X$26=0),0,
IF(AND(テーブル!$B$3="実績報告（２次）",X$26&gt;=1),X69)))))))))),0)</f>
        <v>0</v>
      </c>
      <c r="Y37" s="1997">
        <f>IFERROR(
IF(テーブル!$B$3="交付申請",Y69,
IF(AND(テーブル!$B$3="変更申請",Y$26=0),0,
IF(AND(テーブル!$B$3="変更申請",Y$26&gt;=1),Y69,
IF(テーブル!$B$3="実績報告（１次）",Y69,
IF(AND(テーブル!$B$3="交付申請（２次）",Y$26=0),0,
IF(AND(テーブル!$B$3="交付申請（２次）",Y$26&gt;=1),Y69,
IF(AND(テーブル!$B$3="交付申請兼実績報告（２次）",Y$26=0),0,
IF(AND(テーブル!$B$3="交付申請兼実績報告（２次）",Y$26&gt;=1),Y69,
IF(AND(テーブル!$B$3="実績報告（２次）",Y$26=0),0,
IF(AND(テーブル!$B$3="実績報告（２次）",Y$26&gt;=1),Y69)))))))))),0)</f>
        <v>0</v>
      </c>
      <c r="Z37" s="1997">
        <f>IFERROR(
IF(テーブル!$B$3="交付申請",Z69,
IF(AND(テーブル!$B$3="変更申請",Z$26=0),0,
IF(AND(テーブル!$B$3="変更申請",Z$26&gt;=1),Z69,
IF(テーブル!$B$3="実績報告（１次）",Z69,
IF(AND(テーブル!$B$3="交付申請（２次）",Z$26=0),0,
IF(AND(テーブル!$B$3="交付申請（２次）",Z$26&gt;=1),Z69,
IF(AND(テーブル!$B$3="交付申請兼実績報告（２次）",Z$26=0),0,
IF(AND(テーブル!$B$3="交付申請兼実績報告（２次）",Z$26&gt;=1),Z69,
IF(AND(テーブル!$B$3="実績報告（２次）",Z$26=0),0,
IF(AND(テーブル!$B$3="実績報告（２次）",Z$26&gt;=1),Z69)))))))))),0)</f>
        <v>0</v>
      </c>
      <c r="AA37" s="1997">
        <f>IFERROR(
IF(テーブル!$B$3="交付申請",AA69,
IF(AND(テーブル!$B$3="変更申請",AA$26=0),0,
IF(AND(テーブル!$B$3="変更申請",AA$26&gt;=1),AA69,
IF(テーブル!$B$3="実績報告（１次）",AA69,
IF(AND(テーブル!$B$3="交付申請（２次）",AA$26=0),0,
IF(AND(テーブル!$B$3="交付申請（２次）",AA$26&gt;=1),AA69,
IF(AND(テーブル!$B$3="交付申請兼実績報告（２次）",AA$26=0),0,
IF(AND(テーブル!$B$3="交付申請兼実績報告（２次）",AA$26&gt;=1),AA69,
IF(AND(テーブル!$B$3="実績報告（２次）",AA$26=0),0,
IF(AND(テーブル!$B$3="実績報告（２次）",AA$26&gt;=1),AA69)))))))))),0)</f>
        <v>0</v>
      </c>
      <c r="AB37" s="1997">
        <f>IFERROR(
IF(テーブル!$B$3="交付申請",AB69,
IF(AND(テーブル!$B$3="変更申請",AB$26=0),0,
IF(AND(テーブル!$B$3="変更申請",AB$26&gt;=1),AB69,
IF(テーブル!$B$3="実績報告（１次）",AB69,
IF(AND(テーブル!$B$3="交付申請（２次）",AB$26=0),0,
IF(AND(テーブル!$B$3="交付申請（２次）",AB$26&gt;=1),AB69,
IF(AND(テーブル!$B$3="交付申請兼実績報告（２次）",AB$26=0),0,
IF(AND(テーブル!$B$3="交付申請兼実績報告（２次）",AB$26&gt;=1),AB69,
IF(AND(テーブル!$B$3="実績報告（２次）",AB$26=0),0,
IF(AND(テーブル!$B$3="実績報告（２次）",AB$26&gt;=1),AB69)))))))))),0)</f>
        <v>0</v>
      </c>
      <c r="AC37" s="1997">
        <f>IFERROR(
IF(テーブル!$B$3="交付申請",AC69,
IF(AND(テーブル!$B$3="変更申請",AC$26=0),0,
IF(AND(テーブル!$B$3="変更申請",AC$26&gt;=1),AC69,
IF(テーブル!$B$3="実績報告（１次）",AC69,
IF(AND(テーブル!$B$3="交付申請（２次）",AC$26=0),0,
IF(AND(テーブル!$B$3="交付申請（２次）",AC$26&gt;=1),AC69,
IF(AND(テーブル!$B$3="交付申請兼実績報告（２次）",AC$26=0),0,
IF(AND(テーブル!$B$3="交付申請兼実績報告（２次）",AC$26&gt;=1),AC69,
IF(AND(テーブル!$B$3="実績報告（２次）",AC$26=0),0,
IF(AND(テーブル!$B$3="実績報告（２次）",AC$26&gt;=1),AC69)))))))))),0)</f>
        <v>0</v>
      </c>
      <c r="AD37" s="1997">
        <f>IFERROR(
IF(テーブル!$B$3="交付申請",AD69,
IF(AND(テーブル!$B$3="変更申請",AD$26=0),0,
IF(AND(テーブル!$B$3="変更申請",AD$26&gt;=1),AD69,
IF(テーブル!$B$3="実績報告（１次）",AD69,
IF(AND(テーブル!$B$3="交付申請（２次）",AD$26=0),0,
IF(AND(テーブル!$B$3="交付申請（２次）",AD$26&gt;=1),AD69,
IF(AND(テーブル!$B$3="交付申請兼実績報告（２次）",AD$26=0),0,
IF(AND(テーブル!$B$3="交付申請兼実績報告（２次）",AD$26&gt;=1),AD69,
IF(AND(テーブル!$B$3="実績報告（２次）",AD$26=0),0,
IF(AND(テーブル!$B$3="実績報告（２次）",AD$26&gt;=1),AD69)))))))))),0)</f>
        <v>0</v>
      </c>
      <c r="AE37" s="1997">
        <f>IFERROR(
IF(テーブル!$B$3="交付申請",AE69,
IF(AND(テーブル!$B$3="変更申請",AE$26=0),0,
IF(AND(テーブル!$B$3="変更申請",AE$26&gt;=1),AE69,
IF(テーブル!$B$3="実績報告（１次）",AE69,
IF(AND(テーブル!$B$3="交付申請（２次）",AE$26=0),0,
IF(AND(テーブル!$B$3="交付申請（２次）",AE$26&gt;=1),AE69,
IF(AND(テーブル!$B$3="交付申請兼実績報告（２次）",AE$26=0),0,
IF(AND(テーブル!$B$3="交付申請兼実績報告（２次）",AE$26&gt;=1),AE69,
IF(AND(テーブル!$B$3="実績報告（２次）",AE$26=0),0,
IF(AND(テーブル!$B$3="実績報告（２次）",AE$26&gt;=1),AE69)))))))))),0)</f>
        <v>0</v>
      </c>
      <c r="AF37" s="1997">
        <f>IFERROR(
IF(テーブル!$B$3="交付申請",AF69,
IF(AND(テーブル!$B$3="変更申請",AF$26=0),0,
IF(AND(テーブル!$B$3="変更申請",AF$26&gt;=1),AF69,
IF(テーブル!$B$3="実績報告（１次）",AF69,
IF(AND(テーブル!$B$3="交付申請（２次）",AF$26=0),0,
IF(AND(テーブル!$B$3="交付申請（２次）",AF$26&gt;=1),AF69,
IF(AND(テーブル!$B$3="交付申請兼実績報告（２次）",AF$26=0),0,
IF(AND(テーブル!$B$3="交付申請兼実績報告（２次）",AF$26&gt;=1),AF69,
IF(AND(テーブル!$B$3="実績報告（２次）",AF$26=0),0,
IF(AND(テーブル!$B$3="実績報告（２次）",AF$26&gt;=1),AF69)))))))))),0)</f>
        <v>0</v>
      </c>
      <c r="AG37" s="1997">
        <f>IFERROR(
IF(テーブル!$B$3="交付申請",AG69,
IF(AND(テーブル!$B$3="変更申請",AG$26=0),0,
IF(AND(テーブル!$B$3="変更申請",AG$26&gt;=1),AG69,
IF(テーブル!$B$3="実績報告（１次）",AG69,
IF(AND(テーブル!$B$3="交付申請（２次）",AG$26=0),0,
IF(AND(テーブル!$B$3="交付申請（２次）",AG$26&gt;=1),AG69,
IF(AND(テーブル!$B$3="交付申請兼実績報告（２次）",AG$26=0),0,
IF(AND(テーブル!$B$3="交付申請兼実績報告（２次）",AG$26&gt;=1),AG69,
IF(AND(テーブル!$B$3="実績報告（２次）",AG$26=0),0,
IF(AND(テーブル!$B$3="実績報告（２次）",AG$26&gt;=1),AG69)))))))))),0)</f>
        <v>0</v>
      </c>
      <c r="AH37" s="1997">
        <f>IFERROR(
IF(テーブル!$B$3="交付申請",AH69,
IF(AND(テーブル!$B$3="変更申請",AH$26=0),0,
IF(AND(テーブル!$B$3="変更申請",AH$26&gt;=1),AH69,
IF(テーブル!$B$3="実績報告（１次）",AH69,
IF(AND(テーブル!$B$3="交付申請（２次）",AH$26=0),0,
IF(AND(テーブル!$B$3="交付申請（２次）",AH$26&gt;=1),AH69,
IF(AND(テーブル!$B$3="交付申請兼実績報告（２次）",AH$26=0),0,
IF(AND(テーブル!$B$3="交付申請兼実績報告（２次）",AH$26&gt;=1),AH69,
IF(AND(テーブル!$B$3="実績報告（２次）",AH$26=0),0,
IF(AND(テーブル!$B$3="実績報告（２次）",AH$26&gt;=1),AH69)))))))))),0)</f>
        <v>0</v>
      </c>
      <c r="AI37" s="1997">
        <f>IFERROR(
IF(テーブル!$B$3="交付申請",AI69,
IF(AND(テーブル!$B$3="変更申請",AI$26=0),0,
IF(AND(テーブル!$B$3="変更申請",AI$26&gt;=1),AI69,
IF(テーブル!$B$3="実績報告（１次）",AI69,
IF(AND(テーブル!$B$3="交付申請（２次）",AI$26=0),0,
IF(AND(テーブル!$B$3="交付申請（２次）",AI$26&gt;=1),AI69,
IF(AND(テーブル!$B$3="交付申請兼実績報告（２次）",AI$26=0),0,
IF(AND(テーブル!$B$3="交付申請兼実績報告（２次）",AI$26&gt;=1),AI69,
IF(AND(テーブル!$B$3="実績報告（２次）",AI$26=0),0,
IF(AND(テーブル!$B$3="実績報告（２次）",AI$26&gt;=1),AI69)))))))))),0)</f>
        <v>0</v>
      </c>
      <c r="AJ37" s="1997">
        <f>IFERROR(
IF(テーブル!$B$3="交付申請",AJ69,
IF(AND(テーブル!$B$3="変更申請",AJ$26=0),0,
IF(AND(テーブル!$B$3="変更申請",AJ$26&gt;=1),AJ69,
IF(テーブル!$B$3="実績報告（１次）",AJ69,
IF(AND(テーブル!$B$3="交付申請（２次）",AJ$26=0),0,
IF(AND(テーブル!$B$3="交付申請（２次）",AJ$26&gt;=1),AJ69,
IF(AND(テーブル!$B$3="交付申請兼実績報告（２次）",AJ$26=0),0,
IF(AND(テーブル!$B$3="交付申請兼実績報告（２次）",AJ$26&gt;=1),AJ69,
IF(AND(テーブル!$B$3="実績報告（２次）",AJ$26=0),0,
IF(AND(テーブル!$B$3="実績報告（２次）",AJ$26&gt;=1),AJ69)))))))))),0)</f>
        <v>0</v>
      </c>
      <c r="AK37" s="1997">
        <f>IFERROR(
IF(テーブル!$B$3="交付申請",AK69,
IF(AND(テーブル!$B$3="変更申請",AK$26=0),0,
IF(AND(テーブル!$B$3="変更申請",AK$26&gt;=1),AK69,
IF(テーブル!$B$3="実績報告（１次）",AK69,
IF(AND(テーブル!$B$3="交付申請（２次）",AK$26=0),0,
IF(AND(テーブル!$B$3="交付申請（２次）",AK$26&gt;=1),AK69,
IF(AND(テーブル!$B$3="交付申請兼実績報告（２次）",AK$26=0),0,
IF(AND(テーブル!$B$3="交付申請兼実績報告（２次）",AK$26&gt;=1),AK69,
IF(AND(テーブル!$B$3="実績報告（２次）",AK$26=0),0,
IF(AND(テーブル!$B$3="実績報告（２次）",AK$26&gt;=1),AK69)))))))))),0)</f>
        <v>0</v>
      </c>
      <c r="AL37" s="1997">
        <f>IFERROR(
IF(テーブル!$B$3="交付申請",AL69,
IF(AND(テーブル!$B$3="変更申請",AL$26=0),0,
IF(AND(テーブル!$B$3="変更申請",AL$26&gt;=1),AL69,
IF(テーブル!$B$3="実績報告（１次）",AL69,
IF(AND(テーブル!$B$3="交付申請（２次）",AL$26=0),0,
IF(AND(テーブル!$B$3="交付申請（２次）",AL$26&gt;=1),AL69,
IF(AND(テーブル!$B$3="交付申請兼実績報告（２次）",AL$26=0),0,
IF(AND(テーブル!$B$3="交付申請兼実績報告（２次）",AL$26&gt;=1),AL69,
IF(AND(テーブル!$B$3="実績報告（２次）",AL$26=0),0,
IF(AND(テーブル!$B$3="実績報告（２次）",AL$26&gt;=1),AL69)))))))))),0)</f>
        <v>0</v>
      </c>
      <c r="AM37" s="1997">
        <f>IFERROR(
IF(テーブル!$B$3="交付申請",AM69,
IF(AND(テーブル!$B$3="変更申請",AM$26=0),0,
IF(AND(テーブル!$B$3="変更申請",AM$26&gt;=1),AM69,
IF(テーブル!$B$3="実績報告（１次）",AM69,
IF(AND(テーブル!$B$3="交付申請（２次）",AM$26=0),0,
IF(AND(テーブル!$B$3="交付申請（２次）",AM$26&gt;=1),AM69,
IF(AND(テーブル!$B$3="交付申請兼実績報告（２次）",AM$26=0),0,
IF(AND(テーブル!$B$3="交付申請兼実績報告（２次）",AM$26&gt;=1),AM69,
IF(AND(テーブル!$B$3="実績報告（２次）",AM$26=0),0,
IF(AND(テーブル!$B$3="実績報告（２次）",AM$26&gt;=1),AM69)))))))))),0)</f>
        <v>0</v>
      </c>
      <c r="AN37" s="1997">
        <f>IFERROR(
IF(テーブル!$B$3="交付申請",AN69,
IF(AND(テーブル!$B$3="変更申請",AN$26=0),0,
IF(AND(テーブル!$B$3="変更申請",AN$26&gt;=1),AN69,
IF(テーブル!$B$3="実績報告（１次）",AN69,
IF(AND(テーブル!$B$3="交付申請（２次）",AN$26=0),0,
IF(AND(テーブル!$B$3="交付申請（２次）",AN$26&gt;=1),AN69,
IF(AND(テーブル!$B$3="交付申請兼実績報告（２次）",AN$26=0),0,
IF(AND(テーブル!$B$3="交付申請兼実績報告（２次）",AN$26&gt;=1),AN69,
IF(AND(テーブル!$B$3="実績報告（２次）",AN$26=0),0,
IF(AND(テーブル!$B$3="実績報告（２次）",AN$26&gt;=1),AN69)))))))))),0)</f>
        <v>0</v>
      </c>
      <c r="AO37" s="1997">
        <f>IFERROR(
IF(テーブル!$B$3="交付申請",AO69,
IF(AND(テーブル!$B$3="変更申請",AO$26=0),0,
IF(AND(テーブル!$B$3="変更申請",AO$26&gt;=1),AO69,
IF(テーブル!$B$3="実績報告（１次）",AO69,
IF(AND(テーブル!$B$3="交付申請（２次）",AO$26=0),0,
IF(AND(テーブル!$B$3="交付申請（２次）",AO$26&gt;=1),AO69,
IF(AND(テーブル!$B$3="交付申請兼実績報告（２次）",AO$26=0),0,
IF(AND(テーブル!$B$3="交付申請兼実績報告（２次）",AO$26&gt;=1),AO69,
IF(AND(テーブル!$B$3="実績報告（２次）",AO$26=0),0,
IF(AND(テーブル!$B$3="実績報告（２次）",AO$26&gt;=1),AO69)))))))))),0)</f>
        <v>0</v>
      </c>
      <c r="AP37" s="1997">
        <f>IFERROR(
IF(テーブル!$B$3="交付申請",AP69,
IF(AND(テーブル!$B$3="変更申請",AP$26=0),0,
IF(AND(テーブル!$B$3="変更申請",AP$26&gt;=1),AP69,
IF(テーブル!$B$3="実績報告（１次）",AP69,
IF(AND(テーブル!$B$3="交付申請（２次）",AP$26=0),0,
IF(AND(テーブル!$B$3="交付申請（２次）",AP$26&gt;=1),AP69,
IF(AND(テーブル!$B$3="交付申請兼実績報告（２次）",AP$26=0),0,
IF(AND(テーブル!$B$3="交付申請兼実績報告（２次）",AP$26&gt;=1),AP69,
IF(AND(テーブル!$B$3="実績報告（２次）",AP$26=0),0,
IF(AND(テーブル!$B$3="実績報告（２次）",AP$26&gt;=1),AP69)))))))))),0)</f>
        <v>0</v>
      </c>
      <c r="AQ37" s="1997">
        <f>IFERROR(
IF(テーブル!$B$3="交付申請",AQ69,
IF(AND(テーブル!$B$3="変更申請",AQ$26=0),0,
IF(AND(テーブル!$B$3="変更申請",AQ$26&gt;=1),AQ69,
IF(テーブル!$B$3="実績報告（１次）",AQ69,
IF(AND(テーブル!$B$3="交付申請（２次）",AQ$26=0),0,
IF(AND(テーブル!$B$3="交付申請（２次）",AQ$26&gt;=1),AQ69,
IF(AND(テーブル!$B$3="交付申請兼実績報告（２次）",AQ$26=0),0,
IF(AND(テーブル!$B$3="交付申請兼実績報告（２次）",AQ$26&gt;=1),AQ69,
IF(AND(テーブル!$B$3="実績報告（２次）",AQ$26=0),0,
IF(AND(テーブル!$B$3="実績報告（２次）",AQ$26&gt;=1),AQ69)))))))))),0)</f>
        <v>0</v>
      </c>
      <c r="AR37" s="1997">
        <f>IFERROR(
IF(テーブル!$B$3="交付申請",AR69,
IF(AND(テーブル!$B$3="変更申請",AR$26=0),0,
IF(AND(テーブル!$B$3="変更申請",AR$26&gt;=1),AR69,
IF(テーブル!$B$3="実績報告（１次）",AR69,
IF(AND(テーブル!$B$3="交付申請（２次）",AR$26=0),0,
IF(AND(テーブル!$B$3="交付申請（２次）",AR$26&gt;=1),AR69,
IF(AND(テーブル!$B$3="交付申請兼実績報告（２次）",AR$26=0),0,
IF(AND(テーブル!$B$3="交付申請兼実績報告（２次）",AR$26&gt;=1),AR69,
IF(AND(テーブル!$B$3="実績報告（２次）",AR$26=0),0,
IF(AND(テーブル!$B$3="実績報告（２次）",AR$26&gt;=1),AR69)))))))))),0)</f>
        <v>0</v>
      </c>
      <c r="AS37" s="1997">
        <f>IFERROR(
IF(テーブル!$B$3="交付申請",AS69,
IF(AND(テーブル!$B$3="変更申請",AS$26=0),0,
IF(AND(テーブル!$B$3="変更申請",AS$26&gt;=1),AS69,
IF(テーブル!$B$3="実績報告（１次）",AS69,
IF(AND(テーブル!$B$3="交付申請（２次）",AS$26=0),0,
IF(AND(テーブル!$B$3="交付申請（２次）",AS$26&gt;=1),AS69,
IF(AND(テーブル!$B$3="交付申請兼実績報告（２次）",AS$26=0),0,
IF(AND(テーブル!$B$3="交付申請兼実績報告（２次）",AS$26&gt;=1),AS69,
IF(AND(テーブル!$B$3="実績報告（２次）",AS$26=0),0,
IF(AND(テーブル!$B$3="実績報告（２次）",AS$26&gt;=1),AS69)))))))))),0)</f>
        <v>0</v>
      </c>
      <c r="AT37" s="1997">
        <f>IFERROR(
IF(テーブル!$B$3="交付申請",AT69,
IF(AND(テーブル!$B$3="変更申請",AT$26=0),0,
IF(AND(テーブル!$B$3="変更申請",AT$26&gt;=1),AT69,
IF(テーブル!$B$3="実績報告（１次）",AT69,
IF(AND(テーブル!$B$3="交付申請（２次）",AT$26=0),0,
IF(AND(テーブル!$B$3="交付申請（２次）",AT$26&gt;=1),AT69,
IF(AND(テーブル!$B$3="交付申請兼実績報告（２次）",AT$26=0),0,
IF(AND(テーブル!$B$3="交付申請兼実績報告（２次）",AT$26&gt;=1),AT69,
IF(AND(テーブル!$B$3="実績報告（２次）",AT$26=0),0,
IF(AND(テーブル!$B$3="実績報告（２次）",AT$26&gt;=1),AT69)))))))))),0)</f>
        <v>0</v>
      </c>
      <c r="AU37" s="1997">
        <f>IFERROR(
IF(テーブル!$B$3="交付申請",AU69,
IF(AND(テーブル!$B$3="変更申請",AU$26=0),0,
IF(AND(テーブル!$B$3="変更申請",AU$26&gt;=1),AU69,
IF(テーブル!$B$3="実績報告（１次）",AU69,
IF(AND(テーブル!$B$3="交付申請（２次）",AU$26=0),0,
IF(AND(テーブル!$B$3="交付申請（２次）",AU$26&gt;=1),AU69,
IF(AND(テーブル!$B$3="交付申請兼実績報告（２次）",AU$26=0),0,
IF(AND(テーブル!$B$3="交付申請兼実績報告（２次）",AU$26&gt;=1),AU69,
IF(AND(テーブル!$B$3="実績報告（２次）",AU$26=0),0,
IF(AND(テーブル!$B$3="実績報告（２次）",AU$26&gt;=1),AU69)))))))))),0)</f>
        <v>0</v>
      </c>
      <c r="AV37" s="1997">
        <f>IFERROR(
IF(テーブル!$B$3="交付申請",AV69,
IF(AND(テーブル!$B$3="変更申請",AV$26=0),0,
IF(AND(テーブル!$B$3="変更申請",AV$26&gt;=1),AV69,
IF(テーブル!$B$3="実績報告（１次）",AV69,
IF(AND(テーブル!$B$3="交付申請（２次）",AV$26=0),0,
IF(AND(テーブル!$B$3="交付申請（２次）",AV$26&gt;=1),AV69,
IF(AND(テーブル!$B$3="交付申請兼実績報告（２次）",AV$26=0),0,
IF(AND(テーブル!$B$3="交付申請兼実績報告（２次）",AV$26&gt;=1),AV69,
IF(AND(テーブル!$B$3="実績報告（２次）",AV$26=0),0,
IF(AND(テーブル!$B$3="実績報告（２次）",AV$26&gt;=1),AV69)))))))))),0)</f>
        <v>0</v>
      </c>
      <c r="AW37" s="1997">
        <f>IFERROR(
IF(テーブル!$B$3="交付申請",AW69,
IF(AND(テーブル!$B$3="変更申請",AW$26=0),0,
IF(AND(テーブル!$B$3="変更申請",AW$26&gt;=1),AW69,
IF(テーブル!$B$3="実績報告（１次）",AW69,
IF(AND(テーブル!$B$3="交付申請（２次）",AW$26=0),0,
IF(AND(テーブル!$B$3="交付申請（２次）",AW$26&gt;=1),AW69,
IF(AND(テーブル!$B$3="交付申請兼実績報告（２次）",AW$26=0),0,
IF(AND(テーブル!$B$3="交付申請兼実績報告（２次）",AW$26&gt;=1),AW69,
IF(AND(テーブル!$B$3="実績報告（２次）",AW$26=0),0,
IF(AND(テーブル!$B$3="実績報告（２次）",AW$26&gt;=1),AW69)))))))))),0)</f>
        <v>0</v>
      </c>
      <c r="AX37" s="1997">
        <f>IFERROR(
IF(テーブル!$B$3="交付申請",AX69,
IF(AND(テーブル!$B$3="変更申請",AX$26=0),0,
IF(AND(テーブル!$B$3="変更申請",AX$26&gt;=1),AX69,
IF(テーブル!$B$3="実績報告（１次）",AX69,
IF(AND(テーブル!$B$3="交付申請（２次）",AX$26=0),0,
IF(AND(テーブル!$B$3="交付申請（２次）",AX$26&gt;=1),AX69,
IF(AND(テーブル!$B$3="交付申請兼実績報告（２次）",AX$26=0),0,
IF(AND(テーブル!$B$3="交付申請兼実績報告（２次）",AX$26&gt;=1),AX69,
IF(AND(テーブル!$B$3="実績報告（２次）",AX$26=0),0,
IF(AND(テーブル!$B$3="実績報告（２次）",AX$26&gt;=1),AX69)))))))))),0)</f>
        <v>0</v>
      </c>
      <c r="AY37" s="1997">
        <f>IFERROR(
IF(テーブル!$B$3="交付申請",AY69,
IF(AND(テーブル!$B$3="変更申請",AY$26=0),0,
IF(AND(テーブル!$B$3="変更申請",AY$26&gt;=1),AY69,
IF(テーブル!$B$3="実績報告（１次）",AY69,
IF(AND(テーブル!$B$3="交付申請（２次）",AY$26=0),0,
IF(AND(テーブル!$B$3="交付申請（２次）",AY$26&gt;=1),AY69,
IF(AND(テーブル!$B$3="交付申請兼実績報告（２次）",AY$26=0),0,
IF(AND(テーブル!$B$3="交付申請兼実績報告（２次）",AY$26&gt;=1),AY69,
IF(AND(テーブル!$B$3="実績報告（２次）",AY$26=0),0,
IF(AND(テーブル!$B$3="実績報告（２次）",AY$26&gt;=1),AY69)))))))))),0)</f>
        <v>0</v>
      </c>
      <c r="AZ37" s="1997">
        <f>IFERROR(
IF(テーブル!$B$3="交付申請",AZ69,
IF(AND(テーブル!$B$3="変更申請",AZ$26=0),0,
IF(AND(テーブル!$B$3="変更申請",AZ$26&gt;=1),AZ69,
IF(テーブル!$B$3="実績報告（１次）",AZ69,
IF(AND(テーブル!$B$3="交付申請（２次）",AZ$26=0),0,
IF(AND(テーブル!$B$3="交付申請（２次）",AZ$26&gt;=1),AZ69,
IF(AND(テーブル!$B$3="交付申請兼実績報告（２次）",AZ$26=0),0,
IF(AND(テーブル!$B$3="交付申請兼実績報告（２次）",AZ$26&gt;=1),AZ69,
IF(AND(テーブル!$B$3="実績報告（２次）",AZ$26=0),0,
IF(AND(テーブル!$B$3="実績報告（２次）",AZ$26&gt;=1),AZ69)))))))))),0)</f>
        <v>0</v>
      </c>
      <c r="BA37" s="1997">
        <f>IFERROR(
IF(テーブル!$B$3="交付申請",BA69,
IF(AND(テーブル!$B$3="変更申請",BA$26=0),0,
IF(AND(テーブル!$B$3="変更申請",BA$26&gt;=1),BA69,
IF(テーブル!$B$3="実績報告（１次）",BA69,
IF(AND(テーブル!$B$3="交付申請（２次）",BA$26=0),0,
IF(AND(テーブル!$B$3="交付申請（２次）",BA$26&gt;=1),BA69,
IF(AND(テーブル!$B$3="交付申請兼実績報告（２次）",BA$26=0),0,
IF(AND(テーブル!$B$3="交付申請兼実績報告（２次）",BA$26&gt;=1),BA69,
IF(AND(テーブル!$B$3="実績報告（２次）",BA$26=0),0,
IF(AND(テーブル!$B$3="実績報告（２次）",BA$26&gt;=1),BA69)))))))))),0)</f>
        <v>0</v>
      </c>
      <c r="BB37" s="1997">
        <f>IFERROR(
IF(テーブル!$B$3="交付申請",BB69,
IF(AND(テーブル!$B$3="変更申請",BB$26=0),0,
IF(AND(テーブル!$B$3="変更申請",BB$26&gt;=1),BB69,
IF(テーブル!$B$3="実績報告（１次）",BB69,
IF(AND(テーブル!$B$3="交付申請（２次）",BB$26=0),0,
IF(AND(テーブル!$B$3="交付申請（２次）",BB$26&gt;=1),BB69,
IF(AND(テーブル!$B$3="交付申請兼実績報告（２次）",BB$26=0),0,
IF(AND(テーブル!$B$3="交付申請兼実績報告（２次）",BB$26&gt;=1),BB69,
IF(AND(テーブル!$B$3="実績報告（２次）",BB$26=0),0,
IF(AND(テーブル!$B$3="実績報告（２次）",BB$26&gt;=1),BB69)))))))))),0)</f>
        <v>0</v>
      </c>
      <c r="BC37" s="1997">
        <f>IFERROR(
IF(テーブル!$B$3="交付申請",BC69,
IF(AND(テーブル!$B$3="変更申請",BC$26=0),0,
IF(AND(テーブル!$B$3="変更申請",BC$26&gt;=1),BC69,
IF(テーブル!$B$3="実績報告（１次）",BC69,
IF(AND(テーブル!$B$3="交付申請（２次）",BC$26=0),0,
IF(AND(テーブル!$B$3="交付申請（２次）",BC$26&gt;=1),BC69,
IF(AND(テーブル!$B$3="交付申請兼実績報告（２次）",BC$26=0),0,
IF(AND(テーブル!$B$3="交付申請兼実績報告（２次）",BC$26&gt;=1),BC69,
IF(AND(テーブル!$B$3="実績報告（２次）",BC$26=0),0,
IF(AND(テーブル!$B$3="実績報告（２次）",BC$26&gt;=1),BC69)))))))))),0)</f>
        <v>0</v>
      </c>
      <c r="BD37" s="1997">
        <f>IFERROR(
IF(テーブル!$B$3="交付申請",BD69,
IF(AND(テーブル!$B$3="変更申請",BD$26=0),0,
IF(AND(テーブル!$B$3="変更申請",BD$26&gt;=1),BD69,
IF(テーブル!$B$3="実績報告（１次）",BD69,
IF(AND(テーブル!$B$3="交付申請（２次）",BD$26=0),0,
IF(AND(テーブル!$B$3="交付申請（２次）",BD$26&gt;=1),BD69,
IF(AND(テーブル!$B$3="交付申請兼実績報告（２次）",BD$26=0),0,
IF(AND(テーブル!$B$3="交付申請兼実績報告（２次）",BD$26&gt;=1),BD69,
IF(AND(テーブル!$B$3="実績報告（２次）",BD$26=0),0,
IF(AND(テーブル!$B$3="実績報告（２次）",BD$26&gt;=1),BD69)))))))))),0)</f>
        <v>0</v>
      </c>
      <c r="BE37" s="1997">
        <f>IFERROR(
IF(テーブル!$B$3="交付申請",BE69,
IF(AND(テーブル!$B$3="変更申請",BE$26=0),0,
IF(AND(テーブル!$B$3="変更申請",BE$26&gt;=1),BE69,
IF(テーブル!$B$3="実績報告（１次）",BE69,
IF(AND(テーブル!$B$3="交付申請（２次）",BE$26=0),0,
IF(AND(テーブル!$B$3="交付申請（２次）",BE$26&gt;=1),BE69,
IF(AND(テーブル!$B$3="交付申請兼実績報告（２次）",BE$26=0),0,
IF(AND(テーブル!$B$3="交付申請兼実績報告（２次）",BE$26&gt;=1),BE69,
IF(AND(テーブル!$B$3="実績報告（２次）",BE$26=0),0,
IF(AND(テーブル!$B$3="実績報告（２次）",BE$26&gt;=1),BE69)))))))))),0)</f>
        <v>0</v>
      </c>
      <c r="BF37" s="1997">
        <f>IFERROR(
IF(テーブル!$B$3="交付申請",BF69,
IF(AND(テーブル!$B$3="変更申請",BF$26=0),0,
IF(AND(テーブル!$B$3="変更申請",BF$26&gt;=1),BF69,
IF(テーブル!$B$3="実績報告（１次）",BF69,
IF(AND(テーブル!$B$3="交付申請（２次）",BF$26=0),0,
IF(AND(テーブル!$B$3="交付申請（２次）",BF$26&gt;=1),BF69,
IF(AND(テーブル!$B$3="交付申請兼実績報告（２次）",BF$26=0),0,
IF(AND(テーブル!$B$3="交付申請兼実績報告（２次）",BF$26&gt;=1),BF69,
IF(AND(テーブル!$B$3="実績報告（２次）",BF$26=0),0,
IF(AND(テーブル!$B$3="実績報告（２次）",BF$26&gt;=1),BF69)))))))))),0)</f>
        <v>0</v>
      </c>
      <c r="BG37" s="1997">
        <f>IFERROR(
IF(テーブル!$B$3="交付申請",BG69,
IF(AND(テーブル!$B$3="変更申請",BG$26=0),0,
IF(AND(テーブル!$B$3="変更申請",BG$26&gt;=1),BG69,
IF(テーブル!$B$3="実績報告（１次）",BG69,
IF(AND(テーブル!$B$3="交付申請（２次）",BG$26=0),0,
IF(AND(テーブル!$B$3="交付申請（２次）",BG$26&gt;=1),BG69,
IF(AND(テーブル!$B$3="交付申請兼実績報告（２次）",BG$26=0),0,
IF(AND(テーブル!$B$3="交付申請兼実績報告（２次）",BG$26&gt;=1),BG69,
IF(AND(テーブル!$B$3="実績報告（２次）",BG$26=0),0,
IF(AND(テーブル!$B$3="実績報告（２次）",BG$26&gt;=1),BG69)))))))))),0)</f>
        <v>0</v>
      </c>
      <c r="BH37" s="1997">
        <f>IFERROR(
IF(テーブル!$B$3="交付申請",BH69,
IF(AND(テーブル!$B$3="変更申請",BH$26=0),0,
IF(AND(テーブル!$B$3="変更申請",BH$26&gt;=1),BH69,
IF(テーブル!$B$3="実績報告（１次）",BH69,
IF(AND(テーブル!$B$3="交付申請（２次）",BH$26=0),0,
IF(AND(テーブル!$B$3="交付申請（２次）",BH$26&gt;=1),BH69,
IF(AND(テーブル!$B$3="交付申請兼実績報告（２次）",BH$26=0),0,
IF(AND(テーブル!$B$3="交付申請兼実績報告（２次）",BH$26&gt;=1),BH69,
IF(AND(テーブル!$B$3="実績報告（２次）",BH$26=0),0,
IF(AND(テーブル!$B$3="実績報告（２次）",BH$26&gt;=1),BH69)))))))))),0)</f>
        <v>0</v>
      </c>
      <c r="BI37" s="1997">
        <f>IFERROR(
IF(テーブル!$B$3="交付申請",BI69,
IF(AND(テーブル!$B$3="変更申請",BI$26=0),0,
IF(AND(テーブル!$B$3="変更申請",BI$26&gt;=1),BI69,
IF(テーブル!$B$3="実績報告（１次）",BI69,
IF(AND(テーブル!$B$3="交付申請（２次）",BI$26=0),0,
IF(AND(テーブル!$B$3="交付申請（２次）",BI$26&gt;=1),BI69,
IF(AND(テーブル!$B$3="交付申請兼実績報告（２次）",BI$26=0),0,
IF(AND(テーブル!$B$3="交付申請兼実績報告（２次）",BI$26&gt;=1),BI69,
IF(AND(テーブル!$B$3="実績報告（２次）",BI$26=0),0,
IF(AND(テーブル!$B$3="実績報告（２次）",BI$26&gt;=1),BI69)))))))))),0)</f>
        <v>0</v>
      </c>
      <c r="BJ37" s="1997">
        <f>IFERROR(
IF(テーブル!$B$3="交付申請",BJ69,
IF(AND(テーブル!$B$3="変更申請",BJ$26=0),0,
IF(AND(テーブル!$B$3="変更申請",BJ$26&gt;=1),BJ69,
IF(テーブル!$B$3="実績報告（１次）",BJ69,
IF(AND(テーブル!$B$3="交付申請（２次）",BJ$26=0),0,
IF(AND(テーブル!$B$3="交付申請（２次）",BJ$26&gt;=1),BJ69,
IF(AND(テーブル!$B$3="交付申請兼実績報告（２次）",BJ$26=0),0,
IF(AND(テーブル!$B$3="交付申請兼実績報告（２次）",BJ$26&gt;=1),BJ69,
IF(AND(テーブル!$B$3="実績報告（２次）",BJ$26=0),0,
IF(AND(テーブル!$B$3="実績報告（２次）",BJ$26&gt;=1),BJ69)))))))))),0)</f>
        <v>0</v>
      </c>
      <c r="BK37" s="1997">
        <f>IFERROR(
IF(テーブル!$B$3="交付申請",BK69,
IF(AND(テーブル!$B$3="変更申請",BK$26=0),0,
IF(AND(テーブル!$B$3="変更申請",BK$26&gt;=1),BK69,
IF(テーブル!$B$3="実績報告（１次）",BK69,
IF(AND(テーブル!$B$3="交付申請（２次）",BK$26=0),0,
IF(AND(テーブル!$B$3="交付申請（２次）",BK$26&gt;=1),BK69,
IF(AND(テーブル!$B$3="交付申請兼実績報告（２次）",BK$26=0),0,
IF(AND(テーブル!$B$3="交付申請兼実績報告（２次）",BK$26&gt;=1),BK69,
IF(AND(テーブル!$B$3="実績報告（２次）",BK$26=0),0,
IF(AND(テーブル!$B$3="実績報告（２次）",BK$26&gt;=1),BK69)))))))))),0)</f>
        <v>0</v>
      </c>
      <c r="BL37" s="1997">
        <f>IFERROR(
IF(テーブル!$B$3="交付申請",BL69,
IF(AND(テーブル!$B$3="変更申請",BL$26=0),0,
IF(AND(テーブル!$B$3="変更申請",BL$26&gt;=1),BL69,
IF(テーブル!$B$3="実績報告（１次）",BL69,
IF(AND(テーブル!$B$3="交付申請（２次）",BL$26=0),0,
IF(AND(テーブル!$B$3="交付申請（２次）",BL$26&gt;=1),BL69,
IF(AND(テーブル!$B$3="交付申請兼実績報告（２次）",BL$26=0),0,
IF(AND(テーブル!$B$3="交付申請兼実績報告（２次）",BL$26&gt;=1),BL69,
IF(AND(テーブル!$B$3="実績報告（２次）",BL$26=0),0,
IF(AND(テーブル!$B$3="実績報告（２次）",BL$26&gt;=1),BL69)))))))))),0)</f>
        <v>0</v>
      </c>
      <c r="BM37" s="1997">
        <f>IFERROR(
IF(テーブル!$B$3="交付申請",BM69,
IF(AND(テーブル!$B$3="変更申請",BM$26=0),0,
IF(AND(テーブル!$B$3="変更申請",BM$26&gt;=1),BM69,
IF(テーブル!$B$3="実績報告（１次）",BM69,
IF(AND(テーブル!$B$3="交付申請（２次）",BM$26=0),0,
IF(AND(テーブル!$B$3="交付申請（２次）",BM$26&gt;=1),BM69,
IF(AND(テーブル!$B$3="交付申請兼実績報告（２次）",BM$26=0),0,
IF(AND(テーブル!$B$3="交付申請兼実績報告（２次）",BM$26&gt;=1),BM69,
IF(AND(テーブル!$B$3="実績報告（２次）",BM$26=0),0,
IF(AND(テーブル!$B$3="実績報告（２次）",BM$26&gt;=1),BM69)))))))))),0)</f>
        <v>0</v>
      </c>
      <c r="BN37" s="1997">
        <f>IFERROR(
IF(テーブル!$B$3="交付申請",BN69,
IF(AND(テーブル!$B$3="変更申請",BN$26=0),0,
IF(AND(テーブル!$B$3="変更申請",BN$26&gt;=1),BN69,
IF(テーブル!$B$3="実績報告（１次）",BN69,
IF(AND(テーブル!$B$3="交付申請（２次）",BN$26=0),0,
IF(AND(テーブル!$B$3="交付申請（２次）",BN$26&gt;=1),BN69,
IF(AND(テーブル!$B$3="交付申請兼実績報告（２次）",BN$26=0),0,
IF(AND(テーブル!$B$3="交付申請兼実績報告（２次）",BN$26&gt;=1),BN69,
IF(AND(テーブル!$B$3="実績報告（２次）",BN$26=0),0,
IF(AND(テーブル!$B$3="実績報告（２次）",BN$26&gt;=1),BN69)))))))))),0)</f>
        <v>0</v>
      </c>
      <c r="BO37" s="1997">
        <f>IFERROR(
IF(テーブル!$B$3="交付申請",BO69,
IF(AND(テーブル!$B$3="変更申請",BO$26=0),0,
IF(AND(テーブル!$B$3="変更申請",BO$26&gt;=1),BO69,
IF(テーブル!$B$3="実績報告（１次）",BO69,
IF(AND(テーブル!$B$3="交付申請（２次）",BO$26=0),0,
IF(AND(テーブル!$B$3="交付申請（２次）",BO$26&gt;=1),BO69,
IF(AND(テーブル!$B$3="交付申請兼実績報告（２次）",BO$26=0),0,
IF(AND(テーブル!$B$3="交付申請兼実績報告（２次）",BO$26&gt;=1),BO69,
IF(AND(テーブル!$B$3="実績報告（２次）",BO$26=0),0,
IF(AND(テーブル!$B$3="実績報告（２次）",BO$26&gt;=1),BO69)))))))))),0)</f>
        <v>0</v>
      </c>
      <c r="BP37" s="1997">
        <f>IFERROR(
IF(テーブル!$B$3="交付申請",BP69,
IF(AND(テーブル!$B$3="変更申請",BP$26=0),0,
IF(AND(テーブル!$B$3="変更申請",BP$26&gt;=1),BP69,
IF(テーブル!$B$3="実績報告（１次）",BP69,
IF(AND(テーブル!$B$3="交付申請（２次）",BP$26=0),0,
IF(AND(テーブル!$B$3="交付申請（２次）",BP$26&gt;=1),BP69,
IF(AND(テーブル!$B$3="交付申請兼実績報告（２次）",BP$26=0),0,
IF(AND(テーブル!$B$3="交付申請兼実績報告（２次）",BP$26&gt;=1),BP69,
IF(AND(テーブル!$B$3="実績報告（２次）",BP$26=0),0,
IF(AND(テーブル!$B$3="実績報告（２次）",BP$26&gt;=1),BP69)))))))))),0)</f>
        <v>0</v>
      </c>
      <c r="BQ37" s="1997">
        <f>IFERROR(
IF(テーブル!$B$3="交付申請",BQ69,
IF(AND(テーブル!$B$3="変更申請",BQ$26=0),0,
IF(AND(テーブル!$B$3="変更申請",BQ$26&gt;=1),BQ69,
IF(テーブル!$B$3="実績報告（１次）",BQ69,
IF(AND(テーブル!$B$3="交付申請（２次）",BQ$26=0),0,
IF(AND(テーブル!$B$3="交付申請（２次）",BQ$26&gt;=1),BQ69,
IF(AND(テーブル!$B$3="交付申請兼実績報告（２次）",BQ$26=0),0,
IF(AND(テーブル!$B$3="交付申請兼実績報告（２次）",BQ$26&gt;=1),BQ69,
IF(AND(テーブル!$B$3="実績報告（２次）",BQ$26=0),0,
IF(AND(テーブル!$B$3="実績報告（２次）",BQ$26&gt;=1),BQ69)))))))))),0)</f>
        <v>0</v>
      </c>
      <c r="BR37" s="1997">
        <f>IFERROR(
IF(テーブル!$B$3="交付申請",BR69,
IF(AND(テーブル!$B$3="変更申請",BR$26=0),0,
IF(AND(テーブル!$B$3="変更申請",BR$26&gt;=1),BR69,
IF(テーブル!$B$3="実績報告（１次）",BR69,
IF(AND(テーブル!$B$3="交付申請（２次）",BR$26=0),0,
IF(AND(テーブル!$B$3="交付申請（２次）",BR$26&gt;=1),BR69,
IF(AND(テーブル!$B$3="交付申請兼実績報告（２次）",BR$26=0),0,
IF(AND(テーブル!$B$3="交付申請兼実績報告（２次）",BR$26&gt;=1),BR69,
IF(AND(テーブル!$B$3="実績報告（２次）",BR$26=0),0,
IF(AND(テーブル!$B$3="実績報告（２次）",BR$26&gt;=1),BR69)))))))))),0)</f>
        <v>0</v>
      </c>
      <c r="BS37" s="1997">
        <f>IFERROR(
IF(テーブル!$B$3="交付申請",BS69,
IF(AND(テーブル!$B$3="変更申請",BS$26=0),0,
IF(AND(テーブル!$B$3="変更申請",BS$26&gt;=1),BS69,
IF(テーブル!$B$3="実績報告（１次）",BS69,
IF(AND(テーブル!$B$3="交付申請（２次）",BS$26=0),0,
IF(AND(テーブル!$B$3="交付申請（２次）",BS$26&gt;=1),BS69,
IF(AND(テーブル!$B$3="交付申請兼実績報告（２次）",BS$26=0),0,
IF(AND(テーブル!$B$3="交付申請兼実績報告（２次）",BS$26&gt;=1),BS69,
IF(AND(テーブル!$B$3="実績報告（２次）",BS$26=0),0,
IF(AND(テーブル!$B$3="実績報告（２次）",BS$26&gt;=1),BS69)))))))))),0)</f>
        <v>0</v>
      </c>
      <c r="BT37" s="1997">
        <f>IFERROR(
IF(テーブル!$B$3="交付申請",BT69,
IF(AND(テーブル!$B$3="変更申請",BT$26=0),0,
IF(AND(テーブル!$B$3="変更申請",BT$26&gt;=1),BT69,
IF(テーブル!$B$3="実績報告（１次）",BT69,
IF(AND(テーブル!$B$3="交付申請（２次）",BT$26=0),0,
IF(AND(テーブル!$B$3="交付申請（２次）",BT$26&gt;=1),BT69,
IF(AND(テーブル!$B$3="交付申請兼実績報告（２次）",BT$26=0),0,
IF(AND(テーブル!$B$3="交付申請兼実績報告（２次）",BT$26&gt;=1),BT69,
IF(AND(テーブル!$B$3="実績報告（２次）",BT$26=0),0,
IF(AND(テーブル!$B$3="実績報告（２次）",BT$26&gt;=1),BT69)))))))))),0)</f>
        <v>0</v>
      </c>
      <c r="BU37" s="1997">
        <f>IFERROR(
IF(テーブル!$B$3="交付申請",BU69,
IF(AND(テーブル!$B$3="変更申請",BU$26=0),0,
IF(AND(テーブル!$B$3="変更申請",BU$26&gt;=1),BU69,
IF(テーブル!$B$3="実績報告（１次）",BU69,
IF(AND(テーブル!$B$3="交付申請（２次）",BU$26=0),0,
IF(AND(テーブル!$B$3="交付申請（２次）",BU$26&gt;=1),BU69,
IF(AND(テーブル!$B$3="交付申請兼実績報告（２次）",BU$26=0),0,
IF(AND(テーブル!$B$3="交付申請兼実績報告（２次）",BU$26&gt;=1),BU69,
IF(AND(テーブル!$B$3="実績報告（２次）",BU$26=0),0,
IF(AND(テーブル!$B$3="実績報告（２次）",BU$26&gt;=1),BU69)))))))))),0)</f>
        <v>0</v>
      </c>
      <c r="BV37" s="1997">
        <f>IFERROR(
IF(テーブル!$B$3="交付申請",BV69,
IF(AND(テーブル!$B$3="変更申請",BV$26=0),0,
IF(AND(テーブル!$B$3="変更申請",BV$26&gt;=1),BV69,
IF(テーブル!$B$3="実績報告（１次）",BV69,
IF(AND(テーブル!$B$3="交付申請（２次）",BV$26=0),0,
IF(AND(テーブル!$B$3="交付申請（２次）",BV$26&gt;=1),BV69,
IF(AND(テーブル!$B$3="交付申請兼実績報告（２次）",BV$26=0),0,
IF(AND(テーブル!$B$3="交付申請兼実績報告（２次）",BV$26&gt;=1),BV69,
IF(AND(テーブル!$B$3="実績報告（２次）",BV$26=0),0,
IF(AND(テーブル!$B$3="実績報告（２次）",BV$26&gt;=1),BV69)))))))))),0)</f>
        <v>0</v>
      </c>
      <c r="BW37" s="1997">
        <f>IFERROR(
IF(テーブル!$B$3="交付申請",BW69,
IF(AND(テーブル!$B$3="変更申請",BW$26=0),0,
IF(AND(テーブル!$B$3="変更申請",BW$26&gt;=1),BW69,
IF(テーブル!$B$3="実績報告（１次）",BW69,
IF(AND(テーブル!$B$3="交付申請（２次）",BW$26=0),0,
IF(AND(テーブル!$B$3="交付申請（２次）",BW$26&gt;=1),BW69,
IF(AND(テーブル!$B$3="交付申請兼実績報告（２次）",BW$26=0),0,
IF(AND(テーブル!$B$3="交付申請兼実績報告（２次）",BW$26&gt;=1),BW69,
IF(AND(テーブル!$B$3="実績報告（２次）",BW$26=0),0,
IF(AND(テーブル!$B$3="実績報告（２次）",BW$26&gt;=1),BW69)))))))))),0)</f>
        <v>0</v>
      </c>
      <c r="BX37" s="1997">
        <f>IFERROR(
IF(テーブル!$B$3="交付申請",BX69,
IF(AND(テーブル!$B$3="変更申請",BX$26=0),0,
IF(AND(テーブル!$B$3="変更申請",BX$26&gt;=1),BX69,
IF(テーブル!$B$3="実績報告（１次）",BX69,
IF(AND(テーブル!$B$3="交付申請（２次）",BX$26=0),0,
IF(AND(テーブル!$B$3="交付申請（２次）",BX$26&gt;=1),BX69,
IF(AND(テーブル!$B$3="交付申請兼実績報告（２次）",BX$26=0),0,
IF(AND(テーブル!$B$3="交付申請兼実績報告（２次）",BX$26&gt;=1),BX69,
IF(AND(テーブル!$B$3="実績報告（２次）",BX$26=0),0,
IF(AND(テーブル!$B$3="実績報告（２次）",BX$26&gt;=1),BX69)))))))))),0)</f>
        <v>0</v>
      </c>
      <c r="BY37" s="1997">
        <f>IFERROR(
IF(テーブル!$B$3="交付申請",BY69,
IF(AND(テーブル!$B$3="変更申請",BY$26=0),0,
IF(AND(テーブル!$B$3="変更申請",BY$26&gt;=1),BY69,
IF(テーブル!$B$3="実績報告（１次）",BY69,
IF(AND(テーブル!$B$3="交付申請（２次）",BY$26=0),0,
IF(AND(テーブル!$B$3="交付申請（２次）",BY$26&gt;=1),BY69,
IF(AND(テーブル!$B$3="交付申請兼実績報告（２次）",BY$26=0),0,
IF(AND(テーブル!$B$3="交付申請兼実績報告（２次）",BY$26&gt;=1),BY69,
IF(AND(テーブル!$B$3="実績報告（２次）",BY$26=0),0,
IF(AND(テーブル!$B$3="実績報告（２次）",BY$26&gt;=1),BY69)))))))))),0)</f>
        <v>0</v>
      </c>
      <c r="BZ37" s="1997">
        <f>IFERROR(
IF(テーブル!$B$3="交付申請",BZ69,
IF(AND(テーブル!$B$3="変更申請",BZ$26=0),0,
IF(AND(テーブル!$B$3="変更申請",BZ$26&gt;=1),BZ69,
IF(テーブル!$B$3="実績報告（１次）",BZ69,
IF(AND(テーブル!$B$3="交付申請（２次）",BZ$26=0),0,
IF(AND(テーブル!$B$3="交付申請（２次）",BZ$26&gt;=1),BZ69,
IF(AND(テーブル!$B$3="交付申請兼実績報告（２次）",BZ$26=0),0,
IF(AND(テーブル!$B$3="交付申請兼実績報告（２次）",BZ$26&gt;=1),BZ69,
IF(AND(テーブル!$B$3="実績報告（２次）",BZ$26=0),0,
IF(AND(テーブル!$B$3="実績報告（２次）",BZ$26&gt;=1),BZ69)))))))))),0)</f>
        <v>0</v>
      </c>
      <c r="CA37" s="1997">
        <f>IFERROR(
IF(テーブル!$B$3="交付申請",CA69,
IF(AND(テーブル!$B$3="変更申請",CA$26=0),0,
IF(AND(テーブル!$B$3="変更申請",CA$26&gt;=1),CA69,
IF(テーブル!$B$3="実績報告（１次）",CA69,
IF(AND(テーブル!$B$3="交付申請（２次）",CA$26=0),0,
IF(AND(テーブル!$B$3="交付申請（２次）",CA$26&gt;=1),CA69,
IF(AND(テーブル!$B$3="交付申請兼実績報告（２次）",CA$26=0),0,
IF(AND(テーブル!$B$3="交付申請兼実績報告（２次）",CA$26&gt;=1),CA69,
IF(AND(テーブル!$B$3="実績報告（２次）",CA$26=0),0,
IF(AND(テーブル!$B$3="実績報告（２次）",CA$26&gt;=1),CA69)))))))))),0)</f>
        <v>0</v>
      </c>
      <c r="CB37" s="1997">
        <f>IFERROR(
IF(テーブル!$B$3="交付申請",CB69,
IF(AND(テーブル!$B$3="変更申請",CB$26=0),0,
IF(AND(テーブル!$B$3="変更申請",CB$26&gt;=1),CB69,
IF(テーブル!$B$3="実績報告（１次）",CB69,
IF(AND(テーブル!$B$3="交付申請（２次）",CB$26=0),0,
IF(AND(テーブル!$B$3="交付申請（２次）",CB$26&gt;=1),CB69,
IF(AND(テーブル!$B$3="交付申請兼実績報告（２次）",CB$26=0),0,
IF(AND(テーブル!$B$3="交付申請兼実績報告（２次）",CB$26&gt;=1),CB69,
IF(AND(テーブル!$B$3="実績報告（２次）",CB$26=0),0,
IF(AND(テーブル!$B$3="実績報告（２次）",CB$26&gt;=1),CB69)))))))))),0)</f>
        <v>0</v>
      </c>
      <c r="CC37" s="1997">
        <f>IFERROR(
IF(テーブル!$B$3="交付申請",CC69,
IF(AND(テーブル!$B$3="変更申請",CC$26=0),0,
IF(AND(テーブル!$B$3="変更申請",CC$26&gt;=1),CC69,
IF(テーブル!$B$3="実績報告（１次）",CC69,
IF(AND(テーブル!$B$3="交付申請（２次）",CC$26=0),0,
IF(AND(テーブル!$B$3="交付申請（２次）",CC$26&gt;=1),CC69,
IF(AND(テーブル!$B$3="交付申請兼実績報告（２次）",CC$26=0),0,
IF(AND(テーブル!$B$3="交付申請兼実績報告（２次）",CC$26&gt;=1),CC69,
IF(AND(テーブル!$B$3="実績報告（２次）",CC$26=0),0,
IF(AND(テーブル!$B$3="実績報告（２次）",CC$26&gt;=1),CC69)))))))))),0)</f>
        <v>0</v>
      </c>
      <c r="CD37" s="1997">
        <f>IFERROR(
IF(テーブル!$B$3="交付申請",CD69,
IF(AND(テーブル!$B$3="変更申請",CD$26=0),0,
IF(AND(テーブル!$B$3="変更申請",CD$26&gt;=1),CD69,
IF(テーブル!$B$3="実績報告（１次）",CD69,
IF(AND(テーブル!$B$3="交付申請（２次）",CD$26=0),0,
IF(AND(テーブル!$B$3="交付申請（２次）",CD$26&gt;=1),CD69,
IF(AND(テーブル!$B$3="交付申請兼実績報告（２次）",CD$26=0),0,
IF(AND(テーブル!$B$3="交付申請兼実績報告（２次）",CD$26&gt;=1),CD69,
IF(AND(テーブル!$B$3="実績報告（２次）",CD$26=0),0,
IF(AND(テーブル!$B$3="実績報告（２次）",CD$26&gt;=1),CD69)))))))))),0)</f>
        <v>0</v>
      </c>
      <c r="CE37" s="1997">
        <f>IFERROR(
IF(テーブル!$B$3="交付申請",CE69,
IF(AND(テーブル!$B$3="変更申請",CE$26=0),0,
IF(AND(テーブル!$B$3="変更申請",CE$26&gt;=1),CE69,
IF(テーブル!$B$3="実績報告（１次）",CE69,
IF(AND(テーブル!$B$3="交付申請（２次）",CE$26=0),0,
IF(AND(テーブル!$B$3="交付申請（２次）",CE$26&gt;=1),CE69,
IF(AND(テーブル!$B$3="交付申請兼実績報告（２次）",CE$26=0),0,
IF(AND(テーブル!$B$3="交付申請兼実績報告（２次）",CE$26&gt;=1),CE69,
IF(AND(テーブル!$B$3="実績報告（２次）",CE$26=0),0,
IF(AND(テーブル!$B$3="実績報告（２次）",CE$26&gt;=1),CE69)))))))))),0)</f>
        <v>0</v>
      </c>
      <c r="CF37" s="1997">
        <f>IFERROR(
IF(テーブル!$B$3="交付申請",CF69,
IF(AND(テーブル!$B$3="変更申請",CF$26=0),0,
IF(AND(テーブル!$B$3="変更申請",CF$26&gt;=1),CF69,
IF(テーブル!$B$3="実績報告（１次）",CF69,
IF(AND(テーブル!$B$3="交付申請（２次）",CF$26=0),0,
IF(AND(テーブル!$B$3="交付申請（２次）",CF$26&gt;=1),CF69,
IF(AND(テーブル!$B$3="交付申請兼実績報告（２次）",CF$26=0),0,
IF(AND(テーブル!$B$3="交付申請兼実績報告（２次）",CF$26&gt;=1),CF69,
IF(AND(テーブル!$B$3="実績報告（２次）",CF$26=0),0,
IF(AND(テーブル!$B$3="実績報告（２次）",CF$26&gt;=1),CF69)))))))))),0)</f>
        <v>0</v>
      </c>
      <c r="CG37" s="1997">
        <f>IFERROR(
IF(テーブル!$B$3="交付申請",CG69,
IF(AND(テーブル!$B$3="変更申請",CG$26=0),0,
IF(AND(テーブル!$B$3="変更申請",CG$26&gt;=1),CG69,
IF(テーブル!$B$3="実績報告（１次）",CG69,
IF(AND(テーブル!$B$3="交付申請（２次）",CG$26=0),0,
IF(AND(テーブル!$B$3="交付申請（２次）",CG$26&gt;=1),CG69,
IF(AND(テーブル!$B$3="交付申請兼実績報告（２次）",CG$26=0),0,
IF(AND(テーブル!$B$3="交付申請兼実績報告（２次）",CG$26&gt;=1),CG69,
IF(AND(テーブル!$B$3="実績報告（２次）",CG$26=0),0,
IF(AND(テーブル!$B$3="実績報告（２次）",CG$26&gt;=1),CG69)))))))))),0)</f>
        <v>0</v>
      </c>
      <c r="CH37" s="1997">
        <f>IFERROR(
IF(テーブル!$B$3="交付申請",CH69,
IF(AND(テーブル!$B$3="変更申請",CH$26=0),0,
IF(AND(テーブル!$B$3="変更申請",CH$26&gt;=1),CH69,
IF(テーブル!$B$3="実績報告（１次）",CH69,
IF(AND(テーブル!$B$3="交付申請（２次）",CH$26=0),0,
IF(AND(テーブル!$B$3="交付申請（２次）",CH$26&gt;=1),CH69,
IF(AND(テーブル!$B$3="交付申請兼実績報告（２次）",CH$26=0),0,
IF(AND(テーブル!$B$3="交付申請兼実績報告（２次）",CH$26&gt;=1),CH69,
IF(AND(テーブル!$B$3="実績報告（２次）",CH$26=0),0,
IF(AND(テーブル!$B$3="実績報告（２次）",CH$26&gt;=1),CH69)))))))))),0)</f>
        <v>0</v>
      </c>
      <c r="CI37" s="1997">
        <f>IFERROR(
IF(テーブル!$B$3="交付申請",CI69,
IF(AND(テーブル!$B$3="変更申請",CI$26=0),0,
IF(AND(テーブル!$B$3="変更申請",CI$26&gt;=1),CI69,
IF(テーブル!$B$3="実績報告（１次）",CI69,
IF(AND(テーブル!$B$3="交付申請（２次）",CI$26=0),0,
IF(AND(テーブル!$B$3="交付申請（２次）",CI$26&gt;=1),CI69,
IF(AND(テーブル!$B$3="交付申請兼実績報告（２次）",CI$26=0),0,
IF(AND(テーブル!$B$3="交付申請兼実績報告（２次）",CI$26&gt;=1),CI69,
IF(AND(テーブル!$B$3="実績報告（２次）",CI$26=0),0,
IF(AND(テーブル!$B$3="実績報告（２次）",CI$26&gt;=1),CI69)))))))))),0)</f>
        <v>0</v>
      </c>
      <c r="CJ37" s="1997">
        <f>IFERROR(
IF(テーブル!$B$3="交付申請",CJ69,
IF(AND(テーブル!$B$3="変更申請",CJ$26=0),0,
IF(AND(テーブル!$B$3="変更申請",CJ$26&gt;=1),CJ69,
IF(テーブル!$B$3="実績報告（１次）",CJ69,
IF(AND(テーブル!$B$3="交付申請（２次）",CJ$26=0),0,
IF(AND(テーブル!$B$3="交付申請（２次）",CJ$26&gt;=1),CJ69,
IF(AND(テーブル!$B$3="交付申請兼実績報告（２次）",CJ$26=0),0,
IF(AND(テーブル!$B$3="交付申請兼実績報告（２次）",CJ$26&gt;=1),CJ69,
IF(AND(テーブル!$B$3="実績報告（２次）",CJ$26=0),0,
IF(AND(テーブル!$B$3="実績報告（２次）",CJ$26&gt;=1),CJ69)))))))))),0)</f>
        <v>0</v>
      </c>
      <c r="CK37" s="1997">
        <f>IFERROR(
IF(テーブル!$B$3="交付申請",CK69,
IF(AND(テーブル!$B$3="変更申請",CK$26=0),0,
IF(AND(テーブル!$B$3="変更申請",CK$26&gt;=1),CK69,
IF(テーブル!$B$3="実績報告（１次）",CK69,
IF(AND(テーブル!$B$3="交付申請（２次）",CK$26=0),0,
IF(AND(テーブル!$B$3="交付申請（２次）",CK$26&gt;=1),CK69,
IF(AND(テーブル!$B$3="交付申請兼実績報告（２次）",CK$26=0),0,
IF(AND(テーブル!$B$3="交付申請兼実績報告（２次）",CK$26&gt;=1),CK69,
IF(AND(テーブル!$B$3="実績報告（２次）",CK$26=0),0,
IF(AND(テーブル!$B$3="実績報告（２次）",CK$26&gt;=1),CK69)))))))))),0)</f>
        <v>0</v>
      </c>
      <c r="CL37" s="1997">
        <f>IFERROR(
IF(テーブル!$B$3="交付申請",CL69,
IF(AND(テーブル!$B$3="変更申請",CL$26=0),0,
IF(AND(テーブル!$B$3="変更申請",CL$26&gt;=1),CL69,
IF(テーブル!$B$3="実績報告（１次）",CL69,
IF(AND(テーブル!$B$3="交付申請（２次）",CL$26=0),0,
IF(AND(テーブル!$B$3="交付申請（２次）",CL$26&gt;=1),CL69,
IF(AND(テーブル!$B$3="交付申請兼実績報告（２次）",CL$26=0),0,
IF(AND(テーブル!$B$3="交付申請兼実績報告（２次）",CL$26&gt;=1),CL69,
IF(AND(テーブル!$B$3="実績報告（２次）",CL$26=0),0,
IF(AND(テーブル!$B$3="実績報告（２次）",CL$26&gt;=1),CL69)))))))))),0)</f>
        <v>0</v>
      </c>
      <c r="CM37" s="1997">
        <f>IFERROR(
IF(テーブル!$B$3="交付申請",CM69,
IF(AND(テーブル!$B$3="変更申請",CM$26=0),0,
IF(AND(テーブル!$B$3="変更申請",CM$26&gt;=1),CM69,
IF(テーブル!$B$3="実績報告（１次）",CM69,
IF(AND(テーブル!$B$3="交付申請（２次）",CM$26=0),0,
IF(AND(テーブル!$B$3="交付申請（２次）",CM$26&gt;=1),CM69,
IF(AND(テーブル!$B$3="交付申請兼実績報告（２次）",CM$26=0),0,
IF(AND(テーブル!$B$3="交付申請兼実績報告（２次）",CM$26&gt;=1),CM69,
IF(AND(テーブル!$B$3="実績報告（２次）",CM$26=0),0,
IF(AND(テーブル!$B$3="実績報告（２次）",CM$26&gt;=1),CM69)))))))))),0)</f>
        <v>0</v>
      </c>
      <c r="CN37" s="1997">
        <f>IFERROR(
IF(テーブル!$B$3="交付申請",CN69,
IF(AND(テーブル!$B$3="変更申請",CN$26=0),0,
IF(AND(テーブル!$B$3="変更申請",CN$26&gt;=1),CN69,
IF(テーブル!$B$3="実績報告（１次）",CN69,
IF(AND(テーブル!$B$3="交付申請（２次）",CN$26=0),0,
IF(AND(テーブル!$B$3="交付申請（２次）",CN$26&gt;=1),CN69,
IF(AND(テーブル!$B$3="交付申請兼実績報告（２次）",CN$26=0),0,
IF(AND(テーブル!$B$3="交付申請兼実績報告（２次）",CN$26&gt;=1),CN69,
IF(AND(テーブル!$B$3="実績報告（２次）",CN$26=0),0,
IF(AND(テーブル!$B$3="実績報告（２次）",CN$26&gt;=1),CN69)))))))))),0)</f>
        <v>0</v>
      </c>
      <c r="CO37" s="1997">
        <f>IFERROR(
IF(テーブル!$B$3="交付申請",CO69,
IF(AND(テーブル!$B$3="変更申請",CO$26=0),0,
IF(AND(テーブル!$B$3="変更申請",CO$26&gt;=1),CO69,
IF(テーブル!$B$3="実績報告（１次）",CO69,
IF(AND(テーブル!$B$3="交付申請（２次）",CO$26=0),0,
IF(AND(テーブル!$B$3="交付申請（２次）",CO$26&gt;=1),CO69,
IF(AND(テーブル!$B$3="交付申請兼実績報告（２次）",CO$26=0),0,
IF(AND(テーブル!$B$3="交付申請兼実績報告（２次）",CO$26&gt;=1),CO69,
IF(AND(テーブル!$B$3="実績報告（２次）",CO$26=0),0,
IF(AND(テーブル!$B$3="実績報告（２次）",CO$26&gt;=1),CO69)))))))))),0)</f>
        <v>0</v>
      </c>
      <c r="CP37" s="1997">
        <f>IFERROR(
IF(テーブル!$B$3="交付申請",CP69,
IF(AND(テーブル!$B$3="変更申請",CP$26=0),0,
IF(AND(テーブル!$B$3="変更申請",CP$26&gt;=1),CP69,
IF(テーブル!$B$3="実績報告（１次）",CP69,
IF(AND(テーブル!$B$3="交付申請（２次）",CP$26=0),0,
IF(AND(テーブル!$B$3="交付申請（２次）",CP$26&gt;=1),CP69,
IF(AND(テーブル!$B$3="交付申請兼実績報告（２次）",CP$26=0),0,
IF(AND(テーブル!$B$3="交付申請兼実績報告（２次）",CP$26&gt;=1),CP69,
IF(AND(テーブル!$B$3="実績報告（２次）",CP$26=0),0,
IF(AND(テーブル!$B$3="実績報告（２次）",CP$26&gt;=1),CP69)))))))))),0)</f>
        <v>0</v>
      </c>
      <c r="CQ37" s="1997">
        <f>IFERROR(
IF(テーブル!$B$3="交付申請",CQ69,
IF(AND(テーブル!$B$3="変更申請",CQ$26=0),0,
IF(AND(テーブル!$B$3="変更申請",CQ$26&gt;=1),CQ69,
IF(テーブル!$B$3="実績報告（１次）",CQ69,
IF(AND(テーブル!$B$3="交付申請（２次）",CQ$26=0),0,
IF(AND(テーブル!$B$3="交付申請（２次）",CQ$26&gt;=1),CQ69,
IF(AND(テーブル!$B$3="交付申請兼実績報告（２次）",CQ$26=0),0,
IF(AND(テーブル!$B$3="交付申請兼実績報告（２次）",CQ$26&gt;=1),CQ69,
IF(AND(テーブル!$B$3="実績報告（２次）",CQ$26=0),0,
IF(AND(テーブル!$B$3="実績報告（２次）",CQ$26&gt;=1),CQ69)))))))))),0)</f>
        <v>0</v>
      </c>
      <c r="CR37" s="1997">
        <f>IFERROR(
IF(テーブル!$B$3="交付申請",CR69,
IF(AND(テーブル!$B$3="変更申請",CR$26=0),0,
IF(AND(テーブル!$B$3="変更申請",CR$26&gt;=1),CR69,
IF(テーブル!$B$3="実績報告（１次）",CR69,
IF(AND(テーブル!$B$3="交付申請（２次）",CR$26=0),0,
IF(AND(テーブル!$B$3="交付申請（２次）",CR$26&gt;=1),CR69,
IF(AND(テーブル!$B$3="交付申請兼実績報告（２次）",CR$26=0),0,
IF(AND(テーブル!$B$3="交付申請兼実績報告（２次）",CR$26&gt;=1),CR69,
IF(AND(テーブル!$B$3="実績報告（２次）",CR$26=0),0,
IF(AND(テーブル!$B$3="実績報告（２次）",CR$26&gt;=1),CR69)))))))))),0)</f>
        <v>0</v>
      </c>
      <c r="CS37" s="1997">
        <f>IFERROR(
IF(テーブル!$B$3="交付申請",CS69,
IF(AND(テーブル!$B$3="変更申請",CS$26=0),0,
IF(AND(テーブル!$B$3="変更申請",CS$26&gt;=1),CS69,
IF(テーブル!$B$3="実績報告（１次）",CS69,
IF(AND(テーブル!$B$3="交付申請（２次）",CS$26=0),0,
IF(AND(テーブル!$B$3="交付申請（２次）",CS$26&gt;=1),CS69,
IF(AND(テーブル!$B$3="交付申請兼実績報告（２次）",CS$26=0),0,
IF(AND(テーブル!$B$3="交付申請兼実績報告（２次）",CS$26&gt;=1),CS69,
IF(AND(テーブル!$B$3="実績報告（２次）",CS$26=0),0,
IF(AND(テーブル!$B$3="実績報告（２次）",CS$26&gt;=1),CS69)))))))))),0)</f>
        <v>0</v>
      </c>
      <c r="CT37" s="1997">
        <f>IFERROR(
IF(テーブル!$B$3="交付申請",CT69,
IF(AND(テーブル!$B$3="変更申請",CT$26=0),0,
IF(AND(テーブル!$B$3="変更申請",CT$26&gt;=1),CT69,
IF(テーブル!$B$3="実績報告（１次）",CT69,
IF(AND(テーブル!$B$3="交付申請（２次）",CT$26=0),0,
IF(AND(テーブル!$B$3="交付申請（２次）",CT$26&gt;=1),CT69,
IF(AND(テーブル!$B$3="交付申請兼実績報告（２次）",CT$26=0),0,
IF(AND(テーブル!$B$3="交付申請兼実績報告（２次）",CT$26&gt;=1),CT69,
IF(AND(テーブル!$B$3="実績報告（２次）",CT$26=0),0,
IF(AND(テーブル!$B$3="実績報告（２次）",CT$26&gt;=1),CT69)))))))))),0)</f>
        <v>0</v>
      </c>
      <c r="CU37" s="1997">
        <f>IFERROR(
IF(テーブル!$B$3="交付申請",CU69,
IF(AND(テーブル!$B$3="変更申請",CU$26=0),0,
IF(AND(テーブル!$B$3="変更申請",CU$26&gt;=1),CU69,
IF(テーブル!$B$3="実績報告（１次）",CU69,
IF(AND(テーブル!$B$3="交付申請（２次）",CU$26=0),0,
IF(AND(テーブル!$B$3="交付申請（２次）",CU$26&gt;=1),CU69,
IF(AND(テーブル!$B$3="交付申請兼実績報告（２次）",CU$26=0),0,
IF(AND(テーブル!$B$3="交付申請兼実績報告（２次）",CU$26&gt;=1),CU69,
IF(AND(テーブル!$B$3="実績報告（２次）",CU$26=0),0,
IF(AND(テーブル!$B$3="実績報告（２次）",CU$26&gt;=1),CU69)))))))))),0)</f>
        <v>0</v>
      </c>
      <c r="CV37" s="1997">
        <f>IFERROR(
IF(テーブル!$B$3="交付申請",CV69,
IF(AND(テーブル!$B$3="変更申請",CV$26=0),0,
IF(AND(テーブル!$B$3="変更申請",CV$26&gt;=1),CV69,
IF(テーブル!$B$3="実績報告（１次）",CV69,
IF(AND(テーブル!$B$3="交付申請（２次）",CV$26=0),0,
IF(AND(テーブル!$B$3="交付申請（２次）",CV$26&gt;=1),CV69,
IF(AND(テーブル!$B$3="交付申請兼実績報告（２次）",CV$26=0),0,
IF(AND(テーブル!$B$3="交付申請兼実績報告（２次）",CV$26&gt;=1),CV69,
IF(AND(テーブル!$B$3="実績報告（２次）",CV$26=0),0,
IF(AND(テーブル!$B$3="実績報告（２次）",CV$26&gt;=1),CV69)))))))))),0)</f>
        <v>0</v>
      </c>
      <c r="CW37" s="1997">
        <f>IFERROR(
IF(テーブル!$B$3="交付申請",CW69,
IF(AND(テーブル!$B$3="変更申請",CW$26=0),0,
IF(AND(テーブル!$B$3="変更申請",CW$26&gt;=1),CW69,
IF(テーブル!$B$3="実績報告（１次）",CW69,
IF(AND(テーブル!$B$3="交付申請（２次）",CW$26=0),0,
IF(AND(テーブル!$B$3="交付申請（２次）",CW$26&gt;=1),CW69,
IF(AND(テーブル!$B$3="交付申請兼実績報告（２次）",CW$26=0),0,
IF(AND(テーブル!$B$3="交付申請兼実績報告（２次）",CW$26&gt;=1),CW69,
IF(AND(テーブル!$B$3="実績報告（２次）",CW$26=0),0,
IF(AND(テーブル!$B$3="実績報告（２次）",CW$26&gt;=1),CW69)))))))))),0)</f>
        <v>0</v>
      </c>
      <c r="CX37" s="1997">
        <f>IFERROR(
IF(テーブル!$B$3="交付申請",CX69,
IF(AND(テーブル!$B$3="変更申請",CX$26=0),0,
IF(AND(テーブル!$B$3="変更申請",CX$26&gt;=1),CX69,
IF(テーブル!$B$3="実績報告（１次）",CX69,
IF(AND(テーブル!$B$3="交付申請（２次）",CX$26=0),0,
IF(AND(テーブル!$B$3="交付申請（２次）",CX$26&gt;=1),CX69,
IF(AND(テーブル!$B$3="交付申請兼実績報告（２次）",CX$26=0),0,
IF(AND(テーブル!$B$3="交付申請兼実績報告（２次）",CX$26&gt;=1),CX69,
IF(AND(テーブル!$B$3="実績報告（２次）",CX$26=0),0,
IF(AND(テーブル!$B$3="実績報告（２次）",CX$26&gt;=1),CX69)))))))))),0)</f>
        <v>0</v>
      </c>
      <c r="CY37" s="1997">
        <f>IFERROR(
IF(テーブル!$B$3="交付申請",CY69,
IF(AND(テーブル!$B$3="変更申請",CY$26=0),0,
IF(AND(テーブル!$B$3="変更申請",CY$26&gt;=1),CY69,
IF(テーブル!$B$3="実績報告（１次）",CY69,
IF(AND(テーブル!$B$3="交付申請（２次）",CY$26=0),0,
IF(AND(テーブル!$B$3="交付申請（２次）",CY$26&gt;=1),CY69,
IF(AND(テーブル!$B$3="交付申請兼実績報告（２次）",CY$26=0),0,
IF(AND(テーブル!$B$3="交付申請兼実績報告（２次）",CY$26&gt;=1),CY69,
IF(AND(テーブル!$B$3="実績報告（２次）",CY$26=0),0,
IF(AND(テーブル!$B$3="実績報告（２次）",CY$26&gt;=1),CY69)))))))))),0)</f>
        <v>0</v>
      </c>
      <c r="CZ37" s="1997">
        <f>IFERROR(
IF(テーブル!$B$3="交付申請",CZ69,
IF(AND(テーブル!$B$3="変更申請",CZ$26=0),0,
IF(AND(テーブル!$B$3="変更申請",CZ$26&gt;=1),CZ69,
IF(テーブル!$B$3="実績報告（１次）",CZ69,
IF(AND(テーブル!$B$3="交付申請（２次）",CZ$26=0),0,
IF(AND(テーブル!$B$3="交付申請（２次）",CZ$26&gt;=1),CZ69,
IF(AND(テーブル!$B$3="交付申請兼実績報告（２次）",CZ$26=0),0,
IF(AND(テーブル!$B$3="交付申請兼実績報告（２次）",CZ$26&gt;=1),CZ69,
IF(AND(テーブル!$B$3="実績報告（２次）",CZ$26=0),0,
IF(AND(テーブル!$B$3="実績報告（２次）",CZ$26&gt;=1),CZ69)))))))))),0)</f>
        <v>0</v>
      </c>
      <c r="DA37" s="1997">
        <f>IFERROR(
IF(テーブル!$B$3="交付申請",DA69,
IF(AND(テーブル!$B$3="変更申請",DA$26=0),0,
IF(AND(テーブル!$B$3="変更申請",DA$26&gt;=1),DA69,
IF(テーブル!$B$3="実績報告（１次）",DA69,
IF(AND(テーブル!$B$3="交付申請（２次）",DA$26=0),0,
IF(AND(テーブル!$B$3="交付申請（２次）",DA$26&gt;=1),DA69,
IF(AND(テーブル!$B$3="交付申請兼実績報告（２次）",DA$26=0),0,
IF(AND(テーブル!$B$3="交付申請兼実績報告（２次）",DA$26&gt;=1),DA69,
IF(AND(テーブル!$B$3="実績報告（２次）",DA$26=0),0,
IF(AND(テーブル!$B$3="実績報告（２次）",DA$26&gt;=1),DA69)))))))))),0)</f>
        <v>0</v>
      </c>
      <c r="DB37" s="1997">
        <f>IFERROR(
IF(テーブル!$B$3="交付申請",DB69,
IF(AND(テーブル!$B$3="変更申請",DB$26=0),0,
IF(AND(テーブル!$B$3="変更申請",DB$26&gt;=1),DB69,
IF(テーブル!$B$3="実績報告（１次）",DB69,
IF(AND(テーブル!$B$3="交付申請（２次）",DB$26=0),0,
IF(AND(テーブル!$B$3="交付申請（２次）",DB$26&gt;=1),DB69,
IF(AND(テーブル!$B$3="交付申請兼実績報告（２次）",DB$26=0),0,
IF(AND(テーブル!$B$3="交付申請兼実績報告（２次）",DB$26&gt;=1),DB69,
IF(AND(テーブル!$B$3="実績報告（２次）",DB$26=0),0,
IF(AND(テーブル!$B$3="実績報告（２次）",DB$26&gt;=1),DB69)))))))))),0)</f>
        <v>0</v>
      </c>
      <c r="DC37" s="1997">
        <f>IFERROR(
IF(テーブル!$B$3="交付申請",DC69,
IF(AND(テーブル!$B$3="変更申請",DC$26=0),0,
IF(AND(テーブル!$B$3="変更申請",DC$26&gt;=1),DC69,
IF(テーブル!$B$3="実績報告（１次）",DC69,
IF(AND(テーブル!$B$3="交付申請（２次）",DC$26=0),0,
IF(AND(テーブル!$B$3="交付申請（２次）",DC$26&gt;=1),DC69,
IF(AND(テーブル!$B$3="交付申請兼実績報告（２次）",DC$26=0),0,
IF(AND(テーブル!$B$3="交付申請兼実績報告（２次）",DC$26&gt;=1),DC69,
IF(AND(テーブル!$B$3="実績報告（２次）",DC$26=0),0,
IF(AND(テーブル!$B$3="実績報告（２次）",DC$26&gt;=1),DC69)))))))))),0)</f>
        <v>0</v>
      </c>
      <c r="DD37" s="1997">
        <f>IFERROR(
IF(テーブル!$B$3="交付申請",DD69,
IF(AND(テーブル!$B$3="変更申請",DD$26=0),0,
IF(AND(テーブル!$B$3="変更申請",DD$26&gt;=1),DD69,
IF(テーブル!$B$3="実績報告（１次）",DD69,
IF(AND(テーブル!$B$3="交付申請（２次）",DD$26=0),0,
IF(AND(テーブル!$B$3="交付申請（２次）",DD$26&gt;=1),DD69,
IF(AND(テーブル!$B$3="交付申請兼実績報告（２次）",DD$26=0),0,
IF(AND(テーブル!$B$3="交付申請兼実績報告（２次）",DD$26&gt;=1),DD69,
IF(AND(テーブル!$B$3="実績報告（２次）",DD$26=0),0,
IF(AND(テーブル!$B$3="実績報告（２次）",DD$26&gt;=1),DD69)))))))))),0)</f>
        <v>0</v>
      </c>
      <c r="DE37" s="1997">
        <f>IFERROR(
IF(テーブル!$B$3="交付申請",DE69,
IF(AND(テーブル!$B$3="変更申請",DE$26=0),0,
IF(AND(テーブル!$B$3="変更申請",DE$26&gt;=1),DE69,
IF(テーブル!$B$3="実績報告（１次）",DE69,
IF(AND(テーブル!$B$3="交付申請（２次）",DE$26=0),0,
IF(AND(テーブル!$B$3="交付申請（２次）",DE$26&gt;=1),DE69,
IF(AND(テーブル!$B$3="交付申請兼実績報告（２次）",DE$26=0),0,
IF(AND(テーブル!$B$3="交付申請兼実績報告（２次）",DE$26&gt;=1),DE69,
IF(AND(テーブル!$B$3="実績報告（２次）",DE$26=0),0,
IF(AND(テーブル!$B$3="実績報告（２次）",DE$26&gt;=1),DE69)))))))))),0)</f>
        <v>0</v>
      </c>
      <c r="DF37" s="1997">
        <f>IFERROR(
IF(テーブル!$B$3="交付申請",DF69,
IF(AND(テーブル!$B$3="変更申請",DF$26=0),0,
IF(AND(テーブル!$B$3="変更申請",DF$26&gt;=1),DF69,
IF(テーブル!$B$3="実績報告（１次）",DF69,
IF(AND(テーブル!$B$3="交付申請（２次）",DF$26=0),0,
IF(AND(テーブル!$B$3="交付申請（２次）",DF$26&gt;=1),DF69,
IF(AND(テーブル!$B$3="交付申請兼実績報告（２次）",DF$26=0),0,
IF(AND(テーブル!$B$3="交付申請兼実績報告（２次）",DF$26&gt;=1),DF69,
IF(AND(テーブル!$B$3="実績報告（２次）",DF$26=0),0,
IF(AND(テーブル!$B$3="実績報告（２次）",DF$26&gt;=1),DF69)))))))))),0)</f>
        <v>0</v>
      </c>
      <c r="DG37" s="1997">
        <f>IFERROR(
IF(テーブル!$B$3="交付申請",DG69,
IF(AND(テーブル!$B$3="変更申請",DG$26=0),0,
IF(AND(テーブル!$B$3="変更申請",DG$26&gt;=1),DG69,
IF(テーブル!$B$3="実績報告（１次）",DG69,
IF(AND(テーブル!$B$3="交付申請（２次）",DG$26=0),0,
IF(AND(テーブル!$B$3="交付申請（２次）",DG$26&gt;=1),DG69,
IF(AND(テーブル!$B$3="交付申請兼実績報告（２次）",DG$26=0),0,
IF(AND(テーブル!$B$3="交付申請兼実績報告（２次）",DG$26&gt;=1),DG69,
IF(AND(テーブル!$B$3="実績報告（２次）",DG$26=0),0,
IF(AND(テーブル!$B$3="実績報告（２次）",DG$26&gt;=1),DG69)))))))))),0)</f>
        <v>0</v>
      </c>
      <c r="DH37" s="1997">
        <f>IFERROR(
IF(テーブル!$B$3="交付申請",DH69,
IF(AND(テーブル!$B$3="変更申請",DH$26=0),0,
IF(AND(テーブル!$B$3="変更申請",DH$26&gt;=1),DH69,
IF(テーブル!$B$3="実績報告（１次）",DH69,
IF(AND(テーブル!$B$3="交付申請（２次）",DH$26=0),0,
IF(AND(テーブル!$B$3="交付申請（２次）",DH$26&gt;=1),DH69,
IF(AND(テーブル!$B$3="交付申請兼実績報告（２次）",DH$26=0),0,
IF(AND(テーブル!$B$3="交付申請兼実績報告（２次）",DH$26&gt;=1),DH69,
IF(AND(テーブル!$B$3="実績報告（２次）",DH$26=0),0,
IF(AND(テーブル!$B$3="実績報告（２次）",DH$26&gt;=1),DH69)))))))))),0)</f>
        <v>0</v>
      </c>
      <c r="DI37" s="1997">
        <f>IFERROR(
IF(テーブル!$B$3="交付申請",DI69,
IF(AND(テーブル!$B$3="変更申請",DI$26=0),0,
IF(AND(テーブル!$B$3="変更申請",DI$26&gt;=1),DI69,
IF(テーブル!$B$3="実績報告（１次）",DI69,
IF(AND(テーブル!$B$3="交付申請（２次）",DI$26=0),0,
IF(AND(テーブル!$B$3="交付申請（２次）",DI$26&gt;=1),DI69,
IF(AND(テーブル!$B$3="交付申請兼実績報告（２次）",DI$26=0),0,
IF(AND(テーブル!$B$3="交付申請兼実績報告（２次）",DI$26&gt;=1),DI69,
IF(AND(テーブル!$B$3="実績報告（２次）",DI$26=0),0,
IF(AND(テーブル!$B$3="実績報告（２次）",DI$26&gt;=1),DI69)))))))))),0)</f>
        <v>0</v>
      </c>
      <c r="DJ37" s="1997">
        <f>IFERROR(
IF(テーブル!$B$3="交付申請",DJ69,
IF(AND(テーブル!$B$3="変更申請",DJ$26=0),0,
IF(AND(テーブル!$B$3="変更申請",DJ$26&gt;=1),DJ69,
IF(テーブル!$B$3="実績報告（１次）",DJ69,
IF(AND(テーブル!$B$3="交付申請（２次）",DJ$26=0),0,
IF(AND(テーブル!$B$3="交付申請（２次）",DJ$26&gt;=1),DJ69,
IF(AND(テーブル!$B$3="交付申請兼実績報告（２次）",DJ$26=0),0,
IF(AND(テーブル!$B$3="交付申請兼実績報告（２次）",DJ$26&gt;=1),DJ69,
IF(AND(テーブル!$B$3="実績報告（２次）",DJ$26=0),0,
IF(AND(テーブル!$B$3="実績報告（２次）",DJ$26&gt;=1),DJ69)))))))))),0)</f>
        <v>0</v>
      </c>
      <c r="DK37" s="1997">
        <f>IFERROR(
IF(テーブル!$B$3="交付申請",DK69,
IF(AND(テーブル!$B$3="変更申請",DK$26=0),0,
IF(AND(テーブル!$B$3="変更申請",DK$26&gt;=1),DK69,
IF(テーブル!$B$3="実績報告（１次）",DK69,
IF(AND(テーブル!$B$3="交付申請（２次）",DK$26=0),0,
IF(AND(テーブル!$B$3="交付申請（２次）",DK$26&gt;=1),DK69,
IF(AND(テーブル!$B$3="交付申請兼実績報告（２次）",DK$26=0),0,
IF(AND(テーブル!$B$3="交付申請兼実績報告（２次）",DK$26&gt;=1),DK69,
IF(AND(テーブル!$B$3="実績報告（２次）",DK$26=0),0,
IF(AND(テーブル!$B$3="実績報告（２次）",DK$26&gt;=1),DK69)))))))))),0)</f>
        <v>0</v>
      </c>
      <c r="DL37" s="1997">
        <f>IFERROR(
IF(テーブル!$B$3="交付申請",DL69,
IF(AND(テーブル!$B$3="変更申請",DL$26=0),0,
IF(AND(テーブル!$B$3="変更申請",DL$26&gt;=1),DL69,
IF(テーブル!$B$3="実績報告（１次）",DL69,
IF(AND(テーブル!$B$3="交付申請（２次）",DL$26=0),0,
IF(AND(テーブル!$B$3="交付申請（２次）",DL$26&gt;=1),DL69,
IF(AND(テーブル!$B$3="交付申請兼実績報告（２次）",DL$26=0),0,
IF(AND(テーブル!$B$3="交付申請兼実績報告（２次）",DL$26&gt;=1),DL69,
IF(AND(テーブル!$B$3="実績報告（２次）",DL$26=0),0,
IF(AND(テーブル!$B$3="実績報告（２次）",DL$26&gt;=1),DL69)))))))))),0)</f>
        <v>0</v>
      </c>
      <c r="DM37" s="1997">
        <f>IFERROR(
IF(テーブル!$B$3="交付申請",DM69,
IF(AND(テーブル!$B$3="変更申請",DM$26=0),0,
IF(AND(テーブル!$B$3="変更申請",DM$26&gt;=1),DM69,
IF(テーブル!$B$3="実績報告（１次）",DM69,
IF(AND(テーブル!$B$3="交付申請（２次）",DM$26=0),0,
IF(AND(テーブル!$B$3="交付申請（２次）",DM$26&gt;=1),DM69,
IF(AND(テーブル!$B$3="交付申請兼実績報告（２次）",DM$26=0),0,
IF(AND(テーブル!$B$3="交付申請兼実績報告（２次）",DM$26&gt;=1),DM69,
IF(AND(テーブル!$B$3="実績報告（２次）",DM$26=0),0,
IF(AND(テーブル!$B$3="実績報告（２次）",DM$26&gt;=1),DM69)))))))))),0)</f>
        <v>0</v>
      </c>
      <c r="DN37" s="1997">
        <f>IFERROR(
IF(テーブル!$B$3="交付申請",DN69,
IF(AND(テーブル!$B$3="変更申請",DN$26=0),0,
IF(AND(テーブル!$B$3="変更申請",DN$26&gt;=1),DN69,
IF(テーブル!$B$3="実績報告（１次）",DN69,
IF(AND(テーブル!$B$3="交付申請（２次）",DN$26=0),0,
IF(AND(テーブル!$B$3="交付申請（２次）",DN$26&gt;=1),DN69,
IF(AND(テーブル!$B$3="交付申請兼実績報告（２次）",DN$26=0),0,
IF(AND(テーブル!$B$3="交付申請兼実績報告（２次）",DN$26&gt;=1),DN69,
IF(AND(テーブル!$B$3="実績報告（２次）",DN$26=0),0,
IF(AND(テーブル!$B$3="実績報告（２次）",DN$26&gt;=1),DN69)))))))))),0)</f>
        <v>0</v>
      </c>
      <c r="DO37" s="1997">
        <f>IFERROR(
IF(テーブル!$B$3="交付申請",DO69,
IF(AND(テーブル!$B$3="変更申請",DO$26=0),0,
IF(AND(テーブル!$B$3="変更申請",DO$26&gt;=1),DO69,
IF(テーブル!$B$3="実績報告（１次）",DO69,
IF(AND(テーブル!$B$3="交付申請（２次）",DO$26=0),0,
IF(AND(テーブル!$B$3="交付申請（２次）",DO$26&gt;=1),DO69,
IF(AND(テーブル!$B$3="交付申請兼実績報告（２次）",DO$26=0),0,
IF(AND(テーブル!$B$3="交付申請兼実績報告（２次）",DO$26&gt;=1),DO69,
IF(AND(テーブル!$B$3="実績報告（２次）",DO$26=0),0,
IF(AND(テーブル!$B$3="実績報告（２次）",DO$26&gt;=1),DO69)))))))))),0)</f>
        <v>0</v>
      </c>
      <c r="DP37" s="1997">
        <f>IFERROR(
IF(テーブル!$B$3="交付申請",DP69,
IF(AND(テーブル!$B$3="変更申請",DP$26=0),0,
IF(AND(テーブル!$B$3="変更申請",DP$26&gt;=1),DP69,
IF(テーブル!$B$3="実績報告（１次）",DP69,
IF(AND(テーブル!$B$3="交付申請（２次）",DP$26=0),0,
IF(AND(テーブル!$B$3="交付申請（２次）",DP$26&gt;=1),DP69,
IF(AND(テーブル!$B$3="交付申請兼実績報告（２次）",DP$26=0),0,
IF(AND(テーブル!$B$3="交付申請兼実績報告（２次）",DP$26&gt;=1),DP69,
IF(AND(テーブル!$B$3="実績報告（２次）",DP$26=0),0,
IF(AND(テーブル!$B$3="実績報告（２次）",DP$26&gt;=1),DP69)))))))))),0)</f>
        <v>0</v>
      </c>
      <c r="DQ37" s="1997">
        <f>IFERROR(
IF(テーブル!$B$3="交付申請",DQ69,
IF(AND(テーブル!$B$3="変更申請",DQ$26=0),0,
IF(AND(テーブル!$B$3="変更申請",DQ$26&gt;=1),DQ69,
IF(テーブル!$B$3="実績報告（１次）",DQ69,
IF(AND(テーブル!$B$3="交付申請（２次）",DQ$26=0),0,
IF(AND(テーブル!$B$3="交付申請（２次）",DQ$26&gt;=1),DQ69,
IF(AND(テーブル!$B$3="交付申請兼実績報告（２次）",DQ$26=0),0,
IF(AND(テーブル!$B$3="交付申請兼実績報告（２次）",DQ$26&gt;=1),DQ69,
IF(AND(テーブル!$B$3="実績報告（２次）",DQ$26=0),0,
IF(AND(テーブル!$B$3="実績報告（２次）",DQ$26&gt;=1),DQ69)))))))))),0)</f>
        <v>0</v>
      </c>
      <c r="DR37" s="1997">
        <f>IFERROR(
IF(テーブル!$B$3="交付申請",DR69,
IF(AND(テーブル!$B$3="変更申請",DR$26=0),0,
IF(AND(テーブル!$B$3="変更申請",DR$26&gt;=1),DR69,
IF(テーブル!$B$3="実績報告（１次）",DR69,
IF(AND(テーブル!$B$3="交付申請（２次）",DR$26=0),0,
IF(AND(テーブル!$B$3="交付申請（２次）",DR$26&gt;=1),DR69,
IF(AND(テーブル!$B$3="交付申請兼実績報告（２次）",DR$26=0),0,
IF(AND(テーブル!$B$3="交付申請兼実績報告（２次）",DR$26&gt;=1),DR69,
IF(AND(テーブル!$B$3="実績報告（２次）",DR$26=0),0,
IF(AND(テーブル!$B$3="実績報告（２次）",DR$26&gt;=1),DR69)))))))))),0)</f>
        <v>0</v>
      </c>
      <c r="DS37" s="1997">
        <f>IFERROR(
IF(テーブル!$B$3="交付申請",DS69,
IF(AND(テーブル!$B$3="変更申請",DS$26=0),0,
IF(AND(テーブル!$B$3="変更申請",DS$26&gt;=1),DS69,
IF(テーブル!$B$3="実績報告（１次）",DS69,
IF(AND(テーブル!$B$3="交付申請（２次）",DS$26=0),0,
IF(AND(テーブル!$B$3="交付申請（２次）",DS$26&gt;=1),DS69,
IF(AND(テーブル!$B$3="交付申請兼実績報告（２次）",DS$26=0),0,
IF(AND(テーブル!$B$3="交付申請兼実績報告（２次）",DS$26&gt;=1),DS69,
IF(AND(テーブル!$B$3="実績報告（２次）",DS$26=0),0,
IF(AND(テーブル!$B$3="実績報告（２次）",DS$26&gt;=1),DS69)))))))))),0)</f>
        <v>0</v>
      </c>
      <c r="DT37" s="1997">
        <f>IFERROR(
IF(テーブル!$B$3="交付申請",DT69,
IF(AND(テーブル!$B$3="変更申請",DT$26=0),0,
IF(AND(テーブル!$B$3="変更申請",DT$26&gt;=1),DT69,
IF(テーブル!$B$3="実績報告（１次）",DT69,
IF(AND(テーブル!$B$3="交付申請（２次）",DT$26=0),0,
IF(AND(テーブル!$B$3="交付申請（２次）",DT$26&gt;=1),DT69,
IF(AND(テーブル!$B$3="交付申請兼実績報告（２次）",DT$26=0),0,
IF(AND(テーブル!$B$3="交付申請兼実績報告（２次）",DT$26&gt;=1),DT69,
IF(AND(テーブル!$B$3="実績報告（２次）",DT$26=0),0,
IF(AND(テーブル!$B$3="実績報告（２次）",DT$26&gt;=1),DT69)))))))))),0)</f>
        <v>0</v>
      </c>
      <c r="DU37" s="1997">
        <f>IFERROR(
IF(テーブル!$B$3="交付申請",DU69,
IF(AND(テーブル!$B$3="変更申請",DU$26=0),0,
IF(AND(テーブル!$B$3="変更申請",DU$26&gt;=1),DU69,
IF(テーブル!$B$3="実績報告（１次）",DU69,
IF(AND(テーブル!$B$3="交付申請（２次）",DU$26=0),0,
IF(AND(テーブル!$B$3="交付申請（２次）",DU$26&gt;=1),DU69,
IF(AND(テーブル!$B$3="交付申請兼実績報告（２次）",DU$26=0),0,
IF(AND(テーブル!$B$3="交付申請兼実績報告（２次）",DU$26&gt;=1),DU69,
IF(AND(テーブル!$B$3="実績報告（２次）",DU$26=0),0,
IF(AND(テーブル!$B$3="実績報告（２次）",DU$26&gt;=1),DU69)))))))))),0)</f>
        <v>0</v>
      </c>
      <c r="DV37" s="1997">
        <f>IFERROR(
IF(テーブル!$B$3="交付申請",DV69,
IF(AND(テーブル!$B$3="変更申請",DV$26=0),0,
IF(AND(テーブル!$B$3="変更申請",DV$26&gt;=1),DV69,
IF(テーブル!$B$3="実績報告（１次）",DV69,
IF(AND(テーブル!$B$3="交付申請（２次）",DV$26=0),0,
IF(AND(テーブル!$B$3="交付申請（２次）",DV$26&gt;=1),DV69,
IF(AND(テーブル!$B$3="交付申請兼実績報告（２次）",DV$26=0),0,
IF(AND(テーブル!$B$3="交付申請兼実績報告（２次）",DV$26&gt;=1),DV69,
IF(AND(テーブル!$B$3="実績報告（２次）",DV$26=0),0,
IF(AND(テーブル!$B$3="実績報告（２次）",DV$26&gt;=1),DV69)))))))))),0)</f>
        <v>0</v>
      </c>
      <c r="DW37" s="1997">
        <f>IFERROR(
IF(テーブル!$B$3="交付申請",DW69,
IF(AND(テーブル!$B$3="変更申請",DW$26=0),0,
IF(AND(テーブル!$B$3="変更申請",DW$26&gt;=1),DW69,
IF(テーブル!$B$3="実績報告（１次）",DW69,
IF(AND(テーブル!$B$3="交付申請（２次）",DW$26=0),0,
IF(AND(テーブル!$B$3="交付申請（２次）",DW$26&gt;=1),DW69,
IF(AND(テーブル!$B$3="交付申請兼実績報告（２次）",DW$26=0),0,
IF(AND(テーブル!$B$3="交付申請兼実績報告（２次）",DW$26&gt;=1),DW69,
IF(AND(テーブル!$B$3="実績報告（２次）",DW$26=0),0,
IF(AND(テーブル!$B$3="実績報告（２次）",DW$26&gt;=1),DW69)))))))))),0)</f>
        <v>0</v>
      </c>
      <c r="DX37" s="1997">
        <f>IFERROR(
IF(テーブル!$B$3="交付申請",DX69,
IF(AND(テーブル!$B$3="変更申請",DX$26=0),0,
IF(AND(テーブル!$B$3="変更申請",DX$26&gt;=1),DX69,
IF(テーブル!$B$3="実績報告（１次）",DX69,
IF(AND(テーブル!$B$3="交付申請（２次）",DX$26=0),0,
IF(AND(テーブル!$B$3="交付申請（２次）",DX$26&gt;=1),DX69,
IF(AND(テーブル!$B$3="交付申請兼実績報告（２次）",DX$26=0),0,
IF(AND(テーブル!$B$3="交付申請兼実績報告（２次）",DX$26&gt;=1),DX69,
IF(AND(テーブル!$B$3="実績報告（２次）",DX$26=0),0,
IF(AND(テーブル!$B$3="実績報告（２次）",DX$26&gt;=1),DX69)))))))))),0)</f>
        <v>0</v>
      </c>
      <c r="DY37" s="1997">
        <f>IFERROR(
IF(テーブル!$B$3="交付申請",DY69,
IF(AND(テーブル!$B$3="変更申請",DY$26=0),0,
IF(AND(テーブル!$B$3="変更申請",DY$26&gt;=1),DY69,
IF(テーブル!$B$3="実績報告（１次）",DY69,
IF(AND(テーブル!$B$3="交付申請（２次）",DY$26=0),0,
IF(AND(テーブル!$B$3="交付申請（２次）",DY$26&gt;=1),DY69,
IF(AND(テーブル!$B$3="交付申請兼実績報告（２次）",DY$26=0),0,
IF(AND(テーブル!$B$3="交付申請兼実績報告（２次）",DY$26&gt;=1),DY69,
IF(AND(テーブル!$B$3="実績報告（２次）",DY$26=0),0,
IF(AND(テーブル!$B$3="実績報告（２次）",DY$26&gt;=1),DY69)))))))))),0)</f>
        <v>0</v>
      </c>
      <c r="DZ37" s="1997">
        <f>IFERROR(
IF(テーブル!$B$3="交付申請",DZ69,
IF(AND(テーブル!$B$3="変更申請",DZ$26=0),0,
IF(AND(テーブル!$B$3="変更申請",DZ$26&gt;=1),DZ69,
IF(テーブル!$B$3="実績報告（１次）",DZ69,
IF(AND(テーブル!$B$3="交付申請（２次）",DZ$26=0),0,
IF(AND(テーブル!$B$3="交付申請（２次）",DZ$26&gt;=1),DZ69,
IF(AND(テーブル!$B$3="交付申請兼実績報告（２次）",DZ$26=0),0,
IF(AND(テーブル!$B$3="交付申請兼実績報告（２次）",DZ$26&gt;=1),DZ69,
IF(AND(テーブル!$B$3="実績報告（２次）",DZ$26=0),0,
IF(AND(テーブル!$B$3="実績報告（２次）",DZ$26&gt;=1),DZ69)))))))))),0)</f>
        <v>0</v>
      </c>
      <c r="EA37" s="1997">
        <f>IFERROR(
IF(テーブル!$B$3="交付申請",EA69,
IF(AND(テーブル!$B$3="変更申請",EA$26=0),0,
IF(AND(テーブル!$B$3="変更申請",EA$26&gt;=1),EA69,
IF(テーブル!$B$3="実績報告（１次）",EA69,
IF(AND(テーブル!$B$3="交付申請（２次）",EA$26=0),0,
IF(AND(テーブル!$B$3="交付申請（２次）",EA$26&gt;=1),EA69,
IF(AND(テーブル!$B$3="交付申請兼実績報告（２次）",EA$26=0),0,
IF(AND(テーブル!$B$3="交付申請兼実績報告（２次）",EA$26&gt;=1),EA69,
IF(AND(テーブル!$B$3="実績報告（２次）",EA$26=0),0,
IF(AND(テーブル!$B$3="実績報告（２次）",EA$26&gt;=1),EA69)))))))))),0)</f>
        <v>0</v>
      </c>
      <c r="EB37" s="1997">
        <f>IFERROR(
IF(テーブル!$B$3="交付申請",EB69,
IF(AND(テーブル!$B$3="変更申請",EB$26=0),0,
IF(AND(テーブル!$B$3="変更申請",EB$26&gt;=1),EB69,
IF(テーブル!$B$3="実績報告（１次）",EB69,
IF(AND(テーブル!$B$3="交付申請（２次）",EB$26=0),0,
IF(AND(テーブル!$B$3="交付申請（２次）",EB$26&gt;=1),EB69,
IF(AND(テーブル!$B$3="交付申請兼実績報告（２次）",EB$26=0),0,
IF(AND(テーブル!$B$3="交付申請兼実績報告（２次）",EB$26&gt;=1),EB69,
IF(AND(テーブル!$B$3="実績報告（２次）",EB$26=0),0,
IF(AND(テーブル!$B$3="実績報告（２次）",EB$26&gt;=1),EB69)))))))))),0)</f>
        <v>0</v>
      </c>
      <c r="EC37" s="1997">
        <f>IFERROR(
IF(テーブル!$B$3="交付申請",EC69,
IF(AND(テーブル!$B$3="変更申請",EC$26=0),0,
IF(AND(テーブル!$B$3="変更申請",EC$26&gt;=1),EC69,
IF(テーブル!$B$3="実績報告（１次）",EC69,
IF(AND(テーブル!$B$3="交付申請（２次）",EC$26=0),0,
IF(AND(テーブル!$B$3="交付申請（２次）",EC$26&gt;=1),EC69,
IF(AND(テーブル!$B$3="交付申請兼実績報告（２次）",EC$26=0),0,
IF(AND(テーブル!$B$3="交付申請兼実績報告（２次）",EC$26&gt;=1),EC69,
IF(AND(テーブル!$B$3="実績報告（２次）",EC$26=0),0,
IF(AND(テーブル!$B$3="実績報告（２次）",EC$26&gt;=1),EC69)))))))))),0)</f>
        <v>0</v>
      </c>
      <c r="ED37" s="1997">
        <f>IFERROR(
IF(テーブル!$B$3="交付申請",ED69,
IF(AND(テーブル!$B$3="変更申請",ED$26=0),0,
IF(AND(テーブル!$B$3="変更申請",ED$26&gt;=1),ED69,
IF(テーブル!$B$3="実績報告（１次）",ED69,
IF(AND(テーブル!$B$3="交付申請（２次）",ED$26=0),0,
IF(AND(テーブル!$B$3="交付申請（２次）",ED$26&gt;=1),ED69,
IF(AND(テーブル!$B$3="交付申請兼実績報告（２次）",ED$26=0),0,
IF(AND(テーブル!$B$3="交付申請兼実績報告（２次）",ED$26&gt;=1),ED69,
IF(AND(テーブル!$B$3="実績報告（２次）",ED$26=0),0,
IF(AND(テーブル!$B$3="実績報告（２次）",ED$26&gt;=1),ED69)))))))))),0)</f>
        <v>0</v>
      </c>
      <c r="EE37" s="1997">
        <f>IFERROR(
IF(テーブル!$B$3="交付申請",EE69,
IF(AND(テーブル!$B$3="変更申請",EE$26=0),0,
IF(AND(テーブル!$B$3="変更申請",EE$26&gt;=1),EE69,
IF(テーブル!$B$3="実績報告（１次）",EE69,
IF(AND(テーブル!$B$3="交付申請（２次）",EE$26=0),0,
IF(AND(テーブル!$B$3="交付申請（２次）",EE$26&gt;=1),EE69,
IF(AND(テーブル!$B$3="交付申請兼実績報告（２次）",EE$26=0),0,
IF(AND(テーブル!$B$3="交付申請兼実績報告（２次）",EE$26&gt;=1),EE69,
IF(AND(テーブル!$B$3="実績報告（２次）",EE$26=0),0,
IF(AND(テーブル!$B$3="実績報告（２次）",EE$26&gt;=1),EE69)))))))))),0)</f>
        <v>0</v>
      </c>
      <c r="EF37" s="1997">
        <f>IFERROR(
IF(テーブル!$B$3="交付申請",EF69,
IF(AND(テーブル!$B$3="変更申請",EF$26=0),0,
IF(AND(テーブル!$B$3="変更申請",EF$26&gt;=1),EF69,
IF(テーブル!$B$3="実績報告（１次）",EF69,
IF(AND(テーブル!$B$3="交付申請（２次）",EF$26=0),0,
IF(AND(テーブル!$B$3="交付申請（２次）",EF$26&gt;=1),EF69,
IF(AND(テーブル!$B$3="交付申請兼実績報告（２次）",EF$26=0),0,
IF(AND(テーブル!$B$3="交付申請兼実績報告（２次）",EF$26&gt;=1),EF69,
IF(AND(テーブル!$B$3="実績報告（２次）",EF$26=0),0,
IF(AND(テーブル!$B$3="実績報告（２次）",EF$26&gt;=1),EF69)))))))))),0)</f>
        <v>0</v>
      </c>
      <c r="EG37" s="1997">
        <f>IFERROR(
IF(テーブル!$B$3="交付申請",EG69,
IF(AND(テーブル!$B$3="変更申請",EG$26=0),0,
IF(AND(テーブル!$B$3="変更申請",EG$26&gt;=1),EG69,
IF(テーブル!$B$3="実績報告（１次）",EG69,
IF(AND(テーブル!$B$3="交付申請（２次）",EG$26=0),0,
IF(AND(テーブル!$B$3="交付申請（２次）",EG$26&gt;=1),EG69,
IF(AND(テーブル!$B$3="交付申請兼実績報告（２次）",EG$26=0),0,
IF(AND(テーブル!$B$3="交付申請兼実績報告（２次）",EG$26&gt;=1),EG69,
IF(AND(テーブル!$B$3="実績報告（２次）",EG$26=0),0,
IF(AND(テーブル!$B$3="実績報告（２次）",EG$26&gt;=1),EG69)))))))))),0)</f>
        <v>0</v>
      </c>
      <c r="EH37" s="1997">
        <f>IFERROR(
IF(テーブル!$B$3="交付申請",EH69,
IF(AND(テーブル!$B$3="変更申請",EH$26=0),0,
IF(AND(テーブル!$B$3="変更申請",EH$26&gt;=1),EH69,
IF(テーブル!$B$3="実績報告（１次）",EH69,
IF(AND(テーブル!$B$3="交付申請（２次）",EH$26=0),0,
IF(AND(テーブル!$B$3="交付申請（２次）",EH$26&gt;=1),EH69,
IF(AND(テーブル!$B$3="交付申請兼実績報告（２次）",EH$26=0),0,
IF(AND(テーブル!$B$3="交付申請兼実績報告（２次）",EH$26&gt;=1),EH69,
IF(AND(テーブル!$B$3="実績報告（２次）",EH$26=0),0,
IF(AND(テーブル!$B$3="実績報告（２次）",EH$26&gt;=1),EH69)))))))))),0)</f>
        <v>0</v>
      </c>
      <c r="EI37" s="1997">
        <f>IFERROR(
IF(テーブル!$B$3="交付申請",EI69,
IF(AND(テーブル!$B$3="変更申請",EI$26=0),0,
IF(AND(テーブル!$B$3="変更申請",EI$26&gt;=1),EI69,
IF(テーブル!$B$3="実績報告（１次）",EI69,
IF(AND(テーブル!$B$3="交付申請（２次）",EI$26=0),0,
IF(AND(テーブル!$B$3="交付申請（２次）",EI$26&gt;=1),EI69,
IF(AND(テーブル!$B$3="交付申請兼実績報告（２次）",EI$26=0),0,
IF(AND(テーブル!$B$3="交付申請兼実績報告（２次）",EI$26&gt;=1),EI69,
IF(AND(テーブル!$B$3="実績報告（２次）",EI$26=0),0,
IF(AND(テーブル!$B$3="実績報告（２次）",EI$26&gt;=1),EI69)))))))))),0)</f>
        <v>0</v>
      </c>
      <c r="EJ37" s="1997">
        <f>IFERROR(
IF(テーブル!$B$3="交付申請",EJ69,
IF(AND(テーブル!$B$3="変更申請",EJ$26=0),0,
IF(AND(テーブル!$B$3="変更申請",EJ$26&gt;=1),EJ69,
IF(テーブル!$B$3="実績報告（１次）",EJ69,
IF(AND(テーブル!$B$3="交付申請（２次）",EJ$26=0),0,
IF(AND(テーブル!$B$3="交付申請（２次）",EJ$26&gt;=1),EJ69,
IF(AND(テーブル!$B$3="交付申請兼実績報告（２次）",EJ$26=0),0,
IF(AND(テーブル!$B$3="交付申請兼実績報告（２次）",EJ$26&gt;=1),EJ69,
IF(AND(テーブル!$B$3="実績報告（２次）",EJ$26=0),0,
IF(AND(テーブル!$B$3="実績報告（２次）",EJ$26&gt;=1),EJ69)))))))))),0)</f>
        <v>0</v>
      </c>
      <c r="EK37" s="1997">
        <f>IFERROR(
IF(テーブル!$B$3="交付申請",EK69,
IF(AND(テーブル!$B$3="変更申請",EK$26=0),0,
IF(AND(テーブル!$B$3="変更申請",EK$26&gt;=1),EK69,
IF(テーブル!$B$3="実績報告（１次）",EK69,
IF(AND(テーブル!$B$3="交付申請（２次）",EK$26=0),0,
IF(AND(テーブル!$B$3="交付申請（２次）",EK$26&gt;=1),EK69,
IF(AND(テーブル!$B$3="交付申請兼実績報告（２次）",EK$26=0),0,
IF(AND(テーブル!$B$3="交付申請兼実績報告（２次）",EK$26&gt;=1),EK69,
IF(AND(テーブル!$B$3="実績報告（２次）",EK$26=0),0,
IF(AND(テーブル!$B$3="実績報告（２次）",EK$26&gt;=1),EK69)))))))))),0)</f>
        <v>0</v>
      </c>
      <c r="EL37" s="1997">
        <f>IFERROR(
IF(テーブル!$B$3="交付申請",EL69,
IF(AND(テーブル!$B$3="変更申請",EL$26=0),0,
IF(AND(テーブル!$B$3="変更申請",EL$26&gt;=1),EL69,
IF(テーブル!$B$3="実績報告（１次）",EL69,
IF(AND(テーブル!$B$3="交付申請（２次）",EL$26=0),0,
IF(AND(テーブル!$B$3="交付申請（２次）",EL$26&gt;=1),EL69,
IF(AND(テーブル!$B$3="交付申請兼実績報告（２次）",EL$26=0),0,
IF(AND(テーブル!$B$3="交付申請兼実績報告（２次）",EL$26&gt;=1),EL69,
IF(AND(テーブル!$B$3="実績報告（２次）",EL$26=0),0,
IF(AND(テーブル!$B$3="実績報告（２次）",EL$26&gt;=1),EL69)))))))))),0)</f>
        <v>0</v>
      </c>
      <c r="EM37" s="1997">
        <f>IFERROR(
IF(テーブル!$B$3="交付申請",EM69,
IF(AND(テーブル!$B$3="変更申請",EM$26=0),0,
IF(AND(テーブル!$B$3="変更申請",EM$26&gt;=1),EM69,
IF(テーブル!$B$3="実績報告（１次）",EM69,
IF(AND(テーブル!$B$3="交付申請（２次）",EM$26=0),0,
IF(AND(テーブル!$B$3="交付申請（２次）",EM$26&gt;=1),EM69,
IF(AND(テーブル!$B$3="交付申請兼実績報告（２次）",EM$26=0),0,
IF(AND(テーブル!$B$3="交付申請兼実績報告（２次）",EM$26&gt;=1),EM69,
IF(AND(テーブル!$B$3="実績報告（２次）",EM$26=0),0,
IF(AND(テーブル!$B$3="実績報告（２次）",EM$26&gt;=1),EM69)))))))))),0)</f>
        <v>0</v>
      </c>
      <c r="EN37" s="1997">
        <f>IFERROR(
IF(テーブル!$B$3="交付申請",EN69,
IF(AND(テーブル!$B$3="変更申請",EN$26=0),0,
IF(AND(テーブル!$B$3="変更申請",EN$26&gt;=1),EN69,
IF(テーブル!$B$3="実績報告（１次）",EN69,
IF(AND(テーブル!$B$3="交付申請（２次）",EN$26=0),0,
IF(AND(テーブル!$B$3="交付申請（２次）",EN$26&gt;=1),EN69,
IF(AND(テーブル!$B$3="交付申請兼実績報告（２次）",EN$26=0),0,
IF(AND(テーブル!$B$3="交付申請兼実績報告（２次）",EN$26&gt;=1),EN69,
IF(AND(テーブル!$B$3="実績報告（２次）",EN$26=0),0,
IF(AND(テーブル!$B$3="実績報告（２次）",EN$26&gt;=1),EN69)))))))))),0)</f>
        <v>0</v>
      </c>
      <c r="EO37" s="1997">
        <f>IFERROR(
IF(テーブル!$B$3="交付申請",EO69,
IF(AND(テーブル!$B$3="変更申請",EO$26=0),0,
IF(AND(テーブル!$B$3="変更申請",EO$26&gt;=1),EO69,
IF(テーブル!$B$3="実績報告（１次）",EO69,
IF(AND(テーブル!$B$3="交付申請（２次）",EO$26=0),0,
IF(AND(テーブル!$B$3="交付申請（２次）",EO$26&gt;=1),EO69,
IF(AND(テーブル!$B$3="交付申請兼実績報告（２次）",EO$26=0),0,
IF(AND(テーブル!$B$3="交付申請兼実績報告（２次）",EO$26&gt;=1),EO69,
IF(AND(テーブル!$B$3="実績報告（２次）",EO$26=0),0,
IF(AND(テーブル!$B$3="実績報告（２次）",EO$26&gt;=1),EO69)))))))))),0)</f>
        <v>0</v>
      </c>
      <c r="EP37" s="1997">
        <f>IFERROR(
IF(テーブル!$B$3="交付申請",EP69,
IF(AND(テーブル!$B$3="変更申請",EP$26=0),0,
IF(AND(テーブル!$B$3="変更申請",EP$26&gt;=1),EP69,
IF(テーブル!$B$3="実績報告（１次）",EP69,
IF(AND(テーブル!$B$3="交付申請（２次）",EP$26=0),0,
IF(AND(テーブル!$B$3="交付申請（２次）",EP$26&gt;=1),EP69,
IF(AND(テーブル!$B$3="交付申請兼実績報告（２次）",EP$26=0),0,
IF(AND(テーブル!$B$3="交付申請兼実績報告（２次）",EP$26&gt;=1),EP69,
IF(AND(テーブル!$B$3="実績報告（２次）",EP$26=0),0,
IF(AND(テーブル!$B$3="実績報告（２次）",EP$26&gt;=1),EP69)))))))))),0)</f>
        <v>0</v>
      </c>
      <c r="EQ37" s="1997">
        <f>IFERROR(
IF(テーブル!$B$3="交付申請",EQ69,
IF(AND(テーブル!$B$3="変更申請",EQ$26=0),0,
IF(AND(テーブル!$B$3="変更申請",EQ$26&gt;=1),EQ69,
IF(テーブル!$B$3="実績報告（１次）",EQ69,
IF(AND(テーブル!$B$3="交付申請（２次）",EQ$26=0),0,
IF(AND(テーブル!$B$3="交付申請（２次）",EQ$26&gt;=1),EQ69,
IF(AND(テーブル!$B$3="交付申請兼実績報告（２次）",EQ$26=0),0,
IF(AND(テーブル!$B$3="交付申請兼実績報告（２次）",EQ$26&gt;=1),EQ69,
IF(AND(テーブル!$B$3="実績報告（２次）",EQ$26=0),0,
IF(AND(テーブル!$B$3="実績報告（２次）",EQ$26&gt;=1),EQ69)))))))))),0)</f>
        <v>0</v>
      </c>
      <c r="ER37" s="1997">
        <f>IFERROR(
IF(テーブル!$B$3="交付申請",ER69,
IF(AND(テーブル!$B$3="変更申請",ER$26=0),0,
IF(AND(テーブル!$B$3="変更申請",ER$26&gt;=1),ER69,
IF(テーブル!$B$3="実績報告（１次）",ER69,
IF(AND(テーブル!$B$3="交付申請（２次）",ER$26=0),0,
IF(AND(テーブル!$B$3="交付申請（２次）",ER$26&gt;=1),ER69,
IF(AND(テーブル!$B$3="交付申請兼実績報告（２次）",ER$26=0),0,
IF(AND(テーブル!$B$3="交付申請兼実績報告（２次）",ER$26&gt;=1),ER69,
IF(AND(テーブル!$B$3="実績報告（２次）",ER$26=0),0,
IF(AND(テーブル!$B$3="実績報告（２次）",ER$26&gt;=1),ER69)))))))))),0)</f>
        <v>0</v>
      </c>
      <c r="ES37" s="1997">
        <f>IFERROR(
IF(テーブル!$B$3="交付申請",ES69,
IF(AND(テーブル!$B$3="変更申請",ES$26=0),0,
IF(AND(テーブル!$B$3="変更申請",ES$26&gt;=1),ES69,
IF(テーブル!$B$3="実績報告（１次）",ES69,
IF(AND(テーブル!$B$3="交付申請（２次）",ES$26=0),0,
IF(AND(テーブル!$B$3="交付申請（２次）",ES$26&gt;=1),ES69,
IF(AND(テーブル!$B$3="交付申請兼実績報告（２次）",ES$26=0),0,
IF(AND(テーブル!$B$3="交付申請兼実績報告（２次）",ES$26&gt;=1),ES69,
IF(AND(テーブル!$B$3="実績報告（２次）",ES$26=0),0,
IF(AND(テーブル!$B$3="実績報告（２次）",ES$26&gt;=1),ES69)))))))))),0)</f>
        <v>0</v>
      </c>
      <c r="ET37" s="1997">
        <f>IFERROR(
IF(テーブル!$B$3="交付申請",ET69,
IF(AND(テーブル!$B$3="変更申請",ET$26=0),0,
IF(AND(テーブル!$B$3="変更申請",ET$26&gt;=1),ET69,
IF(テーブル!$B$3="実績報告（１次）",ET69,
IF(AND(テーブル!$B$3="交付申請（２次）",ET$26=0),0,
IF(AND(テーブル!$B$3="交付申請（２次）",ET$26&gt;=1),ET69,
IF(AND(テーブル!$B$3="交付申請兼実績報告（２次）",ET$26=0),0,
IF(AND(テーブル!$B$3="交付申請兼実績報告（２次）",ET$26&gt;=1),ET69,
IF(AND(テーブル!$B$3="実績報告（２次）",ET$26=0),0,
IF(AND(テーブル!$B$3="実績報告（２次）",ET$26&gt;=1),ET69)))))))))),0)</f>
        <v>0</v>
      </c>
      <c r="EU37" s="1997">
        <f>IFERROR(
IF(テーブル!$B$3="交付申請",EU69,
IF(AND(テーブル!$B$3="変更申請",EU$26=0),0,
IF(AND(テーブル!$B$3="変更申請",EU$26&gt;=1),EU69,
IF(テーブル!$B$3="実績報告（１次）",EU69,
IF(AND(テーブル!$B$3="交付申請（２次）",EU$26=0),0,
IF(AND(テーブル!$B$3="交付申請（２次）",EU$26&gt;=1),EU69,
IF(AND(テーブル!$B$3="交付申請兼実績報告（２次）",EU$26=0),0,
IF(AND(テーブル!$B$3="交付申請兼実績報告（２次）",EU$26&gt;=1),EU69,
IF(AND(テーブル!$B$3="実績報告（２次）",EU$26=0),0,
IF(AND(テーブル!$B$3="実績報告（２次）",EU$26&gt;=1),EU69)))))))))),0)</f>
        <v>0</v>
      </c>
      <c r="EV37" s="1997">
        <f>IFERROR(
IF(テーブル!$B$3="交付申請",EV69,
IF(AND(テーブル!$B$3="変更申請",EV$26=0),0,
IF(AND(テーブル!$B$3="変更申請",EV$26&gt;=1),EV69,
IF(テーブル!$B$3="実績報告（１次）",EV69,
IF(AND(テーブル!$B$3="交付申請（２次）",EV$26=0),0,
IF(AND(テーブル!$B$3="交付申請（２次）",EV$26&gt;=1),EV69,
IF(AND(テーブル!$B$3="交付申請兼実績報告（２次）",EV$26=0),0,
IF(AND(テーブル!$B$3="交付申請兼実績報告（２次）",EV$26&gt;=1),EV69,
IF(AND(テーブル!$B$3="実績報告（２次）",EV$26=0),0,
IF(AND(テーブル!$B$3="実績報告（２次）",EV$26&gt;=1),EV69)))))))))),0)</f>
        <v>0</v>
      </c>
      <c r="EW37" s="1997">
        <f>IFERROR(
IF(テーブル!$B$3="交付申請",EW69,
IF(AND(テーブル!$B$3="変更申請",EW$26=0),0,
IF(AND(テーブル!$B$3="変更申請",EW$26&gt;=1),EW69,
IF(テーブル!$B$3="実績報告（１次）",EW69,
IF(AND(テーブル!$B$3="交付申請（２次）",EW$26=0),0,
IF(AND(テーブル!$B$3="交付申請（２次）",EW$26&gt;=1),EW69,
IF(AND(テーブル!$B$3="交付申請兼実績報告（２次）",EW$26=0),0,
IF(AND(テーブル!$B$3="交付申請兼実績報告（２次）",EW$26&gt;=1),EW69,
IF(AND(テーブル!$B$3="実績報告（２次）",EW$26=0),0,
IF(AND(テーブル!$B$3="実績報告（２次）",EW$26&gt;=1),EW69)))))))))),0)</f>
        <v>0</v>
      </c>
      <c r="EX37" s="1997">
        <f>IFERROR(
IF(テーブル!$B$3="交付申請",EX69,
IF(AND(テーブル!$B$3="変更申請",EX$26=0),0,
IF(AND(テーブル!$B$3="変更申請",EX$26&gt;=1),EX69,
IF(テーブル!$B$3="実績報告（１次）",EX69,
IF(AND(テーブル!$B$3="交付申請（２次）",EX$26=0),0,
IF(AND(テーブル!$B$3="交付申請（２次）",EX$26&gt;=1),EX69,
IF(AND(テーブル!$B$3="交付申請兼実績報告（２次）",EX$26=0),0,
IF(AND(テーブル!$B$3="交付申請兼実績報告（２次）",EX$26&gt;=1),EX69,
IF(AND(テーブル!$B$3="実績報告（２次）",EX$26=0),0,
IF(AND(テーブル!$B$3="実績報告（２次）",EX$26&gt;=1),EX69)))))))))),0)</f>
        <v>0</v>
      </c>
      <c r="EY37" s="1997">
        <f>IFERROR(
IF(テーブル!$B$3="交付申請",EY69,
IF(AND(テーブル!$B$3="変更申請",EY$26=0),0,
IF(AND(テーブル!$B$3="変更申請",EY$26&gt;=1),EY69,
IF(テーブル!$B$3="実績報告（１次）",EY69,
IF(AND(テーブル!$B$3="交付申請（２次）",EY$26=0),0,
IF(AND(テーブル!$B$3="交付申請（２次）",EY$26&gt;=1),EY69,
IF(AND(テーブル!$B$3="交付申請兼実績報告（２次）",EY$26=0),0,
IF(AND(テーブル!$B$3="交付申請兼実績報告（２次）",EY$26&gt;=1),EY69,
IF(AND(テーブル!$B$3="実績報告（２次）",EY$26=0),0,
IF(AND(テーブル!$B$3="実績報告（２次）",EY$26&gt;=1),EY69)))))))))),0)</f>
        <v>0</v>
      </c>
      <c r="EZ37" s="1997">
        <f>IFERROR(
IF(テーブル!$B$3="交付申請",EZ69,
IF(AND(テーブル!$B$3="変更申請",EZ$26=0),0,
IF(AND(テーブル!$B$3="変更申請",EZ$26&gt;=1),EZ69,
IF(テーブル!$B$3="実績報告（１次）",EZ69,
IF(AND(テーブル!$B$3="交付申請（２次）",EZ$26=0),0,
IF(AND(テーブル!$B$3="交付申請（２次）",EZ$26&gt;=1),EZ69,
IF(AND(テーブル!$B$3="交付申請兼実績報告（２次）",EZ$26=0),0,
IF(AND(テーブル!$B$3="交付申請兼実績報告（２次）",EZ$26&gt;=1),EZ69,
IF(AND(テーブル!$B$3="実績報告（２次）",EZ$26=0),0,
IF(AND(テーブル!$B$3="実績報告（２次）",EZ$26&gt;=1),EZ69)))))))))),0)</f>
        <v>0</v>
      </c>
      <c r="FA37" s="1997">
        <f>IFERROR(
IF(テーブル!$B$3="交付申請",FA69,
IF(AND(テーブル!$B$3="変更申請",FA$26=0),0,
IF(AND(テーブル!$B$3="変更申請",FA$26&gt;=1),FA69,
IF(テーブル!$B$3="実績報告（１次）",FA69,
IF(AND(テーブル!$B$3="交付申請（２次）",FA$26=0),0,
IF(AND(テーブル!$B$3="交付申請（２次）",FA$26&gt;=1),FA69,
IF(AND(テーブル!$B$3="交付申請兼実績報告（２次）",FA$26=0),0,
IF(AND(テーブル!$B$3="交付申請兼実績報告（２次）",FA$26&gt;=1),FA69,
IF(AND(テーブル!$B$3="実績報告（２次）",FA$26=0),0,
IF(AND(テーブル!$B$3="実績報告（２次）",FA$26&gt;=1),FA69)))))))))),0)</f>
        <v>0</v>
      </c>
      <c r="FB37" s="1997">
        <f>IFERROR(
IF(テーブル!$B$3="交付申請",FB69,
IF(AND(テーブル!$B$3="変更申請",FB$26=0),0,
IF(AND(テーブル!$B$3="変更申請",FB$26&gt;=1),FB69,
IF(テーブル!$B$3="実績報告（１次）",FB69,
IF(AND(テーブル!$B$3="交付申請（２次）",FB$26=0),0,
IF(AND(テーブル!$B$3="交付申請（２次）",FB$26&gt;=1),FB69,
IF(AND(テーブル!$B$3="交付申請兼実績報告（２次）",FB$26=0),0,
IF(AND(テーブル!$B$3="交付申請兼実績報告（２次）",FB$26&gt;=1),FB69,
IF(AND(テーブル!$B$3="実績報告（２次）",FB$26=0),0,
IF(AND(テーブル!$B$3="実績報告（２次）",FB$26&gt;=1),FB69)))))))))),0)</f>
        <v>0</v>
      </c>
      <c r="FC37" s="1997">
        <f>IFERROR(
IF(テーブル!$B$3="交付申請",FC69,
IF(AND(テーブル!$B$3="変更申請",FC$26=0),0,
IF(AND(テーブル!$B$3="変更申請",FC$26&gt;=1),FC69,
IF(テーブル!$B$3="実績報告（１次）",FC69,
IF(AND(テーブル!$B$3="交付申請（２次）",FC$26=0),0,
IF(AND(テーブル!$B$3="交付申請（２次）",FC$26&gt;=1),FC69,
IF(AND(テーブル!$B$3="交付申請兼実績報告（２次）",FC$26=0),0,
IF(AND(テーブル!$B$3="交付申請兼実績報告（２次）",FC$26&gt;=1),FC69,
IF(AND(テーブル!$B$3="実績報告（２次）",FC$26=0),0,
IF(AND(テーブル!$B$3="実績報告（２次）",FC$26&gt;=1),FC69)))))))))),0)</f>
        <v>0</v>
      </c>
      <c r="FD37" s="1997">
        <f>IFERROR(
IF(テーブル!$B$3="交付申請",FD69,
IF(AND(テーブル!$B$3="変更申請",FD$26=0),0,
IF(AND(テーブル!$B$3="変更申請",FD$26&gt;=1),FD69,
IF(テーブル!$B$3="実績報告（１次）",FD69,
IF(AND(テーブル!$B$3="交付申請（２次）",FD$26=0),0,
IF(AND(テーブル!$B$3="交付申請（２次）",FD$26&gt;=1),FD69,
IF(AND(テーブル!$B$3="交付申請兼実績報告（２次）",FD$26=0),0,
IF(AND(テーブル!$B$3="交付申請兼実績報告（２次）",FD$26&gt;=1),FD69,
IF(AND(テーブル!$B$3="実績報告（２次）",FD$26=0),0,
IF(AND(テーブル!$B$3="実績報告（２次）",FD$26&gt;=1),FD69)))))))))),0)</f>
        <v>0</v>
      </c>
      <c r="FE37" s="1997">
        <f>IFERROR(
IF(テーブル!$B$3="交付申請",FE69,
IF(AND(テーブル!$B$3="変更申請",FE$26=0),0,
IF(AND(テーブル!$B$3="変更申請",FE$26&gt;=1),FE69,
IF(テーブル!$B$3="実績報告（１次）",FE69,
IF(AND(テーブル!$B$3="交付申請（２次）",FE$26=0),0,
IF(AND(テーブル!$B$3="交付申請（２次）",FE$26&gt;=1),FE69,
IF(AND(テーブル!$B$3="交付申請兼実績報告（２次）",FE$26=0),0,
IF(AND(テーブル!$B$3="交付申請兼実績報告（２次）",FE$26&gt;=1),FE69,
IF(AND(テーブル!$B$3="実績報告（２次）",FE$26=0),0,
IF(AND(テーブル!$B$3="実績報告（２次）",FE$26&gt;=1),FE69)))))))))),0)</f>
        <v>0</v>
      </c>
      <c r="FF37" s="1997">
        <f>IFERROR(
IF(テーブル!$B$3="交付申請",FF69,
IF(AND(テーブル!$B$3="変更申請",FF$26=0),0,
IF(AND(テーブル!$B$3="変更申請",FF$26&gt;=1),FF69,
IF(テーブル!$B$3="実績報告（１次）",FF69,
IF(AND(テーブル!$B$3="交付申請（２次）",FF$26=0),0,
IF(AND(テーブル!$B$3="交付申請（２次）",FF$26&gt;=1),FF69,
IF(AND(テーブル!$B$3="交付申請兼実績報告（２次）",FF$26=0),0,
IF(AND(テーブル!$B$3="交付申請兼実績報告（２次）",FF$26&gt;=1),FF69,
IF(AND(テーブル!$B$3="実績報告（２次）",FF$26=0),0,
IF(AND(テーブル!$B$3="実績報告（２次）",FF$26&gt;=1),FF69)))))))))),0)</f>
        <v>0</v>
      </c>
      <c r="FG37" s="1997">
        <f>IFERROR(
IF(テーブル!$B$3="交付申請",FG69,
IF(AND(テーブル!$B$3="変更申請",FG$26=0),0,
IF(AND(テーブル!$B$3="変更申請",FG$26&gt;=1),FG69,
IF(テーブル!$B$3="実績報告（１次）",FG69,
IF(AND(テーブル!$B$3="交付申請（２次）",FG$26=0),0,
IF(AND(テーブル!$B$3="交付申請（２次）",FG$26&gt;=1),FG69,
IF(AND(テーブル!$B$3="交付申請兼実績報告（２次）",FG$26=0),0,
IF(AND(テーブル!$B$3="交付申請兼実績報告（２次）",FG$26&gt;=1),FG69,
IF(AND(テーブル!$B$3="実績報告（２次）",FG$26=0),0,
IF(AND(テーブル!$B$3="実績報告（２次）",FG$26&gt;=1),FG69)))))))))),0)</f>
        <v>0</v>
      </c>
      <c r="FH37" s="1997">
        <f>IFERROR(
IF(テーブル!$B$3="交付申請",FH69,
IF(AND(テーブル!$B$3="変更申請",FH$26=0),0,
IF(AND(テーブル!$B$3="変更申請",FH$26&gt;=1),FH69,
IF(テーブル!$B$3="実績報告（１次）",FH69,
IF(AND(テーブル!$B$3="交付申請（２次）",FH$26=0),0,
IF(AND(テーブル!$B$3="交付申請（２次）",FH$26&gt;=1),FH69,
IF(AND(テーブル!$B$3="交付申請兼実績報告（２次）",FH$26=0),0,
IF(AND(テーブル!$B$3="交付申請兼実績報告（２次）",FH$26&gt;=1),FH69,
IF(AND(テーブル!$B$3="実績報告（２次）",FH$26=0),0,
IF(AND(テーブル!$B$3="実績報告（２次）",FH$26&gt;=1),FH69)))))))))),0)</f>
        <v>0</v>
      </c>
      <c r="FI37" s="1997">
        <f>IFERROR(
IF(テーブル!$B$3="交付申請",FI69,
IF(AND(テーブル!$B$3="変更申請",FI$26=0),0,
IF(AND(テーブル!$B$3="変更申請",FI$26&gt;=1),FI69,
IF(テーブル!$B$3="実績報告（１次）",FI69,
IF(AND(テーブル!$B$3="交付申請（２次）",FI$26=0),0,
IF(AND(テーブル!$B$3="交付申請（２次）",FI$26&gt;=1),FI69,
IF(AND(テーブル!$B$3="交付申請兼実績報告（２次）",FI$26=0),0,
IF(AND(テーブル!$B$3="交付申請兼実績報告（２次）",FI$26&gt;=1),FI69,
IF(AND(テーブル!$B$3="実績報告（２次）",FI$26=0),0,
IF(AND(テーブル!$B$3="実績報告（２次）",FI$26&gt;=1),FI69)))))))))),0)</f>
        <v>0</v>
      </c>
      <c r="FJ37" s="1997">
        <f>IFERROR(
IF(テーブル!$B$3="交付申請",FJ69,
IF(AND(テーブル!$B$3="変更申請",FJ$26=0),0,
IF(AND(テーブル!$B$3="変更申請",FJ$26&gt;=1),FJ69,
IF(テーブル!$B$3="実績報告（１次）",FJ69,
IF(AND(テーブル!$B$3="交付申請（２次）",FJ$26=0),0,
IF(AND(テーブル!$B$3="交付申請（２次）",FJ$26&gt;=1),FJ69,
IF(AND(テーブル!$B$3="交付申請兼実績報告（２次）",FJ$26=0),0,
IF(AND(テーブル!$B$3="交付申請兼実績報告（２次）",FJ$26&gt;=1),FJ69,
IF(AND(テーブル!$B$3="実績報告（２次）",FJ$26=0),0,
IF(AND(テーブル!$B$3="実績報告（２次）",FJ$26&gt;=1),FJ69)))))))))),0)</f>
        <v>0</v>
      </c>
      <c r="FK37" s="1997">
        <f>IFERROR(
IF(テーブル!$B$3="交付申請",FK69,
IF(AND(テーブル!$B$3="変更申請",FK$26=0),0,
IF(AND(テーブル!$B$3="変更申請",FK$26&gt;=1),FK69,
IF(テーブル!$B$3="実績報告（１次）",FK69,
IF(AND(テーブル!$B$3="交付申請（２次）",FK$26=0),0,
IF(AND(テーブル!$B$3="交付申請（２次）",FK$26&gt;=1),FK69,
IF(AND(テーブル!$B$3="交付申請兼実績報告（２次）",FK$26=0),0,
IF(AND(テーブル!$B$3="交付申請兼実績報告（２次）",FK$26&gt;=1),FK69,
IF(AND(テーブル!$B$3="実績報告（２次）",FK$26=0),0,
IF(AND(テーブル!$B$3="実績報告（２次）",FK$26&gt;=1),FK69)))))))))),0)</f>
        <v>0</v>
      </c>
      <c r="FL37" s="1997">
        <f>IFERROR(
IF(テーブル!$B$3="交付申請",FL69,
IF(AND(テーブル!$B$3="変更申請",FL$26=0),0,
IF(AND(テーブル!$B$3="変更申請",FL$26&gt;=1),FL69,
IF(テーブル!$B$3="実績報告（１次）",FL69,
IF(AND(テーブル!$B$3="交付申請（２次）",FL$26=0),0,
IF(AND(テーブル!$B$3="交付申請（２次）",FL$26&gt;=1),FL69,
IF(AND(テーブル!$B$3="交付申請兼実績報告（２次）",FL$26=0),0,
IF(AND(テーブル!$B$3="交付申請兼実績報告（２次）",FL$26&gt;=1),FL69,
IF(AND(テーブル!$B$3="実績報告（２次）",FL$26=0),0,
IF(AND(テーブル!$B$3="実績報告（２次）",FL$26&gt;=1),FL69)))))))))),0)</f>
        <v>0</v>
      </c>
      <c r="FM37" s="1997">
        <f>IFERROR(
IF(テーブル!$B$3="交付申請",FM69,
IF(AND(テーブル!$B$3="変更申請",FM$26=0),0,
IF(AND(テーブル!$B$3="変更申請",FM$26&gt;=1),FM69,
IF(テーブル!$B$3="実績報告（１次）",FM69,
IF(AND(テーブル!$B$3="交付申請（２次）",FM$26=0),0,
IF(AND(テーブル!$B$3="交付申請（２次）",FM$26&gt;=1),FM69,
IF(AND(テーブル!$B$3="交付申請兼実績報告（２次）",FM$26=0),0,
IF(AND(テーブル!$B$3="交付申請兼実績報告（２次）",FM$26&gt;=1),FM69,
IF(AND(テーブル!$B$3="実績報告（２次）",FM$26=0),0,
IF(AND(テーブル!$B$3="実績報告（２次）",FM$26&gt;=1),FM69)))))))))),0)</f>
        <v>0</v>
      </c>
      <c r="FN37" s="1997">
        <f>IFERROR(
IF(テーブル!$B$3="交付申請",FN69,
IF(AND(テーブル!$B$3="変更申請",FN$26=0),0,
IF(AND(テーブル!$B$3="変更申請",FN$26&gt;=1),FN69,
IF(テーブル!$B$3="実績報告（１次）",FN69,
IF(AND(テーブル!$B$3="交付申請（２次）",FN$26=0),0,
IF(AND(テーブル!$B$3="交付申請（２次）",FN$26&gt;=1),FN69,
IF(AND(テーブル!$B$3="交付申請兼実績報告（２次）",FN$26=0),0,
IF(AND(テーブル!$B$3="交付申請兼実績報告（２次）",FN$26&gt;=1),FN69,
IF(AND(テーブル!$B$3="実績報告（２次）",FN$26=0),0,
IF(AND(テーブル!$B$3="実績報告（２次）",FN$26&gt;=1),FN69)))))))))),0)</f>
        <v>0</v>
      </c>
      <c r="FO37" s="1997">
        <f>IFERROR(
IF(テーブル!$B$3="交付申請",FO69,
IF(AND(テーブル!$B$3="変更申請",FO$26=0),0,
IF(AND(テーブル!$B$3="変更申請",FO$26&gt;=1),FO69,
IF(テーブル!$B$3="実績報告（１次）",FO69,
IF(AND(テーブル!$B$3="交付申請（２次）",FO$26=0),0,
IF(AND(テーブル!$B$3="交付申請（２次）",FO$26&gt;=1),FO69,
IF(AND(テーブル!$B$3="交付申請兼実績報告（２次）",FO$26=0),0,
IF(AND(テーブル!$B$3="交付申請兼実績報告（２次）",FO$26&gt;=1),FO69,
IF(AND(テーブル!$B$3="実績報告（２次）",FO$26=0),0,
IF(AND(テーブル!$B$3="実績報告（２次）",FO$26&gt;=1),FO69)))))))))),0)</f>
        <v>0</v>
      </c>
      <c r="FP37" s="1997">
        <f>IFERROR(
IF(テーブル!$B$3="交付申請",FP69,
IF(AND(テーブル!$B$3="変更申請",FP$26=0),0,
IF(AND(テーブル!$B$3="変更申請",FP$26&gt;=1),FP69,
IF(テーブル!$B$3="実績報告（１次）",FP69,
IF(AND(テーブル!$B$3="交付申請（２次）",FP$26=0),0,
IF(AND(テーブル!$B$3="交付申請（２次）",FP$26&gt;=1),FP69,
IF(AND(テーブル!$B$3="交付申請兼実績報告（２次）",FP$26=0),0,
IF(AND(テーブル!$B$3="交付申請兼実績報告（２次）",FP$26&gt;=1),FP69,
IF(AND(テーブル!$B$3="実績報告（２次）",FP$26=0),0,
IF(AND(テーブル!$B$3="実績報告（２次）",FP$26&gt;=1),FP69)))))))))),0)</f>
        <v>0</v>
      </c>
      <c r="FQ37" s="1997">
        <f>IFERROR(
IF(テーブル!$B$3="交付申請",FQ69,
IF(AND(テーブル!$B$3="変更申請",FQ$26=0),0,
IF(AND(テーブル!$B$3="変更申請",FQ$26&gt;=1),FQ69,
IF(テーブル!$B$3="実績報告（１次）",FQ69,
IF(AND(テーブル!$B$3="交付申請（２次）",FQ$26=0),0,
IF(AND(テーブル!$B$3="交付申請（２次）",FQ$26&gt;=1),FQ69,
IF(AND(テーブル!$B$3="交付申請兼実績報告（２次）",FQ$26=0),0,
IF(AND(テーブル!$B$3="交付申請兼実績報告（２次）",FQ$26&gt;=1),FQ69,
IF(AND(テーブル!$B$3="実績報告（２次）",FQ$26=0),0,
IF(AND(テーブル!$B$3="実績報告（２次）",FQ$26&gt;=1),FQ69)))))))))),0)</f>
        <v>0</v>
      </c>
      <c r="FR37" s="1997">
        <f>IFERROR(
IF(テーブル!$B$3="交付申請",FR69,
IF(AND(テーブル!$B$3="変更申請",FR$26=0),0,
IF(AND(テーブル!$B$3="変更申請",FR$26&gt;=1),FR69,
IF(テーブル!$B$3="実績報告（１次）",FR69,
IF(AND(テーブル!$B$3="交付申請（２次）",FR$26=0),0,
IF(AND(テーブル!$B$3="交付申請（２次）",FR$26&gt;=1),FR69,
IF(AND(テーブル!$B$3="交付申請兼実績報告（２次）",FR$26=0),0,
IF(AND(テーブル!$B$3="交付申請兼実績報告（２次）",FR$26&gt;=1),FR69,
IF(AND(テーブル!$B$3="実績報告（２次）",FR$26=0),0,
IF(AND(テーブル!$B$3="実績報告（２次）",FR$26&gt;=1),FR69)))))))))),0)</f>
        <v>0</v>
      </c>
      <c r="FS37" s="1997">
        <f>IFERROR(
IF(テーブル!$B$3="交付申請",FS69,
IF(AND(テーブル!$B$3="変更申請",FS$26=0),0,
IF(AND(テーブル!$B$3="変更申請",FS$26&gt;=1),FS69,
IF(テーブル!$B$3="実績報告（１次）",FS69,
IF(AND(テーブル!$B$3="交付申請（２次）",FS$26=0),0,
IF(AND(テーブル!$B$3="交付申請（２次）",FS$26&gt;=1),FS69,
IF(AND(テーブル!$B$3="交付申請兼実績報告（２次）",FS$26=0),0,
IF(AND(テーブル!$B$3="交付申請兼実績報告（２次）",FS$26&gt;=1),FS69,
IF(AND(テーブル!$B$3="実績報告（２次）",FS$26=0),0,
IF(AND(テーブル!$B$3="実績報告（２次）",FS$26&gt;=1),FS69)))))))))),0)</f>
        <v>0</v>
      </c>
      <c r="FT37" s="1997">
        <f>IFERROR(
IF(テーブル!$B$3="交付申請",FT69,
IF(AND(テーブル!$B$3="変更申請",FT$26=0),0,
IF(AND(テーブル!$B$3="変更申請",FT$26&gt;=1),FT69,
IF(テーブル!$B$3="実績報告（１次）",FT69,
IF(AND(テーブル!$B$3="交付申請（２次）",FT$26=0),0,
IF(AND(テーブル!$B$3="交付申請（２次）",FT$26&gt;=1),FT69,
IF(AND(テーブル!$B$3="交付申請兼実績報告（２次）",FT$26=0),0,
IF(AND(テーブル!$B$3="交付申請兼実績報告（２次）",FT$26&gt;=1),FT69,
IF(AND(テーブル!$B$3="実績報告（２次）",FT$26=0),0,
IF(AND(テーブル!$B$3="実績報告（２次）",FT$26&gt;=1),FT69)))))))))),0)</f>
        <v>0</v>
      </c>
      <c r="FU37" s="1997">
        <f>IFERROR(
IF(テーブル!$B$3="交付申請",FU69,
IF(AND(テーブル!$B$3="変更申請",FU$26=0),0,
IF(AND(テーブル!$B$3="変更申請",FU$26&gt;=1),FU69,
IF(テーブル!$B$3="実績報告（１次）",FU69,
IF(AND(テーブル!$B$3="交付申請（２次）",FU$26=0),0,
IF(AND(テーブル!$B$3="交付申請（２次）",FU$26&gt;=1),FU69,
IF(AND(テーブル!$B$3="交付申請兼実績報告（２次）",FU$26=0),0,
IF(AND(テーブル!$B$3="交付申請兼実績報告（２次）",FU$26&gt;=1),FU69,
IF(AND(テーブル!$B$3="実績報告（２次）",FU$26=0),0,
IF(AND(テーブル!$B$3="実績報告（２次）",FU$26&gt;=1),FU69)))))))))),0)</f>
        <v>0</v>
      </c>
      <c r="FV37" s="1997">
        <f>IFERROR(
IF(テーブル!$B$3="交付申請",FV69,
IF(AND(テーブル!$B$3="変更申請",FV$26=0),0,
IF(AND(テーブル!$B$3="変更申請",FV$26&gt;=1),FV69,
IF(テーブル!$B$3="実績報告（１次）",FV69,
IF(AND(テーブル!$B$3="交付申請（２次）",FV$26=0),0,
IF(AND(テーブル!$B$3="交付申請（２次）",FV$26&gt;=1),FV69,
IF(AND(テーブル!$B$3="交付申請兼実績報告（２次）",FV$26=0),0,
IF(AND(テーブル!$B$3="交付申請兼実績報告（２次）",FV$26&gt;=1),FV69,
IF(AND(テーブル!$B$3="実績報告（２次）",FV$26=0),0,
IF(AND(テーブル!$B$3="実績報告（２次）",FV$26&gt;=1),FV69)))))))))),0)</f>
        <v>0</v>
      </c>
      <c r="FW37" s="1997">
        <f>IFERROR(
IF(テーブル!$B$3="交付申請",FW69,
IF(AND(テーブル!$B$3="変更申請",FW$26=0),0,
IF(AND(テーブル!$B$3="変更申請",FW$26&gt;=1),FW69,
IF(テーブル!$B$3="実績報告（１次）",FW69,
IF(AND(テーブル!$B$3="交付申請（２次）",FW$26=0),0,
IF(AND(テーブル!$B$3="交付申請（２次）",FW$26&gt;=1),FW69,
IF(AND(テーブル!$B$3="交付申請兼実績報告（２次）",FW$26=0),0,
IF(AND(テーブル!$B$3="交付申請兼実績報告（２次）",FW$26&gt;=1),FW69,
IF(AND(テーブル!$B$3="実績報告（２次）",FW$26=0),0,
IF(AND(テーブル!$B$3="実績報告（２次）",FW$26&gt;=1),FW69)))))))))),0)</f>
        <v>0</v>
      </c>
      <c r="FX37" s="1997">
        <f>IFERROR(
IF(テーブル!$B$3="交付申請",FX69,
IF(AND(テーブル!$B$3="変更申請",FX$26=0),0,
IF(AND(テーブル!$B$3="変更申請",FX$26&gt;=1),FX69,
IF(テーブル!$B$3="実績報告（１次）",FX69,
IF(AND(テーブル!$B$3="交付申請（２次）",FX$26=0),0,
IF(AND(テーブル!$B$3="交付申請（２次）",FX$26&gt;=1),FX69,
IF(AND(テーブル!$B$3="交付申請兼実績報告（２次）",FX$26=0),0,
IF(AND(テーブル!$B$3="交付申請兼実績報告（２次）",FX$26&gt;=1),FX69,
IF(AND(テーブル!$B$3="実績報告（２次）",FX$26=0),0,
IF(AND(テーブル!$B$3="実績報告（２次）",FX$26&gt;=1),FX69)))))))))),0)</f>
        <v>0</v>
      </c>
      <c r="FY37" s="1997">
        <f>IFERROR(
IF(テーブル!$B$3="交付申請",FY69,
IF(AND(テーブル!$B$3="変更申請",FY$26=0),0,
IF(AND(テーブル!$B$3="変更申請",FY$26&gt;=1),FY69,
IF(テーブル!$B$3="実績報告（１次）",FY69,
IF(AND(テーブル!$B$3="交付申請（２次）",FY$26=0),0,
IF(AND(テーブル!$B$3="交付申請（２次）",FY$26&gt;=1),FY69,
IF(AND(テーブル!$B$3="交付申請兼実績報告（２次）",FY$26=0),0,
IF(AND(テーブル!$B$3="交付申請兼実績報告（２次）",FY$26&gt;=1),FY69,
IF(AND(テーブル!$B$3="実績報告（２次）",FY$26=0),0,
IF(AND(テーブル!$B$3="実績報告（２次）",FY$26&gt;=1),FY69)))))))))),0)</f>
        <v>0</v>
      </c>
      <c r="FZ37" s="1997">
        <f>IFERROR(
IF(テーブル!$B$3="交付申請",FZ69,
IF(AND(テーブル!$B$3="変更申請",FZ$26=0),0,
IF(AND(テーブル!$B$3="変更申請",FZ$26&gt;=1),FZ69,
IF(テーブル!$B$3="実績報告（１次）",FZ69,
IF(AND(テーブル!$B$3="交付申請（２次）",FZ$26=0),0,
IF(AND(テーブル!$B$3="交付申請（２次）",FZ$26&gt;=1),FZ69,
IF(AND(テーブル!$B$3="交付申請兼実績報告（２次）",FZ$26=0),0,
IF(AND(テーブル!$B$3="交付申請兼実績報告（２次）",FZ$26&gt;=1),FZ69,
IF(AND(テーブル!$B$3="実績報告（２次）",FZ$26=0),0,
IF(AND(テーブル!$B$3="実績報告（２次）",FZ$26&gt;=1),FZ69)))))))))),0)</f>
        <v>0</v>
      </c>
      <c r="GA37" s="1997">
        <f>IFERROR(
IF(テーブル!$B$3="交付申請",GA69,
IF(AND(テーブル!$B$3="変更申請",GA$26=0),0,
IF(AND(テーブル!$B$3="変更申請",GA$26&gt;=1),GA69,
IF(テーブル!$B$3="実績報告（１次）",GA69,
IF(AND(テーブル!$B$3="交付申請（２次）",GA$26=0),0,
IF(AND(テーブル!$B$3="交付申請（２次）",GA$26&gt;=1),GA69,
IF(AND(テーブル!$B$3="交付申請兼実績報告（２次）",GA$26=0),0,
IF(AND(テーブル!$B$3="交付申請兼実績報告（２次）",GA$26&gt;=1),GA69,
IF(AND(テーブル!$B$3="実績報告（２次）",GA$26=0),0,
IF(AND(テーブル!$B$3="実績報告（２次）",GA$26&gt;=1),GA69)))))))))),0)</f>
        <v>0</v>
      </c>
      <c r="GB37" s="1997">
        <f>IFERROR(
IF(テーブル!$B$3="交付申請",GB69,
IF(AND(テーブル!$B$3="変更申請",GB$26=0),0,
IF(AND(テーブル!$B$3="変更申請",GB$26&gt;=1),GB69,
IF(テーブル!$B$3="実績報告（１次）",GB69,
IF(AND(テーブル!$B$3="交付申請（２次）",GB$26=0),0,
IF(AND(テーブル!$B$3="交付申請（２次）",GB$26&gt;=1),GB69,
IF(AND(テーブル!$B$3="交付申請兼実績報告（２次）",GB$26=0),0,
IF(AND(テーブル!$B$3="交付申請兼実績報告（２次）",GB$26&gt;=1),GB69,
IF(AND(テーブル!$B$3="実績報告（２次）",GB$26=0),0,
IF(AND(テーブル!$B$3="実績報告（２次）",GB$26&gt;=1),GB69)))))))))),0)</f>
        <v>0</v>
      </c>
      <c r="GC37" s="1997">
        <f>IFERROR(
IF(テーブル!$B$3="交付申請",GC69,
IF(AND(テーブル!$B$3="変更申請",GC$26=0),0,
IF(AND(テーブル!$B$3="変更申請",GC$26&gt;=1),GC69,
IF(テーブル!$B$3="実績報告（１次）",GC69,
IF(AND(テーブル!$B$3="交付申請（２次）",GC$26=0),0,
IF(AND(テーブル!$B$3="交付申請（２次）",GC$26&gt;=1),GC69,
IF(AND(テーブル!$B$3="交付申請兼実績報告（２次）",GC$26=0),0,
IF(AND(テーブル!$B$3="交付申請兼実績報告（２次）",GC$26&gt;=1),GC69,
IF(AND(テーブル!$B$3="実績報告（２次）",GC$26=0),0,
IF(AND(テーブル!$B$3="実績報告（２次）",GC$26&gt;=1),GC69)))))))))),0)</f>
        <v>0</v>
      </c>
      <c r="GD37" s="1997">
        <f>IFERROR(
IF(テーブル!$B$3="交付申請",GD69,
IF(AND(テーブル!$B$3="変更申請",GD$26=0),0,
IF(AND(テーブル!$B$3="変更申請",GD$26&gt;=1),GD69,
IF(テーブル!$B$3="実績報告（１次）",GD69,
IF(AND(テーブル!$B$3="交付申請（２次）",GD$26=0),0,
IF(AND(テーブル!$B$3="交付申請（２次）",GD$26&gt;=1),GD69,
IF(AND(テーブル!$B$3="交付申請兼実績報告（２次）",GD$26=0),0,
IF(AND(テーブル!$B$3="交付申請兼実績報告（２次）",GD$26&gt;=1),GD69,
IF(AND(テーブル!$B$3="実績報告（２次）",GD$26=0),0,
IF(AND(テーブル!$B$3="実績報告（２次）",GD$26&gt;=1),GD69)))))))))),0)</f>
        <v>0</v>
      </c>
      <c r="GE37" s="1997">
        <f>IFERROR(
IF(テーブル!$B$3="交付申請",GE69,
IF(AND(テーブル!$B$3="変更申請",GE$26=0),0,
IF(AND(テーブル!$B$3="変更申請",GE$26&gt;=1),GE69,
IF(テーブル!$B$3="実績報告（１次）",GE69,
IF(AND(テーブル!$B$3="交付申請（２次）",GE$26=0),0,
IF(AND(テーブル!$B$3="交付申請（２次）",GE$26&gt;=1),GE69,
IF(AND(テーブル!$B$3="交付申請兼実績報告（２次）",GE$26=0),0,
IF(AND(テーブル!$B$3="交付申請兼実績報告（２次）",GE$26&gt;=1),GE69,
IF(AND(テーブル!$B$3="実績報告（２次）",GE$26=0),0,
IF(AND(テーブル!$B$3="実績報告（２次）",GE$26&gt;=1),GE69)))))))))),0)</f>
        <v>0</v>
      </c>
      <c r="GF37" s="2019">
        <f>IFERROR(
IF(テーブル!$B$3="交付申請",GF69,
IF(AND(テーブル!$B$3="変更申請",GF$26=0),0,
IF(AND(テーブル!$B$3="変更申請",GF$26&gt;=1),GF69,
IF(テーブル!$B$3="実績報告（１次）",GF69,
IF(AND(テーブル!$B$3="交付申請（２次）",GF$26=0),0,
IF(AND(テーブル!$B$3="交付申請（２次）",GF$26&gt;=1),GF69,
IF(AND(テーブル!$B$3="交付申請兼実績報告（２次）",GF$26=0),0,
IF(AND(テーブル!$B$3="交付申請兼実績報告（２次）",GF$26&gt;=1),GF69,
IF(AND(テーブル!$B$3="実績報告（２次）",GF$26=0),0,
IF(AND(テーブル!$B$3="実績報告（２次）",GF$26&gt;=1),GF69)))))))))),0)</f>
        <v>0</v>
      </c>
      <c r="GG37" s="2006"/>
    </row>
    <row r="38" spans="1:189" s="638" customFormat="1" ht="18.75" x14ac:dyDescent="0.4">
      <c r="A38" s="2003"/>
      <c r="B38" s="2018" t="s">
        <v>1019</v>
      </c>
      <c r="C38" s="1690">
        <f t="shared" si="21"/>
        <v>0</v>
      </c>
      <c r="D38" s="1691"/>
      <c r="E38" s="637"/>
      <c r="F38" s="1997">
        <f>IFERROR(
IF(テーブル!$B$3="交付申請",F72,
IF(AND(テーブル!$B$3="変更申請",F$26=0),0,
IF(AND(テーブル!$B$3="変更申請",F$26&gt;=1),F72,
IF(テーブル!$B$3="実績報告（１次）",F72,
IF(AND(テーブル!$B$3="交付申請（２次）",F$26=0),0,
IF(AND(テーブル!$B$3="交付申請（２次）",F$26&gt;=1),F72,
IF(AND(テーブル!$B$3="交付申請兼実績報告（２次）",F$26=0),0,
IF(AND(テーブル!$B$3="交付申請兼実績報告（２次）",F$26&gt;=1),F72,
IF(AND(テーブル!$B$3="実績報告（２次）",F$26=0),0,
IF(AND(テーブル!$B$3="実績報告（２次）",F$26&gt;=1),F72)))))))))),0)</f>
        <v>0</v>
      </c>
      <c r="G38" s="1997">
        <f>IFERROR(
IF(テーブル!$B$3="交付申請",G72,
IF(AND(テーブル!$B$3="変更申請",G$26=0),0,
IF(AND(テーブル!$B$3="変更申請",G$26&gt;=1),G72,
IF(テーブル!$B$3="実績報告（１次）",G72,
IF(AND(テーブル!$B$3="交付申請（２次）",G$26=0),0,
IF(AND(テーブル!$B$3="交付申請（２次）",G$26&gt;=1),G72,
IF(AND(テーブル!$B$3="交付申請兼実績報告（２次）",G$26=0),0,
IF(AND(テーブル!$B$3="交付申請兼実績報告（２次）",G$26&gt;=1),G72,
IF(AND(テーブル!$B$3="実績報告（２次）",G$26=0),0,
IF(AND(テーブル!$B$3="実績報告（２次）",G$26&gt;=1),G72)))))))))),0)</f>
        <v>0</v>
      </c>
      <c r="H38" s="1997">
        <f>IFERROR(
IF(テーブル!$B$3="交付申請",H72,
IF(AND(テーブル!$B$3="変更申請",H$26=0),0,
IF(AND(テーブル!$B$3="変更申請",H$26&gt;=1),H72,
IF(テーブル!$B$3="実績報告（１次）",H72,
IF(AND(テーブル!$B$3="交付申請（２次）",H$26=0),0,
IF(AND(テーブル!$B$3="交付申請（２次）",H$26&gt;=1),H72,
IF(AND(テーブル!$B$3="交付申請兼実績報告（２次）",H$26=0),0,
IF(AND(テーブル!$B$3="交付申請兼実績報告（２次）",H$26&gt;=1),H72,
IF(AND(テーブル!$B$3="実績報告（２次）",H$26=0),0,
IF(AND(テーブル!$B$3="実績報告（２次）",H$26&gt;=1),H72)))))))))),0)</f>
        <v>0</v>
      </c>
      <c r="I38" s="1997">
        <f>IFERROR(
IF(テーブル!$B$3="交付申請",I72,
IF(AND(テーブル!$B$3="変更申請",I$26=0),0,
IF(AND(テーブル!$B$3="変更申請",I$26&gt;=1),I72,
IF(テーブル!$B$3="実績報告（１次）",I72,
IF(AND(テーブル!$B$3="交付申請（２次）",I$26=0),0,
IF(AND(テーブル!$B$3="交付申請（２次）",I$26&gt;=1),I72,
IF(AND(テーブル!$B$3="交付申請兼実績報告（２次）",I$26=0),0,
IF(AND(テーブル!$B$3="交付申請兼実績報告（２次）",I$26&gt;=1),I72,
IF(AND(テーブル!$B$3="実績報告（２次）",I$26=0),0,
IF(AND(テーブル!$B$3="実績報告（２次）",I$26&gt;=1),I72)))))))))),0)</f>
        <v>0</v>
      </c>
      <c r="J38" s="1997">
        <f>IFERROR(
IF(テーブル!$B$3="交付申請",J72,
IF(AND(テーブル!$B$3="変更申請",J$26=0),0,
IF(AND(テーブル!$B$3="変更申請",J$26&gt;=1),J72,
IF(テーブル!$B$3="実績報告（１次）",J72,
IF(AND(テーブル!$B$3="交付申請（２次）",J$26=0),0,
IF(AND(テーブル!$B$3="交付申請（２次）",J$26&gt;=1),J72,
IF(AND(テーブル!$B$3="交付申請兼実績報告（２次）",J$26=0),0,
IF(AND(テーブル!$B$3="交付申請兼実績報告（２次）",J$26&gt;=1),J72,
IF(AND(テーブル!$B$3="実績報告（２次）",J$26=0),0,
IF(AND(テーブル!$B$3="実績報告（２次）",J$26&gt;=1),J72)))))))))),0)</f>
        <v>0</v>
      </c>
      <c r="K38" s="1997">
        <f>IFERROR(
IF(テーブル!$B$3="交付申請",K72,
IF(AND(テーブル!$B$3="変更申請",K$26=0),0,
IF(AND(テーブル!$B$3="変更申請",K$26&gt;=1),K72,
IF(テーブル!$B$3="実績報告（１次）",K72,
IF(AND(テーブル!$B$3="交付申請（２次）",K$26=0),0,
IF(AND(テーブル!$B$3="交付申請（２次）",K$26&gt;=1),K72,
IF(AND(テーブル!$B$3="交付申請兼実績報告（２次）",K$26=0),0,
IF(AND(テーブル!$B$3="交付申請兼実績報告（２次）",K$26&gt;=1),K72,
IF(AND(テーブル!$B$3="実績報告（２次）",K$26=0),0,
IF(AND(テーブル!$B$3="実績報告（２次）",K$26&gt;=1),K72)))))))))),0)</f>
        <v>0</v>
      </c>
      <c r="L38" s="1997">
        <f>IFERROR(
IF(テーブル!$B$3="交付申請",L72,
IF(AND(テーブル!$B$3="変更申請",L$26=0),0,
IF(AND(テーブル!$B$3="変更申請",L$26&gt;=1),L72,
IF(テーブル!$B$3="実績報告（１次）",L72,
IF(AND(テーブル!$B$3="交付申請（２次）",L$26=0),0,
IF(AND(テーブル!$B$3="交付申請（２次）",L$26&gt;=1),L72,
IF(AND(テーブル!$B$3="交付申請兼実績報告（２次）",L$26=0),0,
IF(AND(テーブル!$B$3="交付申請兼実績報告（２次）",L$26&gt;=1),L72,
IF(AND(テーブル!$B$3="実績報告（２次）",L$26=0),0,
IF(AND(テーブル!$B$3="実績報告（２次）",L$26&gt;=1),L72)))))))))),0)</f>
        <v>0</v>
      </c>
      <c r="M38" s="1997">
        <f>IFERROR(
IF(テーブル!$B$3="交付申請",M72,
IF(AND(テーブル!$B$3="変更申請",M$26=0),0,
IF(AND(テーブル!$B$3="変更申請",M$26&gt;=1),M72,
IF(テーブル!$B$3="実績報告（１次）",M72,
IF(AND(テーブル!$B$3="交付申請（２次）",M$26=0),0,
IF(AND(テーブル!$B$3="交付申請（２次）",M$26&gt;=1),M72,
IF(AND(テーブル!$B$3="交付申請兼実績報告（２次）",M$26=0),0,
IF(AND(テーブル!$B$3="交付申請兼実績報告（２次）",M$26&gt;=1),M72,
IF(AND(テーブル!$B$3="実績報告（２次）",M$26=0),0,
IF(AND(テーブル!$B$3="実績報告（２次）",M$26&gt;=1),M72)))))))))),0)</f>
        <v>0</v>
      </c>
      <c r="N38" s="1997">
        <f>IFERROR(
IF(テーブル!$B$3="交付申請",N72,
IF(AND(テーブル!$B$3="変更申請",N$26=0),0,
IF(AND(テーブル!$B$3="変更申請",N$26&gt;=1),N72,
IF(テーブル!$B$3="実績報告（１次）",N72,
IF(AND(テーブル!$B$3="交付申請（２次）",N$26=0),0,
IF(AND(テーブル!$B$3="交付申請（２次）",N$26&gt;=1),N72,
IF(AND(テーブル!$B$3="交付申請兼実績報告（２次）",N$26=0),0,
IF(AND(テーブル!$B$3="交付申請兼実績報告（２次）",N$26&gt;=1),N72,
IF(AND(テーブル!$B$3="実績報告（２次）",N$26=0),0,
IF(AND(テーブル!$B$3="実績報告（２次）",N$26&gt;=1),N72)))))))))),0)</f>
        <v>0</v>
      </c>
      <c r="O38" s="1997">
        <f>IFERROR(
IF(テーブル!$B$3="交付申請",O72,
IF(AND(テーブル!$B$3="変更申請",O$26=0),0,
IF(AND(テーブル!$B$3="変更申請",O$26&gt;=1),O72,
IF(テーブル!$B$3="実績報告（１次）",O72,
IF(AND(テーブル!$B$3="交付申請（２次）",O$26=0),0,
IF(AND(テーブル!$B$3="交付申請（２次）",O$26&gt;=1),O72,
IF(AND(テーブル!$B$3="交付申請兼実績報告（２次）",O$26=0),0,
IF(AND(テーブル!$B$3="交付申請兼実績報告（２次）",O$26&gt;=1),O72,
IF(AND(テーブル!$B$3="実績報告（２次）",O$26=0),0,
IF(AND(テーブル!$B$3="実績報告（２次）",O$26&gt;=1),O72)))))))))),0)</f>
        <v>0</v>
      </c>
      <c r="P38" s="1997">
        <f>IFERROR(
IF(テーブル!$B$3="交付申請",P72,
IF(AND(テーブル!$B$3="変更申請",P$26=0),0,
IF(AND(テーブル!$B$3="変更申請",P$26&gt;=1),P72,
IF(テーブル!$B$3="実績報告（１次）",P72,
IF(AND(テーブル!$B$3="交付申請（２次）",P$26=0),0,
IF(AND(テーブル!$B$3="交付申請（２次）",P$26&gt;=1),P72,
IF(AND(テーブル!$B$3="交付申請兼実績報告（２次）",P$26=0),0,
IF(AND(テーブル!$B$3="交付申請兼実績報告（２次）",P$26&gt;=1),P72,
IF(AND(テーブル!$B$3="実績報告（２次）",P$26=0),0,
IF(AND(テーブル!$B$3="実績報告（２次）",P$26&gt;=1),P72)))))))))),0)</f>
        <v>0</v>
      </c>
      <c r="Q38" s="1997">
        <f>IFERROR(
IF(テーブル!$B$3="交付申請",Q72,
IF(AND(テーブル!$B$3="変更申請",Q$26=0),0,
IF(AND(テーブル!$B$3="変更申請",Q$26&gt;=1),Q72,
IF(テーブル!$B$3="実績報告（１次）",Q72,
IF(AND(テーブル!$B$3="交付申請（２次）",Q$26=0),0,
IF(AND(テーブル!$B$3="交付申請（２次）",Q$26&gt;=1),Q72,
IF(AND(テーブル!$B$3="交付申請兼実績報告（２次）",Q$26=0),0,
IF(AND(テーブル!$B$3="交付申請兼実績報告（２次）",Q$26&gt;=1),Q72,
IF(AND(テーブル!$B$3="実績報告（２次）",Q$26=0),0,
IF(AND(テーブル!$B$3="実績報告（２次）",Q$26&gt;=1),Q72)))))))))),0)</f>
        <v>0</v>
      </c>
      <c r="R38" s="1997">
        <f>IFERROR(
IF(テーブル!$B$3="交付申請",R72,
IF(AND(テーブル!$B$3="変更申請",R$26=0),0,
IF(AND(テーブル!$B$3="変更申請",R$26&gt;=1),R72,
IF(テーブル!$B$3="実績報告（１次）",R72,
IF(AND(テーブル!$B$3="交付申請（２次）",R$26=0),0,
IF(AND(テーブル!$B$3="交付申請（２次）",R$26&gt;=1),R72,
IF(AND(テーブル!$B$3="交付申請兼実績報告（２次）",R$26=0),0,
IF(AND(テーブル!$B$3="交付申請兼実績報告（２次）",R$26&gt;=1),R72,
IF(AND(テーブル!$B$3="実績報告（２次）",R$26=0),0,
IF(AND(テーブル!$B$3="実績報告（２次）",R$26&gt;=1),R72)))))))))),0)</f>
        <v>0</v>
      </c>
      <c r="S38" s="1997">
        <f>IFERROR(
IF(テーブル!$B$3="交付申請",S72,
IF(AND(テーブル!$B$3="変更申請",S$26=0),0,
IF(AND(テーブル!$B$3="変更申請",S$26&gt;=1),S72,
IF(テーブル!$B$3="実績報告（１次）",S72,
IF(AND(テーブル!$B$3="交付申請（２次）",S$26=0),0,
IF(AND(テーブル!$B$3="交付申請（２次）",S$26&gt;=1),S72,
IF(AND(テーブル!$B$3="交付申請兼実績報告（２次）",S$26=0),0,
IF(AND(テーブル!$B$3="交付申請兼実績報告（２次）",S$26&gt;=1),S72,
IF(AND(テーブル!$B$3="実績報告（２次）",S$26=0),0,
IF(AND(テーブル!$B$3="実績報告（２次）",S$26&gt;=1),S72)))))))))),0)</f>
        <v>0</v>
      </c>
      <c r="T38" s="1997">
        <f>IFERROR(
IF(テーブル!$B$3="交付申請",T72,
IF(AND(テーブル!$B$3="変更申請",T$26=0),0,
IF(AND(テーブル!$B$3="変更申請",T$26&gt;=1),T72,
IF(テーブル!$B$3="実績報告（１次）",T72,
IF(AND(テーブル!$B$3="交付申請（２次）",T$26=0),0,
IF(AND(テーブル!$B$3="交付申請（２次）",T$26&gt;=1),T72,
IF(AND(テーブル!$B$3="交付申請兼実績報告（２次）",T$26=0),0,
IF(AND(テーブル!$B$3="交付申請兼実績報告（２次）",T$26&gt;=1),T72,
IF(AND(テーブル!$B$3="実績報告（２次）",T$26=0),0,
IF(AND(テーブル!$B$3="実績報告（２次）",T$26&gt;=1),T72)))))))))),0)</f>
        <v>0</v>
      </c>
      <c r="U38" s="1997">
        <f>IFERROR(
IF(テーブル!$B$3="交付申請",U72,
IF(AND(テーブル!$B$3="変更申請",U$26=0),0,
IF(AND(テーブル!$B$3="変更申請",U$26&gt;=1),U72,
IF(テーブル!$B$3="実績報告（１次）",U72,
IF(AND(テーブル!$B$3="交付申請（２次）",U$26=0),0,
IF(AND(テーブル!$B$3="交付申請（２次）",U$26&gt;=1),U72,
IF(AND(テーブル!$B$3="交付申請兼実績報告（２次）",U$26=0),0,
IF(AND(テーブル!$B$3="交付申請兼実績報告（２次）",U$26&gt;=1),U72,
IF(AND(テーブル!$B$3="実績報告（２次）",U$26=0),0,
IF(AND(テーブル!$B$3="実績報告（２次）",U$26&gt;=1),U72)))))))))),0)</f>
        <v>0</v>
      </c>
      <c r="V38" s="1997">
        <f>IFERROR(
IF(テーブル!$B$3="交付申請",V72,
IF(AND(テーブル!$B$3="変更申請",V$26=0),0,
IF(AND(テーブル!$B$3="変更申請",V$26&gt;=1),V72,
IF(テーブル!$B$3="実績報告（１次）",V72,
IF(AND(テーブル!$B$3="交付申請（２次）",V$26=0),0,
IF(AND(テーブル!$B$3="交付申請（２次）",V$26&gt;=1),V72,
IF(AND(テーブル!$B$3="交付申請兼実績報告（２次）",V$26=0),0,
IF(AND(テーブル!$B$3="交付申請兼実績報告（２次）",V$26&gt;=1),V72,
IF(AND(テーブル!$B$3="実績報告（２次）",V$26=0),0,
IF(AND(テーブル!$B$3="実績報告（２次）",V$26&gt;=1),V72)))))))))),0)</f>
        <v>0</v>
      </c>
      <c r="W38" s="1997">
        <f>IFERROR(
IF(テーブル!$B$3="交付申請",W72,
IF(AND(テーブル!$B$3="変更申請",W$26=0),0,
IF(AND(テーブル!$B$3="変更申請",W$26&gt;=1),W72,
IF(テーブル!$B$3="実績報告（１次）",W72,
IF(AND(テーブル!$B$3="交付申請（２次）",W$26=0),0,
IF(AND(テーブル!$B$3="交付申請（２次）",W$26&gt;=1),W72,
IF(AND(テーブル!$B$3="交付申請兼実績報告（２次）",W$26=0),0,
IF(AND(テーブル!$B$3="交付申請兼実績報告（２次）",W$26&gt;=1),W72,
IF(AND(テーブル!$B$3="実績報告（２次）",W$26=0),0,
IF(AND(テーブル!$B$3="実績報告（２次）",W$26&gt;=1),W72)))))))))),0)</f>
        <v>0</v>
      </c>
      <c r="X38" s="1997">
        <f>IFERROR(
IF(テーブル!$B$3="交付申請",X72,
IF(AND(テーブル!$B$3="変更申請",X$26=0),0,
IF(AND(テーブル!$B$3="変更申請",X$26&gt;=1),X72,
IF(テーブル!$B$3="実績報告（１次）",X72,
IF(AND(テーブル!$B$3="交付申請（２次）",X$26=0),0,
IF(AND(テーブル!$B$3="交付申請（２次）",X$26&gt;=1),X72,
IF(AND(テーブル!$B$3="交付申請兼実績報告（２次）",X$26=0),0,
IF(AND(テーブル!$B$3="交付申請兼実績報告（２次）",X$26&gt;=1),X72,
IF(AND(テーブル!$B$3="実績報告（２次）",X$26=0),0,
IF(AND(テーブル!$B$3="実績報告（２次）",X$26&gt;=1),X72)))))))))),0)</f>
        <v>0</v>
      </c>
      <c r="Y38" s="1997">
        <f>IFERROR(
IF(テーブル!$B$3="交付申請",Y72,
IF(AND(テーブル!$B$3="変更申請",Y$26=0),0,
IF(AND(テーブル!$B$3="変更申請",Y$26&gt;=1),Y72,
IF(テーブル!$B$3="実績報告（１次）",Y72,
IF(AND(テーブル!$B$3="交付申請（２次）",Y$26=0),0,
IF(AND(テーブル!$B$3="交付申請（２次）",Y$26&gt;=1),Y72,
IF(AND(テーブル!$B$3="交付申請兼実績報告（２次）",Y$26=0),0,
IF(AND(テーブル!$B$3="交付申請兼実績報告（２次）",Y$26&gt;=1),Y72,
IF(AND(テーブル!$B$3="実績報告（２次）",Y$26=0),0,
IF(AND(テーブル!$B$3="実績報告（２次）",Y$26&gt;=1),Y72)))))))))),0)</f>
        <v>0</v>
      </c>
      <c r="Z38" s="1997">
        <f>IFERROR(
IF(テーブル!$B$3="交付申請",Z72,
IF(AND(テーブル!$B$3="変更申請",Z$26=0),0,
IF(AND(テーブル!$B$3="変更申請",Z$26&gt;=1),Z72,
IF(テーブル!$B$3="実績報告（１次）",Z72,
IF(AND(テーブル!$B$3="交付申請（２次）",Z$26=0),0,
IF(AND(テーブル!$B$3="交付申請（２次）",Z$26&gt;=1),Z72,
IF(AND(テーブル!$B$3="交付申請兼実績報告（２次）",Z$26=0),0,
IF(AND(テーブル!$B$3="交付申請兼実績報告（２次）",Z$26&gt;=1),Z72,
IF(AND(テーブル!$B$3="実績報告（２次）",Z$26=0),0,
IF(AND(テーブル!$B$3="実績報告（２次）",Z$26&gt;=1),Z72)))))))))),0)</f>
        <v>0</v>
      </c>
      <c r="AA38" s="1997">
        <f>IFERROR(
IF(テーブル!$B$3="交付申請",AA72,
IF(AND(テーブル!$B$3="変更申請",AA$26=0),0,
IF(AND(テーブル!$B$3="変更申請",AA$26&gt;=1),AA72,
IF(テーブル!$B$3="実績報告（１次）",AA72,
IF(AND(テーブル!$B$3="交付申請（２次）",AA$26=0),0,
IF(AND(テーブル!$B$3="交付申請（２次）",AA$26&gt;=1),AA72,
IF(AND(テーブル!$B$3="交付申請兼実績報告（２次）",AA$26=0),0,
IF(AND(テーブル!$B$3="交付申請兼実績報告（２次）",AA$26&gt;=1),AA72,
IF(AND(テーブル!$B$3="実績報告（２次）",AA$26=0),0,
IF(AND(テーブル!$B$3="実績報告（２次）",AA$26&gt;=1),AA72)))))))))),0)</f>
        <v>0</v>
      </c>
      <c r="AB38" s="1997">
        <f>IFERROR(
IF(テーブル!$B$3="交付申請",AB72,
IF(AND(テーブル!$B$3="変更申請",AB$26=0),0,
IF(AND(テーブル!$B$3="変更申請",AB$26&gt;=1),AB72,
IF(テーブル!$B$3="実績報告（１次）",AB72,
IF(AND(テーブル!$B$3="交付申請（２次）",AB$26=0),0,
IF(AND(テーブル!$B$3="交付申請（２次）",AB$26&gt;=1),AB72,
IF(AND(テーブル!$B$3="交付申請兼実績報告（２次）",AB$26=0),0,
IF(AND(テーブル!$B$3="交付申請兼実績報告（２次）",AB$26&gt;=1),AB72,
IF(AND(テーブル!$B$3="実績報告（２次）",AB$26=0),0,
IF(AND(テーブル!$B$3="実績報告（２次）",AB$26&gt;=1),AB72)))))))))),0)</f>
        <v>0</v>
      </c>
      <c r="AC38" s="1997">
        <f>IFERROR(
IF(テーブル!$B$3="交付申請",AC72,
IF(AND(テーブル!$B$3="変更申請",AC$26=0),0,
IF(AND(テーブル!$B$3="変更申請",AC$26&gt;=1),AC72,
IF(テーブル!$B$3="実績報告（１次）",AC72,
IF(AND(テーブル!$B$3="交付申請（２次）",AC$26=0),0,
IF(AND(テーブル!$B$3="交付申請（２次）",AC$26&gt;=1),AC72,
IF(AND(テーブル!$B$3="交付申請兼実績報告（２次）",AC$26=0),0,
IF(AND(テーブル!$B$3="交付申請兼実績報告（２次）",AC$26&gt;=1),AC72,
IF(AND(テーブル!$B$3="実績報告（２次）",AC$26=0),0,
IF(AND(テーブル!$B$3="実績報告（２次）",AC$26&gt;=1),AC72)))))))))),0)</f>
        <v>0</v>
      </c>
      <c r="AD38" s="1997">
        <f>IFERROR(
IF(テーブル!$B$3="交付申請",AD72,
IF(AND(テーブル!$B$3="変更申請",AD$26=0),0,
IF(AND(テーブル!$B$3="変更申請",AD$26&gt;=1),AD72,
IF(テーブル!$B$3="実績報告（１次）",AD72,
IF(AND(テーブル!$B$3="交付申請（２次）",AD$26=0),0,
IF(AND(テーブル!$B$3="交付申請（２次）",AD$26&gt;=1),AD72,
IF(AND(テーブル!$B$3="交付申請兼実績報告（２次）",AD$26=0),0,
IF(AND(テーブル!$B$3="交付申請兼実績報告（２次）",AD$26&gt;=1),AD72,
IF(AND(テーブル!$B$3="実績報告（２次）",AD$26=0),0,
IF(AND(テーブル!$B$3="実績報告（２次）",AD$26&gt;=1),AD72)))))))))),0)</f>
        <v>0</v>
      </c>
      <c r="AE38" s="1997">
        <f>IFERROR(
IF(テーブル!$B$3="交付申請",AE72,
IF(AND(テーブル!$B$3="変更申請",AE$26=0),0,
IF(AND(テーブル!$B$3="変更申請",AE$26&gt;=1),AE72,
IF(テーブル!$B$3="実績報告（１次）",AE72,
IF(AND(テーブル!$B$3="交付申請（２次）",AE$26=0),0,
IF(AND(テーブル!$B$3="交付申請（２次）",AE$26&gt;=1),AE72,
IF(AND(テーブル!$B$3="交付申請兼実績報告（２次）",AE$26=0),0,
IF(AND(テーブル!$B$3="交付申請兼実績報告（２次）",AE$26&gt;=1),AE72,
IF(AND(テーブル!$B$3="実績報告（２次）",AE$26=0),0,
IF(AND(テーブル!$B$3="実績報告（２次）",AE$26&gt;=1),AE72)))))))))),0)</f>
        <v>0</v>
      </c>
      <c r="AF38" s="1997">
        <f>IFERROR(
IF(テーブル!$B$3="交付申請",AF72,
IF(AND(テーブル!$B$3="変更申請",AF$26=0),0,
IF(AND(テーブル!$B$3="変更申請",AF$26&gt;=1),AF72,
IF(テーブル!$B$3="実績報告（１次）",AF72,
IF(AND(テーブル!$B$3="交付申請（２次）",AF$26=0),0,
IF(AND(テーブル!$B$3="交付申請（２次）",AF$26&gt;=1),AF72,
IF(AND(テーブル!$B$3="交付申請兼実績報告（２次）",AF$26=0),0,
IF(AND(テーブル!$B$3="交付申請兼実績報告（２次）",AF$26&gt;=1),AF72,
IF(AND(テーブル!$B$3="実績報告（２次）",AF$26=0),0,
IF(AND(テーブル!$B$3="実績報告（２次）",AF$26&gt;=1),AF72)))))))))),0)</f>
        <v>0</v>
      </c>
      <c r="AG38" s="1997">
        <f>IFERROR(
IF(テーブル!$B$3="交付申請",AG72,
IF(AND(テーブル!$B$3="変更申請",AG$26=0),0,
IF(AND(テーブル!$B$3="変更申請",AG$26&gt;=1),AG72,
IF(テーブル!$B$3="実績報告（１次）",AG72,
IF(AND(テーブル!$B$3="交付申請（２次）",AG$26=0),0,
IF(AND(テーブル!$B$3="交付申請（２次）",AG$26&gt;=1),AG72,
IF(AND(テーブル!$B$3="交付申請兼実績報告（２次）",AG$26=0),0,
IF(AND(テーブル!$B$3="交付申請兼実績報告（２次）",AG$26&gt;=1),AG72,
IF(AND(テーブル!$B$3="実績報告（２次）",AG$26=0),0,
IF(AND(テーブル!$B$3="実績報告（２次）",AG$26&gt;=1),AG72)))))))))),0)</f>
        <v>0</v>
      </c>
      <c r="AH38" s="1997">
        <f>IFERROR(
IF(テーブル!$B$3="交付申請",AH72,
IF(AND(テーブル!$B$3="変更申請",AH$26=0),0,
IF(AND(テーブル!$B$3="変更申請",AH$26&gt;=1),AH72,
IF(テーブル!$B$3="実績報告（１次）",AH72,
IF(AND(テーブル!$B$3="交付申請（２次）",AH$26=0),0,
IF(AND(テーブル!$B$3="交付申請（２次）",AH$26&gt;=1),AH72,
IF(AND(テーブル!$B$3="交付申請兼実績報告（２次）",AH$26=0),0,
IF(AND(テーブル!$B$3="交付申請兼実績報告（２次）",AH$26&gt;=1),AH72,
IF(AND(テーブル!$B$3="実績報告（２次）",AH$26=0),0,
IF(AND(テーブル!$B$3="実績報告（２次）",AH$26&gt;=1),AH72)))))))))),0)</f>
        <v>0</v>
      </c>
      <c r="AI38" s="1997">
        <f>IFERROR(
IF(テーブル!$B$3="交付申請",AI72,
IF(AND(テーブル!$B$3="変更申請",AI$26=0),0,
IF(AND(テーブル!$B$3="変更申請",AI$26&gt;=1),AI72,
IF(テーブル!$B$3="実績報告（１次）",AI72,
IF(AND(テーブル!$B$3="交付申請（２次）",AI$26=0),0,
IF(AND(テーブル!$B$3="交付申請（２次）",AI$26&gt;=1),AI72,
IF(AND(テーブル!$B$3="交付申請兼実績報告（２次）",AI$26=0),0,
IF(AND(テーブル!$B$3="交付申請兼実績報告（２次）",AI$26&gt;=1),AI72,
IF(AND(テーブル!$B$3="実績報告（２次）",AI$26=0),0,
IF(AND(テーブル!$B$3="実績報告（２次）",AI$26&gt;=1),AI72)))))))))),0)</f>
        <v>0</v>
      </c>
      <c r="AJ38" s="1997">
        <f>IFERROR(
IF(テーブル!$B$3="交付申請",AJ72,
IF(AND(テーブル!$B$3="変更申請",AJ$26=0),0,
IF(AND(テーブル!$B$3="変更申請",AJ$26&gt;=1),AJ72,
IF(テーブル!$B$3="実績報告（１次）",AJ72,
IF(AND(テーブル!$B$3="交付申請（２次）",AJ$26=0),0,
IF(AND(テーブル!$B$3="交付申請（２次）",AJ$26&gt;=1),AJ72,
IF(AND(テーブル!$B$3="交付申請兼実績報告（２次）",AJ$26=0),0,
IF(AND(テーブル!$B$3="交付申請兼実績報告（２次）",AJ$26&gt;=1),AJ72,
IF(AND(テーブル!$B$3="実績報告（２次）",AJ$26=0),0,
IF(AND(テーブル!$B$3="実績報告（２次）",AJ$26&gt;=1),AJ72)))))))))),0)</f>
        <v>0</v>
      </c>
      <c r="AK38" s="1997">
        <f>IFERROR(
IF(テーブル!$B$3="交付申請",AK72,
IF(AND(テーブル!$B$3="変更申請",AK$26=0),0,
IF(AND(テーブル!$B$3="変更申請",AK$26&gt;=1),AK72,
IF(テーブル!$B$3="実績報告（１次）",AK72,
IF(AND(テーブル!$B$3="交付申請（２次）",AK$26=0),0,
IF(AND(テーブル!$B$3="交付申請（２次）",AK$26&gt;=1),AK72,
IF(AND(テーブル!$B$3="交付申請兼実績報告（２次）",AK$26=0),0,
IF(AND(テーブル!$B$3="交付申請兼実績報告（２次）",AK$26&gt;=1),AK72,
IF(AND(テーブル!$B$3="実績報告（２次）",AK$26=0),0,
IF(AND(テーブル!$B$3="実績報告（２次）",AK$26&gt;=1),AK72)))))))))),0)</f>
        <v>0</v>
      </c>
      <c r="AL38" s="1997">
        <f>IFERROR(
IF(テーブル!$B$3="交付申請",AL72,
IF(AND(テーブル!$B$3="変更申請",AL$26=0),0,
IF(AND(テーブル!$B$3="変更申請",AL$26&gt;=1),AL72,
IF(テーブル!$B$3="実績報告（１次）",AL72,
IF(AND(テーブル!$B$3="交付申請（２次）",AL$26=0),0,
IF(AND(テーブル!$B$3="交付申請（２次）",AL$26&gt;=1),AL72,
IF(AND(テーブル!$B$3="交付申請兼実績報告（２次）",AL$26=0),0,
IF(AND(テーブル!$B$3="交付申請兼実績報告（２次）",AL$26&gt;=1),AL72,
IF(AND(テーブル!$B$3="実績報告（２次）",AL$26=0),0,
IF(AND(テーブル!$B$3="実績報告（２次）",AL$26&gt;=1),AL72)))))))))),0)</f>
        <v>0</v>
      </c>
      <c r="AM38" s="1997">
        <f>IFERROR(
IF(テーブル!$B$3="交付申請",AM72,
IF(AND(テーブル!$B$3="変更申請",AM$26=0),0,
IF(AND(テーブル!$B$3="変更申請",AM$26&gt;=1),AM72,
IF(テーブル!$B$3="実績報告（１次）",AM72,
IF(AND(テーブル!$B$3="交付申請（２次）",AM$26=0),0,
IF(AND(テーブル!$B$3="交付申請（２次）",AM$26&gt;=1),AM72,
IF(AND(テーブル!$B$3="交付申請兼実績報告（２次）",AM$26=0),0,
IF(AND(テーブル!$B$3="交付申請兼実績報告（２次）",AM$26&gt;=1),AM72,
IF(AND(テーブル!$B$3="実績報告（２次）",AM$26=0),0,
IF(AND(テーブル!$B$3="実績報告（２次）",AM$26&gt;=1),AM72)))))))))),0)</f>
        <v>0</v>
      </c>
      <c r="AN38" s="1997">
        <f>IFERROR(
IF(テーブル!$B$3="交付申請",AN72,
IF(AND(テーブル!$B$3="変更申請",AN$26=0),0,
IF(AND(テーブル!$B$3="変更申請",AN$26&gt;=1),AN72,
IF(テーブル!$B$3="実績報告（１次）",AN72,
IF(AND(テーブル!$B$3="交付申請（２次）",AN$26=0),0,
IF(AND(テーブル!$B$3="交付申請（２次）",AN$26&gt;=1),AN72,
IF(AND(テーブル!$B$3="交付申請兼実績報告（２次）",AN$26=0),0,
IF(AND(テーブル!$B$3="交付申請兼実績報告（２次）",AN$26&gt;=1),AN72,
IF(AND(テーブル!$B$3="実績報告（２次）",AN$26=0),0,
IF(AND(テーブル!$B$3="実績報告（２次）",AN$26&gt;=1),AN72)))))))))),0)</f>
        <v>0</v>
      </c>
      <c r="AO38" s="1997">
        <f>IFERROR(
IF(テーブル!$B$3="交付申請",AO72,
IF(AND(テーブル!$B$3="変更申請",AO$26=0),0,
IF(AND(テーブル!$B$3="変更申請",AO$26&gt;=1),AO72,
IF(テーブル!$B$3="実績報告（１次）",AO72,
IF(AND(テーブル!$B$3="交付申請（２次）",AO$26=0),0,
IF(AND(テーブル!$B$3="交付申請（２次）",AO$26&gt;=1),AO72,
IF(AND(テーブル!$B$3="交付申請兼実績報告（２次）",AO$26=0),0,
IF(AND(テーブル!$B$3="交付申請兼実績報告（２次）",AO$26&gt;=1),AO72,
IF(AND(テーブル!$B$3="実績報告（２次）",AO$26=0),0,
IF(AND(テーブル!$B$3="実績報告（２次）",AO$26&gt;=1),AO72)))))))))),0)</f>
        <v>0</v>
      </c>
      <c r="AP38" s="1997">
        <f>IFERROR(
IF(テーブル!$B$3="交付申請",AP72,
IF(AND(テーブル!$B$3="変更申請",AP$26=0),0,
IF(AND(テーブル!$B$3="変更申請",AP$26&gt;=1),AP72,
IF(テーブル!$B$3="実績報告（１次）",AP72,
IF(AND(テーブル!$B$3="交付申請（２次）",AP$26=0),0,
IF(AND(テーブル!$B$3="交付申請（２次）",AP$26&gt;=1),AP72,
IF(AND(テーブル!$B$3="交付申請兼実績報告（２次）",AP$26=0),0,
IF(AND(テーブル!$B$3="交付申請兼実績報告（２次）",AP$26&gt;=1),AP72,
IF(AND(テーブル!$B$3="実績報告（２次）",AP$26=0),0,
IF(AND(テーブル!$B$3="実績報告（２次）",AP$26&gt;=1),AP72)))))))))),0)</f>
        <v>0</v>
      </c>
      <c r="AQ38" s="1997">
        <f>IFERROR(
IF(テーブル!$B$3="交付申請",AQ72,
IF(AND(テーブル!$B$3="変更申請",AQ$26=0),0,
IF(AND(テーブル!$B$3="変更申請",AQ$26&gt;=1),AQ72,
IF(テーブル!$B$3="実績報告（１次）",AQ72,
IF(AND(テーブル!$B$3="交付申請（２次）",AQ$26=0),0,
IF(AND(テーブル!$B$3="交付申請（２次）",AQ$26&gt;=1),AQ72,
IF(AND(テーブル!$B$3="交付申請兼実績報告（２次）",AQ$26=0),0,
IF(AND(テーブル!$B$3="交付申請兼実績報告（２次）",AQ$26&gt;=1),AQ72,
IF(AND(テーブル!$B$3="実績報告（２次）",AQ$26=0),0,
IF(AND(テーブル!$B$3="実績報告（２次）",AQ$26&gt;=1),AQ72)))))))))),0)</f>
        <v>0</v>
      </c>
      <c r="AR38" s="1997">
        <f>IFERROR(
IF(テーブル!$B$3="交付申請",AR72,
IF(AND(テーブル!$B$3="変更申請",AR$26=0),0,
IF(AND(テーブル!$B$3="変更申請",AR$26&gt;=1),AR72,
IF(テーブル!$B$3="実績報告（１次）",AR72,
IF(AND(テーブル!$B$3="交付申請（２次）",AR$26=0),0,
IF(AND(テーブル!$B$3="交付申請（２次）",AR$26&gt;=1),AR72,
IF(AND(テーブル!$B$3="交付申請兼実績報告（２次）",AR$26=0),0,
IF(AND(テーブル!$B$3="交付申請兼実績報告（２次）",AR$26&gt;=1),AR72,
IF(AND(テーブル!$B$3="実績報告（２次）",AR$26=0),0,
IF(AND(テーブル!$B$3="実績報告（２次）",AR$26&gt;=1),AR72)))))))))),0)</f>
        <v>0</v>
      </c>
      <c r="AS38" s="1997">
        <f>IFERROR(
IF(テーブル!$B$3="交付申請",AS72,
IF(AND(テーブル!$B$3="変更申請",AS$26=0),0,
IF(AND(テーブル!$B$3="変更申請",AS$26&gt;=1),AS72,
IF(テーブル!$B$3="実績報告（１次）",AS72,
IF(AND(テーブル!$B$3="交付申請（２次）",AS$26=0),0,
IF(AND(テーブル!$B$3="交付申請（２次）",AS$26&gt;=1),AS72,
IF(AND(テーブル!$B$3="交付申請兼実績報告（２次）",AS$26=0),0,
IF(AND(テーブル!$B$3="交付申請兼実績報告（２次）",AS$26&gt;=1),AS72,
IF(AND(テーブル!$B$3="実績報告（２次）",AS$26=0),0,
IF(AND(テーブル!$B$3="実績報告（２次）",AS$26&gt;=1),AS72)))))))))),0)</f>
        <v>0</v>
      </c>
      <c r="AT38" s="1997">
        <f>IFERROR(
IF(テーブル!$B$3="交付申請",AT72,
IF(AND(テーブル!$B$3="変更申請",AT$26=0),0,
IF(AND(テーブル!$B$3="変更申請",AT$26&gt;=1),AT72,
IF(テーブル!$B$3="実績報告（１次）",AT72,
IF(AND(テーブル!$B$3="交付申請（２次）",AT$26=0),0,
IF(AND(テーブル!$B$3="交付申請（２次）",AT$26&gt;=1),AT72,
IF(AND(テーブル!$B$3="交付申請兼実績報告（２次）",AT$26=0),0,
IF(AND(テーブル!$B$3="交付申請兼実績報告（２次）",AT$26&gt;=1),AT72,
IF(AND(テーブル!$B$3="実績報告（２次）",AT$26=0),0,
IF(AND(テーブル!$B$3="実績報告（２次）",AT$26&gt;=1),AT72)))))))))),0)</f>
        <v>0</v>
      </c>
      <c r="AU38" s="1997">
        <f>IFERROR(
IF(テーブル!$B$3="交付申請",AU72,
IF(AND(テーブル!$B$3="変更申請",AU$26=0),0,
IF(AND(テーブル!$B$3="変更申請",AU$26&gt;=1),AU72,
IF(テーブル!$B$3="実績報告（１次）",AU72,
IF(AND(テーブル!$B$3="交付申請（２次）",AU$26=0),0,
IF(AND(テーブル!$B$3="交付申請（２次）",AU$26&gt;=1),AU72,
IF(AND(テーブル!$B$3="交付申請兼実績報告（２次）",AU$26=0),0,
IF(AND(テーブル!$B$3="交付申請兼実績報告（２次）",AU$26&gt;=1),AU72,
IF(AND(テーブル!$B$3="実績報告（２次）",AU$26=0),0,
IF(AND(テーブル!$B$3="実績報告（２次）",AU$26&gt;=1),AU72)))))))))),0)</f>
        <v>0</v>
      </c>
      <c r="AV38" s="1997">
        <f>IFERROR(
IF(テーブル!$B$3="交付申請",AV72,
IF(AND(テーブル!$B$3="変更申請",AV$26=0),0,
IF(AND(テーブル!$B$3="変更申請",AV$26&gt;=1),AV72,
IF(テーブル!$B$3="実績報告（１次）",AV72,
IF(AND(テーブル!$B$3="交付申請（２次）",AV$26=0),0,
IF(AND(テーブル!$B$3="交付申請（２次）",AV$26&gt;=1),AV72,
IF(AND(テーブル!$B$3="交付申請兼実績報告（２次）",AV$26=0),0,
IF(AND(テーブル!$B$3="交付申請兼実績報告（２次）",AV$26&gt;=1),AV72,
IF(AND(テーブル!$B$3="実績報告（２次）",AV$26=0),0,
IF(AND(テーブル!$B$3="実績報告（２次）",AV$26&gt;=1),AV72)))))))))),0)</f>
        <v>0</v>
      </c>
      <c r="AW38" s="1997">
        <f>IFERROR(
IF(テーブル!$B$3="交付申請",AW72,
IF(AND(テーブル!$B$3="変更申請",AW$26=0),0,
IF(AND(テーブル!$B$3="変更申請",AW$26&gt;=1),AW72,
IF(テーブル!$B$3="実績報告（１次）",AW72,
IF(AND(テーブル!$B$3="交付申請（２次）",AW$26=0),0,
IF(AND(テーブル!$B$3="交付申請（２次）",AW$26&gt;=1),AW72,
IF(AND(テーブル!$B$3="交付申請兼実績報告（２次）",AW$26=0),0,
IF(AND(テーブル!$B$3="交付申請兼実績報告（２次）",AW$26&gt;=1),AW72,
IF(AND(テーブル!$B$3="実績報告（２次）",AW$26=0),0,
IF(AND(テーブル!$B$3="実績報告（２次）",AW$26&gt;=1),AW72)))))))))),0)</f>
        <v>0</v>
      </c>
      <c r="AX38" s="1997">
        <f>IFERROR(
IF(テーブル!$B$3="交付申請",AX72,
IF(AND(テーブル!$B$3="変更申請",AX$26=0),0,
IF(AND(テーブル!$B$3="変更申請",AX$26&gt;=1),AX72,
IF(テーブル!$B$3="実績報告（１次）",AX72,
IF(AND(テーブル!$B$3="交付申請（２次）",AX$26=0),0,
IF(AND(テーブル!$B$3="交付申請（２次）",AX$26&gt;=1),AX72,
IF(AND(テーブル!$B$3="交付申請兼実績報告（２次）",AX$26=0),0,
IF(AND(テーブル!$B$3="交付申請兼実績報告（２次）",AX$26&gt;=1),AX72,
IF(AND(テーブル!$B$3="実績報告（２次）",AX$26=0),0,
IF(AND(テーブル!$B$3="実績報告（２次）",AX$26&gt;=1),AX72)))))))))),0)</f>
        <v>0</v>
      </c>
      <c r="AY38" s="1997">
        <f>IFERROR(
IF(テーブル!$B$3="交付申請",AY72,
IF(AND(テーブル!$B$3="変更申請",AY$26=0),0,
IF(AND(テーブル!$B$3="変更申請",AY$26&gt;=1),AY72,
IF(テーブル!$B$3="実績報告（１次）",AY72,
IF(AND(テーブル!$B$3="交付申請（２次）",AY$26=0),0,
IF(AND(テーブル!$B$3="交付申請（２次）",AY$26&gt;=1),AY72,
IF(AND(テーブル!$B$3="交付申請兼実績報告（２次）",AY$26=0),0,
IF(AND(テーブル!$B$3="交付申請兼実績報告（２次）",AY$26&gt;=1),AY72,
IF(AND(テーブル!$B$3="実績報告（２次）",AY$26=0),0,
IF(AND(テーブル!$B$3="実績報告（２次）",AY$26&gt;=1),AY72)))))))))),0)</f>
        <v>0</v>
      </c>
      <c r="AZ38" s="1997">
        <f>IFERROR(
IF(テーブル!$B$3="交付申請",AZ72,
IF(AND(テーブル!$B$3="変更申請",AZ$26=0),0,
IF(AND(テーブル!$B$3="変更申請",AZ$26&gt;=1),AZ72,
IF(テーブル!$B$3="実績報告（１次）",AZ72,
IF(AND(テーブル!$B$3="交付申請（２次）",AZ$26=0),0,
IF(AND(テーブル!$B$3="交付申請（２次）",AZ$26&gt;=1),AZ72,
IF(AND(テーブル!$B$3="交付申請兼実績報告（２次）",AZ$26=0),0,
IF(AND(テーブル!$B$3="交付申請兼実績報告（２次）",AZ$26&gt;=1),AZ72,
IF(AND(テーブル!$B$3="実績報告（２次）",AZ$26=0),0,
IF(AND(テーブル!$B$3="実績報告（２次）",AZ$26&gt;=1),AZ72)))))))))),0)</f>
        <v>0</v>
      </c>
      <c r="BA38" s="1997">
        <f>IFERROR(
IF(テーブル!$B$3="交付申請",BA72,
IF(AND(テーブル!$B$3="変更申請",BA$26=0),0,
IF(AND(テーブル!$B$3="変更申請",BA$26&gt;=1),BA72,
IF(テーブル!$B$3="実績報告（１次）",BA72,
IF(AND(テーブル!$B$3="交付申請（２次）",BA$26=0),0,
IF(AND(テーブル!$B$3="交付申請（２次）",BA$26&gt;=1),BA72,
IF(AND(テーブル!$B$3="交付申請兼実績報告（２次）",BA$26=0),0,
IF(AND(テーブル!$B$3="交付申請兼実績報告（２次）",BA$26&gt;=1),BA72,
IF(AND(テーブル!$B$3="実績報告（２次）",BA$26=0),0,
IF(AND(テーブル!$B$3="実績報告（２次）",BA$26&gt;=1),BA72)))))))))),0)</f>
        <v>0</v>
      </c>
      <c r="BB38" s="1997">
        <f>IFERROR(
IF(テーブル!$B$3="交付申請",BB72,
IF(AND(テーブル!$B$3="変更申請",BB$26=0),0,
IF(AND(テーブル!$B$3="変更申請",BB$26&gt;=1),BB72,
IF(テーブル!$B$3="実績報告（１次）",BB72,
IF(AND(テーブル!$B$3="交付申請（２次）",BB$26=0),0,
IF(AND(テーブル!$B$3="交付申請（２次）",BB$26&gt;=1),BB72,
IF(AND(テーブル!$B$3="交付申請兼実績報告（２次）",BB$26=0),0,
IF(AND(テーブル!$B$3="交付申請兼実績報告（２次）",BB$26&gt;=1),BB72,
IF(AND(テーブル!$B$3="実績報告（２次）",BB$26=0),0,
IF(AND(テーブル!$B$3="実績報告（２次）",BB$26&gt;=1),BB72)))))))))),0)</f>
        <v>0</v>
      </c>
      <c r="BC38" s="1997">
        <f>IFERROR(
IF(テーブル!$B$3="交付申請",BC72,
IF(AND(テーブル!$B$3="変更申請",BC$26=0),0,
IF(AND(テーブル!$B$3="変更申請",BC$26&gt;=1),BC72,
IF(テーブル!$B$3="実績報告（１次）",BC72,
IF(AND(テーブル!$B$3="交付申請（２次）",BC$26=0),0,
IF(AND(テーブル!$B$3="交付申請（２次）",BC$26&gt;=1),BC72,
IF(AND(テーブル!$B$3="交付申請兼実績報告（２次）",BC$26=0),0,
IF(AND(テーブル!$B$3="交付申請兼実績報告（２次）",BC$26&gt;=1),BC72,
IF(AND(テーブル!$B$3="実績報告（２次）",BC$26=0),0,
IF(AND(テーブル!$B$3="実績報告（２次）",BC$26&gt;=1),BC72)))))))))),0)</f>
        <v>0</v>
      </c>
      <c r="BD38" s="1997">
        <f>IFERROR(
IF(テーブル!$B$3="交付申請",BD72,
IF(AND(テーブル!$B$3="変更申請",BD$26=0),0,
IF(AND(テーブル!$B$3="変更申請",BD$26&gt;=1),BD72,
IF(テーブル!$B$3="実績報告（１次）",BD72,
IF(AND(テーブル!$B$3="交付申請（２次）",BD$26=0),0,
IF(AND(テーブル!$B$3="交付申請（２次）",BD$26&gt;=1),BD72,
IF(AND(テーブル!$B$3="交付申請兼実績報告（２次）",BD$26=0),0,
IF(AND(テーブル!$B$3="交付申請兼実績報告（２次）",BD$26&gt;=1),BD72,
IF(AND(テーブル!$B$3="実績報告（２次）",BD$26=0),0,
IF(AND(テーブル!$B$3="実績報告（２次）",BD$26&gt;=1),BD72)))))))))),0)</f>
        <v>0</v>
      </c>
      <c r="BE38" s="1997">
        <f>IFERROR(
IF(テーブル!$B$3="交付申請",BE72,
IF(AND(テーブル!$B$3="変更申請",BE$26=0),0,
IF(AND(テーブル!$B$3="変更申請",BE$26&gt;=1),BE72,
IF(テーブル!$B$3="実績報告（１次）",BE72,
IF(AND(テーブル!$B$3="交付申請（２次）",BE$26=0),0,
IF(AND(テーブル!$B$3="交付申請（２次）",BE$26&gt;=1),BE72,
IF(AND(テーブル!$B$3="交付申請兼実績報告（２次）",BE$26=0),0,
IF(AND(テーブル!$B$3="交付申請兼実績報告（２次）",BE$26&gt;=1),BE72,
IF(AND(テーブル!$B$3="実績報告（２次）",BE$26=0),0,
IF(AND(テーブル!$B$3="実績報告（２次）",BE$26&gt;=1),BE72)))))))))),0)</f>
        <v>0</v>
      </c>
      <c r="BF38" s="1997">
        <f>IFERROR(
IF(テーブル!$B$3="交付申請",BF72,
IF(AND(テーブル!$B$3="変更申請",BF$26=0),0,
IF(AND(テーブル!$B$3="変更申請",BF$26&gt;=1),BF72,
IF(テーブル!$B$3="実績報告（１次）",BF72,
IF(AND(テーブル!$B$3="交付申請（２次）",BF$26=0),0,
IF(AND(テーブル!$B$3="交付申請（２次）",BF$26&gt;=1),BF72,
IF(AND(テーブル!$B$3="交付申請兼実績報告（２次）",BF$26=0),0,
IF(AND(テーブル!$B$3="交付申請兼実績報告（２次）",BF$26&gt;=1),BF72,
IF(AND(テーブル!$B$3="実績報告（２次）",BF$26=0),0,
IF(AND(テーブル!$B$3="実績報告（２次）",BF$26&gt;=1),BF72)))))))))),0)</f>
        <v>0</v>
      </c>
      <c r="BG38" s="1997">
        <f>IFERROR(
IF(テーブル!$B$3="交付申請",BG72,
IF(AND(テーブル!$B$3="変更申請",BG$26=0),0,
IF(AND(テーブル!$B$3="変更申請",BG$26&gt;=1),BG72,
IF(テーブル!$B$3="実績報告（１次）",BG72,
IF(AND(テーブル!$B$3="交付申請（２次）",BG$26=0),0,
IF(AND(テーブル!$B$3="交付申請（２次）",BG$26&gt;=1),BG72,
IF(AND(テーブル!$B$3="交付申請兼実績報告（２次）",BG$26=0),0,
IF(AND(テーブル!$B$3="交付申請兼実績報告（２次）",BG$26&gt;=1),BG72,
IF(AND(テーブル!$B$3="実績報告（２次）",BG$26=0),0,
IF(AND(テーブル!$B$3="実績報告（２次）",BG$26&gt;=1),BG72)))))))))),0)</f>
        <v>0</v>
      </c>
      <c r="BH38" s="1997">
        <f>IFERROR(
IF(テーブル!$B$3="交付申請",BH72,
IF(AND(テーブル!$B$3="変更申請",BH$26=0),0,
IF(AND(テーブル!$B$3="変更申請",BH$26&gt;=1),BH72,
IF(テーブル!$B$3="実績報告（１次）",BH72,
IF(AND(テーブル!$B$3="交付申請（２次）",BH$26=0),0,
IF(AND(テーブル!$B$3="交付申請（２次）",BH$26&gt;=1),BH72,
IF(AND(テーブル!$B$3="交付申請兼実績報告（２次）",BH$26=0),0,
IF(AND(テーブル!$B$3="交付申請兼実績報告（２次）",BH$26&gt;=1),BH72,
IF(AND(テーブル!$B$3="実績報告（２次）",BH$26=0),0,
IF(AND(テーブル!$B$3="実績報告（２次）",BH$26&gt;=1),BH72)))))))))),0)</f>
        <v>0</v>
      </c>
      <c r="BI38" s="1997">
        <f>IFERROR(
IF(テーブル!$B$3="交付申請",BI72,
IF(AND(テーブル!$B$3="変更申請",BI$26=0),0,
IF(AND(テーブル!$B$3="変更申請",BI$26&gt;=1),BI72,
IF(テーブル!$B$3="実績報告（１次）",BI72,
IF(AND(テーブル!$B$3="交付申請（２次）",BI$26=0),0,
IF(AND(テーブル!$B$3="交付申請（２次）",BI$26&gt;=1),BI72,
IF(AND(テーブル!$B$3="交付申請兼実績報告（２次）",BI$26=0),0,
IF(AND(テーブル!$B$3="交付申請兼実績報告（２次）",BI$26&gt;=1),BI72,
IF(AND(テーブル!$B$3="実績報告（２次）",BI$26=0),0,
IF(AND(テーブル!$B$3="実績報告（２次）",BI$26&gt;=1),BI72)))))))))),0)</f>
        <v>0</v>
      </c>
      <c r="BJ38" s="1997">
        <f>IFERROR(
IF(テーブル!$B$3="交付申請",BJ72,
IF(AND(テーブル!$B$3="変更申請",BJ$26=0),0,
IF(AND(テーブル!$B$3="変更申請",BJ$26&gt;=1),BJ72,
IF(テーブル!$B$3="実績報告（１次）",BJ72,
IF(AND(テーブル!$B$3="交付申請（２次）",BJ$26=0),0,
IF(AND(テーブル!$B$3="交付申請（２次）",BJ$26&gt;=1),BJ72,
IF(AND(テーブル!$B$3="交付申請兼実績報告（２次）",BJ$26=0),0,
IF(AND(テーブル!$B$3="交付申請兼実績報告（２次）",BJ$26&gt;=1),BJ72,
IF(AND(テーブル!$B$3="実績報告（２次）",BJ$26=0),0,
IF(AND(テーブル!$B$3="実績報告（２次）",BJ$26&gt;=1),BJ72)))))))))),0)</f>
        <v>0</v>
      </c>
      <c r="BK38" s="1997">
        <f>IFERROR(
IF(テーブル!$B$3="交付申請",BK72,
IF(AND(テーブル!$B$3="変更申請",BK$26=0),0,
IF(AND(テーブル!$B$3="変更申請",BK$26&gt;=1),BK72,
IF(テーブル!$B$3="実績報告（１次）",BK72,
IF(AND(テーブル!$B$3="交付申請（２次）",BK$26=0),0,
IF(AND(テーブル!$B$3="交付申請（２次）",BK$26&gt;=1),BK72,
IF(AND(テーブル!$B$3="交付申請兼実績報告（２次）",BK$26=0),0,
IF(AND(テーブル!$B$3="交付申請兼実績報告（２次）",BK$26&gt;=1),BK72,
IF(AND(テーブル!$B$3="実績報告（２次）",BK$26=0),0,
IF(AND(テーブル!$B$3="実績報告（２次）",BK$26&gt;=1),BK72)))))))))),0)</f>
        <v>0</v>
      </c>
      <c r="BL38" s="1997">
        <f>IFERROR(
IF(テーブル!$B$3="交付申請",BL72,
IF(AND(テーブル!$B$3="変更申請",BL$26=0),0,
IF(AND(テーブル!$B$3="変更申請",BL$26&gt;=1),BL72,
IF(テーブル!$B$3="実績報告（１次）",BL72,
IF(AND(テーブル!$B$3="交付申請（２次）",BL$26=0),0,
IF(AND(テーブル!$B$3="交付申請（２次）",BL$26&gt;=1),BL72,
IF(AND(テーブル!$B$3="交付申請兼実績報告（２次）",BL$26=0),0,
IF(AND(テーブル!$B$3="交付申請兼実績報告（２次）",BL$26&gt;=1),BL72,
IF(AND(テーブル!$B$3="実績報告（２次）",BL$26=0),0,
IF(AND(テーブル!$B$3="実績報告（２次）",BL$26&gt;=1),BL72)))))))))),0)</f>
        <v>0</v>
      </c>
      <c r="BM38" s="1997">
        <f>IFERROR(
IF(テーブル!$B$3="交付申請",BM72,
IF(AND(テーブル!$B$3="変更申請",BM$26=0),0,
IF(AND(テーブル!$B$3="変更申請",BM$26&gt;=1),BM72,
IF(テーブル!$B$3="実績報告（１次）",BM72,
IF(AND(テーブル!$B$3="交付申請（２次）",BM$26=0),0,
IF(AND(テーブル!$B$3="交付申請（２次）",BM$26&gt;=1),BM72,
IF(AND(テーブル!$B$3="交付申請兼実績報告（２次）",BM$26=0),0,
IF(AND(テーブル!$B$3="交付申請兼実績報告（２次）",BM$26&gt;=1),BM72,
IF(AND(テーブル!$B$3="実績報告（２次）",BM$26=0),0,
IF(AND(テーブル!$B$3="実績報告（２次）",BM$26&gt;=1),BM72)))))))))),0)</f>
        <v>0</v>
      </c>
      <c r="BN38" s="1997">
        <f>IFERROR(
IF(テーブル!$B$3="交付申請",BN72,
IF(AND(テーブル!$B$3="変更申請",BN$26=0),0,
IF(AND(テーブル!$B$3="変更申請",BN$26&gt;=1),BN72,
IF(テーブル!$B$3="実績報告（１次）",BN72,
IF(AND(テーブル!$B$3="交付申請（２次）",BN$26=0),0,
IF(AND(テーブル!$B$3="交付申請（２次）",BN$26&gt;=1),BN72,
IF(AND(テーブル!$B$3="交付申請兼実績報告（２次）",BN$26=0),0,
IF(AND(テーブル!$B$3="交付申請兼実績報告（２次）",BN$26&gt;=1),BN72,
IF(AND(テーブル!$B$3="実績報告（２次）",BN$26=0),0,
IF(AND(テーブル!$B$3="実績報告（２次）",BN$26&gt;=1),BN72)))))))))),0)</f>
        <v>0</v>
      </c>
      <c r="BO38" s="1997">
        <f>IFERROR(
IF(テーブル!$B$3="交付申請",BO72,
IF(AND(テーブル!$B$3="変更申請",BO$26=0),0,
IF(AND(テーブル!$B$3="変更申請",BO$26&gt;=1),BO72,
IF(テーブル!$B$3="実績報告（１次）",BO72,
IF(AND(テーブル!$B$3="交付申請（２次）",BO$26=0),0,
IF(AND(テーブル!$B$3="交付申請（２次）",BO$26&gt;=1),BO72,
IF(AND(テーブル!$B$3="交付申請兼実績報告（２次）",BO$26=0),0,
IF(AND(テーブル!$B$3="交付申請兼実績報告（２次）",BO$26&gt;=1),BO72,
IF(AND(テーブル!$B$3="実績報告（２次）",BO$26=0),0,
IF(AND(テーブル!$B$3="実績報告（２次）",BO$26&gt;=1),BO72)))))))))),0)</f>
        <v>0</v>
      </c>
      <c r="BP38" s="1997">
        <f>IFERROR(
IF(テーブル!$B$3="交付申請",BP72,
IF(AND(テーブル!$B$3="変更申請",BP$26=0),0,
IF(AND(テーブル!$B$3="変更申請",BP$26&gt;=1),BP72,
IF(テーブル!$B$3="実績報告（１次）",BP72,
IF(AND(テーブル!$B$3="交付申請（２次）",BP$26=0),0,
IF(AND(テーブル!$B$3="交付申請（２次）",BP$26&gt;=1),BP72,
IF(AND(テーブル!$B$3="交付申請兼実績報告（２次）",BP$26=0),0,
IF(AND(テーブル!$B$3="交付申請兼実績報告（２次）",BP$26&gt;=1),BP72,
IF(AND(テーブル!$B$3="実績報告（２次）",BP$26=0),0,
IF(AND(テーブル!$B$3="実績報告（２次）",BP$26&gt;=1),BP72)))))))))),0)</f>
        <v>0</v>
      </c>
      <c r="BQ38" s="1997">
        <f>IFERROR(
IF(テーブル!$B$3="交付申請",BQ72,
IF(AND(テーブル!$B$3="変更申請",BQ$26=0),0,
IF(AND(テーブル!$B$3="変更申請",BQ$26&gt;=1),BQ72,
IF(テーブル!$B$3="実績報告（１次）",BQ72,
IF(AND(テーブル!$B$3="交付申請（２次）",BQ$26=0),0,
IF(AND(テーブル!$B$3="交付申請（２次）",BQ$26&gt;=1),BQ72,
IF(AND(テーブル!$B$3="交付申請兼実績報告（２次）",BQ$26=0),0,
IF(AND(テーブル!$B$3="交付申請兼実績報告（２次）",BQ$26&gt;=1),BQ72,
IF(AND(テーブル!$B$3="実績報告（２次）",BQ$26=0),0,
IF(AND(テーブル!$B$3="実績報告（２次）",BQ$26&gt;=1),BQ72)))))))))),0)</f>
        <v>0</v>
      </c>
      <c r="BR38" s="1997">
        <f>IFERROR(
IF(テーブル!$B$3="交付申請",BR72,
IF(AND(テーブル!$B$3="変更申請",BR$26=0),0,
IF(AND(テーブル!$B$3="変更申請",BR$26&gt;=1),BR72,
IF(テーブル!$B$3="実績報告（１次）",BR72,
IF(AND(テーブル!$B$3="交付申請（２次）",BR$26=0),0,
IF(AND(テーブル!$B$3="交付申請（２次）",BR$26&gt;=1),BR72,
IF(AND(テーブル!$B$3="交付申請兼実績報告（２次）",BR$26=0),0,
IF(AND(テーブル!$B$3="交付申請兼実績報告（２次）",BR$26&gt;=1),BR72,
IF(AND(テーブル!$B$3="実績報告（２次）",BR$26=0),0,
IF(AND(テーブル!$B$3="実績報告（２次）",BR$26&gt;=1),BR72)))))))))),0)</f>
        <v>0</v>
      </c>
      <c r="BS38" s="1997">
        <f>IFERROR(
IF(テーブル!$B$3="交付申請",BS72,
IF(AND(テーブル!$B$3="変更申請",BS$26=0),0,
IF(AND(テーブル!$B$3="変更申請",BS$26&gt;=1),BS72,
IF(テーブル!$B$3="実績報告（１次）",BS72,
IF(AND(テーブル!$B$3="交付申請（２次）",BS$26=0),0,
IF(AND(テーブル!$B$3="交付申請（２次）",BS$26&gt;=1),BS72,
IF(AND(テーブル!$B$3="交付申請兼実績報告（２次）",BS$26=0),0,
IF(AND(テーブル!$B$3="交付申請兼実績報告（２次）",BS$26&gt;=1),BS72,
IF(AND(テーブル!$B$3="実績報告（２次）",BS$26=0),0,
IF(AND(テーブル!$B$3="実績報告（２次）",BS$26&gt;=1),BS72)))))))))),0)</f>
        <v>0</v>
      </c>
      <c r="BT38" s="1997">
        <f>IFERROR(
IF(テーブル!$B$3="交付申請",BT72,
IF(AND(テーブル!$B$3="変更申請",BT$26=0),0,
IF(AND(テーブル!$B$3="変更申請",BT$26&gt;=1),BT72,
IF(テーブル!$B$3="実績報告（１次）",BT72,
IF(AND(テーブル!$B$3="交付申請（２次）",BT$26=0),0,
IF(AND(テーブル!$B$3="交付申請（２次）",BT$26&gt;=1),BT72,
IF(AND(テーブル!$B$3="交付申請兼実績報告（２次）",BT$26=0),0,
IF(AND(テーブル!$B$3="交付申請兼実績報告（２次）",BT$26&gt;=1),BT72,
IF(AND(テーブル!$B$3="実績報告（２次）",BT$26=0),0,
IF(AND(テーブル!$B$3="実績報告（２次）",BT$26&gt;=1),BT72)))))))))),0)</f>
        <v>0</v>
      </c>
      <c r="BU38" s="1997">
        <f>IFERROR(
IF(テーブル!$B$3="交付申請",BU72,
IF(AND(テーブル!$B$3="変更申請",BU$26=0),0,
IF(AND(テーブル!$B$3="変更申請",BU$26&gt;=1),BU72,
IF(テーブル!$B$3="実績報告（１次）",BU72,
IF(AND(テーブル!$B$3="交付申請（２次）",BU$26=0),0,
IF(AND(テーブル!$B$3="交付申請（２次）",BU$26&gt;=1),BU72,
IF(AND(テーブル!$B$3="交付申請兼実績報告（２次）",BU$26=0),0,
IF(AND(テーブル!$B$3="交付申請兼実績報告（２次）",BU$26&gt;=1),BU72,
IF(AND(テーブル!$B$3="実績報告（２次）",BU$26=0),0,
IF(AND(テーブル!$B$3="実績報告（２次）",BU$26&gt;=1),BU72)))))))))),0)</f>
        <v>0</v>
      </c>
      <c r="BV38" s="1997">
        <f>IFERROR(
IF(テーブル!$B$3="交付申請",BV72,
IF(AND(テーブル!$B$3="変更申請",BV$26=0),0,
IF(AND(テーブル!$B$3="変更申請",BV$26&gt;=1),BV72,
IF(テーブル!$B$3="実績報告（１次）",BV72,
IF(AND(テーブル!$B$3="交付申請（２次）",BV$26=0),0,
IF(AND(テーブル!$B$3="交付申請（２次）",BV$26&gt;=1),BV72,
IF(AND(テーブル!$B$3="交付申請兼実績報告（２次）",BV$26=0),0,
IF(AND(テーブル!$B$3="交付申請兼実績報告（２次）",BV$26&gt;=1),BV72,
IF(AND(テーブル!$B$3="実績報告（２次）",BV$26=0),0,
IF(AND(テーブル!$B$3="実績報告（２次）",BV$26&gt;=1),BV72)))))))))),0)</f>
        <v>0</v>
      </c>
      <c r="BW38" s="1997">
        <f>IFERROR(
IF(テーブル!$B$3="交付申請",BW72,
IF(AND(テーブル!$B$3="変更申請",BW$26=0),0,
IF(AND(テーブル!$B$3="変更申請",BW$26&gt;=1),BW72,
IF(テーブル!$B$3="実績報告（１次）",BW72,
IF(AND(テーブル!$B$3="交付申請（２次）",BW$26=0),0,
IF(AND(テーブル!$B$3="交付申請（２次）",BW$26&gt;=1),BW72,
IF(AND(テーブル!$B$3="交付申請兼実績報告（２次）",BW$26=0),0,
IF(AND(テーブル!$B$3="交付申請兼実績報告（２次）",BW$26&gt;=1),BW72,
IF(AND(テーブル!$B$3="実績報告（２次）",BW$26=0),0,
IF(AND(テーブル!$B$3="実績報告（２次）",BW$26&gt;=1),BW72)))))))))),0)</f>
        <v>0</v>
      </c>
      <c r="BX38" s="1997">
        <f>IFERROR(
IF(テーブル!$B$3="交付申請",BX72,
IF(AND(テーブル!$B$3="変更申請",BX$26=0),0,
IF(AND(テーブル!$B$3="変更申請",BX$26&gt;=1),BX72,
IF(テーブル!$B$3="実績報告（１次）",BX72,
IF(AND(テーブル!$B$3="交付申請（２次）",BX$26=0),0,
IF(AND(テーブル!$B$3="交付申請（２次）",BX$26&gt;=1),BX72,
IF(AND(テーブル!$B$3="交付申請兼実績報告（２次）",BX$26=0),0,
IF(AND(テーブル!$B$3="交付申請兼実績報告（２次）",BX$26&gt;=1),BX72,
IF(AND(テーブル!$B$3="実績報告（２次）",BX$26=0),0,
IF(AND(テーブル!$B$3="実績報告（２次）",BX$26&gt;=1),BX72)))))))))),0)</f>
        <v>0</v>
      </c>
      <c r="BY38" s="1997">
        <f>IFERROR(
IF(テーブル!$B$3="交付申請",BY72,
IF(AND(テーブル!$B$3="変更申請",BY$26=0),0,
IF(AND(テーブル!$B$3="変更申請",BY$26&gt;=1),BY72,
IF(テーブル!$B$3="実績報告（１次）",BY72,
IF(AND(テーブル!$B$3="交付申請（２次）",BY$26=0),0,
IF(AND(テーブル!$B$3="交付申請（２次）",BY$26&gt;=1),BY72,
IF(AND(テーブル!$B$3="交付申請兼実績報告（２次）",BY$26=0),0,
IF(AND(テーブル!$B$3="交付申請兼実績報告（２次）",BY$26&gt;=1),BY72,
IF(AND(テーブル!$B$3="実績報告（２次）",BY$26=0),0,
IF(AND(テーブル!$B$3="実績報告（２次）",BY$26&gt;=1),BY72)))))))))),0)</f>
        <v>0</v>
      </c>
      <c r="BZ38" s="1997">
        <f>IFERROR(
IF(テーブル!$B$3="交付申請",BZ72,
IF(AND(テーブル!$B$3="変更申請",BZ$26=0),0,
IF(AND(テーブル!$B$3="変更申請",BZ$26&gt;=1),BZ72,
IF(テーブル!$B$3="実績報告（１次）",BZ72,
IF(AND(テーブル!$B$3="交付申請（２次）",BZ$26=0),0,
IF(AND(テーブル!$B$3="交付申請（２次）",BZ$26&gt;=1),BZ72,
IF(AND(テーブル!$B$3="交付申請兼実績報告（２次）",BZ$26=0),0,
IF(AND(テーブル!$B$3="交付申請兼実績報告（２次）",BZ$26&gt;=1),BZ72,
IF(AND(テーブル!$B$3="実績報告（２次）",BZ$26=0),0,
IF(AND(テーブル!$B$3="実績報告（２次）",BZ$26&gt;=1),BZ72)))))))))),0)</f>
        <v>0</v>
      </c>
      <c r="CA38" s="1997">
        <f>IFERROR(
IF(テーブル!$B$3="交付申請",CA72,
IF(AND(テーブル!$B$3="変更申請",CA$26=0),0,
IF(AND(テーブル!$B$3="変更申請",CA$26&gt;=1),CA72,
IF(テーブル!$B$3="実績報告（１次）",CA72,
IF(AND(テーブル!$B$3="交付申請（２次）",CA$26=0),0,
IF(AND(テーブル!$B$3="交付申請（２次）",CA$26&gt;=1),CA72,
IF(AND(テーブル!$B$3="交付申請兼実績報告（２次）",CA$26=0),0,
IF(AND(テーブル!$B$3="交付申請兼実績報告（２次）",CA$26&gt;=1),CA72,
IF(AND(テーブル!$B$3="実績報告（２次）",CA$26=0),0,
IF(AND(テーブル!$B$3="実績報告（２次）",CA$26&gt;=1),CA72)))))))))),0)</f>
        <v>0</v>
      </c>
      <c r="CB38" s="1997">
        <f>IFERROR(
IF(テーブル!$B$3="交付申請",CB72,
IF(AND(テーブル!$B$3="変更申請",CB$26=0),0,
IF(AND(テーブル!$B$3="変更申請",CB$26&gt;=1),CB72,
IF(テーブル!$B$3="実績報告（１次）",CB72,
IF(AND(テーブル!$B$3="交付申請（２次）",CB$26=0),0,
IF(AND(テーブル!$B$3="交付申請（２次）",CB$26&gt;=1),CB72,
IF(AND(テーブル!$B$3="交付申請兼実績報告（２次）",CB$26=0),0,
IF(AND(テーブル!$B$3="交付申請兼実績報告（２次）",CB$26&gt;=1),CB72,
IF(AND(テーブル!$B$3="実績報告（２次）",CB$26=0),0,
IF(AND(テーブル!$B$3="実績報告（２次）",CB$26&gt;=1),CB72)))))))))),0)</f>
        <v>0</v>
      </c>
      <c r="CC38" s="1997">
        <f>IFERROR(
IF(テーブル!$B$3="交付申請",CC72,
IF(AND(テーブル!$B$3="変更申請",CC$26=0),0,
IF(AND(テーブル!$B$3="変更申請",CC$26&gt;=1),CC72,
IF(テーブル!$B$3="実績報告（１次）",CC72,
IF(AND(テーブル!$B$3="交付申請（２次）",CC$26=0),0,
IF(AND(テーブル!$B$3="交付申請（２次）",CC$26&gt;=1),CC72,
IF(AND(テーブル!$B$3="交付申請兼実績報告（２次）",CC$26=0),0,
IF(AND(テーブル!$B$3="交付申請兼実績報告（２次）",CC$26&gt;=1),CC72,
IF(AND(テーブル!$B$3="実績報告（２次）",CC$26=0),0,
IF(AND(テーブル!$B$3="実績報告（２次）",CC$26&gt;=1),CC72)))))))))),0)</f>
        <v>0</v>
      </c>
      <c r="CD38" s="1997">
        <f>IFERROR(
IF(テーブル!$B$3="交付申請",CD72,
IF(AND(テーブル!$B$3="変更申請",CD$26=0),0,
IF(AND(テーブル!$B$3="変更申請",CD$26&gt;=1),CD72,
IF(テーブル!$B$3="実績報告（１次）",CD72,
IF(AND(テーブル!$B$3="交付申請（２次）",CD$26=0),0,
IF(AND(テーブル!$B$3="交付申請（２次）",CD$26&gt;=1),CD72,
IF(AND(テーブル!$B$3="交付申請兼実績報告（２次）",CD$26=0),0,
IF(AND(テーブル!$B$3="交付申請兼実績報告（２次）",CD$26&gt;=1),CD72,
IF(AND(テーブル!$B$3="実績報告（２次）",CD$26=0),0,
IF(AND(テーブル!$B$3="実績報告（２次）",CD$26&gt;=1),CD72)))))))))),0)</f>
        <v>0</v>
      </c>
      <c r="CE38" s="1997">
        <f>IFERROR(
IF(テーブル!$B$3="交付申請",CE72,
IF(AND(テーブル!$B$3="変更申請",CE$26=0),0,
IF(AND(テーブル!$B$3="変更申請",CE$26&gt;=1),CE72,
IF(テーブル!$B$3="実績報告（１次）",CE72,
IF(AND(テーブル!$B$3="交付申請（２次）",CE$26=0),0,
IF(AND(テーブル!$B$3="交付申請（２次）",CE$26&gt;=1),CE72,
IF(AND(テーブル!$B$3="交付申請兼実績報告（２次）",CE$26=0),0,
IF(AND(テーブル!$B$3="交付申請兼実績報告（２次）",CE$26&gt;=1),CE72,
IF(AND(テーブル!$B$3="実績報告（２次）",CE$26=0),0,
IF(AND(テーブル!$B$3="実績報告（２次）",CE$26&gt;=1),CE72)))))))))),0)</f>
        <v>0</v>
      </c>
      <c r="CF38" s="1997">
        <f>IFERROR(
IF(テーブル!$B$3="交付申請",CF72,
IF(AND(テーブル!$B$3="変更申請",CF$26=0),0,
IF(AND(テーブル!$B$3="変更申請",CF$26&gt;=1),CF72,
IF(テーブル!$B$3="実績報告（１次）",CF72,
IF(AND(テーブル!$B$3="交付申請（２次）",CF$26=0),0,
IF(AND(テーブル!$B$3="交付申請（２次）",CF$26&gt;=1),CF72,
IF(AND(テーブル!$B$3="交付申請兼実績報告（２次）",CF$26=0),0,
IF(AND(テーブル!$B$3="交付申請兼実績報告（２次）",CF$26&gt;=1),CF72,
IF(AND(テーブル!$B$3="実績報告（２次）",CF$26=0),0,
IF(AND(テーブル!$B$3="実績報告（２次）",CF$26&gt;=1),CF72)))))))))),0)</f>
        <v>0</v>
      </c>
      <c r="CG38" s="1997">
        <f>IFERROR(
IF(テーブル!$B$3="交付申請",CG72,
IF(AND(テーブル!$B$3="変更申請",CG$26=0),0,
IF(AND(テーブル!$B$3="変更申請",CG$26&gt;=1),CG72,
IF(テーブル!$B$3="実績報告（１次）",CG72,
IF(AND(テーブル!$B$3="交付申請（２次）",CG$26=0),0,
IF(AND(テーブル!$B$3="交付申請（２次）",CG$26&gt;=1),CG72,
IF(AND(テーブル!$B$3="交付申請兼実績報告（２次）",CG$26=0),0,
IF(AND(テーブル!$B$3="交付申請兼実績報告（２次）",CG$26&gt;=1),CG72,
IF(AND(テーブル!$B$3="実績報告（２次）",CG$26=0),0,
IF(AND(テーブル!$B$3="実績報告（２次）",CG$26&gt;=1),CG72)))))))))),0)</f>
        <v>0</v>
      </c>
      <c r="CH38" s="1997">
        <f>IFERROR(
IF(テーブル!$B$3="交付申請",CH72,
IF(AND(テーブル!$B$3="変更申請",CH$26=0),0,
IF(AND(テーブル!$B$3="変更申請",CH$26&gt;=1),CH72,
IF(テーブル!$B$3="実績報告（１次）",CH72,
IF(AND(テーブル!$B$3="交付申請（２次）",CH$26=0),0,
IF(AND(テーブル!$B$3="交付申請（２次）",CH$26&gt;=1),CH72,
IF(AND(テーブル!$B$3="交付申請兼実績報告（２次）",CH$26=0),0,
IF(AND(テーブル!$B$3="交付申請兼実績報告（２次）",CH$26&gt;=1),CH72,
IF(AND(テーブル!$B$3="実績報告（２次）",CH$26=0),0,
IF(AND(テーブル!$B$3="実績報告（２次）",CH$26&gt;=1),CH72)))))))))),0)</f>
        <v>0</v>
      </c>
      <c r="CI38" s="1997">
        <f>IFERROR(
IF(テーブル!$B$3="交付申請",CI72,
IF(AND(テーブル!$B$3="変更申請",CI$26=0),0,
IF(AND(テーブル!$B$3="変更申請",CI$26&gt;=1),CI72,
IF(テーブル!$B$3="実績報告（１次）",CI72,
IF(AND(テーブル!$B$3="交付申請（２次）",CI$26=0),0,
IF(AND(テーブル!$B$3="交付申請（２次）",CI$26&gt;=1),CI72,
IF(AND(テーブル!$B$3="交付申請兼実績報告（２次）",CI$26=0),0,
IF(AND(テーブル!$B$3="交付申請兼実績報告（２次）",CI$26&gt;=1),CI72,
IF(AND(テーブル!$B$3="実績報告（２次）",CI$26=0),0,
IF(AND(テーブル!$B$3="実績報告（２次）",CI$26&gt;=1),CI72)))))))))),0)</f>
        <v>0</v>
      </c>
      <c r="CJ38" s="1997">
        <f>IFERROR(
IF(テーブル!$B$3="交付申請",CJ72,
IF(AND(テーブル!$B$3="変更申請",CJ$26=0),0,
IF(AND(テーブル!$B$3="変更申請",CJ$26&gt;=1),CJ72,
IF(テーブル!$B$3="実績報告（１次）",CJ72,
IF(AND(テーブル!$B$3="交付申請（２次）",CJ$26=0),0,
IF(AND(テーブル!$B$3="交付申請（２次）",CJ$26&gt;=1),CJ72,
IF(AND(テーブル!$B$3="交付申請兼実績報告（２次）",CJ$26=0),0,
IF(AND(テーブル!$B$3="交付申請兼実績報告（２次）",CJ$26&gt;=1),CJ72,
IF(AND(テーブル!$B$3="実績報告（２次）",CJ$26=0),0,
IF(AND(テーブル!$B$3="実績報告（２次）",CJ$26&gt;=1),CJ72)))))))))),0)</f>
        <v>0</v>
      </c>
      <c r="CK38" s="1997">
        <f>IFERROR(
IF(テーブル!$B$3="交付申請",CK72,
IF(AND(テーブル!$B$3="変更申請",CK$26=0),0,
IF(AND(テーブル!$B$3="変更申請",CK$26&gt;=1),CK72,
IF(テーブル!$B$3="実績報告（１次）",CK72,
IF(AND(テーブル!$B$3="交付申請（２次）",CK$26=0),0,
IF(AND(テーブル!$B$3="交付申請（２次）",CK$26&gt;=1),CK72,
IF(AND(テーブル!$B$3="交付申請兼実績報告（２次）",CK$26=0),0,
IF(AND(テーブル!$B$3="交付申請兼実績報告（２次）",CK$26&gt;=1),CK72,
IF(AND(テーブル!$B$3="実績報告（２次）",CK$26=0),0,
IF(AND(テーブル!$B$3="実績報告（２次）",CK$26&gt;=1),CK72)))))))))),0)</f>
        <v>0</v>
      </c>
      <c r="CL38" s="1997">
        <f>IFERROR(
IF(テーブル!$B$3="交付申請",CL72,
IF(AND(テーブル!$B$3="変更申請",CL$26=0),0,
IF(AND(テーブル!$B$3="変更申請",CL$26&gt;=1),CL72,
IF(テーブル!$B$3="実績報告（１次）",CL72,
IF(AND(テーブル!$B$3="交付申請（２次）",CL$26=0),0,
IF(AND(テーブル!$B$3="交付申請（２次）",CL$26&gt;=1),CL72,
IF(AND(テーブル!$B$3="交付申請兼実績報告（２次）",CL$26=0),0,
IF(AND(テーブル!$B$3="交付申請兼実績報告（２次）",CL$26&gt;=1),CL72,
IF(AND(テーブル!$B$3="実績報告（２次）",CL$26=0),0,
IF(AND(テーブル!$B$3="実績報告（２次）",CL$26&gt;=1),CL72)))))))))),0)</f>
        <v>0</v>
      </c>
      <c r="CM38" s="1997">
        <f>IFERROR(
IF(テーブル!$B$3="交付申請",CM72,
IF(AND(テーブル!$B$3="変更申請",CM$26=0),0,
IF(AND(テーブル!$B$3="変更申請",CM$26&gt;=1),CM72,
IF(テーブル!$B$3="実績報告（１次）",CM72,
IF(AND(テーブル!$B$3="交付申請（２次）",CM$26=0),0,
IF(AND(テーブル!$B$3="交付申請（２次）",CM$26&gt;=1),CM72,
IF(AND(テーブル!$B$3="交付申請兼実績報告（２次）",CM$26=0),0,
IF(AND(テーブル!$B$3="交付申請兼実績報告（２次）",CM$26&gt;=1),CM72,
IF(AND(テーブル!$B$3="実績報告（２次）",CM$26=0),0,
IF(AND(テーブル!$B$3="実績報告（２次）",CM$26&gt;=1),CM72)))))))))),0)</f>
        <v>0</v>
      </c>
      <c r="CN38" s="1997">
        <f>IFERROR(
IF(テーブル!$B$3="交付申請",CN72,
IF(AND(テーブル!$B$3="変更申請",CN$26=0),0,
IF(AND(テーブル!$B$3="変更申請",CN$26&gt;=1),CN72,
IF(テーブル!$B$3="実績報告（１次）",CN72,
IF(AND(テーブル!$B$3="交付申請（２次）",CN$26=0),0,
IF(AND(テーブル!$B$3="交付申請（２次）",CN$26&gt;=1),CN72,
IF(AND(テーブル!$B$3="交付申請兼実績報告（２次）",CN$26=0),0,
IF(AND(テーブル!$B$3="交付申請兼実績報告（２次）",CN$26&gt;=1),CN72,
IF(AND(テーブル!$B$3="実績報告（２次）",CN$26=0),0,
IF(AND(テーブル!$B$3="実績報告（２次）",CN$26&gt;=1),CN72)))))))))),0)</f>
        <v>0</v>
      </c>
      <c r="CO38" s="1997">
        <f>IFERROR(
IF(テーブル!$B$3="交付申請",CO72,
IF(AND(テーブル!$B$3="変更申請",CO$26=0),0,
IF(AND(テーブル!$B$3="変更申請",CO$26&gt;=1),CO72,
IF(テーブル!$B$3="実績報告（１次）",CO72,
IF(AND(テーブル!$B$3="交付申請（２次）",CO$26=0),0,
IF(AND(テーブル!$B$3="交付申請（２次）",CO$26&gt;=1),CO72,
IF(AND(テーブル!$B$3="交付申請兼実績報告（２次）",CO$26=0),0,
IF(AND(テーブル!$B$3="交付申請兼実績報告（２次）",CO$26&gt;=1),CO72,
IF(AND(テーブル!$B$3="実績報告（２次）",CO$26=0),0,
IF(AND(テーブル!$B$3="実績報告（２次）",CO$26&gt;=1),CO72)))))))))),0)</f>
        <v>0</v>
      </c>
      <c r="CP38" s="1997">
        <f>IFERROR(
IF(テーブル!$B$3="交付申請",CP72,
IF(AND(テーブル!$B$3="変更申請",CP$26=0),0,
IF(AND(テーブル!$B$3="変更申請",CP$26&gt;=1),CP72,
IF(テーブル!$B$3="実績報告（１次）",CP72,
IF(AND(テーブル!$B$3="交付申請（２次）",CP$26=0),0,
IF(AND(テーブル!$B$3="交付申請（２次）",CP$26&gt;=1),CP72,
IF(AND(テーブル!$B$3="交付申請兼実績報告（２次）",CP$26=0),0,
IF(AND(テーブル!$B$3="交付申請兼実績報告（２次）",CP$26&gt;=1),CP72,
IF(AND(テーブル!$B$3="実績報告（２次）",CP$26=0),0,
IF(AND(テーブル!$B$3="実績報告（２次）",CP$26&gt;=1),CP72)))))))))),0)</f>
        <v>0</v>
      </c>
      <c r="CQ38" s="1997">
        <f>IFERROR(
IF(テーブル!$B$3="交付申請",CQ72,
IF(AND(テーブル!$B$3="変更申請",CQ$26=0),0,
IF(AND(テーブル!$B$3="変更申請",CQ$26&gt;=1),CQ72,
IF(テーブル!$B$3="実績報告（１次）",CQ72,
IF(AND(テーブル!$B$3="交付申請（２次）",CQ$26=0),0,
IF(AND(テーブル!$B$3="交付申請（２次）",CQ$26&gt;=1),CQ72,
IF(AND(テーブル!$B$3="交付申請兼実績報告（２次）",CQ$26=0),0,
IF(AND(テーブル!$B$3="交付申請兼実績報告（２次）",CQ$26&gt;=1),CQ72,
IF(AND(テーブル!$B$3="実績報告（２次）",CQ$26=0),0,
IF(AND(テーブル!$B$3="実績報告（２次）",CQ$26&gt;=1),CQ72)))))))))),0)</f>
        <v>0</v>
      </c>
      <c r="CR38" s="1997">
        <f>IFERROR(
IF(テーブル!$B$3="交付申請",CR72,
IF(AND(テーブル!$B$3="変更申請",CR$26=0),0,
IF(AND(テーブル!$B$3="変更申請",CR$26&gt;=1),CR72,
IF(テーブル!$B$3="実績報告（１次）",CR72,
IF(AND(テーブル!$B$3="交付申請（２次）",CR$26=0),0,
IF(AND(テーブル!$B$3="交付申請（２次）",CR$26&gt;=1),CR72,
IF(AND(テーブル!$B$3="交付申請兼実績報告（２次）",CR$26=0),0,
IF(AND(テーブル!$B$3="交付申請兼実績報告（２次）",CR$26&gt;=1),CR72,
IF(AND(テーブル!$B$3="実績報告（２次）",CR$26=0),0,
IF(AND(テーブル!$B$3="実績報告（２次）",CR$26&gt;=1),CR72)))))))))),0)</f>
        <v>0</v>
      </c>
      <c r="CS38" s="1997">
        <f>IFERROR(
IF(テーブル!$B$3="交付申請",CS72,
IF(AND(テーブル!$B$3="変更申請",CS$26=0),0,
IF(AND(テーブル!$B$3="変更申請",CS$26&gt;=1),CS72,
IF(テーブル!$B$3="実績報告（１次）",CS72,
IF(AND(テーブル!$B$3="交付申請（２次）",CS$26=0),0,
IF(AND(テーブル!$B$3="交付申請（２次）",CS$26&gt;=1),CS72,
IF(AND(テーブル!$B$3="交付申請兼実績報告（２次）",CS$26=0),0,
IF(AND(テーブル!$B$3="交付申請兼実績報告（２次）",CS$26&gt;=1),CS72,
IF(AND(テーブル!$B$3="実績報告（２次）",CS$26=0),0,
IF(AND(テーブル!$B$3="実績報告（２次）",CS$26&gt;=1),CS72)))))))))),0)</f>
        <v>0</v>
      </c>
      <c r="CT38" s="1997">
        <f>IFERROR(
IF(テーブル!$B$3="交付申請",CT72,
IF(AND(テーブル!$B$3="変更申請",CT$26=0),0,
IF(AND(テーブル!$B$3="変更申請",CT$26&gt;=1),CT72,
IF(テーブル!$B$3="実績報告（１次）",CT72,
IF(AND(テーブル!$B$3="交付申請（２次）",CT$26=0),0,
IF(AND(テーブル!$B$3="交付申請（２次）",CT$26&gt;=1),CT72,
IF(AND(テーブル!$B$3="交付申請兼実績報告（２次）",CT$26=0),0,
IF(AND(テーブル!$B$3="交付申請兼実績報告（２次）",CT$26&gt;=1),CT72,
IF(AND(テーブル!$B$3="実績報告（２次）",CT$26=0),0,
IF(AND(テーブル!$B$3="実績報告（２次）",CT$26&gt;=1),CT72)))))))))),0)</f>
        <v>0</v>
      </c>
      <c r="CU38" s="1997">
        <f>IFERROR(
IF(テーブル!$B$3="交付申請",CU72,
IF(AND(テーブル!$B$3="変更申請",CU$26=0),0,
IF(AND(テーブル!$B$3="変更申請",CU$26&gt;=1),CU72,
IF(テーブル!$B$3="実績報告（１次）",CU72,
IF(AND(テーブル!$B$3="交付申請（２次）",CU$26=0),0,
IF(AND(テーブル!$B$3="交付申請（２次）",CU$26&gt;=1),CU72,
IF(AND(テーブル!$B$3="交付申請兼実績報告（２次）",CU$26=0),0,
IF(AND(テーブル!$B$3="交付申請兼実績報告（２次）",CU$26&gt;=1),CU72,
IF(AND(テーブル!$B$3="実績報告（２次）",CU$26=0),0,
IF(AND(テーブル!$B$3="実績報告（２次）",CU$26&gt;=1),CU72)))))))))),0)</f>
        <v>0</v>
      </c>
      <c r="CV38" s="1997">
        <f>IFERROR(
IF(テーブル!$B$3="交付申請",CV72,
IF(AND(テーブル!$B$3="変更申請",CV$26=0),0,
IF(AND(テーブル!$B$3="変更申請",CV$26&gt;=1),CV72,
IF(テーブル!$B$3="実績報告（１次）",CV72,
IF(AND(テーブル!$B$3="交付申請（２次）",CV$26=0),0,
IF(AND(テーブル!$B$3="交付申請（２次）",CV$26&gt;=1),CV72,
IF(AND(テーブル!$B$3="交付申請兼実績報告（２次）",CV$26=0),0,
IF(AND(テーブル!$B$3="交付申請兼実績報告（２次）",CV$26&gt;=1),CV72,
IF(AND(テーブル!$B$3="実績報告（２次）",CV$26=0),0,
IF(AND(テーブル!$B$3="実績報告（２次）",CV$26&gt;=1),CV72)))))))))),0)</f>
        <v>0</v>
      </c>
      <c r="CW38" s="1997">
        <f>IFERROR(
IF(テーブル!$B$3="交付申請",CW72,
IF(AND(テーブル!$B$3="変更申請",CW$26=0),0,
IF(AND(テーブル!$B$3="変更申請",CW$26&gt;=1),CW72,
IF(テーブル!$B$3="実績報告（１次）",CW72,
IF(AND(テーブル!$B$3="交付申請（２次）",CW$26=0),0,
IF(AND(テーブル!$B$3="交付申請（２次）",CW$26&gt;=1),CW72,
IF(AND(テーブル!$B$3="交付申請兼実績報告（２次）",CW$26=0),0,
IF(AND(テーブル!$B$3="交付申請兼実績報告（２次）",CW$26&gt;=1),CW72,
IF(AND(テーブル!$B$3="実績報告（２次）",CW$26=0),0,
IF(AND(テーブル!$B$3="実績報告（２次）",CW$26&gt;=1),CW72)))))))))),0)</f>
        <v>0</v>
      </c>
      <c r="CX38" s="1997">
        <f>IFERROR(
IF(テーブル!$B$3="交付申請",CX72,
IF(AND(テーブル!$B$3="変更申請",CX$26=0),0,
IF(AND(テーブル!$B$3="変更申請",CX$26&gt;=1),CX72,
IF(テーブル!$B$3="実績報告（１次）",CX72,
IF(AND(テーブル!$B$3="交付申請（２次）",CX$26=0),0,
IF(AND(テーブル!$B$3="交付申請（２次）",CX$26&gt;=1),CX72,
IF(AND(テーブル!$B$3="交付申請兼実績報告（２次）",CX$26=0),0,
IF(AND(テーブル!$B$3="交付申請兼実績報告（２次）",CX$26&gt;=1),CX72,
IF(AND(テーブル!$B$3="実績報告（２次）",CX$26=0),0,
IF(AND(テーブル!$B$3="実績報告（２次）",CX$26&gt;=1),CX72)))))))))),0)</f>
        <v>0</v>
      </c>
      <c r="CY38" s="1997">
        <f>IFERROR(
IF(テーブル!$B$3="交付申請",CY72,
IF(AND(テーブル!$B$3="変更申請",CY$26=0),0,
IF(AND(テーブル!$B$3="変更申請",CY$26&gt;=1),CY72,
IF(テーブル!$B$3="実績報告（１次）",CY72,
IF(AND(テーブル!$B$3="交付申請（２次）",CY$26=0),0,
IF(AND(テーブル!$B$3="交付申請（２次）",CY$26&gt;=1),CY72,
IF(AND(テーブル!$B$3="交付申請兼実績報告（２次）",CY$26=0),0,
IF(AND(テーブル!$B$3="交付申請兼実績報告（２次）",CY$26&gt;=1),CY72,
IF(AND(テーブル!$B$3="実績報告（２次）",CY$26=0),0,
IF(AND(テーブル!$B$3="実績報告（２次）",CY$26&gt;=1),CY72)))))))))),0)</f>
        <v>0</v>
      </c>
      <c r="CZ38" s="1997">
        <f>IFERROR(
IF(テーブル!$B$3="交付申請",CZ72,
IF(AND(テーブル!$B$3="変更申請",CZ$26=0),0,
IF(AND(テーブル!$B$3="変更申請",CZ$26&gt;=1),CZ72,
IF(テーブル!$B$3="実績報告（１次）",CZ72,
IF(AND(テーブル!$B$3="交付申請（２次）",CZ$26=0),0,
IF(AND(テーブル!$B$3="交付申請（２次）",CZ$26&gt;=1),CZ72,
IF(AND(テーブル!$B$3="交付申請兼実績報告（２次）",CZ$26=0),0,
IF(AND(テーブル!$B$3="交付申請兼実績報告（２次）",CZ$26&gt;=1),CZ72,
IF(AND(テーブル!$B$3="実績報告（２次）",CZ$26=0),0,
IF(AND(テーブル!$B$3="実績報告（２次）",CZ$26&gt;=1),CZ72)))))))))),0)</f>
        <v>0</v>
      </c>
      <c r="DA38" s="1997">
        <f>IFERROR(
IF(テーブル!$B$3="交付申請",DA72,
IF(AND(テーブル!$B$3="変更申請",DA$26=0),0,
IF(AND(テーブル!$B$3="変更申請",DA$26&gt;=1),DA72,
IF(テーブル!$B$3="実績報告（１次）",DA72,
IF(AND(テーブル!$B$3="交付申請（２次）",DA$26=0),0,
IF(AND(テーブル!$B$3="交付申請（２次）",DA$26&gt;=1),DA72,
IF(AND(テーブル!$B$3="交付申請兼実績報告（２次）",DA$26=0),0,
IF(AND(テーブル!$B$3="交付申請兼実績報告（２次）",DA$26&gt;=1),DA72,
IF(AND(テーブル!$B$3="実績報告（２次）",DA$26=0),0,
IF(AND(テーブル!$B$3="実績報告（２次）",DA$26&gt;=1),DA72)))))))))),0)</f>
        <v>0</v>
      </c>
      <c r="DB38" s="1997">
        <f>IFERROR(
IF(テーブル!$B$3="交付申請",DB72,
IF(AND(テーブル!$B$3="変更申請",DB$26=0),0,
IF(AND(テーブル!$B$3="変更申請",DB$26&gt;=1),DB72,
IF(テーブル!$B$3="実績報告（１次）",DB72,
IF(AND(テーブル!$B$3="交付申請（２次）",DB$26=0),0,
IF(AND(テーブル!$B$3="交付申請（２次）",DB$26&gt;=1),DB72,
IF(AND(テーブル!$B$3="交付申請兼実績報告（２次）",DB$26=0),0,
IF(AND(テーブル!$B$3="交付申請兼実績報告（２次）",DB$26&gt;=1),DB72,
IF(AND(テーブル!$B$3="実績報告（２次）",DB$26=0),0,
IF(AND(テーブル!$B$3="実績報告（２次）",DB$26&gt;=1),DB72)))))))))),0)</f>
        <v>0</v>
      </c>
      <c r="DC38" s="1997">
        <f>IFERROR(
IF(テーブル!$B$3="交付申請",DC72,
IF(AND(テーブル!$B$3="変更申請",DC$26=0),0,
IF(AND(テーブル!$B$3="変更申請",DC$26&gt;=1),DC72,
IF(テーブル!$B$3="実績報告（１次）",DC72,
IF(AND(テーブル!$B$3="交付申請（２次）",DC$26=0),0,
IF(AND(テーブル!$B$3="交付申請（２次）",DC$26&gt;=1),DC72,
IF(AND(テーブル!$B$3="交付申請兼実績報告（２次）",DC$26=0),0,
IF(AND(テーブル!$B$3="交付申請兼実績報告（２次）",DC$26&gt;=1),DC72,
IF(AND(テーブル!$B$3="実績報告（２次）",DC$26=0),0,
IF(AND(テーブル!$B$3="実績報告（２次）",DC$26&gt;=1),DC72)))))))))),0)</f>
        <v>0</v>
      </c>
      <c r="DD38" s="1997">
        <f>IFERROR(
IF(テーブル!$B$3="交付申請",DD72,
IF(AND(テーブル!$B$3="変更申請",DD$26=0),0,
IF(AND(テーブル!$B$3="変更申請",DD$26&gt;=1),DD72,
IF(テーブル!$B$3="実績報告（１次）",DD72,
IF(AND(テーブル!$B$3="交付申請（２次）",DD$26=0),0,
IF(AND(テーブル!$B$3="交付申請（２次）",DD$26&gt;=1),DD72,
IF(AND(テーブル!$B$3="交付申請兼実績報告（２次）",DD$26=0),0,
IF(AND(テーブル!$B$3="交付申請兼実績報告（２次）",DD$26&gt;=1),DD72,
IF(AND(テーブル!$B$3="実績報告（２次）",DD$26=0),0,
IF(AND(テーブル!$B$3="実績報告（２次）",DD$26&gt;=1),DD72)))))))))),0)</f>
        <v>0</v>
      </c>
      <c r="DE38" s="1997">
        <f>IFERROR(
IF(テーブル!$B$3="交付申請",DE72,
IF(AND(テーブル!$B$3="変更申請",DE$26=0),0,
IF(AND(テーブル!$B$3="変更申請",DE$26&gt;=1),DE72,
IF(テーブル!$B$3="実績報告（１次）",DE72,
IF(AND(テーブル!$B$3="交付申請（２次）",DE$26=0),0,
IF(AND(テーブル!$B$3="交付申請（２次）",DE$26&gt;=1),DE72,
IF(AND(テーブル!$B$3="交付申請兼実績報告（２次）",DE$26=0),0,
IF(AND(テーブル!$B$3="交付申請兼実績報告（２次）",DE$26&gt;=1),DE72,
IF(AND(テーブル!$B$3="実績報告（２次）",DE$26=0),0,
IF(AND(テーブル!$B$3="実績報告（２次）",DE$26&gt;=1),DE72)))))))))),0)</f>
        <v>0</v>
      </c>
      <c r="DF38" s="1997">
        <f>IFERROR(
IF(テーブル!$B$3="交付申請",DF72,
IF(AND(テーブル!$B$3="変更申請",DF$26=0),0,
IF(AND(テーブル!$B$3="変更申請",DF$26&gt;=1),DF72,
IF(テーブル!$B$3="実績報告（１次）",DF72,
IF(AND(テーブル!$B$3="交付申請（２次）",DF$26=0),0,
IF(AND(テーブル!$B$3="交付申請（２次）",DF$26&gt;=1),DF72,
IF(AND(テーブル!$B$3="交付申請兼実績報告（２次）",DF$26=0),0,
IF(AND(テーブル!$B$3="交付申請兼実績報告（２次）",DF$26&gt;=1),DF72,
IF(AND(テーブル!$B$3="実績報告（２次）",DF$26=0),0,
IF(AND(テーブル!$B$3="実績報告（２次）",DF$26&gt;=1),DF72)))))))))),0)</f>
        <v>0</v>
      </c>
      <c r="DG38" s="1997">
        <f>IFERROR(
IF(テーブル!$B$3="交付申請",DG72,
IF(AND(テーブル!$B$3="変更申請",DG$26=0),0,
IF(AND(テーブル!$B$3="変更申請",DG$26&gt;=1),DG72,
IF(テーブル!$B$3="実績報告（１次）",DG72,
IF(AND(テーブル!$B$3="交付申請（２次）",DG$26=0),0,
IF(AND(テーブル!$B$3="交付申請（２次）",DG$26&gt;=1),DG72,
IF(AND(テーブル!$B$3="交付申請兼実績報告（２次）",DG$26=0),0,
IF(AND(テーブル!$B$3="交付申請兼実績報告（２次）",DG$26&gt;=1),DG72,
IF(AND(テーブル!$B$3="実績報告（２次）",DG$26=0),0,
IF(AND(テーブル!$B$3="実績報告（２次）",DG$26&gt;=1),DG72)))))))))),0)</f>
        <v>0</v>
      </c>
      <c r="DH38" s="1997">
        <f>IFERROR(
IF(テーブル!$B$3="交付申請",DH72,
IF(AND(テーブル!$B$3="変更申請",DH$26=0),0,
IF(AND(テーブル!$B$3="変更申請",DH$26&gt;=1),DH72,
IF(テーブル!$B$3="実績報告（１次）",DH72,
IF(AND(テーブル!$B$3="交付申請（２次）",DH$26=0),0,
IF(AND(テーブル!$B$3="交付申請（２次）",DH$26&gt;=1),DH72,
IF(AND(テーブル!$B$3="交付申請兼実績報告（２次）",DH$26=0),0,
IF(AND(テーブル!$B$3="交付申請兼実績報告（２次）",DH$26&gt;=1),DH72,
IF(AND(テーブル!$B$3="実績報告（２次）",DH$26=0),0,
IF(AND(テーブル!$B$3="実績報告（２次）",DH$26&gt;=1),DH72)))))))))),0)</f>
        <v>0</v>
      </c>
      <c r="DI38" s="1997">
        <f>IFERROR(
IF(テーブル!$B$3="交付申請",DI72,
IF(AND(テーブル!$B$3="変更申請",DI$26=0),0,
IF(AND(テーブル!$B$3="変更申請",DI$26&gt;=1),DI72,
IF(テーブル!$B$3="実績報告（１次）",DI72,
IF(AND(テーブル!$B$3="交付申請（２次）",DI$26=0),0,
IF(AND(テーブル!$B$3="交付申請（２次）",DI$26&gt;=1),DI72,
IF(AND(テーブル!$B$3="交付申請兼実績報告（２次）",DI$26=0),0,
IF(AND(テーブル!$B$3="交付申請兼実績報告（２次）",DI$26&gt;=1),DI72,
IF(AND(テーブル!$B$3="実績報告（２次）",DI$26=0),0,
IF(AND(テーブル!$B$3="実績報告（２次）",DI$26&gt;=1),DI72)))))))))),0)</f>
        <v>0</v>
      </c>
      <c r="DJ38" s="1997">
        <f>IFERROR(
IF(テーブル!$B$3="交付申請",DJ72,
IF(AND(テーブル!$B$3="変更申請",DJ$26=0),0,
IF(AND(テーブル!$B$3="変更申請",DJ$26&gt;=1),DJ72,
IF(テーブル!$B$3="実績報告（１次）",DJ72,
IF(AND(テーブル!$B$3="交付申請（２次）",DJ$26=0),0,
IF(AND(テーブル!$B$3="交付申請（２次）",DJ$26&gt;=1),DJ72,
IF(AND(テーブル!$B$3="交付申請兼実績報告（２次）",DJ$26=0),0,
IF(AND(テーブル!$B$3="交付申請兼実績報告（２次）",DJ$26&gt;=1),DJ72,
IF(AND(テーブル!$B$3="実績報告（２次）",DJ$26=0),0,
IF(AND(テーブル!$B$3="実績報告（２次）",DJ$26&gt;=1),DJ72)))))))))),0)</f>
        <v>0</v>
      </c>
      <c r="DK38" s="1997">
        <f>IFERROR(
IF(テーブル!$B$3="交付申請",DK72,
IF(AND(テーブル!$B$3="変更申請",DK$26=0),0,
IF(AND(テーブル!$B$3="変更申請",DK$26&gt;=1),DK72,
IF(テーブル!$B$3="実績報告（１次）",DK72,
IF(AND(テーブル!$B$3="交付申請（２次）",DK$26=0),0,
IF(AND(テーブル!$B$3="交付申請（２次）",DK$26&gt;=1),DK72,
IF(AND(テーブル!$B$3="交付申請兼実績報告（２次）",DK$26=0),0,
IF(AND(テーブル!$B$3="交付申請兼実績報告（２次）",DK$26&gt;=1),DK72,
IF(AND(テーブル!$B$3="実績報告（２次）",DK$26=0),0,
IF(AND(テーブル!$B$3="実績報告（２次）",DK$26&gt;=1),DK72)))))))))),0)</f>
        <v>0</v>
      </c>
      <c r="DL38" s="1997">
        <f>IFERROR(
IF(テーブル!$B$3="交付申請",DL72,
IF(AND(テーブル!$B$3="変更申請",DL$26=0),0,
IF(AND(テーブル!$B$3="変更申請",DL$26&gt;=1),DL72,
IF(テーブル!$B$3="実績報告（１次）",DL72,
IF(AND(テーブル!$B$3="交付申請（２次）",DL$26=0),0,
IF(AND(テーブル!$B$3="交付申請（２次）",DL$26&gt;=1),DL72,
IF(AND(テーブル!$B$3="交付申請兼実績報告（２次）",DL$26=0),0,
IF(AND(テーブル!$B$3="交付申請兼実績報告（２次）",DL$26&gt;=1),DL72,
IF(AND(テーブル!$B$3="実績報告（２次）",DL$26=0),0,
IF(AND(テーブル!$B$3="実績報告（２次）",DL$26&gt;=1),DL72)))))))))),0)</f>
        <v>0</v>
      </c>
      <c r="DM38" s="1997">
        <f>IFERROR(
IF(テーブル!$B$3="交付申請",DM72,
IF(AND(テーブル!$B$3="変更申請",DM$26=0),0,
IF(AND(テーブル!$B$3="変更申請",DM$26&gt;=1),DM72,
IF(テーブル!$B$3="実績報告（１次）",DM72,
IF(AND(テーブル!$B$3="交付申請（２次）",DM$26=0),0,
IF(AND(テーブル!$B$3="交付申請（２次）",DM$26&gt;=1),DM72,
IF(AND(テーブル!$B$3="交付申請兼実績報告（２次）",DM$26=0),0,
IF(AND(テーブル!$B$3="交付申請兼実績報告（２次）",DM$26&gt;=1),DM72,
IF(AND(テーブル!$B$3="実績報告（２次）",DM$26=0),0,
IF(AND(テーブル!$B$3="実績報告（２次）",DM$26&gt;=1),DM72)))))))))),0)</f>
        <v>0</v>
      </c>
      <c r="DN38" s="1997">
        <f>IFERROR(
IF(テーブル!$B$3="交付申請",DN72,
IF(AND(テーブル!$B$3="変更申請",DN$26=0),0,
IF(AND(テーブル!$B$3="変更申請",DN$26&gt;=1),DN72,
IF(テーブル!$B$3="実績報告（１次）",DN72,
IF(AND(テーブル!$B$3="交付申請（２次）",DN$26=0),0,
IF(AND(テーブル!$B$3="交付申請（２次）",DN$26&gt;=1),DN72,
IF(AND(テーブル!$B$3="交付申請兼実績報告（２次）",DN$26=0),0,
IF(AND(テーブル!$B$3="交付申請兼実績報告（２次）",DN$26&gt;=1),DN72,
IF(AND(テーブル!$B$3="実績報告（２次）",DN$26=0),0,
IF(AND(テーブル!$B$3="実績報告（２次）",DN$26&gt;=1),DN72)))))))))),0)</f>
        <v>0</v>
      </c>
      <c r="DO38" s="1997">
        <f>IFERROR(
IF(テーブル!$B$3="交付申請",DO72,
IF(AND(テーブル!$B$3="変更申請",DO$26=0),0,
IF(AND(テーブル!$B$3="変更申請",DO$26&gt;=1),DO72,
IF(テーブル!$B$3="実績報告（１次）",DO72,
IF(AND(テーブル!$B$3="交付申請（２次）",DO$26=0),0,
IF(AND(テーブル!$B$3="交付申請（２次）",DO$26&gt;=1),DO72,
IF(AND(テーブル!$B$3="交付申請兼実績報告（２次）",DO$26=0),0,
IF(AND(テーブル!$B$3="交付申請兼実績報告（２次）",DO$26&gt;=1),DO72,
IF(AND(テーブル!$B$3="実績報告（２次）",DO$26=0),0,
IF(AND(テーブル!$B$3="実績報告（２次）",DO$26&gt;=1),DO72)))))))))),0)</f>
        <v>0</v>
      </c>
      <c r="DP38" s="1997">
        <f>IFERROR(
IF(テーブル!$B$3="交付申請",DP72,
IF(AND(テーブル!$B$3="変更申請",DP$26=0),0,
IF(AND(テーブル!$B$3="変更申請",DP$26&gt;=1),DP72,
IF(テーブル!$B$3="実績報告（１次）",DP72,
IF(AND(テーブル!$B$3="交付申請（２次）",DP$26=0),0,
IF(AND(テーブル!$B$3="交付申請（２次）",DP$26&gt;=1),DP72,
IF(AND(テーブル!$B$3="交付申請兼実績報告（２次）",DP$26=0),0,
IF(AND(テーブル!$B$3="交付申請兼実績報告（２次）",DP$26&gt;=1),DP72,
IF(AND(テーブル!$B$3="実績報告（２次）",DP$26=0),0,
IF(AND(テーブル!$B$3="実績報告（２次）",DP$26&gt;=1),DP72)))))))))),0)</f>
        <v>0</v>
      </c>
      <c r="DQ38" s="1997">
        <f>IFERROR(
IF(テーブル!$B$3="交付申請",DQ72,
IF(AND(テーブル!$B$3="変更申請",DQ$26=0),0,
IF(AND(テーブル!$B$3="変更申請",DQ$26&gt;=1),DQ72,
IF(テーブル!$B$3="実績報告（１次）",DQ72,
IF(AND(テーブル!$B$3="交付申請（２次）",DQ$26=0),0,
IF(AND(テーブル!$B$3="交付申請（２次）",DQ$26&gt;=1),DQ72,
IF(AND(テーブル!$B$3="交付申請兼実績報告（２次）",DQ$26=0),0,
IF(AND(テーブル!$B$3="交付申請兼実績報告（２次）",DQ$26&gt;=1),DQ72,
IF(AND(テーブル!$B$3="実績報告（２次）",DQ$26=0),0,
IF(AND(テーブル!$B$3="実績報告（２次）",DQ$26&gt;=1),DQ72)))))))))),0)</f>
        <v>0</v>
      </c>
      <c r="DR38" s="1997">
        <f>IFERROR(
IF(テーブル!$B$3="交付申請",DR72,
IF(AND(テーブル!$B$3="変更申請",DR$26=0),0,
IF(AND(テーブル!$B$3="変更申請",DR$26&gt;=1),DR72,
IF(テーブル!$B$3="実績報告（１次）",DR72,
IF(AND(テーブル!$B$3="交付申請（２次）",DR$26=0),0,
IF(AND(テーブル!$B$3="交付申請（２次）",DR$26&gt;=1),DR72,
IF(AND(テーブル!$B$3="交付申請兼実績報告（２次）",DR$26=0),0,
IF(AND(テーブル!$B$3="交付申請兼実績報告（２次）",DR$26&gt;=1),DR72,
IF(AND(テーブル!$B$3="実績報告（２次）",DR$26=0),0,
IF(AND(テーブル!$B$3="実績報告（２次）",DR$26&gt;=1),DR72)))))))))),0)</f>
        <v>0</v>
      </c>
      <c r="DS38" s="1997">
        <f>IFERROR(
IF(テーブル!$B$3="交付申請",DS72,
IF(AND(テーブル!$B$3="変更申請",DS$26=0),0,
IF(AND(テーブル!$B$3="変更申請",DS$26&gt;=1),DS72,
IF(テーブル!$B$3="実績報告（１次）",DS72,
IF(AND(テーブル!$B$3="交付申請（２次）",DS$26=0),0,
IF(AND(テーブル!$B$3="交付申請（２次）",DS$26&gt;=1),DS72,
IF(AND(テーブル!$B$3="交付申請兼実績報告（２次）",DS$26=0),0,
IF(AND(テーブル!$B$3="交付申請兼実績報告（２次）",DS$26&gt;=1),DS72,
IF(AND(テーブル!$B$3="実績報告（２次）",DS$26=0),0,
IF(AND(テーブル!$B$3="実績報告（２次）",DS$26&gt;=1),DS72)))))))))),0)</f>
        <v>0</v>
      </c>
      <c r="DT38" s="1997">
        <f>IFERROR(
IF(テーブル!$B$3="交付申請",DT72,
IF(AND(テーブル!$B$3="変更申請",DT$26=0),0,
IF(AND(テーブル!$B$3="変更申請",DT$26&gt;=1),DT72,
IF(テーブル!$B$3="実績報告（１次）",DT72,
IF(AND(テーブル!$B$3="交付申請（２次）",DT$26=0),0,
IF(AND(テーブル!$B$3="交付申請（２次）",DT$26&gt;=1),DT72,
IF(AND(テーブル!$B$3="交付申請兼実績報告（２次）",DT$26=0),0,
IF(AND(テーブル!$B$3="交付申請兼実績報告（２次）",DT$26&gt;=1),DT72,
IF(AND(テーブル!$B$3="実績報告（２次）",DT$26=0),0,
IF(AND(テーブル!$B$3="実績報告（２次）",DT$26&gt;=1),DT72)))))))))),0)</f>
        <v>0</v>
      </c>
      <c r="DU38" s="1997">
        <f>IFERROR(
IF(テーブル!$B$3="交付申請",DU72,
IF(AND(テーブル!$B$3="変更申請",DU$26=0),0,
IF(AND(テーブル!$B$3="変更申請",DU$26&gt;=1),DU72,
IF(テーブル!$B$3="実績報告（１次）",DU72,
IF(AND(テーブル!$B$3="交付申請（２次）",DU$26=0),0,
IF(AND(テーブル!$B$3="交付申請（２次）",DU$26&gt;=1),DU72,
IF(AND(テーブル!$B$3="交付申請兼実績報告（２次）",DU$26=0),0,
IF(AND(テーブル!$B$3="交付申請兼実績報告（２次）",DU$26&gt;=1),DU72,
IF(AND(テーブル!$B$3="実績報告（２次）",DU$26=0),0,
IF(AND(テーブル!$B$3="実績報告（２次）",DU$26&gt;=1),DU72)))))))))),0)</f>
        <v>0</v>
      </c>
      <c r="DV38" s="1997">
        <f>IFERROR(
IF(テーブル!$B$3="交付申請",DV72,
IF(AND(テーブル!$B$3="変更申請",DV$26=0),0,
IF(AND(テーブル!$B$3="変更申請",DV$26&gt;=1),DV72,
IF(テーブル!$B$3="実績報告（１次）",DV72,
IF(AND(テーブル!$B$3="交付申請（２次）",DV$26=0),0,
IF(AND(テーブル!$B$3="交付申請（２次）",DV$26&gt;=1),DV72,
IF(AND(テーブル!$B$3="交付申請兼実績報告（２次）",DV$26=0),0,
IF(AND(テーブル!$B$3="交付申請兼実績報告（２次）",DV$26&gt;=1),DV72,
IF(AND(テーブル!$B$3="実績報告（２次）",DV$26=0),0,
IF(AND(テーブル!$B$3="実績報告（２次）",DV$26&gt;=1),DV72)))))))))),0)</f>
        <v>0</v>
      </c>
      <c r="DW38" s="1997">
        <f>IFERROR(
IF(テーブル!$B$3="交付申請",DW72,
IF(AND(テーブル!$B$3="変更申請",DW$26=0),0,
IF(AND(テーブル!$B$3="変更申請",DW$26&gt;=1),DW72,
IF(テーブル!$B$3="実績報告（１次）",DW72,
IF(AND(テーブル!$B$3="交付申請（２次）",DW$26=0),0,
IF(AND(テーブル!$B$3="交付申請（２次）",DW$26&gt;=1),DW72,
IF(AND(テーブル!$B$3="交付申請兼実績報告（２次）",DW$26=0),0,
IF(AND(テーブル!$B$3="交付申請兼実績報告（２次）",DW$26&gt;=1),DW72,
IF(AND(テーブル!$B$3="実績報告（２次）",DW$26=0),0,
IF(AND(テーブル!$B$3="実績報告（２次）",DW$26&gt;=1),DW72)))))))))),0)</f>
        <v>0</v>
      </c>
      <c r="DX38" s="1997">
        <f>IFERROR(
IF(テーブル!$B$3="交付申請",DX72,
IF(AND(テーブル!$B$3="変更申請",DX$26=0),0,
IF(AND(テーブル!$B$3="変更申請",DX$26&gt;=1),DX72,
IF(テーブル!$B$3="実績報告（１次）",DX72,
IF(AND(テーブル!$B$3="交付申請（２次）",DX$26=0),0,
IF(AND(テーブル!$B$3="交付申請（２次）",DX$26&gt;=1),DX72,
IF(AND(テーブル!$B$3="交付申請兼実績報告（２次）",DX$26=0),0,
IF(AND(テーブル!$B$3="交付申請兼実績報告（２次）",DX$26&gt;=1),DX72,
IF(AND(テーブル!$B$3="実績報告（２次）",DX$26=0),0,
IF(AND(テーブル!$B$3="実績報告（２次）",DX$26&gt;=1),DX72)))))))))),0)</f>
        <v>0</v>
      </c>
      <c r="DY38" s="1997">
        <f>IFERROR(
IF(テーブル!$B$3="交付申請",DY72,
IF(AND(テーブル!$B$3="変更申請",DY$26=0),0,
IF(AND(テーブル!$B$3="変更申請",DY$26&gt;=1),DY72,
IF(テーブル!$B$3="実績報告（１次）",DY72,
IF(AND(テーブル!$B$3="交付申請（２次）",DY$26=0),0,
IF(AND(テーブル!$B$3="交付申請（２次）",DY$26&gt;=1),DY72,
IF(AND(テーブル!$B$3="交付申請兼実績報告（２次）",DY$26=0),0,
IF(AND(テーブル!$B$3="交付申請兼実績報告（２次）",DY$26&gt;=1),DY72,
IF(AND(テーブル!$B$3="実績報告（２次）",DY$26=0),0,
IF(AND(テーブル!$B$3="実績報告（２次）",DY$26&gt;=1),DY72)))))))))),0)</f>
        <v>0</v>
      </c>
      <c r="DZ38" s="1997">
        <f>IFERROR(
IF(テーブル!$B$3="交付申請",DZ72,
IF(AND(テーブル!$B$3="変更申請",DZ$26=0),0,
IF(AND(テーブル!$B$3="変更申請",DZ$26&gt;=1),DZ72,
IF(テーブル!$B$3="実績報告（１次）",DZ72,
IF(AND(テーブル!$B$3="交付申請（２次）",DZ$26=0),0,
IF(AND(テーブル!$B$3="交付申請（２次）",DZ$26&gt;=1),DZ72,
IF(AND(テーブル!$B$3="交付申請兼実績報告（２次）",DZ$26=0),0,
IF(AND(テーブル!$B$3="交付申請兼実績報告（２次）",DZ$26&gt;=1),DZ72,
IF(AND(テーブル!$B$3="実績報告（２次）",DZ$26=0),0,
IF(AND(テーブル!$B$3="実績報告（２次）",DZ$26&gt;=1),DZ72)))))))))),0)</f>
        <v>0</v>
      </c>
      <c r="EA38" s="1997">
        <f>IFERROR(
IF(テーブル!$B$3="交付申請",EA72,
IF(AND(テーブル!$B$3="変更申請",EA$26=0),0,
IF(AND(テーブル!$B$3="変更申請",EA$26&gt;=1),EA72,
IF(テーブル!$B$3="実績報告（１次）",EA72,
IF(AND(テーブル!$B$3="交付申請（２次）",EA$26=0),0,
IF(AND(テーブル!$B$3="交付申請（２次）",EA$26&gt;=1),EA72,
IF(AND(テーブル!$B$3="交付申請兼実績報告（２次）",EA$26=0),0,
IF(AND(テーブル!$B$3="交付申請兼実績報告（２次）",EA$26&gt;=1),EA72,
IF(AND(テーブル!$B$3="実績報告（２次）",EA$26=0),0,
IF(AND(テーブル!$B$3="実績報告（２次）",EA$26&gt;=1),EA72)))))))))),0)</f>
        <v>0</v>
      </c>
      <c r="EB38" s="1997">
        <f>IFERROR(
IF(テーブル!$B$3="交付申請",EB72,
IF(AND(テーブル!$B$3="変更申請",EB$26=0),0,
IF(AND(テーブル!$B$3="変更申請",EB$26&gt;=1),EB72,
IF(テーブル!$B$3="実績報告（１次）",EB72,
IF(AND(テーブル!$B$3="交付申請（２次）",EB$26=0),0,
IF(AND(テーブル!$B$3="交付申請（２次）",EB$26&gt;=1),EB72,
IF(AND(テーブル!$B$3="交付申請兼実績報告（２次）",EB$26=0),0,
IF(AND(テーブル!$B$3="交付申請兼実績報告（２次）",EB$26&gt;=1),EB72,
IF(AND(テーブル!$B$3="実績報告（２次）",EB$26=0),0,
IF(AND(テーブル!$B$3="実績報告（２次）",EB$26&gt;=1),EB72)))))))))),0)</f>
        <v>0</v>
      </c>
      <c r="EC38" s="1997">
        <f>IFERROR(
IF(テーブル!$B$3="交付申請",EC72,
IF(AND(テーブル!$B$3="変更申請",EC$26=0),0,
IF(AND(テーブル!$B$3="変更申請",EC$26&gt;=1),EC72,
IF(テーブル!$B$3="実績報告（１次）",EC72,
IF(AND(テーブル!$B$3="交付申請（２次）",EC$26=0),0,
IF(AND(テーブル!$B$3="交付申請（２次）",EC$26&gt;=1),EC72,
IF(AND(テーブル!$B$3="交付申請兼実績報告（２次）",EC$26=0),0,
IF(AND(テーブル!$B$3="交付申請兼実績報告（２次）",EC$26&gt;=1),EC72,
IF(AND(テーブル!$B$3="実績報告（２次）",EC$26=0),0,
IF(AND(テーブル!$B$3="実績報告（２次）",EC$26&gt;=1),EC72)))))))))),0)</f>
        <v>0</v>
      </c>
      <c r="ED38" s="1997">
        <f>IFERROR(
IF(テーブル!$B$3="交付申請",ED72,
IF(AND(テーブル!$B$3="変更申請",ED$26=0),0,
IF(AND(テーブル!$B$3="変更申請",ED$26&gt;=1),ED72,
IF(テーブル!$B$3="実績報告（１次）",ED72,
IF(AND(テーブル!$B$3="交付申請（２次）",ED$26=0),0,
IF(AND(テーブル!$B$3="交付申請（２次）",ED$26&gt;=1),ED72,
IF(AND(テーブル!$B$3="交付申請兼実績報告（２次）",ED$26=0),0,
IF(AND(テーブル!$B$3="交付申請兼実績報告（２次）",ED$26&gt;=1),ED72,
IF(AND(テーブル!$B$3="実績報告（２次）",ED$26=0),0,
IF(AND(テーブル!$B$3="実績報告（２次）",ED$26&gt;=1),ED72)))))))))),0)</f>
        <v>0</v>
      </c>
      <c r="EE38" s="1997">
        <f>IFERROR(
IF(テーブル!$B$3="交付申請",EE72,
IF(AND(テーブル!$B$3="変更申請",EE$26=0),0,
IF(AND(テーブル!$B$3="変更申請",EE$26&gt;=1),EE72,
IF(テーブル!$B$3="実績報告（１次）",EE72,
IF(AND(テーブル!$B$3="交付申請（２次）",EE$26=0),0,
IF(AND(テーブル!$B$3="交付申請（２次）",EE$26&gt;=1),EE72,
IF(AND(テーブル!$B$3="交付申請兼実績報告（２次）",EE$26=0),0,
IF(AND(テーブル!$B$3="交付申請兼実績報告（２次）",EE$26&gt;=1),EE72,
IF(AND(テーブル!$B$3="実績報告（２次）",EE$26=0),0,
IF(AND(テーブル!$B$3="実績報告（２次）",EE$26&gt;=1),EE72)))))))))),0)</f>
        <v>0</v>
      </c>
      <c r="EF38" s="1997">
        <f>IFERROR(
IF(テーブル!$B$3="交付申請",EF72,
IF(AND(テーブル!$B$3="変更申請",EF$26=0),0,
IF(AND(テーブル!$B$3="変更申請",EF$26&gt;=1),EF72,
IF(テーブル!$B$3="実績報告（１次）",EF72,
IF(AND(テーブル!$B$3="交付申請（２次）",EF$26=0),0,
IF(AND(テーブル!$B$3="交付申請（２次）",EF$26&gt;=1),EF72,
IF(AND(テーブル!$B$3="交付申請兼実績報告（２次）",EF$26=0),0,
IF(AND(テーブル!$B$3="交付申請兼実績報告（２次）",EF$26&gt;=1),EF72,
IF(AND(テーブル!$B$3="実績報告（２次）",EF$26=0),0,
IF(AND(テーブル!$B$3="実績報告（２次）",EF$26&gt;=1),EF72)))))))))),0)</f>
        <v>0</v>
      </c>
      <c r="EG38" s="1997">
        <f>IFERROR(
IF(テーブル!$B$3="交付申請",EG72,
IF(AND(テーブル!$B$3="変更申請",EG$26=0),0,
IF(AND(テーブル!$B$3="変更申請",EG$26&gt;=1),EG72,
IF(テーブル!$B$3="実績報告（１次）",EG72,
IF(AND(テーブル!$B$3="交付申請（２次）",EG$26=0),0,
IF(AND(テーブル!$B$3="交付申請（２次）",EG$26&gt;=1),EG72,
IF(AND(テーブル!$B$3="交付申請兼実績報告（２次）",EG$26=0),0,
IF(AND(テーブル!$B$3="交付申請兼実績報告（２次）",EG$26&gt;=1),EG72,
IF(AND(テーブル!$B$3="実績報告（２次）",EG$26=0),0,
IF(AND(テーブル!$B$3="実績報告（２次）",EG$26&gt;=1),EG72)))))))))),0)</f>
        <v>0</v>
      </c>
      <c r="EH38" s="1997">
        <f>IFERROR(
IF(テーブル!$B$3="交付申請",EH72,
IF(AND(テーブル!$B$3="変更申請",EH$26=0),0,
IF(AND(テーブル!$B$3="変更申請",EH$26&gt;=1),EH72,
IF(テーブル!$B$3="実績報告（１次）",EH72,
IF(AND(テーブル!$B$3="交付申請（２次）",EH$26=0),0,
IF(AND(テーブル!$B$3="交付申請（２次）",EH$26&gt;=1),EH72,
IF(AND(テーブル!$B$3="交付申請兼実績報告（２次）",EH$26=0),0,
IF(AND(テーブル!$B$3="交付申請兼実績報告（２次）",EH$26&gt;=1),EH72,
IF(AND(テーブル!$B$3="実績報告（２次）",EH$26=0),0,
IF(AND(テーブル!$B$3="実績報告（２次）",EH$26&gt;=1),EH72)))))))))),0)</f>
        <v>0</v>
      </c>
      <c r="EI38" s="1997">
        <f>IFERROR(
IF(テーブル!$B$3="交付申請",EI72,
IF(AND(テーブル!$B$3="変更申請",EI$26=0),0,
IF(AND(テーブル!$B$3="変更申請",EI$26&gt;=1),EI72,
IF(テーブル!$B$3="実績報告（１次）",EI72,
IF(AND(テーブル!$B$3="交付申請（２次）",EI$26=0),0,
IF(AND(テーブル!$B$3="交付申請（２次）",EI$26&gt;=1),EI72,
IF(AND(テーブル!$B$3="交付申請兼実績報告（２次）",EI$26=0),0,
IF(AND(テーブル!$B$3="交付申請兼実績報告（２次）",EI$26&gt;=1),EI72,
IF(AND(テーブル!$B$3="実績報告（２次）",EI$26=0),0,
IF(AND(テーブル!$B$3="実績報告（２次）",EI$26&gt;=1),EI72)))))))))),0)</f>
        <v>0</v>
      </c>
      <c r="EJ38" s="1997">
        <f>IFERROR(
IF(テーブル!$B$3="交付申請",EJ72,
IF(AND(テーブル!$B$3="変更申請",EJ$26=0),0,
IF(AND(テーブル!$B$3="変更申請",EJ$26&gt;=1),EJ72,
IF(テーブル!$B$3="実績報告（１次）",EJ72,
IF(AND(テーブル!$B$3="交付申請（２次）",EJ$26=0),0,
IF(AND(テーブル!$B$3="交付申請（２次）",EJ$26&gt;=1),EJ72,
IF(AND(テーブル!$B$3="交付申請兼実績報告（２次）",EJ$26=0),0,
IF(AND(テーブル!$B$3="交付申請兼実績報告（２次）",EJ$26&gt;=1),EJ72,
IF(AND(テーブル!$B$3="実績報告（２次）",EJ$26=0),0,
IF(AND(テーブル!$B$3="実績報告（２次）",EJ$26&gt;=1),EJ72)))))))))),0)</f>
        <v>0</v>
      </c>
      <c r="EK38" s="1997">
        <f>IFERROR(
IF(テーブル!$B$3="交付申請",EK72,
IF(AND(テーブル!$B$3="変更申請",EK$26=0),0,
IF(AND(テーブル!$B$3="変更申請",EK$26&gt;=1),EK72,
IF(テーブル!$B$3="実績報告（１次）",EK72,
IF(AND(テーブル!$B$3="交付申請（２次）",EK$26=0),0,
IF(AND(テーブル!$B$3="交付申請（２次）",EK$26&gt;=1),EK72,
IF(AND(テーブル!$B$3="交付申請兼実績報告（２次）",EK$26=0),0,
IF(AND(テーブル!$B$3="交付申請兼実績報告（２次）",EK$26&gt;=1),EK72,
IF(AND(テーブル!$B$3="実績報告（２次）",EK$26=0),0,
IF(AND(テーブル!$B$3="実績報告（２次）",EK$26&gt;=1),EK72)))))))))),0)</f>
        <v>0</v>
      </c>
      <c r="EL38" s="1997">
        <f>IFERROR(
IF(テーブル!$B$3="交付申請",EL72,
IF(AND(テーブル!$B$3="変更申請",EL$26=0),0,
IF(AND(テーブル!$B$3="変更申請",EL$26&gt;=1),EL72,
IF(テーブル!$B$3="実績報告（１次）",EL72,
IF(AND(テーブル!$B$3="交付申請（２次）",EL$26=0),0,
IF(AND(テーブル!$B$3="交付申請（２次）",EL$26&gt;=1),EL72,
IF(AND(テーブル!$B$3="交付申請兼実績報告（２次）",EL$26=0),0,
IF(AND(テーブル!$B$3="交付申請兼実績報告（２次）",EL$26&gt;=1),EL72,
IF(AND(テーブル!$B$3="実績報告（２次）",EL$26=0),0,
IF(AND(テーブル!$B$3="実績報告（２次）",EL$26&gt;=1),EL72)))))))))),0)</f>
        <v>0</v>
      </c>
      <c r="EM38" s="1997">
        <f>IFERROR(
IF(テーブル!$B$3="交付申請",EM72,
IF(AND(テーブル!$B$3="変更申請",EM$26=0),0,
IF(AND(テーブル!$B$3="変更申請",EM$26&gt;=1),EM72,
IF(テーブル!$B$3="実績報告（１次）",EM72,
IF(AND(テーブル!$B$3="交付申請（２次）",EM$26=0),0,
IF(AND(テーブル!$B$3="交付申請（２次）",EM$26&gt;=1),EM72,
IF(AND(テーブル!$B$3="交付申請兼実績報告（２次）",EM$26=0),0,
IF(AND(テーブル!$B$3="交付申請兼実績報告（２次）",EM$26&gt;=1),EM72,
IF(AND(テーブル!$B$3="実績報告（２次）",EM$26=0),0,
IF(AND(テーブル!$B$3="実績報告（２次）",EM$26&gt;=1),EM72)))))))))),0)</f>
        <v>0</v>
      </c>
      <c r="EN38" s="1997">
        <f>IFERROR(
IF(テーブル!$B$3="交付申請",EN72,
IF(AND(テーブル!$B$3="変更申請",EN$26=0),0,
IF(AND(テーブル!$B$3="変更申請",EN$26&gt;=1),EN72,
IF(テーブル!$B$3="実績報告（１次）",EN72,
IF(AND(テーブル!$B$3="交付申請（２次）",EN$26=0),0,
IF(AND(テーブル!$B$3="交付申請（２次）",EN$26&gt;=1),EN72,
IF(AND(テーブル!$B$3="交付申請兼実績報告（２次）",EN$26=0),0,
IF(AND(テーブル!$B$3="交付申請兼実績報告（２次）",EN$26&gt;=1),EN72,
IF(AND(テーブル!$B$3="実績報告（２次）",EN$26=0),0,
IF(AND(テーブル!$B$3="実績報告（２次）",EN$26&gt;=1),EN72)))))))))),0)</f>
        <v>0</v>
      </c>
      <c r="EO38" s="1997">
        <f>IFERROR(
IF(テーブル!$B$3="交付申請",EO72,
IF(AND(テーブル!$B$3="変更申請",EO$26=0),0,
IF(AND(テーブル!$B$3="変更申請",EO$26&gt;=1),EO72,
IF(テーブル!$B$3="実績報告（１次）",EO72,
IF(AND(テーブル!$B$3="交付申請（２次）",EO$26=0),0,
IF(AND(テーブル!$B$3="交付申請（２次）",EO$26&gt;=1),EO72,
IF(AND(テーブル!$B$3="交付申請兼実績報告（２次）",EO$26=0),0,
IF(AND(テーブル!$B$3="交付申請兼実績報告（２次）",EO$26&gt;=1),EO72,
IF(AND(テーブル!$B$3="実績報告（２次）",EO$26=0),0,
IF(AND(テーブル!$B$3="実績報告（２次）",EO$26&gt;=1),EO72)))))))))),0)</f>
        <v>0</v>
      </c>
      <c r="EP38" s="1997">
        <f>IFERROR(
IF(テーブル!$B$3="交付申請",EP72,
IF(AND(テーブル!$B$3="変更申請",EP$26=0),0,
IF(AND(テーブル!$B$3="変更申請",EP$26&gt;=1),EP72,
IF(テーブル!$B$3="実績報告（１次）",EP72,
IF(AND(テーブル!$B$3="交付申請（２次）",EP$26=0),0,
IF(AND(テーブル!$B$3="交付申請（２次）",EP$26&gt;=1),EP72,
IF(AND(テーブル!$B$3="交付申請兼実績報告（２次）",EP$26=0),0,
IF(AND(テーブル!$B$3="交付申請兼実績報告（２次）",EP$26&gt;=1),EP72,
IF(AND(テーブル!$B$3="実績報告（２次）",EP$26=0),0,
IF(AND(テーブル!$B$3="実績報告（２次）",EP$26&gt;=1),EP72)))))))))),0)</f>
        <v>0</v>
      </c>
      <c r="EQ38" s="1997">
        <f>IFERROR(
IF(テーブル!$B$3="交付申請",EQ72,
IF(AND(テーブル!$B$3="変更申請",EQ$26=0),0,
IF(AND(テーブル!$B$3="変更申請",EQ$26&gt;=1),EQ72,
IF(テーブル!$B$3="実績報告（１次）",EQ72,
IF(AND(テーブル!$B$3="交付申請（２次）",EQ$26=0),0,
IF(AND(テーブル!$B$3="交付申請（２次）",EQ$26&gt;=1),EQ72,
IF(AND(テーブル!$B$3="交付申請兼実績報告（２次）",EQ$26=0),0,
IF(AND(テーブル!$B$3="交付申請兼実績報告（２次）",EQ$26&gt;=1),EQ72,
IF(AND(テーブル!$B$3="実績報告（２次）",EQ$26=0),0,
IF(AND(テーブル!$B$3="実績報告（２次）",EQ$26&gt;=1),EQ72)))))))))),0)</f>
        <v>0</v>
      </c>
      <c r="ER38" s="1997">
        <f>IFERROR(
IF(テーブル!$B$3="交付申請",ER72,
IF(AND(テーブル!$B$3="変更申請",ER$26=0),0,
IF(AND(テーブル!$B$3="変更申請",ER$26&gt;=1),ER72,
IF(テーブル!$B$3="実績報告（１次）",ER72,
IF(AND(テーブル!$B$3="交付申請（２次）",ER$26=0),0,
IF(AND(テーブル!$B$3="交付申請（２次）",ER$26&gt;=1),ER72,
IF(AND(テーブル!$B$3="交付申請兼実績報告（２次）",ER$26=0),0,
IF(AND(テーブル!$B$3="交付申請兼実績報告（２次）",ER$26&gt;=1),ER72,
IF(AND(テーブル!$B$3="実績報告（２次）",ER$26=0),0,
IF(AND(テーブル!$B$3="実績報告（２次）",ER$26&gt;=1),ER72)))))))))),0)</f>
        <v>0</v>
      </c>
      <c r="ES38" s="1997">
        <f>IFERROR(
IF(テーブル!$B$3="交付申請",ES72,
IF(AND(テーブル!$B$3="変更申請",ES$26=0),0,
IF(AND(テーブル!$B$3="変更申請",ES$26&gt;=1),ES72,
IF(テーブル!$B$3="実績報告（１次）",ES72,
IF(AND(テーブル!$B$3="交付申請（２次）",ES$26=0),0,
IF(AND(テーブル!$B$3="交付申請（２次）",ES$26&gt;=1),ES72,
IF(AND(テーブル!$B$3="交付申請兼実績報告（２次）",ES$26=0),0,
IF(AND(テーブル!$B$3="交付申請兼実績報告（２次）",ES$26&gt;=1),ES72,
IF(AND(テーブル!$B$3="実績報告（２次）",ES$26=0),0,
IF(AND(テーブル!$B$3="実績報告（２次）",ES$26&gt;=1),ES72)))))))))),0)</f>
        <v>0</v>
      </c>
      <c r="ET38" s="1997">
        <f>IFERROR(
IF(テーブル!$B$3="交付申請",ET72,
IF(AND(テーブル!$B$3="変更申請",ET$26=0),0,
IF(AND(テーブル!$B$3="変更申請",ET$26&gt;=1),ET72,
IF(テーブル!$B$3="実績報告（１次）",ET72,
IF(AND(テーブル!$B$3="交付申請（２次）",ET$26=0),0,
IF(AND(テーブル!$B$3="交付申請（２次）",ET$26&gt;=1),ET72,
IF(AND(テーブル!$B$3="交付申請兼実績報告（２次）",ET$26=0),0,
IF(AND(テーブル!$B$3="交付申請兼実績報告（２次）",ET$26&gt;=1),ET72,
IF(AND(テーブル!$B$3="実績報告（２次）",ET$26=0),0,
IF(AND(テーブル!$B$3="実績報告（２次）",ET$26&gt;=1),ET72)))))))))),0)</f>
        <v>0</v>
      </c>
      <c r="EU38" s="1997">
        <f>IFERROR(
IF(テーブル!$B$3="交付申請",EU72,
IF(AND(テーブル!$B$3="変更申請",EU$26=0),0,
IF(AND(テーブル!$B$3="変更申請",EU$26&gt;=1),EU72,
IF(テーブル!$B$3="実績報告（１次）",EU72,
IF(AND(テーブル!$B$3="交付申請（２次）",EU$26=0),0,
IF(AND(テーブル!$B$3="交付申請（２次）",EU$26&gt;=1),EU72,
IF(AND(テーブル!$B$3="交付申請兼実績報告（２次）",EU$26=0),0,
IF(AND(テーブル!$B$3="交付申請兼実績報告（２次）",EU$26&gt;=1),EU72,
IF(AND(テーブル!$B$3="実績報告（２次）",EU$26=0),0,
IF(AND(テーブル!$B$3="実績報告（２次）",EU$26&gt;=1),EU72)))))))))),0)</f>
        <v>0</v>
      </c>
      <c r="EV38" s="1997">
        <f>IFERROR(
IF(テーブル!$B$3="交付申請",EV72,
IF(AND(テーブル!$B$3="変更申請",EV$26=0),0,
IF(AND(テーブル!$B$3="変更申請",EV$26&gt;=1),EV72,
IF(テーブル!$B$3="実績報告（１次）",EV72,
IF(AND(テーブル!$B$3="交付申請（２次）",EV$26=0),0,
IF(AND(テーブル!$B$3="交付申請（２次）",EV$26&gt;=1),EV72,
IF(AND(テーブル!$B$3="交付申請兼実績報告（２次）",EV$26=0),0,
IF(AND(テーブル!$B$3="交付申請兼実績報告（２次）",EV$26&gt;=1),EV72,
IF(AND(テーブル!$B$3="実績報告（２次）",EV$26=0),0,
IF(AND(テーブル!$B$3="実績報告（２次）",EV$26&gt;=1),EV72)))))))))),0)</f>
        <v>0</v>
      </c>
      <c r="EW38" s="1997">
        <f>IFERROR(
IF(テーブル!$B$3="交付申請",EW72,
IF(AND(テーブル!$B$3="変更申請",EW$26=0),0,
IF(AND(テーブル!$B$3="変更申請",EW$26&gt;=1),EW72,
IF(テーブル!$B$3="実績報告（１次）",EW72,
IF(AND(テーブル!$B$3="交付申請（２次）",EW$26=0),0,
IF(AND(テーブル!$B$3="交付申請（２次）",EW$26&gt;=1),EW72,
IF(AND(テーブル!$B$3="交付申請兼実績報告（２次）",EW$26=0),0,
IF(AND(テーブル!$B$3="交付申請兼実績報告（２次）",EW$26&gt;=1),EW72,
IF(AND(テーブル!$B$3="実績報告（２次）",EW$26=0),0,
IF(AND(テーブル!$B$3="実績報告（２次）",EW$26&gt;=1),EW72)))))))))),0)</f>
        <v>0</v>
      </c>
      <c r="EX38" s="1997">
        <f>IFERROR(
IF(テーブル!$B$3="交付申請",EX72,
IF(AND(テーブル!$B$3="変更申請",EX$26=0),0,
IF(AND(テーブル!$B$3="変更申請",EX$26&gt;=1),EX72,
IF(テーブル!$B$3="実績報告（１次）",EX72,
IF(AND(テーブル!$B$3="交付申請（２次）",EX$26=0),0,
IF(AND(テーブル!$B$3="交付申請（２次）",EX$26&gt;=1),EX72,
IF(AND(テーブル!$B$3="交付申請兼実績報告（２次）",EX$26=0),0,
IF(AND(テーブル!$B$3="交付申請兼実績報告（２次）",EX$26&gt;=1),EX72,
IF(AND(テーブル!$B$3="実績報告（２次）",EX$26=0),0,
IF(AND(テーブル!$B$3="実績報告（２次）",EX$26&gt;=1),EX72)))))))))),0)</f>
        <v>0</v>
      </c>
      <c r="EY38" s="1997">
        <f>IFERROR(
IF(テーブル!$B$3="交付申請",EY72,
IF(AND(テーブル!$B$3="変更申請",EY$26=0),0,
IF(AND(テーブル!$B$3="変更申請",EY$26&gt;=1),EY72,
IF(テーブル!$B$3="実績報告（１次）",EY72,
IF(AND(テーブル!$B$3="交付申請（２次）",EY$26=0),0,
IF(AND(テーブル!$B$3="交付申請（２次）",EY$26&gt;=1),EY72,
IF(AND(テーブル!$B$3="交付申請兼実績報告（２次）",EY$26=0),0,
IF(AND(テーブル!$B$3="交付申請兼実績報告（２次）",EY$26&gt;=1),EY72,
IF(AND(テーブル!$B$3="実績報告（２次）",EY$26=0),0,
IF(AND(テーブル!$B$3="実績報告（２次）",EY$26&gt;=1),EY72)))))))))),0)</f>
        <v>0</v>
      </c>
      <c r="EZ38" s="1997">
        <f>IFERROR(
IF(テーブル!$B$3="交付申請",EZ72,
IF(AND(テーブル!$B$3="変更申請",EZ$26=0),0,
IF(AND(テーブル!$B$3="変更申請",EZ$26&gt;=1),EZ72,
IF(テーブル!$B$3="実績報告（１次）",EZ72,
IF(AND(テーブル!$B$3="交付申請（２次）",EZ$26=0),0,
IF(AND(テーブル!$B$3="交付申請（２次）",EZ$26&gt;=1),EZ72,
IF(AND(テーブル!$B$3="交付申請兼実績報告（２次）",EZ$26=0),0,
IF(AND(テーブル!$B$3="交付申請兼実績報告（２次）",EZ$26&gt;=1),EZ72,
IF(AND(テーブル!$B$3="実績報告（２次）",EZ$26=0),0,
IF(AND(テーブル!$B$3="実績報告（２次）",EZ$26&gt;=1),EZ72)))))))))),0)</f>
        <v>0</v>
      </c>
      <c r="FA38" s="1997">
        <f>IFERROR(
IF(テーブル!$B$3="交付申請",FA72,
IF(AND(テーブル!$B$3="変更申請",FA$26=0),0,
IF(AND(テーブル!$B$3="変更申請",FA$26&gt;=1),FA72,
IF(テーブル!$B$3="実績報告（１次）",FA72,
IF(AND(テーブル!$B$3="交付申請（２次）",FA$26=0),0,
IF(AND(テーブル!$B$3="交付申請（２次）",FA$26&gt;=1),FA72,
IF(AND(テーブル!$B$3="交付申請兼実績報告（２次）",FA$26=0),0,
IF(AND(テーブル!$B$3="交付申請兼実績報告（２次）",FA$26&gt;=1),FA72,
IF(AND(テーブル!$B$3="実績報告（２次）",FA$26=0),0,
IF(AND(テーブル!$B$3="実績報告（２次）",FA$26&gt;=1),FA72)))))))))),0)</f>
        <v>0</v>
      </c>
      <c r="FB38" s="1997">
        <f>IFERROR(
IF(テーブル!$B$3="交付申請",FB72,
IF(AND(テーブル!$B$3="変更申請",FB$26=0),0,
IF(AND(テーブル!$B$3="変更申請",FB$26&gt;=1),FB72,
IF(テーブル!$B$3="実績報告（１次）",FB72,
IF(AND(テーブル!$B$3="交付申請（２次）",FB$26=0),0,
IF(AND(テーブル!$B$3="交付申請（２次）",FB$26&gt;=1),FB72,
IF(AND(テーブル!$B$3="交付申請兼実績報告（２次）",FB$26=0),0,
IF(AND(テーブル!$B$3="交付申請兼実績報告（２次）",FB$26&gt;=1),FB72,
IF(AND(テーブル!$B$3="実績報告（２次）",FB$26=0),0,
IF(AND(テーブル!$B$3="実績報告（２次）",FB$26&gt;=1),FB72)))))))))),0)</f>
        <v>0</v>
      </c>
      <c r="FC38" s="1997">
        <f>IFERROR(
IF(テーブル!$B$3="交付申請",FC72,
IF(AND(テーブル!$B$3="変更申請",FC$26=0),0,
IF(AND(テーブル!$B$3="変更申請",FC$26&gt;=1),FC72,
IF(テーブル!$B$3="実績報告（１次）",FC72,
IF(AND(テーブル!$B$3="交付申請（２次）",FC$26=0),0,
IF(AND(テーブル!$B$3="交付申請（２次）",FC$26&gt;=1),FC72,
IF(AND(テーブル!$B$3="交付申請兼実績報告（２次）",FC$26=0),0,
IF(AND(テーブル!$B$3="交付申請兼実績報告（２次）",FC$26&gt;=1),FC72,
IF(AND(テーブル!$B$3="実績報告（２次）",FC$26=0),0,
IF(AND(テーブル!$B$3="実績報告（２次）",FC$26&gt;=1),FC72)))))))))),0)</f>
        <v>0</v>
      </c>
      <c r="FD38" s="1997">
        <f>IFERROR(
IF(テーブル!$B$3="交付申請",FD72,
IF(AND(テーブル!$B$3="変更申請",FD$26=0),0,
IF(AND(テーブル!$B$3="変更申請",FD$26&gt;=1),FD72,
IF(テーブル!$B$3="実績報告（１次）",FD72,
IF(AND(テーブル!$B$3="交付申請（２次）",FD$26=0),0,
IF(AND(テーブル!$B$3="交付申請（２次）",FD$26&gt;=1),FD72,
IF(AND(テーブル!$B$3="交付申請兼実績報告（２次）",FD$26=0),0,
IF(AND(テーブル!$B$3="交付申請兼実績報告（２次）",FD$26&gt;=1),FD72,
IF(AND(テーブル!$B$3="実績報告（２次）",FD$26=0),0,
IF(AND(テーブル!$B$3="実績報告（２次）",FD$26&gt;=1),FD72)))))))))),0)</f>
        <v>0</v>
      </c>
      <c r="FE38" s="1997">
        <f>IFERROR(
IF(テーブル!$B$3="交付申請",FE72,
IF(AND(テーブル!$B$3="変更申請",FE$26=0),0,
IF(AND(テーブル!$B$3="変更申請",FE$26&gt;=1),FE72,
IF(テーブル!$B$3="実績報告（１次）",FE72,
IF(AND(テーブル!$B$3="交付申請（２次）",FE$26=0),0,
IF(AND(テーブル!$B$3="交付申請（２次）",FE$26&gt;=1),FE72,
IF(AND(テーブル!$B$3="交付申請兼実績報告（２次）",FE$26=0),0,
IF(AND(テーブル!$B$3="交付申請兼実績報告（２次）",FE$26&gt;=1),FE72,
IF(AND(テーブル!$B$3="実績報告（２次）",FE$26=0),0,
IF(AND(テーブル!$B$3="実績報告（２次）",FE$26&gt;=1),FE72)))))))))),0)</f>
        <v>0</v>
      </c>
      <c r="FF38" s="1997">
        <f>IFERROR(
IF(テーブル!$B$3="交付申請",FF72,
IF(AND(テーブル!$B$3="変更申請",FF$26=0),0,
IF(AND(テーブル!$B$3="変更申請",FF$26&gt;=1),FF72,
IF(テーブル!$B$3="実績報告（１次）",FF72,
IF(AND(テーブル!$B$3="交付申請（２次）",FF$26=0),0,
IF(AND(テーブル!$B$3="交付申請（２次）",FF$26&gt;=1),FF72,
IF(AND(テーブル!$B$3="交付申請兼実績報告（２次）",FF$26=0),0,
IF(AND(テーブル!$B$3="交付申請兼実績報告（２次）",FF$26&gt;=1),FF72,
IF(AND(テーブル!$B$3="実績報告（２次）",FF$26=0),0,
IF(AND(テーブル!$B$3="実績報告（２次）",FF$26&gt;=1),FF72)))))))))),0)</f>
        <v>0</v>
      </c>
      <c r="FG38" s="1997">
        <f>IFERROR(
IF(テーブル!$B$3="交付申請",FG72,
IF(AND(テーブル!$B$3="変更申請",FG$26=0),0,
IF(AND(テーブル!$B$3="変更申請",FG$26&gt;=1),FG72,
IF(テーブル!$B$3="実績報告（１次）",FG72,
IF(AND(テーブル!$B$3="交付申請（２次）",FG$26=0),0,
IF(AND(テーブル!$B$3="交付申請（２次）",FG$26&gt;=1),FG72,
IF(AND(テーブル!$B$3="交付申請兼実績報告（２次）",FG$26=0),0,
IF(AND(テーブル!$B$3="交付申請兼実績報告（２次）",FG$26&gt;=1),FG72,
IF(AND(テーブル!$B$3="実績報告（２次）",FG$26=0),0,
IF(AND(テーブル!$B$3="実績報告（２次）",FG$26&gt;=1),FG72)))))))))),0)</f>
        <v>0</v>
      </c>
      <c r="FH38" s="1997">
        <f>IFERROR(
IF(テーブル!$B$3="交付申請",FH72,
IF(AND(テーブル!$B$3="変更申請",FH$26=0),0,
IF(AND(テーブル!$B$3="変更申請",FH$26&gt;=1),FH72,
IF(テーブル!$B$3="実績報告（１次）",FH72,
IF(AND(テーブル!$B$3="交付申請（２次）",FH$26=0),0,
IF(AND(テーブル!$B$3="交付申請（２次）",FH$26&gt;=1),FH72,
IF(AND(テーブル!$B$3="交付申請兼実績報告（２次）",FH$26=0),0,
IF(AND(テーブル!$B$3="交付申請兼実績報告（２次）",FH$26&gt;=1),FH72,
IF(AND(テーブル!$B$3="実績報告（２次）",FH$26=0),0,
IF(AND(テーブル!$B$3="実績報告（２次）",FH$26&gt;=1),FH72)))))))))),0)</f>
        <v>0</v>
      </c>
      <c r="FI38" s="1997">
        <f>IFERROR(
IF(テーブル!$B$3="交付申請",FI72,
IF(AND(テーブル!$B$3="変更申請",FI$26=0),0,
IF(AND(テーブル!$B$3="変更申請",FI$26&gt;=1),FI72,
IF(テーブル!$B$3="実績報告（１次）",FI72,
IF(AND(テーブル!$B$3="交付申請（２次）",FI$26=0),0,
IF(AND(テーブル!$B$3="交付申請（２次）",FI$26&gt;=1),FI72,
IF(AND(テーブル!$B$3="交付申請兼実績報告（２次）",FI$26=0),0,
IF(AND(テーブル!$B$3="交付申請兼実績報告（２次）",FI$26&gt;=1),FI72,
IF(AND(テーブル!$B$3="実績報告（２次）",FI$26=0),0,
IF(AND(テーブル!$B$3="実績報告（２次）",FI$26&gt;=1),FI72)))))))))),0)</f>
        <v>0</v>
      </c>
      <c r="FJ38" s="1997">
        <f>IFERROR(
IF(テーブル!$B$3="交付申請",FJ72,
IF(AND(テーブル!$B$3="変更申請",FJ$26=0),0,
IF(AND(テーブル!$B$3="変更申請",FJ$26&gt;=1),FJ72,
IF(テーブル!$B$3="実績報告（１次）",FJ72,
IF(AND(テーブル!$B$3="交付申請（２次）",FJ$26=0),0,
IF(AND(テーブル!$B$3="交付申請（２次）",FJ$26&gt;=1),FJ72,
IF(AND(テーブル!$B$3="交付申請兼実績報告（２次）",FJ$26=0),0,
IF(AND(テーブル!$B$3="交付申請兼実績報告（２次）",FJ$26&gt;=1),FJ72,
IF(AND(テーブル!$B$3="実績報告（２次）",FJ$26=0),0,
IF(AND(テーブル!$B$3="実績報告（２次）",FJ$26&gt;=1),FJ72)))))))))),0)</f>
        <v>0</v>
      </c>
      <c r="FK38" s="1997">
        <f>IFERROR(
IF(テーブル!$B$3="交付申請",FK72,
IF(AND(テーブル!$B$3="変更申請",FK$26=0),0,
IF(AND(テーブル!$B$3="変更申請",FK$26&gt;=1),FK72,
IF(テーブル!$B$3="実績報告（１次）",FK72,
IF(AND(テーブル!$B$3="交付申請（２次）",FK$26=0),0,
IF(AND(テーブル!$B$3="交付申請（２次）",FK$26&gt;=1),FK72,
IF(AND(テーブル!$B$3="交付申請兼実績報告（２次）",FK$26=0),0,
IF(AND(テーブル!$B$3="交付申請兼実績報告（２次）",FK$26&gt;=1),FK72,
IF(AND(テーブル!$B$3="実績報告（２次）",FK$26=0),0,
IF(AND(テーブル!$B$3="実績報告（２次）",FK$26&gt;=1),FK72)))))))))),0)</f>
        <v>0</v>
      </c>
      <c r="FL38" s="1997">
        <f>IFERROR(
IF(テーブル!$B$3="交付申請",FL72,
IF(AND(テーブル!$B$3="変更申請",FL$26=0),0,
IF(AND(テーブル!$B$3="変更申請",FL$26&gt;=1),FL72,
IF(テーブル!$B$3="実績報告（１次）",FL72,
IF(AND(テーブル!$B$3="交付申請（２次）",FL$26=0),0,
IF(AND(テーブル!$B$3="交付申請（２次）",FL$26&gt;=1),FL72,
IF(AND(テーブル!$B$3="交付申請兼実績報告（２次）",FL$26=0),0,
IF(AND(テーブル!$B$3="交付申請兼実績報告（２次）",FL$26&gt;=1),FL72,
IF(AND(テーブル!$B$3="実績報告（２次）",FL$26=0),0,
IF(AND(テーブル!$B$3="実績報告（２次）",FL$26&gt;=1),FL72)))))))))),0)</f>
        <v>0</v>
      </c>
      <c r="FM38" s="1997">
        <f>IFERROR(
IF(テーブル!$B$3="交付申請",FM72,
IF(AND(テーブル!$B$3="変更申請",FM$26=0),0,
IF(AND(テーブル!$B$3="変更申請",FM$26&gt;=1),FM72,
IF(テーブル!$B$3="実績報告（１次）",FM72,
IF(AND(テーブル!$B$3="交付申請（２次）",FM$26=0),0,
IF(AND(テーブル!$B$3="交付申請（２次）",FM$26&gt;=1),FM72,
IF(AND(テーブル!$B$3="交付申請兼実績報告（２次）",FM$26=0),0,
IF(AND(テーブル!$B$3="交付申請兼実績報告（２次）",FM$26&gt;=1),FM72,
IF(AND(テーブル!$B$3="実績報告（２次）",FM$26=0),0,
IF(AND(テーブル!$B$3="実績報告（２次）",FM$26&gt;=1),FM72)))))))))),0)</f>
        <v>0</v>
      </c>
      <c r="FN38" s="1997">
        <f>IFERROR(
IF(テーブル!$B$3="交付申請",FN72,
IF(AND(テーブル!$B$3="変更申請",FN$26=0),0,
IF(AND(テーブル!$B$3="変更申請",FN$26&gt;=1),FN72,
IF(テーブル!$B$3="実績報告（１次）",FN72,
IF(AND(テーブル!$B$3="交付申請（２次）",FN$26=0),0,
IF(AND(テーブル!$B$3="交付申請（２次）",FN$26&gt;=1),FN72,
IF(AND(テーブル!$B$3="交付申請兼実績報告（２次）",FN$26=0),0,
IF(AND(テーブル!$B$3="交付申請兼実績報告（２次）",FN$26&gt;=1),FN72,
IF(AND(テーブル!$B$3="実績報告（２次）",FN$26=0),0,
IF(AND(テーブル!$B$3="実績報告（２次）",FN$26&gt;=1),FN72)))))))))),0)</f>
        <v>0</v>
      </c>
      <c r="FO38" s="1997">
        <f>IFERROR(
IF(テーブル!$B$3="交付申請",FO72,
IF(AND(テーブル!$B$3="変更申請",FO$26=0),0,
IF(AND(テーブル!$B$3="変更申請",FO$26&gt;=1),FO72,
IF(テーブル!$B$3="実績報告（１次）",FO72,
IF(AND(テーブル!$B$3="交付申請（２次）",FO$26=0),0,
IF(AND(テーブル!$B$3="交付申請（２次）",FO$26&gt;=1),FO72,
IF(AND(テーブル!$B$3="交付申請兼実績報告（２次）",FO$26=0),0,
IF(AND(テーブル!$B$3="交付申請兼実績報告（２次）",FO$26&gt;=1),FO72,
IF(AND(テーブル!$B$3="実績報告（２次）",FO$26=0),0,
IF(AND(テーブル!$B$3="実績報告（２次）",FO$26&gt;=1),FO72)))))))))),0)</f>
        <v>0</v>
      </c>
      <c r="FP38" s="1997">
        <f>IFERROR(
IF(テーブル!$B$3="交付申請",FP72,
IF(AND(テーブル!$B$3="変更申請",FP$26=0),0,
IF(AND(テーブル!$B$3="変更申請",FP$26&gt;=1),FP72,
IF(テーブル!$B$3="実績報告（１次）",FP72,
IF(AND(テーブル!$B$3="交付申請（２次）",FP$26=0),0,
IF(AND(テーブル!$B$3="交付申請（２次）",FP$26&gt;=1),FP72,
IF(AND(テーブル!$B$3="交付申請兼実績報告（２次）",FP$26=0),0,
IF(AND(テーブル!$B$3="交付申請兼実績報告（２次）",FP$26&gt;=1),FP72,
IF(AND(テーブル!$B$3="実績報告（２次）",FP$26=0),0,
IF(AND(テーブル!$B$3="実績報告（２次）",FP$26&gt;=1),FP72)))))))))),0)</f>
        <v>0</v>
      </c>
      <c r="FQ38" s="1997">
        <f>IFERROR(
IF(テーブル!$B$3="交付申請",FQ72,
IF(AND(テーブル!$B$3="変更申請",FQ$26=0),0,
IF(AND(テーブル!$B$3="変更申請",FQ$26&gt;=1),FQ72,
IF(テーブル!$B$3="実績報告（１次）",FQ72,
IF(AND(テーブル!$B$3="交付申請（２次）",FQ$26=0),0,
IF(AND(テーブル!$B$3="交付申請（２次）",FQ$26&gt;=1),FQ72,
IF(AND(テーブル!$B$3="交付申請兼実績報告（２次）",FQ$26=0),0,
IF(AND(テーブル!$B$3="交付申請兼実績報告（２次）",FQ$26&gt;=1),FQ72,
IF(AND(テーブル!$B$3="実績報告（２次）",FQ$26=0),0,
IF(AND(テーブル!$B$3="実績報告（２次）",FQ$26&gt;=1),FQ72)))))))))),0)</f>
        <v>0</v>
      </c>
      <c r="FR38" s="1997">
        <f>IFERROR(
IF(テーブル!$B$3="交付申請",FR72,
IF(AND(テーブル!$B$3="変更申請",FR$26=0),0,
IF(AND(テーブル!$B$3="変更申請",FR$26&gt;=1),FR72,
IF(テーブル!$B$3="実績報告（１次）",FR72,
IF(AND(テーブル!$B$3="交付申請（２次）",FR$26=0),0,
IF(AND(テーブル!$B$3="交付申請（２次）",FR$26&gt;=1),FR72,
IF(AND(テーブル!$B$3="交付申請兼実績報告（２次）",FR$26=0),0,
IF(AND(テーブル!$B$3="交付申請兼実績報告（２次）",FR$26&gt;=1),FR72,
IF(AND(テーブル!$B$3="実績報告（２次）",FR$26=0),0,
IF(AND(テーブル!$B$3="実績報告（２次）",FR$26&gt;=1),FR72)))))))))),0)</f>
        <v>0</v>
      </c>
      <c r="FS38" s="1997">
        <f>IFERROR(
IF(テーブル!$B$3="交付申請",FS72,
IF(AND(テーブル!$B$3="変更申請",FS$26=0),0,
IF(AND(テーブル!$B$3="変更申請",FS$26&gt;=1),FS72,
IF(テーブル!$B$3="実績報告（１次）",FS72,
IF(AND(テーブル!$B$3="交付申請（２次）",FS$26=0),0,
IF(AND(テーブル!$B$3="交付申請（２次）",FS$26&gt;=1),FS72,
IF(AND(テーブル!$B$3="交付申請兼実績報告（２次）",FS$26=0),0,
IF(AND(テーブル!$B$3="交付申請兼実績報告（２次）",FS$26&gt;=1),FS72,
IF(AND(テーブル!$B$3="実績報告（２次）",FS$26=0),0,
IF(AND(テーブル!$B$3="実績報告（２次）",FS$26&gt;=1),FS72)))))))))),0)</f>
        <v>0</v>
      </c>
      <c r="FT38" s="1997">
        <f>IFERROR(
IF(テーブル!$B$3="交付申請",FT72,
IF(AND(テーブル!$B$3="変更申請",FT$26=0),0,
IF(AND(テーブル!$B$3="変更申請",FT$26&gt;=1),FT72,
IF(テーブル!$B$3="実績報告（１次）",FT72,
IF(AND(テーブル!$B$3="交付申請（２次）",FT$26=0),0,
IF(AND(テーブル!$B$3="交付申請（２次）",FT$26&gt;=1),FT72,
IF(AND(テーブル!$B$3="交付申請兼実績報告（２次）",FT$26=0),0,
IF(AND(テーブル!$B$3="交付申請兼実績報告（２次）",FT$26&gt;=1),FT72,
IF(AND(テーブル!$B$3="実績報告（２次）",FT$26=0),0,
IF(AND(テーブル!$B$3="実績報告（２次）",FT$26&gt;=1),FT72)))))))))),0)</f>
        <v>0</v>
      </c>
      <c r="FU38" s="1997">
        <f>IFERROR(
IF(テーブル!$B$3="交付申請",FU72,
IF(AND(テーブル!$B$3="変更申請",FU$26=0),0,
IF(AND(テーブル!$B$3="変更申請",FU$26&gt;=1),FU72,
IF(テーブル!$B$3="実績報告（１次）",FU72,
IF(AND(テーブル!$B$3="交付申請（２次）",FU$26=0),0,
IF(AND(テーブル!$B$3="交付申請（２次）",FU$26&gt;=1),FU72,
IF(AND(テーブル!$B$3="交付申請兼実績報告（２次）",FU$26=0),0,
IF(AND(テーブル!$B$3="交付申請兼実績報告（２次）",FU$26&gt;=1),FU72,
IF(AND(テーブル!$B$3="実績報告（２次）",FU$26=0),0,
IF(AND(テーブル!$B$3="実績報告（２次）",FU$26&gt;=1),FU72)))))))))),0)</f>
        <v>0</v>
      </c>
      <c r="FV38" s="1997">
        <f>IFERROR(
IF(テーブル!$B$3="交付申請",FV72,
IF(AND(テーブル!$B$3="変更申請",FV$26=0),0,
IF(AND(テーブル!$B$3="変更申請",FV$26&gt;=1),FV72,
IF(テーブル!$B$3="実績報告（１次）",FV72,
IF(AND(テーブル!$B$3="交付申請（２次）",FV$26=0),0,
IF(AND(テーブル!$B$3="交付申請（２次）",FV$26&gt;=1),FV72,
IF(AND(テーブル!$B$3="交付申請兼実績報告（２次）",FV$26=0),0,
IF(AND(テーブル!$B$3="交付申請兼実績報告（２次）",FV$26&gt;=1),FV72,
IF(AND(テーブル!$B$3="実績報告（２次）",FV$26=0),0,
IF(AND(テーブル!$B$3="実績報告（２次）",FV$26&gt;=1),FV72)))))))))),0)</f>
        <v>0</v>
      </c>
      <c r="FW38" s="1997">
        <f>IFERROR(
IF(テーブル!$B$3="交付申請",FW72,
IF(AND(テーブル!$B$3="変更申請",FW$26=0),0,
IF(AND(テーブル!$B$3="変更申請",FW$26&gt;=1),FW72,
IF(テーブル!$B$3="実績報告（１次）",FW72,
IF(AND(テーブル!$B$3="交付申請（２次）",FW$26=0),0,
IF(AND(テーブル!$B$3="交付申請（２次）",FW$26&gt;=1),FW72,
IF(AND(テーブル!$B$3="交付申請兼実績報告（２次）",FW$26=0),0,
IF(AND(テーブル!$B$3="交付申請兼実績報告（２次）",FW$26&gt;=1),FW72,
IF(AND(テーブル!$B$3="実績報告（２次）",FW$26=0),0,
IF(AND(テーブル!$B$3="実績報告（２次）",FW$26&gt;=1),FW72)))))))))),0)</f>
        <v>0</v>
      </c>
      <c r="FX38" s="1997">
        <f>IFERROR(
IF(テーブル!$B$3="交付申請",FX72,
IF(AND(テーブル!$B$3="変更申請",FX$26=0),0,
IF(AND(テーブル!$B$3="変更申請",FX$26&gt;=1),FX72,
IF(テーブル!$B$3="実績報告（１次）",FX72,
IF(AND(テーブル!$B$3="交付申請（２次）",FX$26=0),0,
IF(AND(テーブル!$B$3="交付申請（２次）",FX$26&gt;=1),FX72,
IF(AND(テーブル!$B$3="交付申請兼実績報告（２次）",FX$26=0),0,
IF(AND(テーブル!$B$3="交付申請兼実績報告（２次）",FX$26&gt;=1),FX72,
IF(AND(テーブル!$B$3="実績報告（２次）",FX$26=0),0,
IF(AND(テーブル!$B$3="実績報告（２次）",FX$26&gt;=1),FX72)))))))))),0)</f>
        <v>0</v>
      </c>
      <c r="FY38" s="1997">
        <f>IFERROR(
IF(テーブル!$B$3="交付申請",FY72,
IF(AND(テーブル!$B$3="変更申請",FY$26=0),0,
IF(AND(テーブル!$B$3="変更申請",FY$26&gt;=1),FY72,
IF(テーブル!$B$3="実績報告（１次）",FY72,
IF(AND(テーブル!$B$3="交付申請（２次）",FY$26=0),0,
IF(AND(テーブル!$B$3="交付申請（２次）",FY$26&gt;=1),FY72,
IF(AND(テーブル!$B$3="交付申請兼実績報告（２次）",FY$26=0),0,
IF(AND(テーブル!$B$3="交付申請兼実績報告（２次）",FY$26&gt;=1),FY72,
IF(AND(テーブル!$B$3="実績報告（２次）",FY$26=0),0,
IF(AND(テーブル!$B$3="実績報告（２次）",FY$26&gt;=1),FY72)))))))))),0)</f>
        <v>0</v>
      </c>
      <c r="FZ38" s="1997">
        <f>IFERROR(
IF(テーブル!$B$3="交付申請",FZ72,
IF(AND(テーブル!$B$3="変更申請",FZ$26=0),0,
IF(AND(テーブル!$B$3="変更申請",FZ$26&gt;=1),FZ72,
IF(テーブル!$B$3="実績報告（１次）",FZ72,
IF(AND(テーブル!$B$3="交付申請（２次）",FZ$26=0),0,
IF(AND(テーブル!$B$3="交付申請（２次）",FZ$26&gt;=1),FZ72,
IF(AND(テーブル!$B$3="交付申請兼実績報告（２次）",FZ$26=0),0,
IF(AND(テーブル!$B$3="交付申請兼実績報告（２次）",FZ$26&gt;=1),FZ72,
IF(AND(テーブル!$B$3="実績報告（２次）",FZ$26=0),0,
IF(AND(テーブル!$B$3="実績報告（２次）",FZ$26&gt;=1),FZ72)))))))))),0)</f>
        <v>0</v>
      </c>
      <c r="GA38" s="1997">
        <f>IFERROR(
IF(テーブル!$B$3="交付申請",GA72,
IF(AND(テーブル!$B$3="変更申請",GA$26=0),0,
IF(AND(テーブル!$B$3="変更申請",GA$26&gt;=1),GA72,
IF(テーブル!$B$3="実績報告（１次）",GA72,
IF(AND(テーブル!$B$3="交付申請（２次）",GA$26=0),0,
IF(AND(テーブル!$B$3="交付申請（２次）",GA$26&gt;=1),GA72,
IF(AND(テーブル!$B$3="交付申請兼実績報告（２次）",GA$26=0),0,
IF(AND(テーブル!$B$3="交付申請兼実績報告（２次）",GA$26&gt;=1),GA72,
IF(AND(テーブル!$B$3="実績報告（２次）",GA$26=0),0,
IF(AND(テーブル!$B$3="実績報告（２次）",GA$26&gt;=1),GA72)))))))))),0)</f>
        <v>0</v>
      </c>
      <c r="GB38" s="1997">
        <f>IFERROR(
IF(テーブル!$B$3="交付申請",GB72,
IF(AND(テーブル!$B$3="変更申請",GB$26=0),0,
IF(AND(テーブル!$B$3="変更申請",GB$26&gt;=1),GB72,
IF(テーブル!$B$3="実績報告（１次）",GB72,
IF(AND(テーブル!$B$3="交付申請（２次）",GB$26=0),0,
IF(AND(テーブル!$B$3="交付申請（２次）",GB$26&gt;=1),GB72,
IF(AND(テーブル!$B$3="交付申請兼実績報告（２次）",GB$26=0),0,
IF(AND(テーブル!$B$3="交付申請兼実績報告（２次）",GB$26&gt;=1),GB72,
IF(AND(テーブル!$B$3="実績報告（２次）",GB$26=0),0,
IF(AND(テーブル!$B$3="実績報告（２次）",GB$26&gt;=1),GB72)))))))))),0)</f>
        <v>0</v>
      </c>
      <c r="GC38" s="1997">
        <f>IFERROR(
IF(テーブル!$B$3="交付申請",GC72,
IF(AND(テーブル!$B$3="変更申請",GC$26=0),0,
IF(AND(テーブル!$B$3="変更申請",GC$26&gt;=1),GC72,
IF(テーブル!$B$3="実績報告（１次）",GC72,
IF(AND(テーブル!$B$3="交付申請（２次）",GC$26=0),0,
IF(AND(テーブル!$B$3="交付申請（２次）",GC$26&gt;=1),GC72,
IF(AND(テーブル!$B$3="交付申請兼実績報告（２次）",GC$26=0),0,
IF(AND(テーブル!$B$3="交付申請兼実績報告（２次）",GC$26&gt;=1),GC72,
IF(AND(テーブル!$B$3="実績報告（２次）",GC$26=0),0,
IF(AND(テーブル!$B$3="実績報告（２次）",GC$26&gt;=1),GC72)))))))))),0)</f>
        <v>0</v>
      </c>
      <c r="GD38" s="1997">
        <f>IFERROR(
IF(テーブル!$B$3="交付申請",GD72,
IF(AND(テーブル!$B$3="変更申請",GD$26=0),0,
IF(AND(テーブル!$B$3="変更申請",GD$26&gt;=1),GD72,
IF(テーブル!$B$3="実績報告（１次）",GD72,
IF(AND(テーブル!$B$3="交付申請（２次）",GD$26=0),0,
IF(AND(テーブル!$B$3="交付申請（２次）",GD$26&gt;=1),GD72,
IF(AND(テーブル!$B$3="交付申請兼実績報告（２次）",GD$26=0),0,
IF(AND(テーブル!$B$3="交付申請兼実績報告（２次）",GD$26&gt;=1),GD72,
IF(AND(テーブル!$B$3="実績報告（２次）",GD$26=0),0,
IF(AND(テーブル!$B$3="実績報告（２次）",GD$26&gt;=1),GD72)))))))))),0)</f>
        <v>0</v>
      </c>
      <c r="GE38" s="1997">
        <f>IFERROR(
IF(テーブル!$B$3="交付申請",GE72,
IF(AND(テーブル!$B$3="変更申請",GE$26=0),0,
IF(AND(テーブル!$B$3="変更申請",GE$26&gt;=1),GE72,
IF(テーブル!$B$3="実績報告（１次）",GE72,
IF(AND(テーブル!$B$3="交付申請（２次）",GE$26=0),0,
IF(AND(テーブル!$B$3="交付申請（２次）",GE$26&gt;=1),GE72,
IF(AND(テーブル!$B$3="交付申請兼実績報告（２次）",GE$26=0),0,
IF(AND(テーブル!$B$3="交付申請兼実績報告（２次）",GE$26&gt;=1),GE72,
IF(AND(テーブル!$B$3="実績報告（２次）",GE$26=0),0,
IF(AND(テーブル!$B$3="実績報告（２次）",GE$26&gt;=1),GE72)))))))))),0)</f>
        <v>0</v>
      </c>
      <c r="GF38" s="2019">
        <f>IFERROR(
IF(テーブル!$B$3="交付申請",GF72,
IF(AND(テーブル!$B$3="変更申請",GF$26=0),0,
IF(AND(テーブル!$B$3="変更申請",GF$26&gt;=1),GF72,
IF(テーブル!$B$3="実績報告（１次）",GF72,
IF(AND(テーブル!$B$3="交付申請（２次）",GF$26=0),0,
IF(AND(テーブル!$B$3="交付申請（２次）",GF$26&gt;=1),GF72,
IF(AND(テーブル!$B$3="交付申請兼実績報告（２次）",GF$26=0),0,
IF(AND(テーブル!$B$3="交付申請兼実績報告（２次）",GF$26&gt;=1),GF72,
IF(AND(テーブル!$B$3="実績報告（２次）",GF$26=0),0,
IF(AND(テーブル!$B$3="実績報告（２次）",GF$26&gt;=1),GF72)))))))))),0)</f>
        <v>0</v>
      </c>
      <c r="GG38" s="2006"/>
    </row>
    <row r="39" spans="1:189" s="638" customFormat="1" ht="18.75" x14ac:dyDescent="0.4">
      <c r="A39" s="2003"/>
      <c r="B39" s="2018" t="s">
        <v>1020</v>
      </c>
      <c r="C39" s="1690">
        <f t="shared" si="21"/>
        <v>0</v>
      </c>
      <c r="D39" s="1691"/>
      <c r="E39" s="637"/>
      <c r="F39" s="1997">
        <f>IFERROR(
IF(テーブル!$B$3="交付申請",F75,
IF(AND(テーブル!$B$3="変更申請",F$26=0),0,
IF(AND(テーブル!$B$3="変更申請",F$26&gt;=1),F75,
IF(テーブル!$B$3="実績報告（１次）",F75,
IF(AND(テーブル!$B$3="交付申請（２次）",F$26=0),0,
IF(AND(テーブル!$B$3="交付申請（２次）",F$26&gt;=1),F75,
IF(AND(テーブル!$B$3="交付申請兼実績報告（２次）",F$26=0),0,
IF(AND(テーブル!$B$3="交付申請兼実績報告（２次）",F$26&gt;=1),F75,
IF(AND(テーブル!$B$3="実績報告（２次）",F$26=0),0,
IF(AND(テーブル!$B$3="実績報告（２次）",F$26&gt;=1),F75)))))))))),0)</f>
        <v>0</v>
      </c>
      <c r="G39" s="1997">
        <f>IFERROR(
IF(テーブル!$B$3="交付申請",G75,
IF(AND(テーブル!$B$3="変更申請",G$26=0),0,
IF(AND(テーブル!$B$3="変更申請",G$26&gt;=1),G75,
IF(テーブル!$B$3="実績報告（１次）",G75,
IF(AND(テーブル!$B$3="交付申請（２次）",G$26=0),0,
IF(AND(テーブル!$B$3="交付申請（２次）",G$26&gt;=1),G75,
IF(AND(テーブル!$B$3="交付申請兼実績報告（２次）",G$26=0),0,
IF(AND(テーブル!$B$3="交付申請兼実績報告（２次）",G$26&gt;=1),G75,
IF(AND(テーブル!$B$3="実績報告（２次）",G$26=0),0,
IF(AND(テーブル!$B$3="実績報告（２次）",G$26&gt;=1),G75)))))))))),0)</f>
        <v>0</v>
      </c>
      <c r="H39" s="1997">
        <f>IFERROR(
IF(テーブル!$B$3="交付申請",H75,
IF(AND(テーブル!$B$3="変更申請",H$26=0),0,
IF(AND(テーブル!$B$3="変更申請",H$26&gt;=1),H75,
IF(テーブル!$B$3="実績報告（１次）",H75,
IF(AND(テーブル!$B$3="交付申請（２次）",H$26=0),0,
IF(AND(テーブル!$B$3="交付申請（２次）",H$26&gt;=1),H75,
IF(AND(テーブル!$B$3="交付申請兼実績報告（２次）",H$26=0),0,
IF(AND(テーブル!$B$3="交付申請兼実績報告（２次）",H$26&gt;=1),H75,
IF(AND(テーブル!$B$3="実績報告（２次）",H$26=0),0,
IF(AND(テーブル!$B$3="実績報告（２次）",H$26&gt;=1),H75)))))))))),0)</f>
        <v>0</v>
      </c>
      <c r="I39" s="1997">
        <f>IFERROR(
IF(テーブル!$B$3="交付申請",I75,
IF(AND(テーブル!$B$3="変更申請",I$26=0),0,
IF(AND(テーブル!$B$3="変更申請",I$26&gt;=1),I75,
IF(テーブル!$B$3="実績報告（１次）",I75,
IF(AND(テーブル!$B$3="交付申請（２次）",I$26=0),0,
IF(AND(テーブル!$B$3="交付申請（２次）",I$26&gt;=1),I75,
IF(AND(テーブル!$B$3="交付申請兼実績報告（２次）",I$26=0),0,
IF(AND(テーブル!$B$3="交付申請兼実績報告（２次）",I$26&gt;=1),I75,
IF(AND(テーブル!$B$3="実績報告（２次）",I$26=0),0,
IF(AND(テーブル!$B$3="実績報告（２次）",I$26&gt;=1),I75)))))))))),0)</f>
        <v>0</v>
      </c>
      <c r="J39" s="1997">
        <f>IFERROR(
IF(テーブル!$B$3="交付申請",J75,
IF(AND(テーブル!$B$3="変更申請",J$26=0),0,
IF(AND(テーブル!$B$3="変更申請",J$26&gt;=1),J75,
IF(テーブル!$B$3="実績報告（１次）",J75,
IF(AND(テーブル!$B$3="交付申請（２次）",J$26=0),0,
IF(AND(テーブル!$B$3="交付申請（２次）",J$26&gt;=1),J75,
IF(AND(テーブル!$B$3="交付申請兼実績報告（２次）",J$26=0),0,
IF(AND(テーブル!$B$3="交付申請兼実績報告（２次）",J$26&gt;=1),J75,
IF(AND(テーブル!$B$3="実績報告（２次）",J$26=0),0,
IF(AND(テーブル!$B$3="実績報告（２次）",J$26&gt;=1),J75)))))))))),0)</f>
        <v>0</v>
      </c>
      <c r="K39" s="1997">
        <f>IFERROR(
IF(テーブル!$B$3="交付申請",K75,
IF(AND(テーブル!$B$3="変更申請",K$26=0),0,
IF(AND(テーブル!$B$3="変更申請",K$26&gt;=1),K75,
IF(テーブル!$B$3="実績報告（１次）",K75,
IF(AND(テーブル!$B$3="交付申請（２次）",K$26=0),0,
IF(AND(テーブル!$B$3="交付申請（２次）",K$26&gt;=1),K75,
IF(AND(テーブル!$B$3="交付申請兼実績報告（２次）",K$26=0),0,
IF(AND(テーブル!$B$3="交付申請兼実績報告（２次）",K$26&gt;=1),K75,
IF(AND(テーブル!$B$3="実績報告（２次）",K$26=0),0,
IF(AND(テーブル!$B$3="実績報告（２次）",K$26&gt;=1),K75)))))))))),0)</f>
        <v>0</v>
      </c>
      <c r="L39" s="1997">
        <f>IFERROR(
IF(テーブル!$B$3="交付申請",L75,
IF(AND(テーブル!$B$3="変更申請",L$26=0),0,
IF(AND(テーブル!$B$3="変更申請",L$26&gt;=1),L75,
IF(テーブル!$B$3="実績報告（１次）",L75,
IF(AND(テーブル!$B$3="交付申請（２次）",L$26=0),0,
IF(AND(テーブル!$B$3="交付申請（２次）",L$26&gt;=1),L75,
IF(AND(テーブル!$B$3="交付申請兼実績報告（２次）",L$26=0),0,
IF(AND(テーブル!$B$3="交付申請兼実績報告（２次）",L$26&gt;=1),L75,
IF(AND(テーブル!$B$3="実績報告（２次）",L$26=0),0,
IF(AND(テーブル!$B$3="実績報告（２次）",L$26&gt;=1),L75)))))))))),0)</f>
        <v>0</v>
      </c>
      <c r="M39" s="1997">
        <f>IFERROR(
IF(テーブル!$B$3="交付申請",M75,
IF(AND(テーブル!$B$3="変更申請",M$26=0),0,
IF(AND(テーブル!$B$3="変更申請",M$26&gt;=1),M75,
IF(テーブル!$B$3="実績報告（１次）",M75,
IF(AND(テーブル!$B$3="交付申請（２次）",M$26=0),0,
IF(AND(テーブル!$B$3="交付申請（２次）",M$26&gt;=1),M75,
IF(AND(テーブル!$B$3="交付申請兼実績報告（２次）",M$26=0),0,
IF(AND(テーブル!$B$3="交付申請兼実績報告（２次）",M$26&gt;=1),M75,
IF(AND(テーブル!$B$3="実績報告（２次）",M$26=0),0,
IF(AND(テーブル!$B$3="実績報告（２次）",M$26&gt;=1),M75)))))))))),0)</f>
        <v>0</v>
      </c>
      <c r="N39" s="1997">
        <f>IFERROR(
IF(テーブル!$B$3="交付申請",N75,
IF(AND(テーブル!$B$3="変更申請",N$26=0),0,
IF(AND(テーブル!$B$3="変更申請",N$26&gt;=1),N75,
IF(テーブル!$B$3="実績報告（１次）",N75,
IF(AND(テーブル!$B$3="交付申請（２次）",N$26=0),0,
IF(AND(テーブル!$B$3="交付申請（２次）",N$26&gt;=1),N75,
IF(AND(テーブル!$B$3="交付申請兼実績報告（２次）",N$26=0),0,
IF(AND(テーブル!$B$3="交付申請兼実績報告（２次）",N$26&gt;=1),N75,
IF(AND(テーブル!$B$3="実績報告（２次）",N$26=0),0,
IF(AND(テーブル!$B$3="実績報告（２次）",N$26&gt;=1),N75)))))))))),0)</f>
        <v>0</v>
      </c>
      <c r="O39" s="1997">
        <f>IFERROR(
IF(テーブル!$B$3="交付申請",O75,
IF(AND(テーブル!$B$3="変更申請",O$26=0),0,
IF(AND(テーブル!$B$3="変更申請",O$26&gt;=1),O75,
IF(テーブル!$B$3="実績報告（１次）",O75,
IF(AND(テーブル!$B$3="交付申請（２次）",O$26=0),0,
IF(AND(テーブル!$B$3="交付申請（２次）",O$26&gt;=1),O75,
IF(AND(テーブル!$B$3="交付申請兼実績報告（２次）",O$26=0),0,
IF(AND(テーブル!$B$3="交付申請兼実績報告（２次）",O$26&gt;=1),O75,
IF(AND(テーブル!$B$3="実績報告（２次）",O$26=0),0,
IF(AND(テーブル!$B$3="実績報告（２次）",O$26&gt;=1),O75)))))))))),0)</f>
        <v>0</v>
      </c>
      <c r="P39" s="1997">
        <f>IFERROR(
IF(テーブル!$B$3="交付申請",P75,
IF(AND(テーブル!$B$3="変更申請",P$26=0),0,
IF(AND(テーブル!$B$3="変更申請",P$26&gt;=1),P75,
IF(テーブル!$B$3="実績報告（１次）",P75,
IF(AND(テーブル!$B$3="交付申請（２次）",P$26=0),0,
IF(AND(テーブル!$B$3="交付申請（２次）",P$26&gt;=1),P75,
IF(AND(テーブル!$B$3="交付申請兼実績報告（２次）",P$26=0),0,
IF(AND(テーブル!$B$3="交付申請兼実績報告（２次）",P$26&gt;=1),P75,
IF(AND(テーブル!$B$3="実績報告（２次）",P$26=0),0,
IF(AND(テーブル!$B$3="実績報告（２次）",P$26&gt;=1),P75)))))))))),0)</f>
        <v>0</v>
      </c>
      <c r="Q39" s="1997">
        <f>IFERROR(
IF(テーブル!$B$3="交付申請",Q75,
IF(AND(テーブル!$B$3="変更申請",Q$26=0),0,
IF(AND(テーブル!$B$3="変更申請",Q$26&gt;=1),Q75,
IF(テーブル!$B$3="実績報告（１次）",Q75,
IF(AND(テーブル!$B$3="交付申請（２次）",Q$26=0),0,
IF(AND(テーブル!$B$3="交付申請（２次）",Q$26&gt;=1),Q75,
IF(AND(テーブル!$B$3="交付申請兼実績報告（２次）",Q$26=0),0,
IF(AND(テーブル!$B$3="交付申請兼実績報告（２次）",Q$26&gt;=1),Q75,
IF(AND(テーブル!$B$3="実績報告（２次）",Q$26=0),0,
IF(AND(テーブル!$B$3="実績報告（２次）",Q$26&gt;=1),Q75)))))))))),0)</f>
        <v>0</v>
      </c>
      <c r="R39" s="1997">
        <f>IFERROR(
IF(テーブル!$B$3="交付申請",R75,
IF(AND(テーブル!$B$3="変更申請",R$26=0),0,
IF(AND(テーブル!$B$3="変更申請",R$26&gt;=1),R75,
IF(テーブル!$B$3="実績報告（１次）",R75,
IF(AND(テーブル!$B$3="交付申請（２次）",R$26=0),0,
IF(AND(テーブル!$B$3="交付申請（２次）",R$26&gt;=1),R75,
IF(AND(テーブル!$B$3="交付申請兼実績報告（２次）",R$26=0),0,
IF(AND(テーブル!$B$3="交付申請兼実績報告（２次）",R$26&gt;=1),R75,
IF(AND(テーブル!$B$3="実績報告（２次）",R$26=0),0,
IF(AND(テーブル!$B$3="実績報告（２次）",R$26&gt;=1),R75)))))))))),0)</f>
        <v>0</v>
      </c>
      <c r="S39" s="1997">
        <f>IFERROR(
IF(テーブル!$B$3="交付申請",S75,
IF(AND(テーブル!$B$3="変更申請",S$26=0),0,
IF(AND(テーブル!$B$3="変更申請",S$26&gt;=1),S75,
IF(テーブル!$B$3="実績報告（１次）",S75,
IF(AND(テーブル!$B$3="交付申請（２次）",S$26=0),0,
IF(AND(テーブル!$B$3="交付申請（２次）",S$26&gt;=1),S75,
IF(AND(テーブル!$B$3="交付申請兼実績報告（２次）",S$26=0),0,
IF(AND(テーブル!$B$3="交付申請兼実績報告（２次）",S$26&gt;=1),S75,
IF(AND(テーブル!$B$3="実績報告（２次）",S$26=0),0,
IF(AND(テーブル!$B$3="実績報告（２次）",S$26&gt;=1),S75)))))))))),0)</f>
        <v>0</v>
      </c>
      <c r="T39" s="1997">
        <f>IFERROR(
IF(テーブル!$B$3="交付申請",T75,
IF(AND(テーブル!$B$3="変更申請",T$26=0),0,
IF(AND(テーブル!$B$3="変更申請",T$26&gt;=1),T75,
IF(テーブル!$B$3="実績報告（１次）",T75,
IF(AND(テーブル!$B$3="交付申請（２次）",T$26=0),0,
IF(AND(テーブル!$B$3="交付申請（２次）",T$26&gt;=1),T75,
IF(AND(テーブル!$B$3="交付申請兼実績報告（２次）",T$26=0),0,
IF(AND(テーブル!$B$3="交付申請兼実績報告（２次）",T$26&gt;=1),T75,
IF(AND(テーブル!$B$3="実績報告（２次）",T$26=0),0,
IF(AND(テーブル!$B$3="実績報告（２次）",T$26&gt;=1),T75)))))))))),0)</f>
        <v>0</v>
      </c>
      <c r="U39" s="1997">
        <f>IFERROR(
IF(テーブル!$B$3="交付申請",U75,
IF(AND(テーブル!$B$3="変更申請",U$26=0),0,
IF(AND(テーブル!$B$3="変更申請",U$26&gt;=1),U75,
IF(テーブル!$B$3="実績報告（１次）",U75,
IF(AND(テーブル!$B$3="交付申請（２次）",U$26=0),0,
IF(AND(テーブル!$B$3="交付申請（２次）",U$26&gt;=1),U75,
IF(AND(テーブル!$B$3="交付申請兼実績報告（２次）",U$26=0),0,
IF(AND(テーブル!$B$3="交付申請兼実績報告（２次）",U$26&gt;=1),U75,
IF(AND(テーブル!$B$3="実績報告（２次）",U$26=0),0,
IF(AND(テーブル!$B$3="実績報告（２次）",U$26&gt;=1),U75)))))))))),0)</f>
        <v>0</v>
      </c>
      <c r="V39" s="1997">
        <f>IFERROR(
IF(テーブル!$B$3="交付申請",V75,
IF(AND(テーブル!$B$3="変更申請",V$26=0),0,
IF(AND(テーブル!$B$3="変更申請",V$26&gt;=1),V75,
IF(テーブル!$B$3="実績報告（１次）",V75,
IF(AND(テーブル!$B$3="交付申請（２次）",V$26=0),0,
IF(AND(テーブル!$B$3="交付申請（２次）",V$26&gt;=1),V75,
IF(AND(テーブル!$B$3="交付申請兼実績報告（２次）",V$26=0),0,
IF(AND(テーブル!$B$3="交付申請兼実績報告（２次）",V$26&gt;=1),V75,
IF(AND(テーブル!$B$3="実績報告（２次）",V$26=0),0,
IF(AND(テーブル!$B$3="実績報告（２次）",V$26&gt;=1),V75)))))))))),0)</f>
        <v>0</v>
      </c>
      <c r="W39" s="1997">
        <f>IFERROR(
IF(テーブル!$B$3="交付申請",W75,
IF(AND(テーブル!$B$3="変更申請",W$26=0),0,
IF(AND(テーブル!$B$3="変更申請",W$26&gt;=1),W75,
IF(テーブル!$B$3="実績報告（１次）",W75,
IF(AND(テーブル!$B$3="交付申請（２次）",W$26=0),0,
IF(AND(テーブル!$B$3="交付申請（２次）",W$26&gt;=1),W75,
IF(AND(テーブル!$B$3="交付申請兼実績報告（２次）",W$26=0),0,
IF(AND(テーブル!$B$3="交付申請兼実績報告（２次）",W$26&gt;=1),W75,
IF(AND(テーブル!$B$3="実績報告（２次）",W$26=0),0,
IF(AND(テーブル!$B$3="実績報告（２次）",W$26&gt;=1),W75)))))))))),0)</f>
        <v>0</v>
      </c>
      <c r="X39" s="1997">
        <f>IFERROR(
IF(テーブル!$B$3="交付申請",X75,
IF(AND(テーブル!$B$3="変更申請",X$26=0),0,
IF(AND(テーブル!$B$3="変更申請",X$26&gt;=1),X75,
IF(テーブル!$B$3="実績報告（１次）",X75,
IF(AND(テーブル!$B$3="交付申請（２次）",X$26=0),0,
IF(AND(テーブル!$B$3="交付申請（２次）",X$26&gt;=1),X75,
IF(AND(テーブル!$B$3="交付申請兼実績報告（２次）",X$26=0),0,
IF(AND(テーブル!$B$3="交付申請兼実績報告（２次）",X$26&gt;=1),X75,
IF(AND(テーブル!$B$3="実績報告（２次）",X$26=0),0,
IF(AND(テーブル!$B$3="実績報告（２次）",X$26&gt;=1),X75)))))))))),0)</f>
        <v>0</v>
      </c>
      <c r="Y39" s="1997">
        <f>IFERROR(
IF(テーブル!$B$3="交付申請",Y75,
IF(AND(テーブル!$B$3="変更申請",Y$26=0),0,
IF(AND(テーブル!$B$3="変更申請",Y$26&gt;=1),Y75,
IF(テーブル!$B$3="実績報告（１次）",Y75,
IF(AND(テーブル!$B$3="交付申請（２次）",Y$26=0),0,
IF(AND(テーブル!$B$3="交付申請（２次）",Y$26&gt;=1),Y75,
IF(AND(テーブル!$B$3="交付申請兼実績報告（２次）",Y$26=0),0,
IF(AND(テーブル!$B$3="交付申請兼実績報告（２次）",Y$26&gt;=1),Y75,
IF(AND(テーブル!$B$3="実績報告（２次）",Y$26=0),0,
IF(AND(テーブル!$B$3="実績報告（２次）",Y$26&gt;=1),Y75)))))))))),0)</f>
        <v>0</v>
      </c>
      <c r="Z39" s="1997">
        <f>IFERROR(
IF(テーブル!$B$3="交付申請",Z75,
IF(AND(テーブル!$B$3="変更申請",Z$26=0),0,
IF(AND(テーブル!$B$3="変更申請",Z$26&gt;=1),Z75,
IF(テーブル!$B$3="実績報告（１次）",Z75,
IF(AND(テーブル!$B$3="交付申請（２次）",Z$26=0),0,
IF(AND(テーブル!$B$3="交付申請（２次）",Z$26&gt;=1),Z75,
IF(AND(テーブル!$B$3="交付申請兼実績報告（２次）",Z$26=0),0,
IF(AND(テーブル!$B$3="交付申請兼実績報告（２次）",Z$26&gt;=1),Z75,
IF(AND(テーブル!$B$3="実績報告（２次）",Z$26=0),0,
IF(AND(テーブル!$B$3="実績報告（２次）",Z$26&gt;=1),Z75)))))))))),0)</f>
        <v>0</v>
      </c>
      <c r="AA39" s="1997">
        <f>IFERROR(
IF(テーブル!$B$3="交付申請",AA75,
IF(AND(テーブル!$B$3="変更申請",AA$26=0),0,
IF(AND(テーブル!$B$3="変更申請",AA$26&gt;=1),AA75,
IF(テーブル!$B$3="実績報告（１次）",AA75,
IF(AND(テーブル!$B$3="交付申請（２次）",AA$26=0),0,
IF(AND(テーブル!$B$3="交付申請（２次）",AA$26&gt;=1),AA75,
IF(AND(テーブル!$B$3="交付申請兼実績報告（２次）",AA$26=0),0,
IF(AND(テーブル!$B$3="交付申請兼実績報告（２次）",AA$26&gt;=1),AA75,
IF(AND(テーブル!$B$3="実績報告（２次）",AA$26=0),0,
IF(AND(テーブル!$B$3="実績報告（２次）",AA$26&gt;=1),AA75)))))))))),0)</f>
        <v>0</v>
      </c>
      <c r="AB39" s="1997">
        <f>IFERROR(
IF(テーブル!$B$3="交付申請",AB75,
IF(AND(テーブル!$B$3="変更申請",AB$26=0),0,
IF(AND(テーブル!$B$3="変更申請",AB$26&gt;=1),AB75,
IF(テーブル!$B$3="実績報告（１次）",AB75,
IF(AND(テーブル!$B$3="交付申請（２次）",AB$26=0),0,
IF(AND(テーブル!$B$3="交付申請（２次）",AB$26&gt;=1),AB75,
IF(AND(テーブル!$B$3="交付申請兼実績報告（２次）",AB$26=0),0,
IF(AND(テーブル!$B$3="交付申請兼実績報告（２次）",AB$26&gt;=1),AB75,
IF(AND(テーブル!$B$3="実績報告（２次）",AB$26=0),0,
IF(AND(テーブル!$B$3="実績報告（２次）",AB$26&gt;=1),AB75)))))))))),0)</f>
        <v>0</v>
      </c>
      <c r="AC39" s="1997">
        <f>IFERROR(
IF(テーブル!$B$3="交付申請",AC75,
IF(AND(テーブル!$B$3="変更申請",AC$26=0),0,
IF(AND(テーブル!$B$3="変更申請",AC$26&gt;=1),AC75,
IF(テーブル!$B$3="実績報告（１次）",AC75,
IF(AND(テーブル!$B$3="交付申請（２次）",AC$26=0),0,
IF(AND(テーブル!$B$3="交付申請（２次）",AC$26&gt;=1),AC75,
IF(AND(テーブル!$B$3="交付申請兼実績報告（２次）",AC$26=0),0,
IF(AND(テーブル!$B$3="交付申請兼実績報告（２次）",AC$26&gt;=1),AC75,
IF(AND(テーブル!$B$3="実績報告（２次）",AC$26=0),0,
IF(AND(テーブル!$B$3="実績報告（２次）",AC$26&gt;=1),AC75)))))))))),0)</f>
        <v>0</v>
      </c>
      <c r="AD39" s="1997">
        <f>IFERROR(
IF(テーブル!$B$3="交付申請",AD75,
IF(AND(テーブル!$B$3="変更申請",AD$26=0),0,
IF(AND(テーブル!$B$3="変更申請",AD$26&gt;=1),AD75,
IF(テーブル!$B$3="実績報告（１次）",AD75,
IF(AND(テーブル!$B$3="交付申請（２次）",AD$26=0),0,
IF(AND(テーブル!$B$3="交付申請（２次）",AD$26&gt;=1),AD75,
IF(AND(テーブル!$B$3="交付申請兼実績報告（２次）",AD$26=0),0,
IF(AND(テーブル!$B$3="交付申請兼実績報告（２次）",AD$26&gt;=1),AD75,
IF(AND(テーブル!$B$3="実績報告（２次）",AD$26=0),0,
IF(AND(テーブル!$B$3="実績報告（２次）",AD$26&gt;=1),AD75)))))))))),0)</f>
        <v>0</v>
      </c>
      <c r="AE39" s="1997">
        <f>IFERROR(
IF(テーブル!$B$3="交付申請",AE75,
IF(AND(テーブル!$B$3="変更申請",AE$26=0),0,
IF(AND(テーブル!$B$3="変更申請",AE$26&gt;=1),AE75,
IF(テーブル!$B$3="実績報告（１次）",AE75,
IF(AND(テーブル!$B$3="交付申請（２次）",AE$26=0),0,
IF(AND(テーブル!$B$3="交付申請（２次）",AE$26&gt;=1),AE75,
IF(AND(テーブル!$B$3="交付申請兼実績報告（２次）",AE$26=0),0,
IF(AND(テーブル!$B$3="交付申請兼実績報告（２次）",AE$26&gt;=1),AE75,
IF(AND(テーブル!$B$3="実績報告（２次）",AE$26=0),0,
IF(AND(テーブル!$B$3="実績報告（２次）",AE$26&gt;=1),AE75)))))))))),0)</f>
        <v>0</v>
      </c>
      <c r="AF39" s="1997">
        <f>IFERROR(
IF(テーブル!$B$3="交付申請",AF75,
IF(AND(テーブル!$B$3="変更申請",AF$26=0),0,
IF(AND(テーブル!$B$3="変更申請",AF$26&gt;=1),AF75,
IF(テーブル!$B$3="実績報告（１次）",AF75,
IF(AND(テーブル!$B$3="交付申請（２次）",AF$26=0),0,
IF(AND(テーブル!$B$3="交付申請（２次）",AF$26&gt;=1),AF75,
IF(AND(テーブル!$B$3="交付申請兼実績報告（２次）",AF$26=0),0,
IF(AND(テーブル!$B$3="交付申請兼実績報告（２次）",AF$26&gt;=1),AF75,
IF(AND(テーブル!$B$3="実績報告（２次）",AF$26=0),0,
IF(AND(テーブル!$B$3="実績報告（２次）",AF$26&gt;=1),AF75)))))))))),0)</f>
        <v>0</v>
      </c>
      <c r="AG39" s="1997">
        <f>IFERROR(
IF(テーブル!$B$3="交付申請",AG75,
IF(AND(テーブル!$B$3="変更申請",AG$26=0),0,
IF(AND(テーブル!$B$3="変更申請",AG$26&gt;=1),AG75,
IF(テーブル!$B$3="実績報告（１次）",AG75,
IF(AND(テーブル!$B$3="交付申請（２次）",AG$26=0),0,
IF(AND(テーブル!$B$3="交付申請（２次）",AG$26&gt;=1),AG75,
IF(AND(テーブル!$B$3="交付申請兼実績報告（２次）",AG$26=0),0,
IF(AND(テーブル!$B$3="交付申請兼実績報告（２次）",AG$26&gt;=1),AG75,
IF(AND(テーブル!$B$3="実績報告（２次）",AG$26=0),0,
IF(AND(テーブル!$B$3="実績報告（２次）",AG$26&gt;=1),AG75)))))))))),0)</f>
        <v>0</v>
      </c>
      <c r="AH39" s="1997">
        <f>IFERROR(
IF(テーブル!$B$3="交付申請",AH75,
IF(AND(テーブル!$B$3="変更申請",AH$26=0),0,
IF(AND(テーブル!$B$3="変更申請",AH$26&gt;=1),AH75,
IF(テーブル!$B$3="実績報告（１次）",AH75,
IF(AND(テーブル!$B$3="交付申請（２次）",AH$26=0),0,
IF(AND(テーブル!$B$3="交付申請（２次）",AH$26&gt;=1),AH75,
IF(AND(テーブル!$B$3="交付申請兼実績報告（２次）",AH$26=0),0,
IF(AND(テーブル!$B$3="交付申請兼実績報告（２次）",AH$26&gt;=1),AH75,
IF(AND(テーブル!$B$3="実績報告（２次）",AH$26=0),0,
IF(AND(テーブル!$B$3="実績報告（２次）",AH$26&gt;=1),AH75)))))))))),0)</f>
        <v>0</v>
      </c>
      <c r="AI39" s="1997">
        <f>IFERROR(
IF(テーブル!$B$3="交付申請",AI75,
IF(AND(テーブル!$B$3="変更申請",AI$26=0),0,
IF(AND(テーブル!$B$3="変更申請",AI$26&gt;=1),AI75,
IF(テーブル!$B$3="実績報告（１次）",AI75,
IF(AND(テーブル!$B$3="交付申請（２次）",AI$26=0),0,
IF(AND(テーブル!$B$3="交付申請（２次）",AI$26&gt;=1),AI75,
IF(AND(テーブル!$B$3="交付申請兼実績報告（２次）",AI$26=0),0,
IF(AND(テーブル!$B$3="交付申請兼実績報告（２次）",AI$26&gt;=1),AI75,
IF(AND(テーブル!$B$3="実績報告（２次）",AI$26=0),0,
IF(AND(テーブル!$B$3="実績報告（２次）",AI$26&gt;=1),AI75)))))))))),0)</f>
        <v>0</v>
      </c>
      <c r="AJ39" s="1997">
        <f>IFERROR(
IF(テーブル!$B$3="交付申請",AJ75,
IF(AND(テーブル!$B$3="変更申請",AJ$26=0),0,
IF(AND(テーブル!$B$3="変更申請",AJ$26&gt;=1),AJ75,
IF(テーブル!$B$3="実績報告（１次）",AJ75,
IF(AND(テーブル!$B$3="交付申請（２次）",AJ$26=0),0,
IF(AND(テーブル!$B$3="交付申請（２次）",AJ$26&gt;=1),AJ75,
IF(AND(テーブル!$B$3="交付申請兼実績報告（２次）",AJ$26=0),0,
IF(AND(テーブル!$B$3="交付申請兼実績報告（２次）",AJ$26&gt;=1),AJ75,
IF(AND(テーブル!$B$3="実績報告（２次）",AJ$26=0),0,
IF(AND(テーブル!$B$3="実績報告（２次）",AJ$26&gt;=1),AJ75)))))))))),0)</f>
        <v>0</v>
      </c>
      <c r="AK39" s="1997">
        <f>IFERROR(
IF(テーブル!$B$3="交付申請",AK75,
IF(AND(テーブル!$B$3="変更申請",AK$26=0),0,
IF(AND(テーブル!$B$3="変更申請",AK$26&gt;=1),AK75,
IF(テーブル!$B$3="実績報告（１次）",AK75,
IF(AND(テーブル!$B$3="交付申請（２次）",AK$26=0),0,
IF(AND(テーブル!$B$3="交付申請（２次）",AK$26&gt;=1),AK75,
IF(AND(テーブル!$B$3="交付申請兼実績報告（２次）",AK$26=0),0,
IF(AND(テーブル!$B$3="交付申請兼実績報告（２次）",AK$26&gt;=1),AK75,
IF(AND(テーブル!$B$3="実績報告（２次）",AK$26=0),0,
IF(AND(テーブル!$B$3="実績報告（２次）",AK$26&gt;=1),AK75)))))))))),0)</f>
        <v>0</v>
      </c>
      <c r="AL39" s="1997">
        <f>IFERROR(
IF(テーブル!$B$3="交付申請",AL75,
IF(AND(テーブル!$B$3="変更申請",AL$26=0),0,
IF(AND(テーブル!$B$3="変更申請",AL$26&gt;=1),AL75,
IF(テーブル!$B$3="実績報告（１次）",AL75,
IF(AND(テーブル!$B$3="交付申請（２次）",AL$26=0),0,
IF(AND(テーブル!$B$3="交付申請（２次）",AL$26&gt;=1),AL75,
IF(AND(テーブル!$B$3="交付申請兼実績報告（２次）",AL$26=0),0,
IF(AND(テーブル!$B$3="交付申請兼実績報告（２次）",AL$26&gt;=1),AL75,
IF(AND(テーブル!$B$3="実績報告（２次）",AL$26=0),0,
IF(AND(テーブル!$B$3="実績報告（２次）",AL$26&gt;=1),AL75)))))))))),0)</f>
        <v>0</v>
      </c>
      <c r="AM39" s="1997">
        <f>IFERROR(
IF(テーブル!$B$3="交付申請",AM75,
IF(AND(テーブル!$B$3="変更申請",AM$26=0),0,
IF(AND(テーブル!$B$3="変更申請",AM$26&gt;=1),AM75,
IF(テーブル!$B$3="実績報告（１次）",AM75,
IF(AND(テーブル!$B$3="交付申請（２次）",AM$26=0),0,
IF(AND(テーブル!$B$3="交付申請（２次）",AM$26&gt;=1),AM75,
IF(AND(テーブル!$B$3="交付申請兼実績報告（２次）",AM$26=0),0,
IF(AND(テーブル!$B$3="交付申請兼実績報告（２次）",AM$26&gt;=1),AM75,
IF(AND(テーブル!$B$3="実績報告（２次）",AM$26=0),0,
IF(AND(テーブル!$B$3="実績報告（２次）",AM$26&gt;=1),AM75)))))))))),0)</f>
        <v>0</v>
      </c>
      <c r="AN39" s="1997">
        <f>IFERROR(
IF(テーブル!$B$3="交付申請",AN75,
IF(AND(テーブル!$B$3="変更申請",AN$26=0),0,
IF(AND(テーブル!$B$3="変更申請",AN$26&gt;=1),AN75,
IF(テーブル!$B$3="実績報告（１次）",AN75,
IF(AND(テーブル!$B$3="交付申請（２次）",AN$26=0),0,
IF(AND(テーブル!$B$3="交付申請（２次）",AN$26&gt;=1),AN75,
IF(AND(テーブル!$B$3="交付申請兼実績報告（２次）",AN$26=0),0,
IF(AND(テーブル!$B$3="交付申請兼実績報告（２次）",AN$26&gt;=1),AN75,
IF(AND(テーブル!$B$3="実績報告（２次）",AN$26=0),0,
IF(AND(テーブル!$B$3="実績報告（２次）",AN$26&gt;=1),AN75)))))))))),0)</f>
        <v>0</v>
      </c>
      <c r="AO39" s="1997">
        <f>IFERROR(
IF(テーブル!$B$3="交付申請",AO75,
IF(AND(テーブル!$B$3="変更申請",AO$26=0),0,
IF(AND(テーブル!$B$3="変更申請",AO$26&gt;=1),AO75,
IF(テーブル!$B$3="実績報告（１次）",AO75,
IF(AND(テーブル!$B$3="交付申請（２次）",AO$26=0),0,
IF(AND(テーブル!$B$3="交付申請（２次）",AO$26&gt;=1),AO75,
IF(AND(テーブル!$B$3="交付申請兼実績報告（２次）",AO$26=0),0,
IF(AND(テーブル!$B$3="交付申請兼実績報告（２次）",AO$26&gt;=1),AO75,
IF(AND(テーブル!$B$3="実績報告（２次）",AO$26=0),0,
IF(AND(テーブル!$B$3="実績報告（２次）",AO$26&gt;=1),AO75)))))))))),0)</f>
        <v>0</v>
      </c>
      <c r="AP39" s="1997">
        <f>IFERROR(
IF(テーブル!$B$3="交付申請",AP75,
IF(AND(テーブル!$B$3="変更申請",AP$26=0),0,
IF(AND(テーブル!$B$3="変更申請",AP$26&gt;=1),AP75,
IF(テーブル!$B$3="実績報告（１次）",AP75,
IF(AND(テーブル!$B$3="交付申請（２次）",AP$26=0),0,
IF(AND(テーブル!$B$3="交付申請（２次）",AP$26&gt;=1),AP75,
IF(AND(テーブル!$B$3="交付申請兼実績報告（２次）",AP$26=0),0,
IF(AND(テーブル!$B$3="交付申請兼実績報告（２次）",AP$26&gt;=1),AP75,
IF(AND(テーブル!$B$3="実績報告（２次）",AP$26=0),0,
IF(AND(テーブル!$B$3="実績報告（２次）",AP$26&gt;=1),AP75)))))))))),0)</f>
        <v>0</v>
      </c>
      <c r="AQ39" s="1997">
        <f>IFERROR(
IF(テーブル!$B$3="交付申請",AQ75,
IF(AND(テーブル!$B$3="変更申請",AQ$26=0),0,
IF(AND(テーブル!$B$3="変更申請",AQ$26&gt;=1),AQ75,
IF(テーブル!$B$3="実績報告（１次）",AQ75,
IF(AND(テーブル!$B$3="交付申請（２次）",AQ$26=0),0,
IF(AND(テーブル!$B$3="交付申請（２次）",AQ$26&gt;=1),AQ75,
IF(AND(テーブル!$B$3="交付申請兼実績報告（２次）",AQ$26=0),0,
IF(AND(テーブル!$B$3="交付申請兼実績報告（２次）",AQ$26&gt;=1),AQ75,
IF(AND(テーブル!$B$3="実績報告（２次）",AQ$26=0),0,
IF(AND(テーブル!$B$3="実績報告（２次）",AQ$26&gt;=1),AQ75)))))))))),0)</f>
        <v>0</v>
      </c>
      <c r="AR39" s="1997">
        <f>IFERROR(
IF(テーブル!$B$3="交付申請",AR75,
IF(AND(テーブル!$B$3="変更申請",AR$26=0),0,
IF(AND(テーブル!$B$3="変更申請",AR$26&gt;=1),AR75,
IF(テーブル!$B$3="実績報告（１次）",AR75,
IF(AND(テーブル!$B$3="交付申請（２次）",AR$26=0),0,
IF(AND(テーブル!$B$3="交付申請（２次）",AR$26&gt;=1),AR75,
IF(AND(テーブル!$B$3="交付申請兼実績報告（２次）",AR$26=0),0,
IF(AND(テーブル!$B$3="交付申請兼実績報告（２次）",AR$26&gt;=1),AR75,
IF(AND(テーブル!$B$3="実績報告（２次）",AR$26=0),0,
IF(AND(テーブル!$B$3="実績報告（２次）",AR$26&gt;=1),AR75)))))))))),0)</f>
        <v>0</v>
      </c>
      <c r="AS39" s="1997">
        <f>IFERROR(
IF(テーブル!$B$3="交付申請",AS75,
IF(AND(テーブル!$B$3="変更申請",AS$26=0),0,
IF(AND(テーブル!$B$3="変更申請",AS$26&gt;=1),AS75,
IF(テーブル!$B$3="実績報告（１次）",AS75,
IF(AND(テーブル!$B$3="交付申請（２次）",AS$26=0),0,
IF(AND(テーブル!$B$3="交付申請（２次）",AS$26&gt;=1),AS75,
IF(AND(テーブル!$B$3="交付申請兼実績報告（２次）",AS$26=0),0,
IF(AND(テーブル!$B$3="交付申請兼実績報告（２次）",AS$26&gt;=1),AS75,
IF(AND(テーブル!$B$3="実績報告（２次）",AS$26=0),0,
IF(AND(テーブル!$B$3="実績報告（２次）",AS$26&gt;=1),AS75)))))))))),0)</f>
        <v>0</v>
      </c>
      <c r="AT39" s="1997">
        <f>IFERROR(
IF(テーブル!$B$3="交付申請",AT75,
IF(AND(テーブル!$B$3="変更申請",AT$26=0),0,
IF(AND(テーブル!$B$3="変更申請",AT$26&gt;=1),AT75,
IF(テーブル!$B$3="実績報告（１次）",AT75,
IF(AND(テーブル!$B$3="交付申請（２次）",AT$26=0),0,
IF(AND(テーブル!$B$3="交付申請（２次）",AT$26&gt;=1),AT75,
IF(AND(テーブル!$B$3="交付申請兼実績報告（２次）",AT$26=0),0,
IF(AND(テーブル!$B$3="交付申請兼実績報告（２次）",AT$26&gt;=1),AT75,
IF(AND(テーブル!$B$3="実績報告（２次）",AT$26=0),0,
IF(AND(テーブル!$B$3="実績報告（２次）",AT$26&gt;=1),AT75)))))))))),0)</f>
        <v>0</v>
      </c>
      <c r="AU39" s="1997">
        <f>IFERROR(
IF(テーブル!$B$3="交付申請",AU75,
IF(AND(テーブル!$B$3="変更申請",AU$26=0),0,
IF(AND(テーブル!$B$3="変更申請",AU$26&gt;=1),AU75,
IF(テーブル!$B$3="実績報告（１次）",AU75,
IF(AND(テーブル!$B$3="交付申請（２次）",AU$26=0),0,
IF(AND(テーブル!$B$3="交付申請（２次）",AU$26&gt;=1),AU75,
IF(AND(テーブル!$B$3="交付申請兼実績報告（２次）",AU$26=0),0,
IF(AND(テーブル!$B$3="交付申請兼実績報告（２次）",AU$26&gt;=1),AU75,
IF(AND(テーブル!$B$3="実績報告（２次）",AU$26=0),0,
IF(AND(テーブル!$B$3="実績報告（２次）",AU$26&gt;=1),AU75)))))))))),0)</f>
        <v>0</v>
      </c>
      <c r="AV39" s="1997">
        <f>IFERROR(
IF(テーブル!$B$3="交付申請",AV75,
IF(AND(テーブル!$B$3="変更申請",AV$26=0),0,
IF(AND(テーブル!$B$3="変更申請",AV$26&gt;=1),AV75,
IF(テーブル!$B$3="実績報告（１次）",AV75,
IF(AND(テーブル!$B$3="交付申請（２次）",AV$26=0),0,
IF(AND(テーブル!$B$3="交付申請（２次）",AV$26&gt;=1),AV75,
IF(AND(テーブル!$B$3="交付申請兼実績報告（２次）",AV$26=0),0,
IF(AND(テーブル!$B$3="交付申請兼実績報告（２次）",AV$26&gt;=1),AV75,
IF(AND(テーブル!$B$3="実績報告（２次）",AV$26=0),0,
IF(AND(テーブル!$B$3="実績報告（２次）",AV$26&gt;=1),AV75)))))))))),0)</f>
        <v>0</v>
      </c>
      <c r="AW39" s="1997">
        <f>IFERROR(
IF(テーブル!$B$3="交付申請",AW75,
IF(AND(テーブル!$B$3="変更申請",AW$26=0),0,
IF(AND(テーブル!$B$3="変更申請",AW$26&gt;=1),AW75,
IF(テーブル!$B$3="実績報告（１次）",AW75,
IF(AND(テーブル!$B$3="交付申請（２次）",AW$26=0),0,
IF(AND(テーブル!$B$3="交付申請（２次）",AW$26&gt;=1),AW75,
IF(AND(テーブル!$B$3="交付申請兼実績報告（２次）",AW$26=0),0,
IF(AND(テーブル!$B$3="交付申請兼実績報告（２次）",AW$26&gt;=1),AW75,
IF(AND(テーブル!$B$3="実績報告（２次）",AW$26=0),0,
IF(AND(テーブル!$B$3="実績報告（２次）",AW$26&gt;=1),AW75)))))))))),0)</f>
        <v>0</v>
      </c>
      <c r="AX39" s="1997">
        <f>IFERROR(
IF(テーブル!$B$3="交付申請",AX75,
IF(AND(テーブル!$B$3="変更申請",AX$26=0),0,
IF(AND(テーブル!$B$3="変更申請",AX$26&gt;=1),AX75,
IF(テーブル!$B$3="実績報告（１次）",AX75,
IF(AND(テーブル!$B$3="交付申請（２次）",AX$26=0),0,
IF(AND(テーブル!$B$3="交付申請（２次）",AX$26&gt;=1),AX75,
IF(AND(テーブル!$B$3="交付申請兼実績報告（２次）",AX$26=0),0,
IF(AND(テーブル!$B$3="交付申請兼実績報告（２次）",AX$26&gt;=1),AX75,
IF(AND(テーブル!$B$3="実績報告（２次）",AX$26=0),0,
IF(AND(テーブル!$B$3="実績報告（２次）",AX$26&gt;=1),AX75)))))))))),0)</f>
        <v>0</v>
      </c>
      <c r="AY39" s="1997">
        <f>IFERROR(
IF(テーブル!$B$3="交付申請",AY75,
IF(AND(テーブル!$B$3="変更申請",AY$26=0),0,
IF(AND(テーブル!$B$3="変更申請",AY$26&gt;=1),AY75,
IF(テーブル!$B$3="実績報告（１次）",AY75,
IF(AND(テーブル!$B$3="交付申請（２次）",AY$26=0),0,
IF(AND(テーブル!$B$3="交付申請（２次）",AY$26&gt;=1),AY75,
IF(AND(テーブル!$B$3="交付申請兼実績報告（２次）",AY$26=0),0,
IF(AND(テーブル!$B$3="交付申請兼実績報告（２次）",AY$26&gt;=1),AY75,
IF(AND(テーブル!$B$3="実績報告（２次）",AY$26=0),0,
IF(AND(テーブル!$B$3="実績報告（２次）",AY$26&gt;=1),AY75)))))))))),0)</f>
        <v>0</v>
      </c>
      <c r="AZ39" s="1997">
        <f>IFERROR(
IF(テーブル!$B$3="交付申請",AZ75,
IF(AND(テーブル!$B$3="変更申請",AZ$26=0),0,
IF(AND(テーブル!$B$3="変更申請",AZ$26&gt;=1),AZ75,
IF(テーブル!$B$3="実績報告（１次）",AZ75,
IF(AND(テーブル!$B$3="交付申請（２次）",AZ$26=0),0,
IF(AND(テーブル!$B$3="交付申請（２次）",AZ$26&gt;=1),AZ75,
IF(AND(テーブル!$B$3="交付申請兼実績報告（２次）",AZ$26=0),0,
IF(AND(テーブル!$B$3="交付申請兼実績報告（２次）",AZ$26&gt;=1),AZ75,
IF(AND(テーブル!$B$3="実績報告（２次）",AZ$26=0),0,
IF(AND(テーブル!$B$3="実績報告（２次）",AZ$26&gt;=1),AZ75)))))))))),0)</f>
        <v>0</v>
      </c>
      <c r="BA39" s="1997">
        <f>IFERROR(
IF(テーブル!$B$3="交付申請",BA75,
IF(AND(テーブル!$B$3="変更申請",BA$26=0),0,
IF(AND(テーブル!$B$3="変更申請",BA$26&gt;=1),BA75,
IF(テーブル!$B$3="実績報告（１次）",BA75,
IF(AND(テーブル!$B$3="交付申請（２次）",BA$26=0),0,
IF(AND(テーブル!$B$3="交付申請（２次）",BA$26&gt;=1),BA75,
IF(AND(テーブル!$B$3="交付申請兼実績報告（２次）",BA$26=0),0,
IF(AND(テーブル!$B$3="交付申請兼実績報告（２次）",BA$26&gt;=1),BA75,
IF(AND(テーブル!$B$3="実績報告（２次）",BA$26=0),0,
IF(AND(テーブル!$B$3="実績報告（２次）",BA$26&gt;=1),BA75)))))))))),0)</f>
        <v>0</v>
      </c>
      <c r="BB39" s="1997">
        <f>IFERROR(
IF(テーブル!$B$3="交付申請",BB75,
IF(AND(テーブル!$B$3="変更申請",BB$26=0),0,
IF(AND(テーブル!$B$3="変更申請",BB$26&gt;=1),BB75,
IF(テーブル!$B$3="実績報告（１次）",BB75,
IF(AND(テーブル!$B$3="交付申請（２次）",BB$26=0),0,
IF(AND(テーブル!$B$3="交付申請（２次）",BB$26&gt;=1),BB75,
IF(AND(テーブル!$B$3="交付申請兼実績報告（２次）",BB$26=0),0,
IF(AND(テーブル!$B$3="交付申請兼実績報告（２次）",BB$26&gt;=1),BB75,
IF(AND(テーブル!$B$3="実績報告（２次）",BB$26=0),0,
IF(AND(テーブル!$B$3="実績報告（２次）",BB$26&gt;=1),BB75)))))))))),0)</f>
        <v>0</v>
      </c>
      <c r="BC39" s="1997">
        <f>IFERROR(
IF(テーブル!$B$3="交付申請",BC75,
IF(AND(テーブル!$B$3="変更申請",BC$26=0),0,
IF(AND(テーブル!$B$3="変更申請",BC$26&gt;=1),BC75,
IF(テーブル!$B$3="実績報告（１次）",BC75,
IF(AND(テーブル!$B$3="交付申請（２次）",BC$26=0),0,
IF(AND(テーブル!$B$3="交付申請（２次）",BC$26&gt;=1),BC75,
IF(AND(テーブル!$B$3="交付申請兼実績報告（２次）",BC$26=0),0,
IF(AND(テーブル!$B$3="交付申請兼実績報告（２次）",BC$26&gt;=1),BC75,
IF(AND(テーブル!$B$3="実績報告（２次）",BC$26=0),0,
IF(AND(テーブル!$B$3="実績報告（２次）",BC$26&gt;=1),BC75)))))))))),0)</f>
        <v>0</v>
      </c>
      <c r="BD39" s="1997">
        <f>IFERROR(
IF(テーブル!$B$3="交付申請",BD75,
IF(AND(テーブル!$B$3="変更申請",BD$26=0),0,
IF(AND(テーブル!$B$3="変更申請",BD$26&gt;=1),BD75,
IF(テーブル!$B$3="実績報告（１次）",BD75,
IF(AND(テーブル!$B$3="交付申請（２次）",BD$26=0),0,
IF(AND(テーブル!$B$3="交付申請（２次）",BD$26&gt;=1),BD75,
IF(AND(テーブル!$B$3="交付申請兼実績報告（２次）",BD$26=0),0,
IF(AND(テーブル!$B$3="交付申請兼実績報告（２次）",BD$26&gt;=1),BD75,
IF(AND(テーブル!$B$3="実績報告（２次）",BD$26=0),0,
IF(AND(テーブル!$B$3="実績報告（２次）",BD$26&gt;=1),BD75)))))))))),0)</f>
        <v>0</v>
      </c>
      <c r="BE39" s="1997">
        <f>IFERROR(
IF(テーブル!$B$3="交付申請",BE75,
IF(AND(テーブル!$B$3="変更申請",BE$26=0),0,
IF(AND(テーブル!$B$3="変更申請",BE$26&gt;=1),BE75,
IF(テーブル!$B$3="実績報告（１次）",BE75,
IF(AND(テーブル!$B$3="交付申請（２次）",BE$26=0),0,
IF(AND(テーブル!$B$3="交付申請（２次）",BE$26&gt;=1),BE75,
IF(AND(テーブル!$B$3="交付申請兼実績報告（２次）",BE$26=0),0,
IF(AND(テーブル!$B$3="交付申請兼実績報告（２次）",BE$26&gt;=1),BE75,
IF(AND(テーブル!$B$3="実績報告（２次）",BE$26=0),0,
IF(AND(テーブル!$B$3="実績報告（２次）",BE$26&gt;=1),BE75)))))))))),0)</f>
        <v>0</v>
      </c>
      <c r="BF39" s="1997">
        <f>IFERROR(
IF(テーブル!$B$3="交付申請",BF75,
IF(AND(テーブル!$B$3="変更申請",BF$26=0),0,
IF(AND(テーブル!$B$3="変更申請",BF$26&gt;=1),BF75,
IF(テーブル!$B$3="実績報告（１次）",BF75,
IF(AND(テーブル!$B$3="交付申請（２次）",BF$26=0),0,
IF(AND(テーブル!$B$3="交付申請（２次）",BF$26&gt;=1),BF75,
IF(AND(テーブル!$B$3="交付申請兼実績報告（２次）",BF$26=0),0,
IF(AND(テーブル!$B$3="交付申請兼実績報告（２次）",BF$26&gt;=1),BF75,
IF(AND(テーブル!$B$3="実績報告（２次）",BF$26=0),0,
IF(AND(テーブル!$B$3="実績報告（２次）",BF$26&gt;=1),BF75)))))))))),0)</f>
        <v>0</v>
      </c>
      <c r="BG39" s="1997">
        <f>IFERROR(
IF(テーブル!$B$3="交付申請",BG75,
IF(AND(テーブル!$B$3="変更申請",BG$26=0),0,
IF(AND(テーブル!$B$3="変更申請",BG$26&gt;=1),BG75,
IF(テーブル!$B$3="実績報告（１次）",BG75,
IF(AND(テーブル!$B$3="交付申請（２次）",BG$26=0),0,
IF(AND(テーブル!$B$3="交付申請（２次）",BG$26&gt;=1),BG75,
IF(AND(テーブル!$B$3="交付申請兼実績報告（２次）",BG$26=0),0,
IF(AND(テーブル!$B$3="交付申請兼実績報告（２次）",BG$26&gt;=1),BG75,
IF(AND(テーブル!$B$3="実績報告（２次）",BG$26=0),0,
IF(AND(テーブル!$B$3="実績報告（２次）",BG$26&gt;=1),BG75)))))))))),0)</f>
        <v>0</v>
      </c>
      <c r="BH39" s="1997">
        <f>IFERROR(
IF(テーブル!$B$3="交付申請",BH75,
IF(AND(テーブル!$B$3="変更申請",BH$26=0),0,
IF(AND(テーブル!$B$3="変更申請",BH$26&gt;=1),BH75,
IF(テーブル!$B$3="実績報告（１次）",BH75,
IF(AND(テーブル!$B$3="交付申請（２次）",BH$26=0),0,
IF(AND(テーブル!$B$3="交付申請（２次）",BH$26&gt;=1),BH75,
IF(AND(テーブル!$B$3="交付申請兼実績報告（２次）",BH$26=0),0,
IF(AND(テーブル!$B$3="交付申請兼実績報告（２次）",BH$26&gt;=1),BH75,
IF(AND(テーブル!$B$3="実績報告（２次）",BH$26=0),0,
IF(AND(テーブル!$B$3="実績報告（２次）",BH$26&gt;=1),BH75)))))))))),0)</f>
        <v>0</v>
      </c>
      <c r="BI39" s="1997">
        <f>IFERROR(
IF(テーブル!$B$3="交付申請",BI75,
IF(AND(テーブル!$B$3="変更申請",BI$26=0),0,
IF(AND(テーブル!$B$3="変更申請",BI$26&gt;=1),BI75,
IF(テーブル!$B$3="実績報告（１次）",BI75,
IF(AND(テーブル!$B$3="交付申請（２次）",BI$26=0),0,
IF(AND(テーブル!$B$3="交付申請（２次）",BI$26&gt;=1),BI75,
IF(AND(テーブル!$B$3="交付申請兼実績報告（２次）",BI$26=0),0,
IF(AND(テーブル!$B$3="交付申請兼実績報告（２次）",BI$26&gt;=1),BI75,
IF(AND(テーブル!$B$3="実績報告（２次）",BI$26=0),0,
IF(AND(テーブル!$B$3="実績報告（２次）",BI$26&gt;=1),BI75)))))))))),0)</f>
        <v>0</v>
      </c>
      <c r="BJ39" s="1997">
        <f>IFERROR(
IF(テーブル!$B$3="交付申請",BJ75,
IF(AND(テーブル!$B$3="変更申請",BJ$26=0),0,
IF(AND(テーブル!$B$3="変更申請",BJ$26&gt;=1),BJ75,
IF(テーブル!$B$3="実績報告（１次）",BJ75,
IF(AND(テーブル!$B$3="交付申請（２次）",BJ$26=0),0,
IF(AND(テーブル!$B$3="交付申請（２次）",BJ$26&gt;=1),BJ75,
IF(AND(テーブル!$B$3="交付申請兼実績報告（２次）",BJ$26=0),0,
IF(AND(テーブル!$B$3="交付申請兼実績報告（２次）",BJ$26&gt;=1),BJ75,
IF(AND(テーブル!$B$3="実績報告（２次）",BJ$26=0),0,
IF(AND(テーブル!$B$3="実績報告（２次）",BJ$26&gt;=1),BJ75)))))))))),0)</f>
        <v>0</v>
      </c>
      <c r="BK39" s="1997">
        <f>IFERROR(
IF(テーブル!$B$3="交付申請",BK75,
IF(AND(テーブル!$B$3="変更申請",BK$26=0),0,
IF(AND(テーブル!$B$3="変更申請",BK$26&gt;=1),BK75,
IF(テーブル!$B$3="実績報告（１次）",BK75,
IF(AND(テーブル!$B$3="交付申請（２次）",BK$26=0),0,
IF(AND(テーブル!$B$3="交付申請（２次）",BK$26&gt;=1),BK75,
IF(AND(テーブル!$B$3="交付申請兼実績報告（２次）",BK$26=0),0,
IF(AND(テーブル!$B$3="交付申請兼実績報告（２次）",BK$26&gt;=1),BK75,
IF(AND(テーブル!$B$3="実績報告（２次）",BK$26=0),0,
IF(AND(テーブル!$B$3="実績報告（２次）",BK$26&gt;=1),BK75)))))))))),0)</f>
        <v>0</v>
      </c>
      <c r="BL39" s="1997">
        <f>IFERROR(
IF(テーブル!$B$3="交付申請",BL75,
IF(AND(テーブル!$B$3="変更申請",BL$26=0),0,
IF(AND(テーブル!$B$3="変更申請",BL$26&gt;=1),BL75,
IF(テーブル!$B$3="実績報告（１次）",BL75,
IF(AND(テーブル!$B$3="交付申請（２次）",BL$26=0),0,
IF(AND(テーブル!$B$3="交付申請（２次）",BL$26&gt;=1),BL75,
IF(AND(テーブル!$B$3="交付申請兼実績報告（２次）",BL$26=0),0,
IF(AND(テーブル!$B$3="交付申請兼実績報告（２次）",BL$26&gt;=1),BL75,
IF(AND(テーブル!$B$3="実績報告（２次）",BL$26=0),0,
IF(AND(テーブル!$B$3="実績報告（２次）",BL$26&gt;=1),BL75)))))))))),0)</f>
        <v>0</v>
      </c>
      <c r="BM39" s="1997">
        <f>IFERROR(
IF(テーブル!$B$3="交付申請",BM75,
IF(AND(テーブル!$B$3="変更申請",BM$26=0),0,
IF(AND(テーブル!$B$3="変更申請",BM$26&gt;=1),BM75,
IF(テーブル!$B$3="実績報告（１次）",BM75,
IF(AND(テーブル!$B$3="交付申請（２次）",BM$26=0),0,
IF(AND(テーブル!$B$3="交付申請（２次）",BM$26&gt;=1),BM75,
IF(AND(テーブル!$B$3="交付申請兼実績報告（２次）",BM$26=0),0,
IF(AND(テーブル!$B$3="交付申請兼実績報告（２次）",BM$26&gt;=1),BM75,
IF(AND(テーブル!$B$3="実績報告（２次）",BM$26=0),0,
IF(AND(テーブル!$B$3="実績報告（２次）",BM$26&gt;=1),BM75)))))))))),0)</f>
        <v>0</v>
      </c>
      <c r="BN39" s="1997">
        <f>IFERROR(
IF(テーブル!$B$3="交付申請",BN75,
IF(AND(テーブル!$B$3="変更申請",BN$26=0),0,
IF(AND(テーブル!$B$3="変更申請",BN$26&gt;=1),BN75,
IF(テーブル!$B$3="実績報告（１次）",BN75,
IF(AND(テーブル!$B$3="交付申請（２次）",BN$26=0),0,
IF(AND(テーブル!$B$3="交付申請（２次）",BN$26&gt;=1),BN75,
IF(AND(テーブル!$B$3="交付申請兼実績報告（２次）",BN$26=0),0,
IF(AND(テーブル!$B$3="交付申請兼実績報告（２次）",BN$26&gt;=1),BN75,
IF(AND(テーブル!$B$3="実績報告（２次）",BN$26=0),0,
IF(AND(テーブル!$B$3="実績報告（２次）",BN$26&gt;=1),BN75)))))))))),0)</f>
        <v>0</v>
      </c>
      <c r="BO39" s="1997">
        <f>IFERROR(
IF(テーブル!$B$3="交付申請",BO75,
IF(AND(テーブル!$B$3="変更申請",BO$26=0),0,
IF(AND(テーブル!$B$3="変更申請",BO$26&gt;=1),BO75,
IF(テーブル!$B$3="実績報告（１次）",BO75,
IF(AND(テーブル!$B$3="交付申請（２次）",BO$26=0),0,
IF(AND(テーブル!$B$3="交付申請（２次）",BO$26&gt;=1),BO75,
IF(AND(テーブル!$B$3="交付申請兼実績報告（２次）",BO$26=0),0,
IF(AND(テーブル!$B$3="交付申請兼実績報告（２次）",BO$26&gt;=1),BO75,
IF(AND(テーブル!$B$3="実績報告（２次）",BO$26=0),0,
IF(AND(テーブル!$B$3="実績報告（２次）",BO$26&gt;=1),BO75)))))))))),0)</f>
        <v>0</v>
      </c>
      <c r="BP39" s="1997">
        <f>IFERROR(
IF(テーブル!$B$3="交付申請",BP75,
IF(AND(テーブル!$B$3="変更申請",BP$26=0),0,
IF(AND(テーブル!$B$3="変更申請",BP$26&gt;=1),BP75,
IF(テーブル!$B$3="実績報告（１次）",BP75,
IF(AND(テーブル!$B$3="交付申請（２次）",BP$26=0),0,
IF(AND(テーブル!$B$3="交付申請（２次）",BP$26&gt;=1),BP75,
IF(AND(テーブル!$B$3="交付申請兼実績報告（２次）",BP$26=0),0,
IF(AND(テーブル!$B$3="交付申請兼実績報告（２次）",BP$26&gt;=1),BP75,
IF(AND(テーブル!$B$3="実績報告（２次）",BP$26=0),0,
IF(AND(テーブル!$B$3="実績報告（２次）",BP$26&gt;=1),BP75)))))))))),0)</f>
        <v>0</v>
      </c>
      <c r="BQ39" s="1997">
        <f>IFERROR(
IF(テーブル!$B$3="交付申請",BQ75,
IF(AND(テーブル!$B$3="変更申請",BQ$26=0),0,
IF(AND(テーブル!$B$3="変更申請",BQ$26&gt;=1),BQ75,
IF(テーブル!$B$3="実績報告（１次）",BQ75,
IF(AND(テーブル!$B$3="交付申請（２次）",BQ$26=0),0,
IF(AND(テーブル!$B$3="交付申請（２次）",BQ$26&gt;=1),BQ75,
IF(AND(テーブル!$B$3="交付申請兼実績報告（２次）",BQ$26=0),0,
IF(AND(テーブル!$B$3="交付申請兼実績報告（２次）",BQ$26&gt;=1),BQ75,
IF(AND(テーブル!$B$3="実績報告（２次）",BQ$26=0),0,
IF(AND(テーブル!$B$3="実績報告（２次）",BQ$26&gt;=1),BQ75)))))))))),0)</f>
        <v>0</v>
      </c>
      <c r="BR39" s="1997">
        <f>IFERROR(
IF(テーブル!$B$3="交付申請",BR75,
IF(AND(テーブル!$B$3="変更申請",BR$26=0),0,
IF(AND(テーブル!$B$3="変更申請",BR$26&gt;=1),BR75,
IF(テーブル!$B$3="実績報告（１次）",BR75,
IF(AND(テーブル!$B$3="交付申請（２次）",BR$26=0),0,
IF(AND(テーブル!$B$3="交付申請（２次）",BR$26&gt;=1),BR75,
IF(AND(テーブル!$B$3="交付申請兼実績報告（２次）",BR$26=0),0,
IF(AND(テーブル!$B$3="交付申請兼実績報告（２次）",BR$26&gt;=1),BR75,
IF(AND(テーブル!$B$3="実績報告（２次）",BR$26=0),0,
IF(AND(テーブル!$B$3="実績報告（２次）",BR$26&gt;=1),BR75)))))))))),0)</f>
        <v>0</v>
      </c>
      <c r="BS39" s="1997">
        <f>IFERROR(
IF(テーブル!$B$3="交付申請",BS75,
IF(AND(テーブル!$B$3="変更申請",BS$26=0),0,
IF(AND(テーブル!$B$3="変更申請",BS$26&gt;=1),BS75,
IF(テーブル!$B$3="実績報告（１次）",BS75,
IF(AND(テーブル!$B$3="交付申請（２次）",BS$26=0),0,
IF(AND(テーブル!$B$3="交付申請（２次）",BS$26&gt;=1),BS75,
IF(AND(テーブル!$B$3="交付申請兼実績報告（２次）",BS$26=0),0,
IF(AND(テーブル!$B$3="交付申請兼実績報告（２次）",BS$26&gt;=1),BS75,
IF(AND(テーブル!$B$3="実績報告（２次）",BS$26=0),0,
IF(AND(テーブル!$B$3="実績報告（２次）",BS$26&gt;=1),BS75)))))))))),0)</f>
        <v>0</v>
      </c>
      <c r="BT39" s="1997">
        <f>IFERROR(
IF(テーブル!$B$3="交付申請",BT75,
IF(AND(テーブル!$B$3="変更申請",BT$26=0),0,
IF(AND(テーブル!$B$3="変更申請",BT$26&gt;=1),BT75,
IF(テーブル!$B$3="実績報告（１次）",BT75,
IF(AND(テーブル!$B$3="交付申請（２次）",BT$26=0),0,
IF(AND(テーブル!$B$3="交付申請（２次）",BT$26&gt;=1),BT75,
IF(AND(テーブル!$B$3="交付申請兼実績報告（２次）",BT$26=0),0,
IF(AND(テーブル!$B$3="交付申請兼実績報告（２次）",BT$26&gt;=1),BT75,
IF(AND(テーブル!$B$3="実績報告（２次）",BT$26=0),0,
IF(AND(テーブル!$B$3="実績報告（２次）",BT$26&gt;=1),BT75)))))))))),0)</f>
        <v>0</v>
      </c>
      <c r="BU39" s="1997">
        <f>IFERROR(
IF(テーブル!$B$3="交付申請",BU75,
IF(AND(テーブル!$B$3="変更申請",BU$26=0),0,
IF(AND(テーブル!$B$3="変更申請",BU$26&gt;=1),BU75,
IF(テーブル!$B$3="実績報告（１次）",BU75,
IF(AND(テーブル!$B$3="交付申請（２次）",BU$26=0),0,
IF(AND(テーブル!$B$3="交付申請（２次）",BU$26&gt;=1),BU75,
IF(AND(テーブル!$B$3="交付申請兼実績報告（２次）",BU$26=0),0,
IF(AND(テーブル!$B$3="交付申請兼実績報告（２次）",BU$26&gt;=1),BU75,
IF(AND(テーブル!$B$3="実績報告（２次）",BU$26=0),0,
IF(AND(テーブル!$B$3="実績報告（２次）",BU$26&gt;=1),BU75)))))))))),0)</f>
        <v>0</v>
      </c>
      <c r="BV39" s="1997">
        <f>IFERROR(
IF(テーブル!$B$3="交付申請",BV75,
IF(AND(テーブル!$B$3="変更申請",BV$26=0),0,
IF(AND(テーブル!$B$3="変更申請",BV$26&gt;=1),BV75,
IF(テーブル!$B$3="実績報告（１次）",BV75,
IF(AND(テーブル!$B$3="交付申請（２次）",BV$26=0),0,
IF(AND(テーブル!$B$3="交付申請（２次）",BV$26&gt;=1),BV75,
IF(AND(テーブル!$B$3="交付申請兼実績報告（２次）",BV$26=0),0,
IF(AND(テーブル!$B$3="交付申請兼実績報告（２次）",BV$26&gt;=1),BV75,
IF(AND(テーブル!$B$3="実績報告（２次）",BV$26=0),0,
IF(AND(テーブル!$B$3="実績報告（２次）",BV$26&gt;=1),BV75)))))))))),0)</f>
        <v>0</v>
      </c>
      <c r="BW39" s="1997">
        <f>IFERROR(
IF(テーブル!$B$3="交付申請",BW75,
IF(AND(テーブル!$B$3="変更申請",BW$26=0),0,
IF(AND(テーブル!$B$3="変更申請",BW$26&gt;=1),BW75,
IF(テーブル!$B$3="実績報告（１次）",BW75,
IF(AND(テーブル!$B$3="交付申請（２次）",BW$26=0),0,
IF(AND(テーブル!$B$3="交付申請（２次）",BW$26&gt;=1),BW75,
IF(AND(テーブル!$B$3="交付申請兼実績報告（２次）",BW$26=0),0,
IF(AND(テーブル!$B$3="交付申請兼実績報告（２次）",BW$26&gt;=1),BW75,
IF(AND(テーブル!$B$3="実績報告（２次）",BW$26=0),0,
IF(AND(テーブル!$B$3="実績報告（２次）",BW$26&gt;=1),BW75)))))))))),0)</f>
        <v>0</v>
      </c>
      <c r="BX39" s="1997">
        <f>IFERROR(
IF(テーブル!$B$3="交付申請",BX75,
IF(AND(テーブル!$B$3="変更申請",BX$26=0),0,
IF(AND(テーブル!$B$3="変更申請",BX$26&gt;=1),BX75,
IF(テーブル!$B$3="実績報告（１次）",BX75,
IF(AND(テーブル!$B$3="交付申請（２次）",BX$26=0),0,
IF(AND(テーブル!$B$3="交付申請（２次）",BX$26&gt;=1),BX75,
IF(AND(テーブル!$B$3="交付申請兼実績報告（２次）",BX$26=0),0,
IF(AND(テーブル!$B$3="交付申請兼実績報告（２次）",BX$26&gt;=1),BX75,
IF(AND(テーブル!$B$3="実績報告（２次）",BX$26=0),0,
IF(AND(テーブル!$B$3="実績報告（２次）",BX$26&gt;=1),BX75)))))))))),0)</f>
        <v>0</v>
      </c>
      <c r="BY39" s="1997">
        <f>IFERROR(
IF(テーブル!$B$3="交付申請",BY75,
IF(AND(テーブル!$B$3="変更申請",BY$26=0),0,
IF(AND(テーブル!$B$3="変更申請",BY$26&gt;=1),BY75,
IF(テーブル!$B$3="実績報告（１次）",BY75,
IF(AND(テーブル!$B$3="交付申請（２次）",BY$26=0),0,
IF(AND(テーブル!$B$3="交付申請（２次）",BY$26&gt;=1),BY75,
IF(AND(テーブル!$B$3="交付申請兼実績報告（２次）",BY$26=0),0,
IF(AND(テーブル!$B$3="交付申請兼実績報告（２次）",BY$26&gt;=1),BY75,
IF(AND(テーブル!$B$3="実績報告（２次）",BY$26=0),0,
IF(AND(テーブル!$B$3="実績報告（２次）",BY$26&gt;=1),BY75)))))))))),0)</f>
        <v>0</v>
      </c>
      <c r="BZ39" s="1997">
        <f>IFERROR(
IF(テーブル!$B$3="交付申請",BZ75,
IF(AND(テーブル!$B$3="変更申請",BZ$26=0),0,
IF(AND(テーブル!$B$3="変更申請",BZ$26&gt;=1),BZ75,
IF(テーブル!$B$3="実績報告（１次）",BZ75,
IF(AND(テーブル!$B$3="交付申請（２次）",BZ$26=0),0,
IF(AND(テーブル!$B$3="交付申請（２次）",BZ$26&gt;=1),BZ75,
IF(AND(テーブル!$B$3="交付申請兼実績報告（２次）",BZ$26=0),0,
IF(AND(テーブル!$B$3="交付申請兼実績報告（２次）",BZ$26&gt;=1),BZ75,
IF(AND(テーブル!$B$3="実績報告（２次）",BZ$26=0),0,
IF(AND(テーブル!$B$3="実績報告（２次）",BZ$26&gt;=1),BZ75)))))))))),0)</f>
        <v>0</v>
      </c>
      <c r="CA39" s="1997">
        <f>IFERROR(
IF(テーブル!$B$3="交付申請",CA75,
IF(AND(テーブル!$B$3="変更申請",CA$26=0),0,
IF(AND(テーブル!$B$3="変更申請",CA$26&gt;=1),CA75,
IF(テーブル!$B$3="実績報告（１次）",CA75,
IF(AND(テーブル!$B$3="交付申請（２次）",CA$26=0),0,
IF(AND(テーブル!$B$3="交付申請（２次）",CA$26&gt;=1),CA75,
IF(AND(テーブル!$B$3="交付申請兼実績報告（２次）",CA$26=0),0,
IF(AND(テーブル!$B$3="交付申請兼実績報告（２次）",CA$26&gt;=1),CA75,
IF(AND(テーブル!$B$3="実績報告（２次）",CA$26=0),0,
IF(AND(テーブル!$B$3="実績報告（２次）",CA$26&gt;=1),CA75)))))))))),0)</f>
        <v>0</v>
      </c>
      <c r="CB39" s="1997">
        <f>IFERROR(
IF(テーブル!$B$3="交付申請",CB75,
IF(AND(テーブル!$B$3="変更申請",CB$26=0),0,
IF(AND(テーブル!$B$3="変更申請",CB$26&gt;=1),CB75,
IF(テーブル!$B$3="実績報告（１次）",CB75,
IF(AND(テーブル!$B$3="交付申請（２次）",CB$26=0),0,
IF(AND(テーブル!$B$3="交付申請（２次）",CB$26&gt;=1),CB75,
IF(AND(テーブル!$B$3="交付申請兼実績報告（２次）",CB$26=0),0,
IF(AND(テーブル!$B$3="交付申請兼実績報告（２次）",CB$26&gt;=1),CB75,
IF(AND(テーブル!$B$3="実績報告（２次）",CB$26=0),0,
IF(AND(テーブル!$B$3="実績報告（２次）",CB$26&gt;=1),CB75)))))))))),0)</f>
        <v>0</v>
      </c>
      <c r="CC39" s="1997">
        <f>IFERROR(
IF(テーブル!$B$3="交付申請",CC75,
IF(AND(テーブル!$B$3="変更申請",CC$26=0),0,
IF(AND(テーブル!$B$3="変更申請",CC$26&gt;=1),CC75,
IF(テーブル!$B$3="実績報告（１次）",CC75,
IF(AND(テーブル!$B$3="交付申請（２次）",CC$26=0),0,
IF(AND(テーブル!$B$3="交付申請（２次）",CC$26&gt;=1),CC75,
IF(AND(テーブル!$B$3="交付申請兼実績報告（２次）",CC$26=0),0,
IF(AND(テーブル!$B$3="交付申請兼実績報告（２次）",CC$26&gt;=1),CC75,
IF(AND(テーブル!$B$3="実績報告（２次）",CC$26=0),0,
IF(AND(テーブル!$B$3="実績報告（２次）",CC$26&gt;=1),CC75)))))))))),0)</f>
        <v>0</v>
      </c>
      <c r="CD39" s="1997">
        <f>IFERROR(
IF(テーブル!$B$3="交付申請",CD75,
IF(AND(テーブル!$B$3="変更申請",CD$26=0),0,
IF(AND(テーブル!$B$3="変更申請",CD$26&gt;=1),CD75,
IF(テーブル!$B$3="実績報告（１次）",CD75,
IF(AND(テーブル!$B$3="交付申請（２次）",CD$26=0),0,
IF(AND(テーブル!$B$3="交付申請（２次）",CD$26&gt;=1),CD75,
IF(AND(テーブル!$B$3="交付申請兼実績報告（２次）",CD$26=0),0,
IF(AND(テーブル!$B$3="交付申請兼実績報告（２次）",CD$26&gt;=1),CD75,
IF(AND(テーブル!$B$3="実績報告（２次）",CD$26=0),0,
IF(AND(テーブル!$B$3="実績報告（２次）",CD$26&gt;=1),CD75)))))))))),0)</f>
        <v>0</v>
      </c>
      <c r="CE39" s="1997">
        <f>IFERROR(
IF(テーブル!$B$3="交付申請",CE75,
IF(AND(テーブル!$B$3="変更申請",CE$26=0),0,
IF(AND(テーブル!$B$3="変更申請",CE$26&gt;=1),CE75,
IF(テーブル!$B$3="実績報告（１次）",CE75,
IF(AND(テーブル!$B$3="交付申請（２次）",CE$26=0),0,
IF(AND(テーブル!$B$3="交付申請（２次）",CE$26&gt;=1),CE75,
IF(AND(テーブル!$B$3="交付申請兼実績報告（２次）",CE$26=0),0,
IF(AND(テーブル!$B$3="交付申請兼実績報告（２次）",CE$26&gt;=1),CE75,
IF(AND(テーブル!$B$3="実績報告（２次）",CE$26=0),0,
IF(AND(テーブル!$B$3="実績報告（２次）",CE$26&gt;=1),CE75)))))))))),0)</f>
        <v>0</v>
      </c>
      <c r="CF39" s="1997">
        <f>IFERROR(
IF(テーブル!$B$3="交付申請",CF75,
IF(AND(テーブル!$B$3="変更申請",CF$26=0),0,
IF(AND(テーブル!$B$3="変更申請",CF$26&gt;=1),CF75,
IF(テーブル!$B$3="実績報告（１次）",CF75,
IF(AND(テーブル!$B$3="交付申請（２次）",CF$26=0),0,
IF(AND(テーブル!$B$3="交付申請（２次）",CF$26&gt;=1),CF75,
IF(AND(テーブル!$B$3="交付申請兼実績報告（２次）",CF$26=0),0,
IF(AND(テーブル!$B$3="交付申請兼実績報告（２次）",CF$26&gt;=1),CF75,
IF(AND(テーブル!$B$3="実績報告（２次）",CF$26=0),0,
IF(AND(テーブル!$B$3="実績報告（２次）",CF$26&gt;=1),CF75)))))))))),0)</f>
        <v>0</v>
      </c>
      <c r="CG39" s="1997">
        <f>IFERROR(
IF(テーブル!$B$3="交付申請",CG75,
IF(AND(テーブル!$B$3="変更申請",CG$26=0),0,
IF(AND(テーブル!$B$3="変更申請",CG$26&gt;=1),CG75,
IF(テーブル!$B$3="実績報告（１次）",CG75,
IF(AND(テーブル!$B$3="交付申請（２次）",CG$26=0),0,
IF(AND(テーブル!$B$3="交付申請（２次）",CG$26&gt;=1),CG75,
IF(AND(テーブル!$B$3="交付申請兼実績報告（２次）",CG$26=0),0,
IF(AND(テーブル!$B$3="交付申請兼実績報告（２次）",CG$26&gt;=1),CG75,
IF(AND(テーブル!$B$3="実績報告（２次）",CG$26=0),0,
IF(AND(テーブル!$B$3="実績報告（２次）",CG$26&gt;=1),CG75)))))))))),0)</f>
        <v>0</v>
      </c>
      <c r="CH39" s="1997">
        <f>IFERROR(
IF(テーブル!$B$3="交付申請",CH75,
IF(AND(テーブル!$B$3="変更申請",CH$26=0),0,
IF(AND(テーブル!$B$3="変更申請",CH$26&gt;=1),CH75,
IF(テーブル!$B$3="実績報告（１次）",CH75,
IF(AND(テーブル!$B$3="交付申請（２次）",CH$26=0),0,
IF(AND(テーブル!$B$3="交付申請（２次）",CH$26&gt;=1),CH75,
IF(AND(テーブル!$B$3="交付申請兼実績報告（２次）",CH$26=0),0,
IF(AND(テーブル!$B$3="交付申請兼実績報告（２次）",CH$26&gt;=1),CH75,
IF(AND(テーブル!$B$3="実績報告（２次）",CH$26=0),0,
IF(AND(テーブル!$B$3="実績報告（２次）",CH$26&gt;=1),CH75)))))))))),0)</f>
        <v>0</v>
      </c>
      <c r="CI39" s="1997">
        <f>IFERROR(
IF(テーブル!$B$3="交付申請",CI75,
IF(AND(テーブル!$B$3="変更申請",CI$26=0),0,
IF(AND(テーブル!$B$3="変更申請",CI$26&gt;=1),CI75,
IF(テーブル!$B$3="実績報告（１次）",CI75,
IF(AND(テーブル!$B$3="交付申請（２次）",CI$26=0),0,
IF(AND(テーブル!$B$3="交付申請（２次）",CI$26&gt;=1),CI75,
IF(AND(テーブル!$B$3="交付申請兼実績報告（２次）",CI$26=0),0,
IF(AND(テーブル!$B$3="交付申請兼実績報告（２次）",CI$26&gt;=1),CI75,
IF(AND(テーブル!$B$3="実績報告（２次）",CI$26=0),0,
IF(AND(テーブル!$B$3="実績報告（２次）",CI$26&gt;=1),CI75)))))))))),0)</f>
        <v>0</v>
      </c>
      <c r="CJ39" s="1997">
        <f>IFERROR(
IF(テーブル!$B$3="交付申請",CJ75,
IF(AND(テーブル!$B$3="変更申請",CJ$26=0),0,
IF(AND(テーブル!$B$3="変更申請",CJ$26&gt;=1),CJ75,
IF(テーブル!$B$3="実績報告（１次）",CJ75,
IF(AND(テーブル!$B$3="交付申請（２次）",CJ$26=0),0,
IF(AND(テーブル!$B$3="交付申請（２次）",CJ$26&gt;=1),CJ75,
IF(AND(テーブル!$B$3="交付申請兼実績報告（２次）",CJ$26=0),0,
IF(AND(テーブル!$B$3="交付申請兼実績報告（２次）",CJ$26&gt;=1),CJ75,
IF(AND(テーブル!$B$3="実績報告（２次）",CJ$26=0),0,
IF(AND(テーブル!$B$3="実績報告（２次）",CJ$26&gt;=1),CJ75)))))))))),0)</f>
        <v>0</v>
      </c>
      <c r="CK39" s="1997">
        <f>IFERROR(
IF(テーブル!$B$3="交付申請",CK75,
IF(AND(テーブル!$B$3="変更申請",CK$26=0),0,
IF(AND(テーブル!$B$3="変更申請",CK$26&gt;=1),CK75,
IF(テーブル!$B$3="実績報告（１次）",CK75,
IF(AND(テーブル!$B$3="交付申請（２次）",CK$26=0),0,
IF(AND(テーブル!$B$3="交付申請（２次）",CK$26&gt;=1),CK75,
IF(AND(テーブル!$B$3="交付申請兼実績報告（２次）",CK$26=0),0,
IF(AND(テーブル!$B$3="交付申請兼実績報告（２次）",CK$26&gt;=1),CK75,
IF(AND(テーブル!$B$3="実績報告（２次）",CK$26=0),0,
IF(AND(テーブル!$B$3="実績報告（２次）",CK$26&gt;=1),CK75)))))))))),0)</f>
        <v>0</v>
      </c>
      <c r="CL39" s="1997">
        <f>IFERROR(
IF(テーブル!$B$3="交付申請",CL75,
IF(AND(テーブル!$B$3="変更申請",CL$26=0),0,
IF(AND(テーブル!$B$3="変更申請",CL$26&gt;=1),CL75,
IF(テーブル!$B$3="実績報告（１次）",CL75,
IF(AND(テーブル!$B$3="交付申請（２次）",CL$26=0),0,
IF(AND(テーブル!$B$3="交付申請（２次）",CL$26&gt;=1),CL75,
IF(AND(テーブル!$B$3="交付申請兼実績報告（２次）",CL$26=0),0,
IF(AND(テーブル!$B$3="交付申請兼実績報告（２次）",CL$26&gt;=1),CL75,
IF(AND(テーブル!$B$3="実績報告（２次）",CL$26=0),0,
IF(AND(テーブル!$B$3="実績報告（２次）",CL$26&gt;=1),CL75)))))))))),0)</f>
        <v>0</v>
      </c>
      <c r="CM39" s="1997">
        <f>IFERROR(
IF(テーブル!$B$3="交付申請",CM75,
IF(AND(テーブル!$B$3="変更申請",CM$26=0),0,
IF(AND(テーブル!$B$3="変更申請",CM$26&gt;=1),CM75,
IF(テーブル!$B$3="実績報告（１次）",CM75,
IF(AND(テーブル!$B$3="交付申請（２次）",CM$26=0),0,
IF(AND(テーブル!$B$3="交付申請（２次）",CM$26&gt;=1),CM75,
IF(AND(テーブル!$B$3="交付申請兼実績報告（２次）",CM$26=0),0,
IF(AND(テーブル!$B$3="交付申請兼実績報告（２次）",CM$26&gt;=1),CM75,
IF(AND(テーブル!$B$3="実績報告（２次）",CM$26=0),0,
IF(AND(テーブル!$B$3="実績報告（２次）",CM$26&gt;=1),CM75)))))))))),0)</f>
        <v>0</v>
      </c>
      <c r="CN39" s="1997">
        <f>IFERROR(
IF(テーブル!$B$3="交付申請",CN75,
IF(AND(テーブル!$B$3="変更申請",CN$26=0),0,
IF(AND(テーブル!$B$3="変更申請",CN$26&gt;=1),CN75,
IF(テーブル!$B$3="実績報告（１次）",CN75,
IF(AND(テーブル!$B$3="交付申請（２次）",CN$26=0),0,
IF(AND(テーブル!$B$3="交付申請（２次）",CN$26&gt;=1),CN75,
IF(AND(テーブル!$B$3="交付申請兼実績報告（２次）",CN$26=0),0,
IF(AND(テーブル!$B$3="交付申請兼実績報告（２次）",CN$26&gt;=1),CN75,
IF(AND(テーブル!$B$3="実績報告（２次）",CN$26=0),0,
IF(AND(テーブル!$B$3="実績報告（２次）",CN$26&gt;=1),CN75)))))))))),0)</f>
        <v>0</v>
      </c>
      <c r="CO39" s="1997">
        <f>IFERROR(
IF(テーブル!$B$3="交付申請",CO75,
IF(AND(テーブル!$B$3="変更申請",CO$26=0),0,
IF(AND(テーブル!$B$3="変更申請",CO$26&gt;=1),CO75,
IF(テーブル!$B$3="実績報告（１次）",CO75,
IF(AND(テーブル!$B$3="交付申請（２次）",CO$26=0),0,
IF(AND(テーブル!$B$3="交付申請（２次）",CO$26&gt;=1),CO75,
IF(AND(テーブル!$B$3="交付申請兼実績報告（２次）",CO$26=0),0,
IF(AND(テーブル!$B$3="交付申請兼実績報告（２次）",CO$26&gt;=1),CO75,
IF(AND(テーブル!$B$3="実績報告（２次）",CO$26=0),0,
IF(AND(テーブル!$B$3="実績報告（２次）",CO$26&gt;=1),CO75)))))))))),0)</f>
        <v>0</v>
      </c>
      <c r="CP39" s="1997">
        <f>IFERROR(
IF(テーブル!$B$3="交付申請",CP75,
IF(AND(テーブル!$B$3="変更申請",CP$26=0),0,
IF(AND(テーブル!$B$3="変更申請",CP$26&gt;=1),CP75,
IF(テーブル!$B$3="実績報告（１次）",CP75,
IF(AND(テーブル!$B$3="交付申請（２次）",CP$26=0),0,
IF(AND(テーブル!$B$3="交付申請（２次）",CP$26&gt;=1),CP75,
IF(AND(テーブル!$B$3="交付申請兼実績報告（２次）",CP$26=0),0,
IF(AND(テーブル!$B$3="交付申請兼実績報告（２次）",CP$26&gt;=1),CP75,
IF(AND(テーブル!$B$3="実績報告（２次）",CP$26=0),0,
IF(AND(テーブル!$B$3="実績報告（２次）",CP$26&gt;=1),CP75)))))))))),0)</f>
        <v>0</v>
      </c>
      <c r="CQ39" s="1997">
        <f>IFERROR(
IF(テーブル!$B$3="交付申請",CQ75,
IF(AND(テーブル!$B$3="変更申請",CQ$26=0),0,
IF(AND(テーブル!$B$3="変更申請",CQ$26&gt;=1),CQ75,
IF(テーブル!$B$3="実績報告（１次）",CQ75,
IF(AND(テーブル!$B$3="交付申請（２次）",CQ$26=0),0,
IF(AND(テーブル!$B$3="交付申請（２次）",CQ$26&gt;=1),CQ75,
IF(AND(テーブル!$B$3="交付申請兼実績報告（２次）",CQ$26=0),0,
IF(AND(テーブル!$B$3="交付申請兼実績報告（２次）",CQ$26&gt;=1),CQ75,
IF(AND(テーブル!$B$3="実績報告（２次）",CQ$26=0),0,
IF(AND(テーブル!$B$3="実績報告（２次）",CQ$26&gt;=1),CQ75)))))))))),0)</f>
        <v>0</v>
      </c>
      <c r="CR39" s="1997">
        <f>IFERROR(
IF(テーブル!$B$3="交付申請",CR75,
IF(AND(テーブル!$B$3="変更申請",CR$26=0),0,
IF(AND(テーブル!$B$3="変更申請",CR$26&gt;=1),CR75,
IF(テーブル!$B$3="実績報告（１次）",CR75,
IF(AND(テーブル!$B$3="交付申請（２次）",CR$26=0),0,
IF(AND(テーブル!$B$3="交付申請（２次）",CR$26&gt;=1),CR75,
IF(AND(テーブル!$B$3="交付申請兼実績報告（２次）",CR$26=0),0,
IF(AND(テーブル!$B$3="交付申請兼実績報告（２次）",CR$26&gt;=1),CR75,
IF(AND(テーブル!$B$3="実績報告（２次）",CR$26=0),0,
IF(AND(テーブル!$B$3="実績報告（２次）",CR$26&gt;=1),CR75)))))))))),0)</f>
        <v>0</v>
      </c>
      <c r="CS39" s="1997">
        <f>IFERROR(
IF(テーブル!$B$3="交付申請",CS75,
IF(AND(テーブル!$B$3="変更申請",CS$26=0),0,
IF(AND(テーブル!$B$3="変更申請",CS$26&gt;=1),CS75,
IF(テーブル!$B$3="実績報告（１次）",CS75,
IF(AND(テーブル!$B$3="交付申請（２次）",CS$26=0),0,
IF(AND(テーブル!$B$3="交付申請（２次）",CS$26&gt;=1),CS75,
IF(AND(テーブル!$B$3="交付申請兼実績報告（２次）",CS$26=0),0,
IF(AND(テーブル!$B$3="交付申請兼実績報告（２次）",CS$26&gt;=1),CS75,
IF(AND(テーブル!$B$3="実績報告（２次）",CS$26=0),0,
IF(AND(テーブル!$B$3="実績報告（２次）",CS$26&gt;=1),CS75)))))))))),0)</f>
        <v>0</v>
      </c>
      <c r="CT39" s="1997">
        <f>IFERROR(
IF(テーブル!$B$3="交付申請",CT75,
IF(AND(テーブル!$B$3="変更申請",CT$26=0),0,
IF(AND(テーブル!$B$3="変更申請",CT$26&gt;=1),CT75,
IF(テーブル!$B$3="実績報告（１次）",CT75,
IF(AND(テーブル!$B$3="交付申請（２次）",CT$26=0),0,
IF(AND(テーブル!$B$3="交付申請（２次）",CT$26&gt;=1),CT75,
IF(AND(テーブル!$B$3="交付申請兼実績報告（２次）",CT$26=0),0,
IF(AND(テーブル!$B$3="交付申請兼実績報告（２次）",CT$26&gt;=1),CT75,
IF(AND(テーブル!$B$3="実績報告（２次）",CT$26=0),0,
IF(AND(テーブル!$B$3="実績報告（２次）",CT$26&gt;=1),CT75)))))))))),0)</f>
        <v>0</v>
      </c>
      <c r="CU39" s="1997">
        <f>IFERROR(
IF(テーブル!$B$3="交付申請",CU75,
IF(AND(テーブル!$B$3="変更申請",CU$26=0),0,
IF(AND(テーブル!$B$3="変更申請",CU$26&gt;=1),CU75,
IF(テーブル!$B$3="実績報告（１次）",CU75,
IF(AND(テーブル!$B$3="交付申請（２次）",CU$26=0),0,
IF(AND(テーブル!$B$3="交付申請（２次）",CU$26&gt;=1),CU75,
IF(AND(テーブル!$B$3="交付申請兼実績報告（２次）",CU$26=0),0,
IF(AND(テーブル!$B$3="交付申請兼実績報告（２次）",CU$26&gt;=1),CU75,
IF(AND(テーブル!$B$3="実績報告（２次）",CU$26=0),0,
IF(AND(テーブル!$B$3="実績報告（２次）",CU$26&gt;=1),CU75)))))))))),0)</f>
        <v>0</v>
      </c>
      <c r="CV39" s="1997">
        <f>IFERROR(
IF(テーブル!$B$3="交付申請",CV75,
IF(AND(テーブル!$B$3="変更申請",CV$26=0),0,
IF(AND(テーブル!$B$3="変更申請",CV$26&gt;=1),CV75,
IF(テーブル!$B$3="実績報告（１次）",CV75,
IF(AND(テーブル!$B$3="交付申請（２次）",CV$26=0),0,
IF(AND(テーブル!$B$3="交付申請（２次）",CV$26&gt;=1),CV75,
IF(AND(テーブル!$B$3="交付申請兼実績報告（２次）",CV$26=0),0,
IF(AND(テーブル!$B$3="交付申請兼実績報告（２次）",CV$26&gt;=1),CV75,
IF(AND(テーブル!$B$3="実績報告（２次）",CV$26=0),0,
IF(AND(テーブル!$B$3="実績報告（２次）",CV$26&gt;=1),CV75)))))))))),0)</f>
        <v>0</v>
      </c>
      <c r="CW39" s="1997">
        <f>IFERROR(
IF(テーブル!$B$3="交付申請",CW75,
IF(AND(テーブル!$B$3="変更申請",CW$26=0),0,
IF(AND(テーブル!$B$3="変更申請",CW$26&gt;=1),CW75,
IF(テーブル!$B$3="実績報告（１次）",CW75,
IF(AND(テーブル!$B$3="交付申請（２次）",CW$26=0),0,
IF(AND(テーブル!$B$3="交付申請（２次）",CW$26&gt;=1),CW75,
IF(AND(テーブル!$B$3="交付申請兼実績報告（２次）",CW$26=0),0,
IF(AND(テーブル!$B$3="交付申請兼実績報告（２次）",CW$26&gt;=1),CW75,
IF(AND(テーブル!$B$3="実績報告（２次）",CW$26=0),0,
IF(AND(テーブル!$B$3="実績報告（２次）",CW$26&gt;=1),CW75)))))))))),0)</f>
        <v>0</v>
      </c>
      <c r="CX39" s="1997">
        <f>IFERROR(
IF(テーブル!$B$3="交付申請",CX75,
IF(AND(テーブル!$B$3="変更申請",CX$26=0),0,
IF(AND(テーブル!$B$3="変更申請",CX$26&gt;=1),CX75,
IF(テーブル!$B$3="実績報告（１次）",CX75,
IF(AND(テーブル!$B$3="交付申請（２次）",CX$26=0),0,
IF(AND(テーブル!$B$3="交付申請（２次）",CX$26&gt;=1),CX75,
IF(AND(テーブル!$B$3="交付申請兼実績報告（２次）",CX$26=0),0,
IF(AND(テーブル!$B$3="交付申請兼実績報告（２次）",CX$26&gt;=1),CX75,
IF(AND(テーブル!$B$3="実績報告（２次）",CX$26=0),0,
IF(AND(テーブル!$B$3="実績報告（２次）",CX$26&gt;=1),CX75)))))))))),0)</f>
        <v>0</v>
      </c>
      <c r="CY39" s="1997">
        <f>IFERROR(
IF(テーブル!$B$3="交付申請",CY75,
IF(AND(テーブル!$B$3="変更申請",CY$26=0),0,
IF(AND(テーブル!$B$3="変更申請",CY$26&gt;=1),CY75,
IF(テーブル!$B$3="実績報告（１次）",CY75,
IF(AND(テーブル!$B$3="交付申請（２次）",CY$26=0),0,
IF(AND(テーブル!$B$3="交付申請（２次）",CY$26&gt;=1),CY75,
IF(AND(テーブル!$B$3="交付申請兼実績報告（２次）",CY$26=0),0,
IF(AND(テーブル!$B$3="交付申請兼実績報告（２次）",CY$26&gt;=1),CY75,
IF(AND(テーブル!$B$3="実績報告（２次）",CY$26=0),0,
IF(AND(テーブル!$B$3="実績報告（２次）",CY$26&gt;=1),CY75)))))))))),0)</f>
        <v>0</v>
      </c>
      <c r="CZ39" s="1997">
        <f>IFERROR(
IF(テーブル!$B$3="交付申請",CZ75,
IF(AND(テーブル!$B$3="変更申請",CZ$26=0),0,
IF(AND(テーブル!$B$3="変更申請",CZ$26&gt;=1),CZ75,
IF(テーブル!$B$3="実績報告（１次）",CZ75,
IF(AND(テーブル!$B$3="交付申請（２次）",CZ$26=0),0,
IF(AND(テーブル!$B$3="交付申請（２次）",CZ$26&gt;=1),CZ75,
IF(AND(テーブル!$B$3="交付申請兼実績報告（２次）",CZ$26=0),0,
IF(AND(テーブル!$B$3="交付申請兼実績報告（２次）",CZ$26&gt;=1),CZ75,
IF(AND(テーブル!$B$3="実績報告（２次）",CZ$26=0),0,
IF(AND(テーブル!$B$3="実績報告（２次）",CZ$26&gt;=1),CZ75)))))))))),0)</f>
        <v>0</v>
      </c>
      <c r="DA39" s="1997">
        <f>IFERROR(
IF(テーブル!$B$3="交付申請",DA75,
IF(AND(テーブル!$B$3="変更申請",DA$26=0),0,
IF(AND(テーブル!$B$3="変更申請",DA$26&gt;=1),DA75,
IF(テーブル!$B$3="実績報告（１次）",DA75,
IF(AND(テーブル!$B$3="交付申請（２次）",DA$26=0),0,
IF(AND(テーブル!$B$3="交付申請（２次）",DA$26&gt;=1),DA75,
IF(AND(テーブル!$B$3="交付申請兼実績報告（２次）",DA$26=0),0,
IF(AND(テーブル!$B$3="交付申請兼実績報告（２次）",DA$26&gt;=1),DA75,
IF(AND(テーブル!$B$3="実績報告（２次）",DA$26=0),0,
IF(AND(テーブル!$B$3="実績報告（２次）",DA$26&gt;=1),DA75)))))))))),0)</f>
        <v>0</v>
      </c>
      <c r="DB39" s="1997">
        <f>IFERROR(
IF(テーブル!$B$3="交付申請",DB75,
IF(AND(テーブル!$B$3="変更申請",DB$26=0),0,
IF(AND(テーブル!$B$3="変更申請",DB$26&gt;=1),DB75,
IF(テーブル!$B$3="実績報告（１次）",DB75,
IF(AND(テーブル!$B$3="交付申請（２次）",DB$26=0),0,
IF(AND(テーブル!$B$3="交付申請（２次）",DB$26&gt;=1),DB75,
IF(AND(テーブル!$B$3="交付申請兼実績報告（２次）",DB$26=0),0,
IF(AND(テーブル!$B$3="交付申請兼実績報告（２次）",DB$26&gt;=1),DB75,
IF(AND(テーブル!$B$3="実績報告（２次）",DB$26=0),0,
IF(AND(テーブル!$B$3="実績報告（２次）",DB$26&gt;=1),DB75)))))))))),0)</f>
        <v>0</v>
      </c>
      <c r="DC39" s="1997">
        <f>IFERROR(
IF(テーブル!$B$3="交付申請",DC75,
IF(AND(テーブル!$B$3="変更申請",DC$26=0),0,
IF(AND(テーブル!$B$3="変更申請",DC$26&gt;=1),DC75,
IF(テーブル!$B$3="実績報告（１次）",DC75,
IF(AND(テーブル!$B$3="交付申請（２次）",DC$26=0),0,
IF(AND(テーブル!$B$3="交付申請（２次）",DC$26&gt;=1),DC75,
IF(AND(テーブル!$B$3="交付申請兼実績報告（２次）",DC$26=0),0,
IF(AND(テーブル!$B$3="交付申請兼実績報告（２次）",DC$26&gt;=1),DC75,
IF(AND(テーブル!$B$3="実績報告（２次）",DC$26=0),0,
IF(AND(テーブル!$B$3="実績報告（２次）",DC$26&gt;=1),DC75)))))))))),0)</f>
        <v>0</v>
      </c>
      <c r="DD39" s="1997">
        <f>IFERROR(
IF(テーブル!$B$3="交付申請",DD75,
IF(AND(テーブル!$B$3="変更申請",DD$26=0),0,
IF(AND(テーブル!$B$3="変更申請",DD$26&gt;=1),DD75,
IF(テーブル!$B$3="実績報告（１次）",DD75,
IF(AND(テーブル!$B$3="交付申請（２次）",DD$26=0),0,
IF(AND(テーブル!$B$3="交付申請（２次）",DD$26&gt;=1),DD75,
IF(AND(テーブル!$B$3="交付申請兼実績報告（２次）",DD$26=0),0,
IF(AND(テーブル!$B$3="交付申請兼実績報告（２次）",DD$26&gt;=1),DD75,
IF(AND(テーブル!$B$3="実績報告（２次）",DD$26=0),0,
IF(AND(テーブル!$B$3="実績報告（２次）",DD$26&gt;=1),DD75)))))))))),0)</f>
        <v>0</v>
      </c>
      <c r="DE39" s="1997">
        <f>IFERROR(
IF(テーブル!$B$3="交付申請",DE75,
IF(AND(テーブル!$B$3="変更申請",DE$26=0),0,
IF(AND(テーブル!$B$3="変更申請",DE$26&gt;=1),DE75,
IF(テーブル!$B$3="実績報告（１次）",DE75,
IF(AND(テーブル!$B$3="交付申請（２次）",DE$26=0),0,
IF(AND(テーブル!$B$3="交付申請（２次）",DE$26&gt;=1),DE75,
IF(AND(テーブル!$B$3="交付申請兼実績報告（２次）",DE$26=0),0,
IF(AND(テーブル!$B$3="交付申請兼実績報告（２次）",DE$26&gt;=1),DE75,
IF(AND(テーブル!$B$3="実績報告（２次）",DE$26=0),0,
IF(AND(テーブル!$B$3="実績報告（２次）",DE$26&gt;=1),DE75)))))))))),0)</f>
        <v>0</v>
      </c>
      <c r="DF39" s="1997">
        <f>IFERROR(
IF(テーブル!$B$3="交付申請",DF75,
IF(AND(テーブル!$B$3="変更申請",DF$26=0),0,
IF(AND(テーブル!$B$3="変更申請",DF$26&gt;=1),DF75,
IF(テーブル!$B$3="実績報告（１次）",DF75,
IF(AND(テーブル!$B$3="交付申請（２次）",DF$26=0),0,
IF(AND(テーブル!$B$3="交付申請（２次）",DF$26&gt;=1),DF75,
IF(AND(テーブル!$B$3="交付申請兼実績報告（２次）",DF$26=0),0,
IF(AND(テーブル!$B$3="交付申請兼実績報告（２次）",DF$26&gt;=1),DF75,
IF(AND(テーブル!$B$3="実績報告（２次）",DF$26=0),0,
IF(AND(テーブル!$B$3="実績報告（２次）",DF$26&gt;=1),DF75)))))))))),0)</f>
        <v>0</v>
      </c>
      <c r="DG39" s="1997">
        <f>IFERROR(
IF(テーブル!$B$3="交付申請",DG75,
IF(AND(テーブル!$B$3="変更申請",DG$26=0),0,
IF(AND(テーブル!$B$3="変更申請",DG$26&gt;=1),DG75,
IF(テーブル!$B$3="実績報告（１次）",DG75,
IF(AND(テーブル!$B$3="交付申請（２次）",DG$26=0),0,
IF(AND(テーブル!$B$3="交付申請（２次）",DG$26&gt;=1),DG75,
IF(AND(テーブル!$B$3="交付申請兼実績報告（２次）",DG$26=0),0,
IF(AND(テーブル!$B$3="交付申請兼実績報告（２次）",DG$26&gt;=1),DG75,
IF(AND(テーブル!$B$3="実績報告（２次）",DG$26=0),0,
IF(AND(テーブル!$B$3="実績報告（２次）",DG$26&gt;=1),DG75)))))))))),0)</f>
        <v>0</v>
      </c>
      <c r="DH39" s="1997">
        <f>IFERROR(
IF(テーブル!$B$3="交付申請",DH75,
IF(AND(テーブル!$B$3="変更申請",DH$26=0),0,
IF(AND(テーブル!$B$3="変更申請",DH$26&gt;=1),DH75,
IF(テーブル!$B$3="実績報告（１次）",DH75,
IF(AND(テーブル!$B$3="交付申請（２次）",DH$26=0),0,
IF(AND(テーブル!$B$3="交付申請（２次）",DH$26&gt;=1),DH75,
IF(AND(テーブル!$B$3="交付申請兼実績報告（２次）",DH$26=0),0,
IF(AND(テーブル!$B$3="交付申請兼実績報告（２次）",DH$26&gt;=1),DH75,
IF(AND(テーブル!$B$3="実績報告（２次）",DH$26=0),0,
IF(AND(テーブル!$B$3="実績報告（２次）",DH$26&gt;=1),DH75)))))))))),0)</f>
        <v>0</v>
      </c>
      <c r="DI39" s="1997">
        <f>IFERROR(
IF(テーブル!$B$3="交付申請",DI75,
IF(AND(テーブル!$B$3="変更申請",DI$26=0),0,
IF(AND(テーブル!$B$3="変更申請",DI$26&gt;=1),DI75,
IF(テーブル!$B$3="実績報告（１次）",DI75,
IF(AND(テーブル!$B$3="交付申請（２次）",DI$26=0),0,
IF(AND(テーブル!$B$3="交付申請（２次）",DI$26&gt;=1),DI75,
IF(AND(テーブル!$B$3="交付申請兼実績報告（２次）",DI$26=0),0,
IF(AND(テーブル!$B$3="交付申請兼実績報告（２次）",DI$26&gt;=1),DI75,
IF(AND(テーブル!$B$3="実績報告（２次）",DI$26=0),0,
IF(AND(テーブル!$B$3="実績報告（２次）",DI$26&gt;=1),DI75)))))))))),0)</f>
        <v>0</v>
      </c>
      <c r="DJ39" s="1997">
        <f>IFERROR(
IF(テーブル!$B$3="交付申請",DJ75,
IF(AND(テーブル!$B$3="変更申請",DJ$26=0),0,
IF(AND(テーブル!$B$3="変更申請",DJ$26&gt;=1),DJ75,
IF(テーブル!$B$3="実績報告（１次）",DJ75,
IF(AND(テーブル!$B$3="交付申請（２次）",DJ$26=0),0,
IF(AND(テーブル!$B$3="交付申請（２次）",DJ$26&gt;=1),DJ75,
IF(AND(テーブル!$B$3="交付申請兼実績報告（２次）",DJ$26=0),0,
IF(AND(テーブル!$B$3="交付申請兼実績報告（２次）",DJ$26&gt;=1),DJ75,
IF(AND(テーブル!$B$3="実績報告（２次）",DJ$26=0),0,
IF(AND(テーブル!$B$3="実績報告（２次）",DJ$26&gt;=1),DJ75)))))))))),0)</f>
        <v>0</v>
      </c>
      <c r="DK39" s="1997">
        <f>IFERROR(
IF(テーブル!$B$3="交付申請",DK75,
IF(AND(テーブル!$B$3="変更申請",DK$26=0),0,
IF(AND(テーブル!$B$3="変更申請",DK$26&gt;=1),DK75,
IF(テーブル!$B$3="実績報告（１次）",DK75,
IF(AND(テーブル!$B$3="交付申請（２次）",DK$26=0),0,
IF(AND(テーブル!$B$3="交付申請（２次）",DK$26&gt;=1),DK75,
IF(AND(テーブル!$B$3="交付申請兼実績報告（２次）",DK$26=0),0,
IF(AND(テーブル!$B$3="交付申請兼実績報告（２次）",DK$26&gt;=1),DK75,
IF(AND(テーブル!$B$3="実績報告（２次）",DK$26=0),0,
IF(AND(テーブル!$B$3="実績報告（２次）",DK$26&gt;=1),DK75)))))))))),0)</f>
        <v>0</v>
      </c>
      <c r="DL39" s="1997">
        <f>IFERROR(
IF(テーブル!$B$3="交付申請",DL75,
IF(AND(テーブル!$B$3="変更申請",DL$26=0),0,
IF(AND(テーブル!$B$3="変更申請",DL$26&gt;=1),DL75,
IF(テーブル!$B$3="実績報告（１次）",DL75,
IF(AND(テーブル!$B$3="交付申請（２次）",DL$26=0),0,
IF(AND(テーブル!$B$3="交付申請（２次）",DL$26&gt;=1),DL75,
IF(AND(テーブル!$B$3="交付申請兼実績報告（２次）",DL$26=0),0,
IF(AND(テーブル!$B$3="交付申請兼実績報告（２次）",DL$26&gt;=1),DL75,
IF(AND(テーブル!$B$3="実績報告（２次）",DL$26=0),0,
IF(AND(テーブル!$B$3="実績報告（２次）",DL$26&gt;=1),DL75)))))))))),0)</f>
        <v>0</v>
      </c>
      <c r="DM39" s="1997">
        <f>IFERROR(
IF(テーブル!$B$3="交付申請",DM75,
IF(AND(テーブル!$B$3="変更申請",DM$26=0),0,
IF(AND(テーブル!$B$3="変更申請",DM$26&gt;=1),DM75,
IF(テーブル!$B$3="実績報告（１次）",DM75,
IF(AND(テーブル!$B$3="交付申請（２次）",DM$26=0),0,
IF(AND(テーブル!$B$3="交付申請（２次）",DM$26&gt;=1),DM75,
IF(AND(テーブル!$B$3="交付申請兼実績報告（２次）",DM$26=0),0,
IF(AND(テーブル!$B$3="交付申請兼実績報告（２次）",DM$26&gt;=1),DM75,
IF(AND(テーブル!$B$3="実績報告（２次）",DM$26=0),0,
IF(AND(テーブル!$B$3="実績報告（２次）",DM$26&gt;=1),DM75)))))))))),0)</f>
        <v>0</v>
      </c>
      <c r="DN39" s="1997">
        <f>IFERROR(
IF(テーブル!$B$3="交付申請",DN75,
IF(AND(テーブル!$B$3="変更申請",DN$26=0),0,
IF(AND(テーブル!$B$3="変更申請",DN$26&gt;=1),DN75,
IF(テーブル!$B$3="実績報告（１次）",DN75,
IF(AND(テーブル!$B$3="交付申請（２次）",DN$26=0),0,
IF(AND(テーブル!$B$3="交付申請（２次）",DN$26&gt;=1),DN75,
IF(AND(テーブル!$B$3="交付申請兼実績報告（２次）",DN$26=0),0,
IF(AND(テーブル!$B$3="交付申請兼実績報告（２次）",DN$26&gt;=1),DN75,
IF(AND(テーブル!$B$3="実績報告（２次）",DN$26=0),0,
IF(AND(テーブル!$B$3="実績報告（２次）",DN$26&gt;=1),DN75)))))))))),0)</f>
        <v>0</v>
      </c>
      <c r="DO39" s="1997">
        <f>IFERROR(
IF(テーブル!$B$3="交付申請",DO75,
IF(AND(テーブル!$B$3="変更申請",DO$26=0),0,
IF(AND(テーブル!$B$3="変更申請",DO$26&gt;=1),DO75,
IF(テーブル!$B$3="実績報告（１次）",DO75,
IF(AND(テーブル!$B$3="交付申請（２次）",DO$26=0),0,
IF(AND(テーブル!$B$3="交付申請（２次）",DO$26&gt;=1),DO75,
IF(AND(テーブル!$B$3="交付申請兼実績報告（２次）",DO$26=0),0,
IF(AND(テーブル!$B$3="交付申請兼実績報告（２次）",DO$26&gt;=1),DO75,
IF(AND(テーブル!$B$3="実績報告（２次）",DO$26=0),0,
IF(AND(テーブル!$B$3="実績報告（２次）",DO$26&gt;=1),DO75)))))))))),0)</f>
        <v>0</v>
      </c>
      <c r="DP39" s="1997">
        <f>IFERROR(
IF(テーブル!$B$3="交付申請",DP75,
IF(AND(テーブル!$B$3="変更申請",DP$26=0),0,
IF(AND(テーブル!$B$3="変更申請",DP$26&gt;=1),DP75,
IF(テーブル!$B$3="実績報告（１次）",DP75,
IF(AND(テーブル!$B$3="交付申請（２次）",DP$26=0),0,
IF(AND(テーブル!$B$3="交付申請（２次）",DP$26&gt;=1),DP75,
IF(AND(テーブル!$B$3="交付申請兼実績報告（２次）",DP$26=0),0,
IF(AND(テーブル!$B$3="交付申請兼実績報告（２次）",DP$26&gt;=1),DP75,
IF(AND(テーブル!$B$3="実績報告（２次）",DP$26=0),0,
IF(AND(テーブル!$B$3="実績報告（２次）",DP$26&gt;=1),DP75)))))))))),0)</f>
        <v>0</v>
      </c>
      <c r="DQ39" s="1997">
        <f>IFERROR(
IF(テーブル!$B$3="交付申請",DQ75,
IF(AND(テーブル!$B$3="変更申請",DQ$26=0),0,
IF(AND(テーブル!$B$3="変更申請",DQ$26&gt;=1),DQ75,
IF(テーブル!$B$3="実績報告（１次）",DQ75,
IF(AND(テーブル!$B$3="交付申請（２次）",DQ$26=0),0,
IF(AND(テーブル!$B$3="交付申請（２次）",DQ$26&gt;=1),DQ75,
IF(AND(テーブル!$B$3="交付申請兼実績報告（２次）",DQ$26=0),0,
IF(AND(テーブル!$B$3="交付申請兼実績報告（２次）",DQ$26&gt;=1),DQ75,
IF(AND(テーブル!$B$3="実績報告（２次）",DQ$26=0),0,
IF(AND(テーブル!$B$3="実績報告（２次）",DQ$26&gt;=1),DQ75)))))))))),0)</f>
        <v>0</v>
      </c>
      <c r="DR39" s="1997">
        <f>IFERROR(
IF(テーブル!$B$3="交付申請",DR75,
IF(AND(テーブル!$B$3="変更申請",DR$26=0),0,
IF(AND(テーブル!$B$3="変更申請",DR$26&gt;=1),DR75,
IF(テーブル!$B$3="実績報告（１次）",DR75,
IF(AND(テーブル!$B$3="交付申請（２次）",DR$26=0),0,
IF(AND(テーブル!$B$3="交付申請（２次）",DR$26&gt;=1),DR75,
IF(AND(テーブル!$B$3="交付申請兼実績報告（２次）",DR$26=0),0,
IF(AND(テーブル!$B$3="交付申請兼実績報告（２次）",DR$26&gt;=1),DR75,
IF(AND(テーブル!$B$3="実績報告（２次）",DR$26=0),0,
IF(AND(テーブル!$B$3="実績報告（２次）",DR$26&gt;=1),DR75)))))))))),0)</f>
        <v>0</v>
      </c>
      <c r="DS39" s="1997">
        <f>IFERROR(
IF(テーブル!$B$3="交付申請",DS75,
IF(AND(テーブル!$B$3="変更申請",DS$26=0),0,
IF(AND(テーブル!$B$3="変更申請",DS$26&gt;=1),DS75,
IF(テーブル!$B$3="実績報告（１次）",DS75,
IF(AND(テーブル!$B$3="交付申請（２次）",DS$26=0),0,
IF(AND(テーブル!$B$3="交付申請（２次）",DS$26&gt;=1),DS75,
IF(AND(テーブル!$B$3="交付申請兼実績報告（２次）",DS$26=0),0,
IF(AND(テーブル!$B$3="交付申請兼実績報告（２次）",DS$26&gt;=1),DS75,
IF(AND(テーブル!$B$3="実績報告（２次）",DS$26=0),0,
IF(AND(テーブル!$B$3="実績報告（２次）",DS$26&gt;=1),DS75)))))))))),0)</f>
        <v>0</v>
      </c>
      <c r="DT39" s="1997">
        <f>IFERROR(
IF(テーブル!$B$3="交付申請",DT75,
IF(AND(テーブル!$B$3="変更申請",DT$26=0),0,
IF(AND(テーブル!$B$3="変更申請",DT$26&gt;=1),DT75,
IF(テーブル!$B$3="実績報告（１次）",DT75,
IF(AND(テーブル!$B$3="交付申請（２次）",DT$26=0),0,
IF(AND(テーブル!$B$3="交付申請（２次）",DT$26&gt;=1),DT75,
IF(AND(テーブル!$B$3="交付申請兼実績報告（２次）",DT$26=0),0,
IF(AND(テーブル!$B$3="交付申請兼実績報告（２次）",DT$26&gt;=1),DT75,
IF(AND(テーブル!$B$3="実績報告（２次）",DT$26=0),0,
IF(AND(テーブル!$B$3="実績報告（２次）",DT$26&gt;=1),DT75)))))))))),0)</f>
        <v>0</v>
      </c>
      <c r="DU39" s="1997">
        <f>IFERROR(
IF(テーブル!$B$3="交付申請",DU75,
IF(AND(テーブル!$B$3="変更申請",DU$26=0),0,
IF(AND(テーブル!$B$3="変更申請",DU$26&gt;=1),DU75,
IF(テーブル!$B$3="実績報告（１次）",DU75,
IF(AND(テーブル!$B$3="交付申請（２次）",DU$26=0),0,
IF(AND(テーブル!$B$3="交付申請（２次）",DU$26&gt;=1),DU75,
IF(AND(テーブル!$B$3="交付申請兼実績報告（２次）",DU$26=0),0,
IF(AND(テーブル!$B$3="交付申請兼実績報告（２次）",DU$26&gt;=1),DU75,
IF(AND(テーブル!$B$3="実績報告（２次）",DU$26=0),0,
IF(AND(テーブル!$B$3="実績報告（２次）",DU$26&gt;=1),DU75)))))))))),0)</f>
        <v>0</v>
      </c>
      <c r="DV39" s="1997">
        <f>IFERROR(
IF(テーブル!$B$3="交付申請",DV75,
IF(AND(テーブル!$B$3="変更申請",DV$26=0),0,
IF(AND(テーブル!$B$3="変更申請",DV$26&gt;=1),DV75,
IF(テーブル!$B$3="実績報告（１次）",DV75,
IF(AND(テーブル!$B$3="交付申請（２次）",DV$26=0),0,
IF(AND(テーブル!$B$3="交付申請（２次）",DV$26&gt;=1),DV75,
IF(AND(テーブル!$B$3="交付申請兼実績報告（２次）",DV$26=0),0,
IF(AND(テーブル!$B$3="交付申請兼実績報告（２次）",DV$26&gt;=1),DV75,
IF(AND(テーブル!$B$3="実績報告（２次）",DV$26=0),0,
IF(AND(テーブル!$B$3="実績報告（２次）",DV$26&gt;=1),DV75)))))))))),0)</f>
        <v>0</v>
      </c>
      <c r="DW39" s="1997">
        <f>IFERROR(
IF(テーブル!$B$3="交付申請",DW75,
IF(AND(テーブル!$B$3="変更申請",DW$26=0),0,
IF(AND(テーブル!$B$3="変更申請",DW$26&gt;=1),DW75,
IF(テーブル!$B$3="実績報告（１次）",DW75,
IF(AND(テーブル!$B$3="交付申請（２次）",DW$26=0),0,
IF(AND(テーブル!$B$3="交付申請（２次）",DW$26&gt;=1),DW75,
IF(AND(テーブル!$B$3="交付申請兼実績報告（２次）",DW$26=0),0,
IF(AND(テーブル!$B$3="交付申請兼実績報告（２次）",DW$26&gt;=1),DW75,
IF(AND(テーブル!$B$3="実績報告（２次）",DW$26=0),0,
IF(AND(テーブル!$B$3="実績報告（２次）",DW$26&gt;=1),DW75)))))))))),0)</f>
        <v>0</v>
      </c>
      <c r="DX39" s="1997">
        <f>IFERROR(
IF(テーブル!$B$3="交付申請",DX75,
IF(AND(テーブル!$B$3="変更申請",DX$26=0),0,
IF(AND(テーブル!$B$3="変更申請",DX$26&gt;=1),DX75,
IF(テーブル!$B$3="実績報告（１次）",DX75,
IF(AND(テーブル!$B$3="交付申請（２次）",DX$26=0),0,
IF(AND(テーブル!$B$3="交付申請（２次）",DX$26&gt;=1),DX75,
IF(AND(テーブル!$B$3="交付申請兼実績報告（２次）",DX$26=0),0,
IF(AND(テーブル!$B$3="交付申請兼実績報告（２次）",DX$26&gt;=1),DX75,
IF(AND(テーブル!$B$3="実績報告（２次）",DX$26=0),0,
IF(AND(テーブル!$B$3="実績報告（２次）",DX$26&gt;=1),DX75)))))))))),0)</f>
        <v>0</v>
      </c>
      <c r="DY39" s="1997">
        <f>IFERROR(
IF(テーブル!$B$3="交付申請",DY75,
IF(AND(テーブル!$B$3="変更申請",DY$26=0),0,
IF(AND(テーブル!$B$3="変更申請",DY$26&gt;=1),DY75,
IF(テーブル!$B$3="実績報告（１次）",DY75,
IF(AND(テーブル!$B$3="交付申請（２次）",DY$26=0),0,
IF(AND(テーブル!$B$3="交付申請（２次）",DY$26&gt;=1),DY75,
IF(AND(テーブル!$B$3="交付申請兼実績報告（２次）",DY$26=0),0,
IF(AND(テーブル!$B$3="交付申請兼実績報告（２次）",DY$26&gt;=1),DY75,
IF(AND(テーブル!$B$3="実績報告（２次）",DY$26=0),0,
IF(AND(テーブル!$B$3="実績報告（２次）",DY$26&gt;=1),DY75)))))))))),0)</f>
        <v>0</v>
      </c>
      <c r="DZ39" s="1997">
        <f>IFERROR(
IF(テーブル!$B$3="交付申請",DZ75,
IF(AND(テーブル!$B$3="変更申請",DZ$26=0),0,
IF(AND(テーブル!$B$3="変更申請",DZ$26&gt;=1),DZ75,
IF(テーブル!$B$3="実績報告（１次）",DZ75,
IF(AND(テーブル!$B$3="交付申請（２次）",DZ$26=0),0,
IF(AND(テーブル!$B$3="交付申請（２次）",DZ$26&gt;=1),DZ75,
IF(AND(テーブル!$B$3="交付申請兼実績報告（２次）",DZ$26=0),0,
IF(AND(テーブル!$B$3="交付申請兼実績報告（２次）",DZ$26&gt;=1),DZ75,
IF(AND(テーブル!$B$3="実績報告（２次）",DZ$26=0),0,
IF(AND(テーブル!$B$3="実績報告（２次）",DZ$26&gt;=1),DZ75)))))))))),0)</f>
        <v>0</v>
      </c>
      <c r="EA39" s="1997">
        <f>IFERROR(
IF(テーブル!$B$3="交付申請",EA75,
IF(AND(テーブル!$B$3="変更申請",EA$26=0),0,
IF(AND(テーブル!$B$3="変更申請",EA$26&gt;=1),EA75,
IF(テーブル!$B$3="実績報告（１次）",EA75,
IF(AND(テーブル!$B$3="交付申請（２次）",EA$26=0),0,
IF(AND(テーブル!$B$3="交付申請（２次）",EA$26&gt;=1),EA75,
IF(AND(テーブル!$B$3="交付申請兼実績報告（２次）",EA$26=0),0,
IF(AND(テーブル!$B$3="交付申請兼実績報告（２次）",EA$26&gt;=1),EA75,
IF(AND(テーブル!$B$3="実績報告（２次）",EA$26=0),0,
IF(AND(テーブル!$B$3="実績報告（２次）",EA$26&gt;=1),EA75)))))))))),0)</f>
        <v>0</v>
      </c>
      <c r="EB39" s="1997">
        <f>IFERROR(
IF(テーブル!$B$3="交付申請",EB75,
IF(AND(テーブル!$B$3="変更申請",EB$26=0),0,
IF(AND(テーブル!$B$3="変更申請",EB$26&gt;=1),EB75,
IF(テーブル!$B$3="実績報告（１次）",EB75,
IF(AND(テーブル!$B$3="交付申請（２次）",EB$26=0),0,
IF(AND(テーブル!$B$3="交付申請（２次）",EB$26&gt;=1),EB75,
IF(AND(テーブル!$B$3="交付申請兼実績報告（２次）",EB$26=0),0,
IF(AND(テーブル!$B$3="交付申請兼実績報告（２次）",EB$26&gt;=1),EB75,
IF(AND(テーブル!$B$3="実績報告（２次）",EB$26=0),0,
IF(AND(テーブル!$B$3="実績報告（２次）",EB$26&gt;=1),EB75)))))))))),0)</f>
        <v>0</v>
      </c>
      <c r="EC39" s="1997">
        <f>IFERROR(
IF(テーブル!$B$3="交付申請",EC75,
IF(AND(テーブル!$B$3="変更申請",EC$26=0),0,
IF(AND(テーブル!$B$3="変更申請",EC$26&gt;=1),EC75,
IF(テーブル!$B$3="実績報告（１次）",EC75,
IF(AND(テーブル!$B$3="交付申請（２次）",EC$26=0),0,
IF(AND(テーブル!$B$3="交付申請（２次）",EC$26&gt;=1),EC75,
IF(AND(テーブル!$B$3="交付申請兼実績報告（２次）",EC$26=0),0,
IF(AND(テーブル!$B$3="交付申請兼実績報告（２次）",EC$26&gt;=1),EC75,
IF(AND(テーブル!$B$3="実績報告（２次）",EC$26=0),0,
IF(AND(テーブル!$B$3="実績報告（２次）",EC$26&gt;=1),EC75)))))))))),0)</f>
        <v>0</v>
      </c>
      <c r="ED39" s="1997">
        <f>IFERROR(
IF(テーブル!$B$3="交付申請",ED75,
IF(AND(テーブル!$B$3="変更申請",ED$26=0),0,
IF(AND(テーブル!$B$3="変更申請",ED$26&gt;=1),ED75,
IF(テーブル!$B$3="実績報告（１次）",ED75,
IF(AND(テーブル!$B$3="交付申請（２次）",ED$26=0),0,
IF(AND(テーブル!$B$3="交付申請（２次）",ED$26&gt;=1),ED75,
IF(AND(テーブル!$B$3="交付申請兼実績報告（２次）",ED$26=0),0,
IF(AND(テーブル!$B$3="交付申請兼実績報告（２次）",ED$26&gt;=1),ED75,
IF(AND(テーブル!$B$3="実績報告（２次）",ED$26=0),0,
IF(AND(テーブル!$B$3="実績報告（２次）",ED$26&gt;=1),ED75)))))))))),0)</f>
        <v>0</v>
      </c>
      <c r="EE39" s="1997">
        <f>IFERROR(
IF(テーブル!$B$3="交付申請",EE75,
IF(AND(テーブル!$B$3="変更申請",EE$26=0),0,
IF(AND(テーブル!$B$3="変更申請",EE$26&gt;=1),EE75,
IF(テーブル!$B$3="実績報告（１次）",EE75,
IF(AND(テーブル!$B$3="交付申請（２次）",EE$26=0),0,
IF(AND(テーブル!$B$3="交付申請（２次）",EE$26&gt;=1),EE75,
IF(AND(テーブル!$B$3="交付申請兼実績報告（２次）",EE$26=0),0,
IF(AND(テーブル!$B$3="交付申請兼実績報告（２次）",EE$26&gt;=1),EE75,
IF(AND(テーブル!$B$3="実績報告（２次）",EE$26=0),0,
IF(AND(テーブル!$B$3="実績報告（２次）",EE$26&gt;=1),EE75)))))))))),0)</f>
        <v>0</v>
      </c>
      <c r="EF39" s="1997">
        <f>IFERROR(
IF(テーブル!$B$3="交付申請",EF75,
IF(AND(テーブル!$B$3="変更申請",EF$26=0),0,
IF(AND(テーブル!$B$3="変更申請",EF$26&gt;=1),EF75,
IF(テーブル!$B$3="実績報告（１次）",EF75,
IF(AND(テーブル!$B$3="交付申請（２次）",EF$26=0),0,
IF(AND(テーブル!$B$3="交付申請（２次）",EF$26&gt;=1),EF75,
IF(AND(テーブル!$B$3="交付申請兼実績報告（２次）",EF$26=0),0,
IF(AND(テーブル!$B$3="交付申請兼実績報告（２次）",EF$26&gt;=1),EF75,
IF(AND(テーブル!$B$3="実績報告（２次）",EF$26=0),0,
IF(AND(テーブル!$B$3="実績報告（２次）",EF$26&gt;=1),EF75)))))))))),0)</f>
        <v>0</v>
      </c>
      <c r="EG39" s="1997">
        <f>IFERROR(
IF(テーブル!$B$3="交付申請",EG75,
IF(AND(テーブル!$B$3="変更申請",EG$26=0),0,
IF(AND(テーブル!$B$3="変更申請",EG$26&gt;=1),EG75,
IF(テーブル!$B$3="実績報告（１次）",EG75,
IF(AND(テーブル!$B$3="交付申請（２次）",EG$26=0),0,
IF(AND(テーブル!$B$3="交付申請（２次）",EG$26&gt;=1),EG75,
IF(AND(テーブル!$B$3="交付申請兼実績報告（２次）",EG$26=0),0,
IF(AND(テーブル!$B$3="交付申請兼実績報告（２次）",EG$26&gt;=1),EG75,
IF(AND(テーブル!$B$3="実績報告（２次）",EG$26=0),0,
IF(AND(テーブル!$B$3="実績報告（２次）",EG$26&gt;=1),EG75)))))))))),0)</f>
        <v>0</v>
      </c>
      <c r="EH39" s="1997">
        <f>IFERROR(
IF(テーブル!$B$3="交付申請",EH75,
IF(AND(テーブル!$B$3="変更申請",EH$26=0),0,
IF(AND(テーブル!$B$3="変更申請",EH$26&gt;=1),EH75,
IF(テーブル!$B$3="実績報告（１次）",EH75,
IF(AND(テーブル!$B$3="交付申請（２次）",EH$26=0),0,
IF(AND(テーブル!$B$3="交付申請（２次）",EH$26&gt;=1),EH75,
IF(AND(テーブル!$B$3="交付申請兼実績報告（２次）",EH$26=0),0,
IF(AND(テーブル!$B$3="交付申請兼実績報告（２次）",EH$26&gt;=1),EH75,
IF(AND(テーブル!$B$3="実績報告（２次）",EH$26=0),0,
IF(AND(テーブル!$B$3="実績報告（２次）",EH$26&gt;=1),EH75)))))))))),0)</f>
        <v>0</v>
      </c>
      <c r="EI39" s="1997">
        <f>IFERROR(
IF(テーブル!$B$3="交付申請",EI75,
IF(AND(テーブル!$B$3="変更申請",EI$26=0),0,
IF(AND(テーブル!$B$3="変更申請",EI$26&gt;=1),EI75,
IF(テーブル!$B$3="実績報告（１次）",EI75,
IF(AND(テーブル!$B$3="交付申請（２次）",EI$26=0),0,
IF(AND(テーブル!$B$3="交付申請（２次）",EI$26&gt;=1),EI75,
IF(AND(テーブル!$B$3="交付申請兼実績報告（２次）",EI$26=0),0,
IF(AND(テーブル!$B$3="交付申請兼実績報告（２次）",EI$26&gt;=1),EI75,
IF(AND(テーブル!$B$3="実績報告（２次）",EI$26=0),0,
IF(AND(テーブル!$B$3="実績報告（２次）",EI$26&gt;=1),EI75)))))))))),0)</f>
        <v>0</v>
      </c>
      <c r="EJ39" s="1997">
        <f>IFERROR(
IF(テーブル!$B$3="交付申請",EJ75,
IF(AND(テーブル!$B$3="変更申請",EJ$26=0),0,
IF(AND(テーブル!$B$3="変更申請",EJ$26&gt;=1),EJ75,
IF(テーブル!$B$3="実績報告（１次）",EJ75,
IF(AND(テーブル!$B$3="交付申請（２次）",EJ$26=0),0,
IF(AND(テーブル!$B$3="交付申請（２次）",EJ$26&gt;=1),EJ75,
IF(AND(テーブル!$B$3="交付申請兼実績報告（２次）",EJ$26=0),0,
IF(AND(テーブル!$B$3="交付申請兼実績報告（２次）",EJ$26&gt;=1),EJ75,
IF(AND(テーブル!$B$3="実績報告（２次）",EJ$26=0),0,
IF(AND(テーブル!$B$3="実績報告（２次）",EJ$26&gt;=1),EJ75)))))))))),0)</f>
        <v>0</v>
      </c>
      <c r="EK39" s="1997">
        <f>IFERROR(
IF(テーブル!$B$3="交付申請",EK75,
IF(AND(テーブル!$B$3="変更申請",EK$26=0),0,
IF(AND(テーブル!$B$3="変更申請",EK$26&gt;=1),EK75,
IF(テーブル!$B$3="実績報告（１次）",EK75,
IF(AND(テーブル!$B$3="交付申請（２次）",EK$26=0),0,
IF(AND(テーブル!$B$3="交付申請（２次）",EK$26&gt;=1),EK75,
IF(AND(テーブル!$B$3="交付申請兼実績報告（２次）",EK$26=0),0,
IF(AND(テーブル!$B$3="交付申請兼実績報告（２次）",EK$26&gt;=1),EK75,
IF(AND(テーブル!$B$3="実績報告（２次）",EK$26=0),0,
IF(AND(テーブル!$B$3="実績報告（２次）",EK$26&gt;=1),EK75)))))))))),0)</f>
        <v>0</v>
      </c>
      <c r="EL39" s="1997">
        <f>IFERROR(
IF(テーブル!$B$3="交付申請",EL75,
IF(AND(テーブル!$B$3="変更申請",EL$26=0),0,
IF(AND(テーブル!$B$3="変更申請",EL$26&gt;=1),EL75,
IF(テーブル!$B$3="実績報告（１次）",EL75,
IF(AND(テーブル!$B$3="交付申請（２次）",EL$26=0),0,
IF(AND(テーブル!$B$3="交付申請（２次）",EL$26&gt;=1),EL75,
IF(AND(テーブル!$B$3="交付申請兼実績報告（２次）",EL$26=0),0,
IF(AND(テーブル!$B$3="交付申請兼実績報告（２次）",EL$26&gt;=1),EL75,
IF(AND(テーブル!$B$3="実績報告（２次）",EL$26=0),0,
IF(AND(テーブル!$B$3="実績報告（２次）",EL$26&gt;=1),EL75)))))))))),0)</f>
        <v>0</v>
      </c>
      <c r="EM39" s="1997">
        <f>IFERROR(
IF(テーブル!$B$3="交付申請",EM75,
IF(AND(テーブル!$B$3="変更申請",EM$26=0),0,
IF(AND(テーブル!$B$3="変更申請",EM$26&gt;=1),EM75,
IF(テーブル!$B$3="実績報告（１次）",EM75,
IF(AND(テーブル!$B$3="交付申請（２次）",EM$26=0),0,
IF(AND(テーブル!$B$3="交付申請（２次）",EM$26&gt;=1),EM75,
IF(AND(テーブル!$B$3="交付申請兼実績報告（２次）",EM$26=0),0,
IF(AND(テーブル!$B$3="交付申請兼実績報告（２次）",EM$26&gt;=1),EM75,
IF(AND(テーブル!$B$3="実績報告（２次）",EM$26=0),0,
IF(AND(テーブル!$B$3="実績報告（２次）",EM$26&gt;=1),EM75)))))))))),0)</f>
        <v>0</v>
      </c>
      <c r="EN39" s="1997">
        <f>IFERROR(
IF(テーブル!$B$3="交付申請",EN75,
IF(AND(テーブル!$B$3="変更申請",EN$26=0),0,
IF(AND(テーブル!$B$3="変更申請",EN$26&gt;=1),EN75,
IF(テーブル!$B$3="実績報告（１次）",EN75,
IF(AND(テーブル!$B$3="交付申請（２次）",EN$26=0),0,
IF(AND(テーブル!$B$3="交付申請（２次）",EN$26&gt;=1),EN75,
IF(AND(テーブル!$B$3="交付申請兼実績報告（２次）",EN$26=0),0,
IF(AND(テーブル!$B$3="交付申請兼実績報告（２次）",EN$26&gt;=1),EN75,
IF(AND(テーブル!$B$3="実績報告（２次）",EN$26=0),0,
IF(AND(テーブル!$B$3="実績報告（２次）",EN$26&gt;=1),EN75)))))))))),0)</f>
        <v>0</v>
      </c>
      <c r="EO39" s="1997">
        <f>IFERROR(
IF(テーブル!$B$3="交付申請",EO75,
IF(AND(テーブル!$B$3="変更申請",EO$26=0),0,
IF(AND(テーブル!$B$3="変更申請",EO$26&gt;=1),EO75,
IF(テーブル!$B$3="実績報告（１次）",EO75,
IF(AND(テーブル!$B$3="交付申請（２次）",EO$26=0),0,
IF(AND(テーブル!$B$3="交付申請（２次）",EO$26&gt;=1),EO75,
IF(AND(テーブル!$B$3="交付申請兼実績報告（２次）",EO$26=0),0,
IF(AND(テーブル!$B$3="交付申請兼実績報告（２次）",EO$26&gt;=1),EO75,
IF(AND(テーブル!$B$3="実績報告（２次）",EO$26=0),0,
IF(AND(テーブル!$B$3="実績報告（２次）",EO$26&gt;=1),EO75)))))))))),0)</f>
        <v>0</v>
      </c>
      <c r="EP39" s="1997">
        <f>IFERROR(
IF(テーブル!$B$3="交付申請",EP75,
IF(AND(テーブル!$B$3="変更申請",EP$26=0),0,
IF(AND(テーブル!$B$3="変更申請",EP$26&gt;=1),EP75,
IF(テーブル!$B$3="実績報告（１次）",EP75,
IF(AND(テーブル!$B$3="交付申請（２次）",EP$26=0),0,
IF(AND(テーブル!$B$3="交付申請（２次）",EP$26&gt;=1),EP75,
IF(AND(テーブル!$B$3="交付申請兼実績報告（２次）",EP$26=0),0,
IF(AND(テーブル!$B$3="交付申請兼実績報告（２次）",EP$26&gt;=1),EP75,
IF(AND(テーブル!$B$3="実績報告（２次）",EP$26=0),0,
IF(AND(テーブル!$B$3="実績報告（２次）",EP$26&gt;=1),EP75)))))))))),0)</f>
        <v>0</v>
      </c>
      <c r="EQ39" s="1997">
        <f>IFERROR(
IF(テーブル!$B$3="交付申請",EQ75,
IF(AND(テーブル!$B$3="変更申請",EQ$26=0),0,
IF(AND(テーブル!$B$3="変更申請",EQ$26&gt;=1),EQ75,
IF(テーブル!$B$3="実績報告（１次）",EQ75,
IF(AND(テーブル!$B$3="交付申請（２次）",EQ$26=0),0,
IF(AND(テーブル!$B$3="交付申請（２次）",EQ$26&gt;=1),EQ75,
IF(AND(テーブル!$B$3="交付申請兼実績報告（２次）",EQ$26=0),0,
IF(AND(テーブル!$B$3="交付申請兼実績報告（２次）",EQ$26&gt;=1),EQ75,
IF(AND(テーブル!$B$3="実績報告（２次）",EQ$26=0),0,
IF(AND(テーブル!$B$3="実績報告（２次）",EQ$26&gt;=1),EQ75)))))))))),0)</f>
        <v>0</v>
      </c>
      <c r="ER39" s="1997">
        <f>IFERROR(
IF(テーブル!$B$3="交付申請",ER75,
IF(AND(テーブル!$B$3="変更申請",ER$26=0),0,
IF(AND(テーブル!$B$3="変更申請",ER$26&gt;=1),ER75,
IF(テーブル!$B$3="実績報告（１次）",ER75,
IF(AND(テーブル!$B$3="交付申請（２次）",ER$26=0),0,
IF(AND(テーブル!$B$3="交付申請（２次）",ER$26&gt;=1),ER75,
IF(AND(テーブル!$B$3="交付申請兼実績報告（２次）",ER$26=0),0,
IF(AND(テーブル!$B$3="交付申請兼実績報告（２次）",ER$26&gt;=1),ER75,
IF(AND(テーブル!$B$3="実績報告（２次）",ER$26=0),0,
IF(AND(テーブル!$B$3="実績報告（２次）",ER$26&gt;=1),ER75)))))))))),0)</f>
        <v>0</v>
      </c>
      <c r="ES39" s="1997">
        <f>IFERROR(
IF(テーブル!$B$3="交付申請",ES75,
IF(AND(テーブル!$B$3="変更申請",ES$26=0),0,
IF(AND(テーブル!$B$3="変更申請",ES$26&gt;=1),ES75,
IF(テーブル!$B$3="実績報告（１次）",ES75,
IF(AND(テーブル!$B$3="交付申請（２次）",ES$26=0),0,
IF(AND(テーブル!$B$3="交付申請（２次）",ES$26&gt;=1),ES75,
IF(AND(テーブル!$B$3="交付申請兼実績報告（２次）",ES$26=0),0,
IF(AND(テーブル!$B$3="交付申請兼実績報告（２次）",ES$26&gt;=1),ES75,
IF(AND(テーブル!$B$3="実績報告（２次）",ES$26=0),0,
IF(AND(テーブル!$B$3="実績報告（２次）",ES$26&gt;=1),ES75)))))))))),0)</f>
        <v>0</v>
      </c>
      <c r="ET39" s="1997">
        <f>IFERROR(
IF(テーブル!$B$3="交付申請",ET75,
IF(AND(テーブル!$B$3="変更申請",ET$26=0),0,
IF(AND(テーブル!$B$3="変更申請",ET$26&gt;=1),ET75,
IF(テーブル!$B$3="実績報告（１次）",ET75,
IF(AND(テーブル!$B$3="交付申請（２次）",ET$26=0),0,
IF(AND(テーブル!$B$3="交付申請（２次）",ET$26&gt;=1),ET75,
IF(AND(テーブル!$B$3="交付申請兼実績報告（２次）",ET$26=0),0,
IF(AND(テーブル!$B$3="交付申請兼実績報告（２次）",ET$26&gt;=1),ET75,
IF(AND(テーブル!$B$3="実績報告（２次）",ET$26=0),0,
IF(AND(テーブル!$B$3="実績報告（２次）",ET$26&gt;=1),ET75)))))))))),0)</f>
        <v>0</v>
      </c>
      <c r="EU39" s="1997">
        <f>IFERROR(
IF(テーブル!$B$3="交付申請",EU75,
IF(AND(テーブル!$B$3="変更申請",EU$26=0),0,
IF(AND(テーブル!$B$3="変更申請",EU$26&gt;=1),EU75,
IF(テーブル!$B$3="実績報告（１次）",EU75,
IF(AND(テーブル!$B$3="交付申請（２次）",EU$26=0),0,
IF(AND(テーブル!$B$3="交付申請（２次）",EU$26&gt;=1),EU75,
IF(AND(テーブル!$B$3="交付申請兼実績報告（２次）",EU$26=0),0,
IF(AND(テーブル!$B$3="交付申請兼実績報告（２次）",EU$26&gt;=1),EU75,
IF(AND(テーブル!$B$3="実績報告（２次）",EU$26=0),0,
IF(AND(テーブル!$B$3="実績報告（２次）",EU$26&gt;=1),EU75)))))))))),0)</f>
        <v>0</v>
      </c>
      <c r="EV39" s="1997">
        <f>IFERROR(
IF(テーブル!$B$3="交付申請",EV75,
IF(AND(テーブル!$B$3="変更申請",EV$26=0),0,
IF(AND(テーブル!$B$3="変更申請",EV$26&gt;=1),EV75,
IF(テーブル!$B$3="実績報告（１次）",EV75,
IF(AND(テーブル!$B$3="交付申請（２次）",EV$26=0),0,
IF(AND(テーブル!$B$3="交付申請（２次）",EV$26&gt;=1),EV75,
IF(AND(テーブル!$B$3="交付申請兼実績報告（２次）",EV$26=0),0,
IF(AND(テーブル!$B$3="交付申請兼実績報告（２次）",EV$26&gt;=1),EV75,
IF(AND(テーブル!$B$3="実績報告（２次）",EV$26=0),0,
IF(AND(テーブル!$B$3="実績報告（２次）",EV$26&gt;=1),EV75)))))))))),0)</f>
        <v>0</v>
      </c>
      <c r="EW39" s="1997">
        <f>IFERROR(
IF(テーブル!$B$3="交付申請",EW75,
IF(AND(テーブル!$B$3="変更申請",EW$26=0),0,
IF(AND(テーブル!$B$3="変更申請",EW$26&gt;=1),EW75,
IF(テーブル!$B$3="実績報告（１次）",EW75,
IF(AND(テーブル!$B$3="交付申請（２次）",EW$26=0),0,
IF(AND(テーブル!$B$3="交付申請（２次）",EW$26&gt;=1),EW75,
IF(AND(テーブル!$B$3="交付申請兼実績報告（２次）",EW$26=0),0,
IF(AND(テーブル!$B$3="交付申請兼実績報告（２次）",EW$26&gt;=1),EW75,
IF(AND(テーブル!$B$3="実績報告（２次）",EW$26=0),0,
IF(AND(テーブル!$B$3="実績報告（２次）",EW$26&gt;=1),EW75)))))))))),0)</f>
        <v>0</v>
      </c>
      <c r="EX39" s="1997">
        <f>IFERROR(
IF(テーブル!$B$3="交付申請",EX75,
IF(AND(テーブル!$B$3="変更申請",EX$26=0),0,
IF(AND(テーブル!$B$3="変更申請",EX$26&gt;=1),EX75,
IF(テーブル!$B$3="実績報告（１次）",EX75,
IF(AND(テーブル!$B$3="交付申請（２次）",EX$26=0),0,
IF(AND(テーブル!$B$3="交付申請（２次）",EX$26&gt;=1),EX75,
IF(AND(テーブル!$B$3="交付申請兼実績報告（２次）",EX$26=0),0,
IF(AND(テーブル!$B$3="交付申請兼実績報告（２次）",EX$26&gt;=1),EX75,
IF(AND(テーブル!$B$3="実績報告（２次）",EX$26=0),0,
IF(AND(テーブル!$B$3="実績報告（２次）",EX$26&gt;=1),EX75)))))))))),0)</f>
        <v>0</v>
      </c>
      <c r="EY39" s="1997">
        <f>IFERROR(
IF(テーブル!$B$3="交付申請",EY75,
IF(AND(テーブル!$B$3="変更申請",EY$26=0),0,
IF(AND(テーブル!$B$3="変更申請",EY$26&gt;=1),EY75,
IF(テーブル!$B$3="実績報告（１次）",EY75,
IF(AND(テーブル!$B$3="交付申請（２次）",EY$26=0),0,
IF(AND(テーブル!$B$3="交付申請（２次）",EY$26&gt;=1),EY75,
IF(AND(テーブル!$B$3="交付申請兼実績報告（２次）",EY$26=0),0,
IF(AND(テーブル!$B$3="交付申請兼実績報告（２次）",EY$26&gt;=1),EY75,
IF(AND(テーブル!$B$3="実績報告（２次）",EY$26=0),0,
IF(AND(テーブル!$B$3="実績報告（２次）",EY$26&gt;=1),EY75)))))))))),0)</f>
        <v>0</v>
      </c>
      <c r="EZ39" s="1997">
        <f>IFERROR(
IF(テーブル!$B$3="交付申請",EZ75,
IF(AND(テーブル!$B$3="変更申請",EZ$26=0),0,
IF(AND(テーブル!$B$3="変更申請",EZ$26&gt;=1),EZ75,
IF(テーブル!$B$3="実績報告（１次）",EZ75,
IF(AND(テーブル!$B$3="交付申請（２次）",EZ$26=0),0,
IF(AND(テーブル!$B$3="交付申請（２次）",EZ$26&gt;=1),EZ75,
IF(AND(テーブル!$B$3="交付申請兼実績報告（２次）",EZ$26=0),0,
IF(AND(テーブル!$B$3="交付申請兼実績報告（２次）",EZ$26&gt;=1),EZ75,
IF(AND(テーブル!$B$3="実績報告（２次）",EZ$26=0),0,
IF(AND(テーブル!$B$3="実績報告（２次）",EZ$26&gt;=1),EZ75)))))))))),0)</f>
        <v>0</v>
      </c>
      <c r="FA39" s="1997">
        <f>IFERROR(
IF(テーブル!$B$3="交付申請",FA75,
IF(AND(テーブル!$B$3="変更申請",FA$26=0),0,
IF(AND(テーブル!$B$3="変更申請",FA$26&gt;=1),FA75,
IF(テーブル!$B$3="実績報告（１次）",FA75,
IF(AND(テーブル!$B$3="交付申請（２次）",FA$26=0),0,
IF(AND(テーブル!$B$3="交付申請（２次）",FA$26&gt;=1),FA75,
IF(AND(テーブル!$B$3="交付申請兼実績報告（２次）",FA$26=0),0,
IF(AND(テーブル!$B$3="交付申請兼実績報告（２次）",FA$26&gt;=1),FA75,
IF(AND(テーブル!$B$3="実績報告（２次）",FA$26=0),0,
IF(AND(テーブル!$B$3="実績報告（２次）",FA$26&gt;=1),FA75)))))))))),0)</f>
        <v>0</v>
      </c>
      <c r="FB39" s="1997">
        <f>IFERROR(
IF(テーブル!$B$3="交付申請",FB75,
IF(AND(テーブル!$B$3="変更申請",FB$26=0),0,
IF(AND(テーブル!$B$3="変更申請",FB$26&gt;=1),FB75,
IF(テーブル!$B$3="実績報告（１次）",FB75,
IF(AND(テーブル!$B$3="交付申請（２次）",FB$26=0),0,
IF(AND(テーブル!$B$3="交付申請（２次）",FB$26&gt;=1),FB75,
IF(AND(テーブル!$B$3="交付申請兼実績報告（２次）",FB$26=0),0,
IF(AND(テーブル!$B$3="交付申請兼実績報告（２次）",FB$26&gt;=1),FB75,
IF(AND(テーブル!$B$3="実績報告（２次）",FB$26=0),0,
IF(AND(テーブル!$B$3="実績報告（２次）",FB$26&gt;=1),FB75)))))))))),0)</f>
        <v>0</v>
      </c>
      <c r="FC39" s="1997">
        <f>IFERROR(
IF(テーブル!$B$3="交付申請",FC75,
IF(AND(テーブル!$B$3="変更申請",FC$26=0),0,
IF(AND(テーブル!$B$3="変更申請",FC$26&gt;=1),FC75,
IF(テーブル!$B$3="実績報告（１次）",FC75,
IF(AND(テーブル!$B$3="交付申請（２次）",FC$26=0),0,
IF(AND(テーブル!$B$3="交付申請（２次）",FC$26&gt;=1),FC75,
IF(AND(テーブル!$B$3="交付申請兼実績報告（２次）",FC$26=0),0,
IF(AND(テーブル!$B$3="交付申請兼実績報告（２次）",FC$26&gt;=1),FC75,
IF(AND(テーブル!$B$3="実績報告（２次）",FC$26=0),0,
IF(AND(テーブル!$B$3="実績報告（２次）",FC$26&gt;=1),FC75)))))))))),0)</f>
        <v>0</v>
      </c>
      <c r="FD39" s="1997">
        <f>IFERROR(
IF(テーブル!$B$3="交付申請",FD75,
IF(AND(テーブル!$B$3="変更申請",FD$26=0),0,
IF(AND(テーブル!$B$3="変更申請",FD$26&gt;=1),FD75,
IF(テーブル!$B$3="実績報告（１次）",FD75,
IF(AND(テーブル!$B$3="交付申請（２次）",FD$26=0),0,
IF(AND(テーブル!$B$3="交付申請（２次）",FD$26&gt;=1),FD75,
IF(AND(テーブル!$B$3="交付申請兼実績報告（２次）",FD$26=0),0,
IF(AND(テーブル!$B$3="交付申請兼実績報告（２次）",FD$26&gt;=1),FD75,
IF(AND(テーブル!$B$3="実績報告（２次）",FD$26=0),0,
IF(AND(テーブル!$B$3="実績報告（２次）",FD$26&gt;=1),FD75)))))))))),0)</f>
        <v>0</v>
      </c>
      <c r="FE39" s="1997">
        <f>IFERROR(
IF(テーブル!$B$3="交付申請",FE75,
IF(AND(テーブル!$B$3="変更申請",FE$26=0),0,
IF(AND(テーブル!$B$3="変更申請",FE$26&gt;=1),FE75,
IF(テーブル!$B$3="実績報告（１次）",FE75,
IF(AND(テーブル!$B$3="交付申請（２次）",FE$26=0),0,
IF(AND(テーブル!$B$3="交付申請（２次）",FE$26&gt;=1),FE75,
IF(AND(テーブル!$B$3="交付申請兼実績報告（２次）",FE$26=0),0,
IF(AND(テーブル!$B$3="交付申請兼実績報告（２次）",FE$26&gt;=1),FE75,
IF(AND(テーブル!$B$3="実績報告（２次）",FE$26=0),0,
IF(AND(テーブル!$B$3="実績報告（２次）",FE$26&gt;=1),FE75)))))))))),0)</f>
        <v>0</v>
      </c>
      <c r="FF39" s="1997">
        <f>IFERROR(
IF(テーブル!$B$3="交付申請",FF75,
IF(AND(テーブル!$B$3="変更申請",FF$26=0),0,
IF(AND(テーブル!$B$3="変更申請",FF$26&gt;=1),FF75,
IF(テーブル!$B$3="実績報告（１次）",FF75,
IF(AND(テーブル!$B$3="交付申請（２次）",FF$26=0),0,
IF(AND(テーブル!$B$3="交付申請（２次）",FF$26&gt;=1),FF75,
IF(AND(テーブル!$B$3="交付申請兼実績報告（２次）",FF$26=0),0,
IF(AND(テーブル!$B$3="交付申請兼実績報告（２次）",FF$26&gt;=1),FF75,
IF(AND(テーブル!$B$3="実績報告（２次）",FF$26=0),0,
IF(AND(テーブル!$B$3="実績報告（２次）",FF$26&gt;=1),FF75)))))))))),0)</f>
        <v>0</v>
      </c>
      <c r="FG39" s="1997">
        <f>IFERROR(
IF(テーブル!$B$3="交付申請",FG75,
IF(AND(テーブル!$B$3="変更申請",FG$26=0),0,
IF(AND(テーブル!$B$3="変更申請",FG$26&gt;=1),FG75,
IF(テーブル!$B$3="実績報告（１次）",FG75,
IF(AND(テーブル!$B$3="交付申請（２次）",FG$26=0),0,
IF(AND(テーブル!$B$3="交付申請（２次）",FG$26&gt;=1),FG75,
IF(AND(テーブル!$B$3="交付申請兼実績報告（２次）",FG$26=0),0,
IF(AND(テーブル!$B$3="交付申請兼実績報告（２次）",FG$26&gt;=1),FG75,
IF(AND(テーブル!$B$3="実績報告（２次）",FG$26=0),0,
IF(AND(テーブル!$B$3="実績報告（２次）",FG$26&gt;=1),FG75)))))))))),0)</f>
        <v>0</v>
      </c>
      <c r="FH39" s="1997">
        <f>IFERROR(
IF(テーブル!$B$3="交付申請",FH75,
IF(AND(テーブル!$B$3="変更申請",FH$26=0),0,
IF(AND(テーブル!$B$3="変更申請",FH$26&gt;=1),FH75,
IF(テーブル!$B$3="実績報告（１次）",FH75,
IF(AND(テーブル!$B$3="交付申請（２次）",FH$26=0),0,
IF(AND(テーブル!$B$3="交付申請（２次）",FH$26&gt;=1),FH75,
IF(AND(テーブル!$B$3="交付申請兼実績報告（２次）",FH$26=0),0,
IF(AND(テーブル!$B$3="交付申請兼実績報告（２次）",FH$26&gt;=1),FH75,
IF(AND(テーブル!$B$3="実績報告（２次）",FH$26=0),0,
IF(AND(テーブル!$B$3="実績報告（２次）",FH$26&gt;=1),FH75)))))))))),0)</f>
        <v>0</v>
      </c>
      <c r="FI39" s="1997">
        <f>IFERROR(
IF(テーブル!$B$3="交付申請",FI75,
IF(AND(テーブル!$B$3="変更申請",FI$26=0),0,
IF(AND(テーブル!$B$3="変更申請",FI$26&gt;=1),FI75,
IF(テーブル!$B$3="実績報告（１次）",FI75,
IF(AND(テーブル!$B$3="交付申請（２次）",FI$26=0),0,
IF(AND(テーブル!$B$3="交付申請（２次）",FI$26&gt;=1),FI75,
IF(AND(テーブル!$B$3="交付申請兼実績報告（２次）",FI$26=0),0,
IF(AND(テーブル!$B$3="交付申請兼実績報告（２次）",FI$26&gt;=1),FI75,
IF(AND(テーブル!$B$3="実績報告（２次）",FI$26=0),0,
IF(AND(テーブル!$B$3="実績報告（２次）",FI$26&gt;=1),FI75)))))))))),0)</f>
        <v>0</v>
      </c>
      <c r="FJ39" s="1997">
        <f>IFERROR(
IF(テーブル!$B$3="交付申請",FJ75,
IF(AND(テーブル!$B$3="変更申請",FJ$26=0),0,
IF(AND(テーブル!$B$3="変更申請",FJ$26&gt;=1),FJ75,
IF(テーブル!$B$3="実績報告（１次）",FJ75,
IF(AND(テーブル!$B$3="交付申請（２次）",FJ$26=0),0,
IF(AND(テーブル!$B$3="交付申請（２次）",FJ$26&gt;=1),FJ75,
IF(AND(テーブル!$B$3="交付申請兼実績報告（２次）",FJ$26=0),0,
IF(AND(テーブル!$B$3="交付申請兼実績報告（２次）",FJ$26&gt;=1),FJ75,
IF(AND(テーブル!$B$3="実績報告（２次）",FJ$26=0),0,
IF(AND(テーブル!$B$3="実績報告（２次）",FJ$26&gt;=1),FJ75)))))))))),0)</f>
        <v>0</v>
      </c>
      <c r="FK39" s="1997">
        <f>IFERROR(
IF(テーブル!$B$3="交付申請",FK75,
IF(AND(テーブル!$B$3="変更申請",FK$26=0),0,
IF(AND(テーブル!$B$3="変更申請",FK$26&gt;=1),FK75,
IF(テーブル!$B$3="実績報告（１次）",FK75,
IF(AND(テーブル!$B$3="交付申請（２次）",FK$26=0),0,
IF(AND(テーブル!$B$3="交付申請（２次）",FK$26&gt;=1),FK75,
IF(AND(テーブル!$B$3="交付申請兼実績報告（２次）",FK$26=0),0,
IF(AND(テーブル!$B$3="交付申請兼実績報告（２次）",FK$26&gt;=1),FK75,
IF(AND(テーブル!$B$3="実績報告（２次）",FK$26=0),0,
IF(AND(テーブル!$B$3="実績報告（２次）",FK$26&gt;=1),FK75)))))))))),0)</f>
        <v>0</v>
      </c>
      <c r="FL39" s="1997">
        <f>IFERROR(
IF(テーブル!$B$3="交付申請",FL75,
IF(AND(テーブル!$B$3="変更申請",FL$26=0),0,
IF(AND(テーブル!$B$3="変更申請",FL$26&gt;=1),FL75,
IF(テーブル!$B$3="実績報告（１次）",FL75,
IF(AND(テーブル!$B$3="交付申請（２次）",FL$26=0),0,
IF(AND(テーブル!$B$3="交付申請（２次）",FL$26&gt;=1),FL75,
IF(AND(テーブル!$B$3="交付申請兼実績報告（２次）",FL$26=0),0,
IF(AND(テーブル!$B$3="交付申請兼実績報告（２次）",FL$26&gt;=1),FL75,
IF(AND(テーブル!$B$3="実績報告（２次）",FL$26=0),0,
IF(AND(テーブル!$B$3="実績報告（２次）",FL$26&gt;=1),FL75)))))))))),0)</f>
        <v>0</v>
      </c>
      <c r="FM39" s="1997">
        <f>IFERROR(
IF(テーブル!$B$3="交付申請",FM75,
IF(AND(テーブル!$B$3="変更申請",FM$26=0),0,
IF(AND(テーブル!$B$3="変更申請",FM$26&gt;=1),FM75,
IF(テーブル!$B$3="実績報告（１次）",FM75,
IF(AND(テーブル!$B$3="交付申請（２次）",FM$26=0),0,
IF(AND(テーブル!$B$3="交付申請（２次）",FM$26&gt;=1),FM75,
IF(AND(テーブル!$B$3="交付申請兼実績報告（２次）",FM$26=0),0,
IF(AND(テーブル!$B$3="交付申請兼実績報告（２次）",FM$26&gt;=1),FM75,
IF(AND(テーブル!$B$3="実績報告（２次）",FM$26=0),0,
IF(AND(テーブル!$B$3="実績報告（２次）",FM$26&gt;=1),FM75)))))))))),0)</f>
        <v>0</v>
      </c>
      <c r="FN39" s="1997">
        <f>IFERROR(
IF(テーブル!$B$3="交付申請",FN75,
IF(AND(テーブル!$B$3="変更申請",FN$26=0),0,
IF(AND(テーブル!$B$3="変更申請",FN$26&gt;=1),FN75,
IF(テーブル!$B$3="実績報告（１次）",FN75,
IF(AND(テーブル!$B$3="交付申請（２次）",FN$26=0),0,
IF(AND(テーブル!$B$3="交付申請（２次）",FN$26&gt;=1),FN75,
IF(AND(テーブル!$B$3="交付申請兼実績報告（２次）",FN$26=0),0,
IF(AND(テーブル!$B$3="交付申請兼実績報告（２次）",FN$26&gt;=1),FN75,
IF(AND(テーブル!$B$3="実績報告（２次）",FN$26=0),0,
IF(AND(テーブル!$B$3="実績報告（２次）",FN$26&gt;=1),FN75)))))))))),0)</f>
        <v>0</v>
      </c>
      <c r="FO39" s="1997">
        <f>IFERROR(
IF(テーブル!$B$3="交付申請",FO75,
IF(AND(テーブル!$B$3="変更申請",FO$26=0),0,
IF(AND(テーブル!$B$3="変更申請",FO$26&gt;=1),FO75,
IF(テーブル!$B$3="実績報告（１次）",FO75,
IF(AND(テーブル!$B$3="交付申請（２次）",FO$26=0),0,
IF(AND(テーブル!$B$3="交付申請（２次）",FO$26&gt;=1),FO75,
IF(AND(テーブル!$B$3="交付申請兼実績報告（２次）",FO$26=0),0,
IF(AND(テーブル!$B$3="交付申請兼実績報告（２次）",FO$26&gt;=1),FO75,
IF(AND(テーブル!$B$3="実績報告（２次）",FO$26=0),0,
IF(AND(テーブル!$B$3="実績報告（２次）",FO$26&gt;=1),FO75)))))))))),0)</f>
        <v>0</v>
      </c>
      <c r="FP39" s="1997">
        <f>IFERROR(
IF(テーブル!$B$3="交付申請",FP75,
IF(AND(テーブル!$B$3="変更申請",FP$26=0),0,
IF(AND(テーブル!$B$3="変更申請",FP$26&gt;=1),FP75,
IF(テーブル!$B$3="実績報告（１次）",FP75,
IF(AND(テーブル!$B$3="交付申請（２次）",FP$26=0),0,
IF(AND(テーブル!$B$3="交付申請（２次）",FP$26&gt;=1),FP75,
IF(AND(テーブル!$B$3="交付申請兼実績報告（２次）",FP$26=0),0,
IF(AND(テーブル!$B$3="交付申請兼実績報告（２次）",FP$26&gt;=1),FP75,
IF(AND(テーブル!$B$3="実績報告（２次）",FP$26=0),0,
IF(AND(テーブル!$B$3="実績報告（２次）",FP$26&gt;=1),FP75)))))))))),0)</f>
        <v>0</v>
      </c>
      <c r="FQ39" s="1997">
        <f>IFERROR(
IF(テーブル!$B$3="交付申請",FQ75,
IF(AND(テーブル!$B$3="変更申請",FQ$26=0),0,
IF(AND(テーブル!$B$3="変更申請",FQ$26&gt;=1),FQ75,
IF(テーブル!$B$3="実績報告（１次）",FQ75,
IF(AND(テーブル!$B$3="交付申請（２次）",FQ$26=0),0,
IF(AND(テーブル!$B$3="交付申請（２次）",FQ$26&gt;=1),FQ75,
IF(AND(テーブル!$B$3="交付申請兼実績報告（２次）",FQ$26=0),0,
IF(AND(テーブル!$B$3="交付申請兼実績報告（２次）",FQ$26&gt;=1),FQ75,
IF(AND(テーブル!$B$3="実績報告（２次）",FQ$26=0),0,
IF(AND(テーブル!$B$3="実績報告（２次）",FQ$26&gt;=1),FQ75)))))))))),0)</f>
        <v>0</v>
      </c>
      <c r="FR39" s="1997">
        <f>IFERROR(
IF(テーブル!$B$3="交付申請",FR75,
IF(AND(テーブル!$B$3="変更申請",FR$26=0),0,
IF(AND(テーブル!$B$3="変更申請",FR$26&gt;=1),FR75,
IF(テーブル!$B$3="実績報告（１次）",FR75,
IF(AND(テーブル!$B$3="交付申請（２次）",FR$26=0),0,
IF(AND(テーブル!$B$3="交付申請（２次）",FR$26&gt;=1),FR75,
IF(AND(テーブル!$B$3="交付申請兼実績報告（２次）",FR$26=0),0,
IF(AND(テーブル!$B$3="交付申請兼実績報告（２次）",FR$26&gt;=1),FR75,
IF(AND(テーブル!$B$3="実績報告（２次）",FR$26=0),0,
IF(AND(テーブル!$B$3="実績報告（２次）",FR$26&gt;=1),FR75)))))))))),0)</f>
        <v>0</v>
      </c>
      <c r="FS39" s="1997">
        <f>IFERROR(
IF(テーブル!$B$3="交付申請",FS75,
IF(AND(テーブル!$B$3="変更申請",FS$26=0),0,
IF(AND(テーブル!$B$3="変更申請",FS$26&gt;=1),FS75,
IF(テーブル!$B$3="実績報告（１次）",FS75,
IF(AND(テーブル!$B$3="交付申請（２次）",FS$26=0),0,
IF(AND(テーブル!$B$3="交付申請（２次）",FS$26&gt;=1),FS75,
IF(AND(テーブル!$B$3="交付申請兼実績報告（２次）",FS$26=0),0,
IF(AND(テーブル!$B$3="交付申請兼実績報告（２次）",FS$26&gt;=1),FS75,
IF(AND(テーブル!$B$3="実績報告（２次）",FS$26=0),0,
IF(AND(テーブル!$B$3="実績報告（２次）",FS$26&gt;=1),FS75)))))))))),0)</f>
        <v>0</v>
      </c>
      <c r="FT39" s="1997">
        <f>IFERROR(
IF(テーブル!$B$3="交付申請",FT75,
IF(AND(テーブル!$B$3="変更申請",FT$26=0),0,
IF(AND(テーブル!$B$3="変更申請",FT$26&gt;=1),FT75,
IF(テーブル!$B$3="実績報告（１次）",FT75,
IF(AND(テーブル!$B$3="交付申請（２次）",FT$26=0),0,
IF(AND(テーブル!$B$3="交付申請（２次）",FT$26&gt;=1),FT75,
IF(AND(テーブル!$B$3="交付申請兼実績報告（２次）",FT$26=0),0,
IF(AND(テーブル!$B$3="交付申請兼実績報告（２次）",FT$26&gt;=1),FT75,
IF(AND(テーブル!$B$3="実績報告（２次）",FT$26=0),0,
IF(AND(テーブル!$B$3="実績報告（２次）",FT$26&gt;=1),FT75)))))))))),0)</f>
        <v>0</v>
      </c>
      <c r="FU39" s="1997">
        <f>IFERROR(
IF(テーブル!$B$3="交付申請",FU75,
IF(AND(テーブル!$B$3="変更申請",FU$26=0),0,
IF(AND(テーブル!$B$3="変更申請",FU$26&gt;=1),FU75,
IF(テーブル!$B$3="実績報告（１次）",FU75,
IF(AND(テーブル!$B$3="交付申請（２次）",FU$26=0),0,
IF(AND(テーブル!$B$3="交付申請（２次）",FU$26&gt;=1),FU75,
IF(AND(テーブル!$B$3="交付申請兼実績報告（２次）",FU$26=0),0,
IF(AND(テーブル!$B$3="交付申請兼実績報告（２次）",FU$26&gt;=1),FU75,
IF(AND(テーブル!$B$3="実績報告（２次）",FU$26=0),0,
IF(AND(テーブル!$B$3="実績報告（２次）",FU$26&gt;=1),FU75)))))))))),0)</f>
        <v>0</v>
      </c>
      <c r="FV39" s="1997">
        <f>IFERROR(
IF(テーブル!$B$3="交付申請",FV75,
IF(AND(テーブル!$B$3="変更申請",FV$26=0),0,
IF(AND(テーブル!$B$3="変更申請",FV$26&gt;=1),FV75,
IF(テーブル!$B$3="実績報告（１次）",FV75,
IF(AND(テーブル!$B$3="交付申請（２次）",FV$26=0),0,
IF(AND(テーブル!$B$3="交付申請（２次）",FV$26&gt;=1),FV75,
IF(AND(テーブル!$B$3="交付申請兼実績報告（２次）",FV$26=0),0,
IF(AND(テーブル!$B$3="交付申請兼実績報告（２次）",FV$26&gt;=1),FV75,
IF(AND(テーブル!$B$3="実績報告（２次）",FV$26=0),0,
IF(AND(テーブル!$B$3="実績報告（２次）",FV$26&gt;=1),FV75)))))))))),0)</f>
        <v>0</v>
      </c>
      <c r="FW39" s="1997">
        <f>IFERROR(
IF(テーブル!$B$3="交付申請",FW75,
IF(AND(テーブル!$B$3="変更申請",FW$26=0),0,
IF(AND(テーブル!$B$3="変更申請",FW$26&gt;=1),FW75,
IF(テーブル!$B$3="実績報告（１次）",FW75,
IF(AND(テーブル!$B$3="交付申請（２次）",FW$26=0),0,
IF(AND(テーブル!$B$3="交付申請（２次）",FW$26&gt;=1),FW75,
IF(AND(テーブル!$B$3="交付申請兼実績報告（２次）",FW$26=0),0,
IF(AND(テーブル!$B$3="交付申請兼実績報告（２次）",FW$26&gt;=1),FW75,
IF(AND(テーブル!$B$3="実績報告（２次）",FW$26=0),0,
IF(AND(テーブル!$B$3="実績報告（２次）",FW$26&gt;=1),FW75)))))))))),0)</f>
        <v>0</v>
      </c>
      <c r="FX39" s="1997">
        <f>IFERROR(
IF(テーブル!$B$3="交付申請",FX75,
IF(AND(テーブル!$B$3="変更申請",FX$26=0),0,
IF(AND(テーブル!$B$3="変更申請",FX$26&gt;=1),FX75,
IF(テーブル!$B$3="実績報告（１次）",FX75,
IF(AND(テーブル!$B$3="交付申請（２次）",FX$26=0),0,
IF(AND(テーブル!$B$3="交付申請（２次）",FX$26&gt;=1),FX75,
IF(AND(テーブル!$B$3="交付申請兼実績報告（２次）",FX$26=0),0,
IF(AND(テーブル!$B$3="交付申請兼実績報告（２次）",FX$26&gt;=1),FX75,
IF(AND(テーブル!$B$3="実績報告（２次）",FX$26=0),0,
IF(AND(テーブル!$B$3="実績報告（２次）",FX$26&gt;=1),FX75)))))))))),0)</f>
        <v>0</v>
      </c>
      <c r="FY39" s="1997">
        <f>IFERROR(
IF(テーブル!$B$3="交付申請",FY75,
IF(AND(テーブル!$B$3="変更申請",FY$26=0),0,
IF(AND(テーブル!$B$3="変更申請",FY$26&gt;=1),FY75,
IF(テーブル!$B$3="実績報告（１次）",FY75,
IF(AND(テーブル!$B$3="交付申請（２次）",FY$26=0),0,
IF(AND(テーブル!$B$3="交付申請（２次）",FY$26&gt;=1),FY75,
IF(AND(テーブル!$B$3="交付申請兼実績報告（２次）",FY$26=0),0,
IF(AND(テーブル!$B$3="交付申請兼実績報告（２次）",FY$26&gt;=1),FY75,
IF(AND(テーブル!$B$3="実績報告（２次）",FY$26=0),0,
IF(AND(テーブル!$B$3="実績報告（２次）",FY$26&gt;=1),FY75)))))))))),0)</f>
        <v>0</v>
      </c>
      <c r="FZ39" s="1997">
        <f>IFERROR(
IF(テーブル!$B$3="交付申請",FZ75,
IF(AND(テーブル!$B$3="変更申請",FZ$26=0),0,
IF(AND(テーブル!$B$3="変更申請",FZ$26&gt;=1),FZ75,
IF(テーブル!$B$3="実績報告（１次）",FZ75,
IF(AND(テーブル!$B$3="交付申請（２次）",FZ$26=0),0,
IF(AND(テーブル!$B$3="交付申請（２次）",FZ$26&gt;=1),FZ75,
IF(AND(テーブル!$B$3="交付申請兼実績報告（２次）",FZ$26=0),0,
IF(AND(テーブル!$B$3="交付申請兼実績報告（２次）",FZ$26&gt;=1),FZ75,
IF(AND(テーブル!$B$3="実績報告（２次）",FZ$26=0),0,
IF(AND(テーブル!$B$3="実績報告（２次）",FZ$26&gt;=1),FZ75)))))))))),0)</f>
        <v>0</v>
      </c>
      <c r="GA39" s="1997">
        <f>IFERROR(
IF(テーブル!$B$3="交付申請",GA75,
IF(AND(テーブル!$B$3="変更申請",GA$26=0),0,
IF(AND(テーブル!$B$3="変更申請",GA$26&gt;=1),GA75,
IF(テーブル!$B$3="実績報告（１次）",GA75,
IF(AND(テーブル!$B$3="交付申請（２次）",GA$26=0),0,
IF(AND(テーブル!$B$3="交付申請（２次）",GA$26&gt;=1),GA75,
IF(AND(テーブル!$B$3="交付申請兼実績報告（２次）",GA$26=0),0,
IF(AND(テーブル!$B$3="交付申請兼実績報告（２次）",GA$26&gt;=1),GA75,
IF(AND(テーブル!$B$3="実績報告（２次）",GA$26=0),0,
IF(AND(テーブル!$B$3="実績報告（２次）",GA$26&gt;=1),GA75)))))))))),0)</f>
        <v>0</v>
      </c>
      <c r="GB39" s="1997">
        <f>IFERROR(
IF(テーブル!$B$3="交付申請",GB75,
IF(AND(テーブル!$B$3="変更申請",GB$26=0),0,
IF(AND(テーブル!$B$3="変更申請",GB$26&gt;=1),GB75,
IF(テーブル!$B$3="実績報告（１次）",GB75,
IF(AND(テーブル!$B$3="交付申請（２次）",GB$26=0),0,
IF(AND(テーブル!$B$3="交付申請（２次）",GB$26&gt;=1),GB75,
IF(AND(テーブル!$B$3="交付申請兼実績報告（２次）",GB$26=0),0,
IF(AND(テーブル!$B$3="交付申請兼実績報告（２次）",GB$26&gt;=1),GB75,
IF(AND(テーブル!$B$3="実績報告（２次）",GB$26=0),0,
IF(AND(テーブル!$B$3="実績報告（２次）",GB$26&gt;=1),GB75)))))))))),0)</f>
        <v>0</v>
      </c>
      <c r="GC39" s="1997">
        <f>IFERROR(
IF(テーブル!$B$3="交付申請",GC75,
IF(AND(テーブル!$B$3="変更申請",GC$26=0),0,
IF(AND(テーブル!$B$3="変更申請",GC$26&gt;=1),GC75,
IF(テーブル!$B$3="実績報告（１次）",GC75,
IF(AND(テーブル!$B$3="交付申請（２次）",GC$26=0),0,
IF(AND(テーブル!$B$3="交付申請（２次）",GC$26&gt;=1),GC75,
IF(AND(テーブル!$B$3="交付申請兼実績報告（２次）",GC$26=0),0,
IF(AND(テーブル!$B$3="交付申請兼実績報告（２次）",GC$26&gt;=1),GC75,
IF(AND(テーブル!$B$3="実績報告（２次）",GC$26=0),0,
IF(AND(テーブル!$B$3="実績報告（２次）",GC$26&gt;=1),GC75)))))))))),0)</f>
        <v>0</v>
      </c>
      <c r="GD39" s="1997">
        <f>IFERROR(
IF(テーブル!$B$3="交付申請",GD75,
IF(AND(テーブル!$B$3="変更申請",GD$26=0),0,
IF(AND(テーブル!$B$3="変更申請",GD$26&gt;=1),GD75,
IF(テーブル!$B$3="実績報告（１次）",GD75,
IF(AND(テーブル!$B$3="交付申請（２次）",GD$26=0),0,
IF(AND(テーブル!$B$3="交付申請（２次）",GD$26&gt;=1),GD75,
IF(AND(テーブル!$B$3="交付申請兼実績報告（２次）",GD$26=0),0,
IF(AND(テーブル!$B$3="交付申請兼実績報告（２次）",GD$26&gt;=1),GD75,
IF(AND(テーブル!$B$3="実績報告（２次）",GD$26=0),0,
IF(AND(テーブル!$B$3="実績報告（２次）",GD$26&gt;=1),GD75)))))))))),0)</f>
        <v>0</v>
      </c>
      <c r="GE39" s="1997">
        <f>IFERROR(
IF(テーブル!$B$3="交付申請",GE75,
IF(AND(テーブル!$B$3="変更申請",GE$26=0),0,
IF(AND(テーブル!$B$3="変更申請",GE$26&gt;=1),GE75,
IF(テーブル!$B$3="実績報告（１次）",GE75,
IF(AND(テーブル!$B$3="交付申請（２次）",GE$26=0),0,
IF(AND(テーブル!$B$3="交付申請（２次）",GE$26&gt;=1),GE75,
IF(AND(テーブル!$B$3="交付申請兼実績報告（２次）",GE$26=0),0,
IF(AND(テーブル!$B$3="交付申請兼実績報告（２次）",GE$26&gt;=1),GE75,
IF(AND(テーブル!$B$3="実績報告（２次）",GE$26=0),0,
IF(AND(テーブル!$B$3="実績報告（２次）",GE$26&gt;=1),GE75)))))))))),0)</f>
        <v>0</v>
      </c>
      <c r="GF39" s="2019">
        <f>IFERROR(
IF(テーブル!$B$3="交付申請",GF75,
IF(AND(テーブル!$B$3="変更申請",GF$26=0),0,
IF(AND(テーブル!$B$3="変更申請",GF$26&gt;=1),GF75,
IF(テーブル!$B$3="実績報告（１次）",GF75,
IF(AND(テーブル!$B$3="交付申請（２次）",GF$26=0),0,
IF(AND(テーブル!$B$3="交付申請（２次）",GF$26&gt;=1),GF75,
IF(AND(テーブル!$B$3="交付申請兼実績報告（２次）",GF$26=0),0,
IF(AND(テーブル!$B$3="交付申請兼実績報告（２次）",GF$26&gt;=1),GF75,
IF(AND(テーブル!$B$3="実績報告（２次）",GF$26=0),0,
IF(AND(テーブル!$B$3="実績報告（２次）",GF$26&gt;=1),GF75)))))))))),0)</f>
        <v>0</v>
      </c>
      <c r="GG39" s="2006"/>
    </row>
    <row r="40" spans="1:189" s="638" customFormat="1" ht="18.75" x14ac:dyDescent="0.4">
      <c r="A40" s="2003"/>
      <c r="B40" s="2018" t="s">
        <v>1022</v>
      </c>
      <c r="C40" s="1690">
        <f t="shared" si="21"/>
        <v>0</v>
      </c>
      <c r="D40" s="1691"/>
      <c r="E40" s="637"/>
      <c r="F40" s="1997">
        <f>IFERROR(
IF(テーブル!$B$3="交付申請",F78,
IF(AND(テーブル!$B$3="変更申請",F$26=0),0,
IF(AND(テーブル!$B$3="変更申請",F$26&gt;=1),F78,
IF(テーブル!$B$3="実績報告（１次）",F78,
IF(AND(テーブル!$B$3="交付申請（２次）",F$26=0),0,
IF(AND(テーブル!$B$3="交付申請（２次）",F$26&gt;=1),F78,
IF(AND(テーブル!$B$3="交付申請兼実績報告（２次）",F$26=0),0,
IF(AND(テーブル!$B$3="交付申請兼実績報告（２次）",F$26&gt;=1),F78,
IF(AND(テーブル!$B$3="実績報告（２次）",F$26=0),0,
IF(AND(テーブル!$B$3="実績報告（２次）",F$26&gt;=1),F78)))))))))),0)</f>
        <v>0</v>
      </c>
      <c r="G40" s="1997">
        <f>IFERROR(
IF(テーブル!$B$3="交付申請",G78,
IF(AND(テーブル!$B$3="変更申請",G$26=0),0,
IF(AND(テーブル!$B$3="変更申請",G$26&gt;=1),G78,
IF(テーブル!$B$3="実績報告（１次）",G78,
IF(AND(テーブル!$B$3="交付申請（２次）",G$26=0),0,
IF(AND(テーブル!$B$3="交付申請（２次）",G$26&gt;=1),G78,
IF(AND(テーブル!$B$3="交付申請兼実績報告（２次）",G$26=0),0,
IF(AND(テーブル!$B$3="交付申請兼実績報告（２次）",G$26&gt;=1),G78,
IF(AND(テーブル!$B$3="実績報告（２次）",G$26=0),0,
IF(AND(テーブル!$B$3="実績報告（２次）",G$26&gt;=1),G78)))))))))),0)</f>
        <v>0</v>
      </c>
      <c r="H40" s="1997">
        <f>IFERROR(
IF(テーブル!$B$3="交付申請",H78,
IF(AND(テーブル!$B$3="変更申請",H$26=0),0,
IF(AND(テーブル!$B$3="変更申請",H$26&gt;=1),H78,
IF(テーブル!$B$3="実績報告（１次）",H78,
IF(AND(テーブル!$B$3="交付申請（２次）",H$26=0),0,
IF(AND(テーブル!$B$3="交付申請（２次）",H$26&gt;=1),H78,
IF(AND(テーブル!$B$3="交付申請兼実績報告（２次）",H$26=0),0,
IF(AND(テーブル!$B$3="交付申請兼実績報告（２次）",H$26&gt;=1),H78,
IF(AND(テーブル!$B$3="実績報告（２次）",H$26=0),0,
IF(AND(テーブル!$B$3="実績報告（２次）",H$26&gt;=1),H78)))))))))),0)</f>
        <v>0</v>
      </c>
      <c r="I40" s="1997">
        <f>IFERROR(
IF(テーブル!$B$3="交付申請",I78,
IF(AND(テーブル!$B$3="変更申請",I$26=0),0,
IF(AND(テーブル!$B$3="変更申請",I$26&gt;=1),I78,
IF(テーブル!$B$3="実績報告（１次）",I78,
IF(AND(テーブル!$B$3="交付申請（２次）",I$26=0),0,
IF(AND(テーブル!$B$3="交付申請（２次）",I$26&gt;=1),I78,
IF(AND(テーブル!$B$3="交付申請兼実績報告（２次）",I$26=0),0,
IF(AND(テーブル!$B$3="交付申請兼実績報告（２次）",I$26&gt;=1),I78,
IF(AND(テーブル!$B$3="実績報告（２次）",I$26=0),0,
IF(AND(テーブル!$B$3="実績報告（２次）",I$26&gt;=1),I78)))))))))),0)</f>
        <v>0</v>
      </c>
      <c r="J40" s="1997">
        <f>IFERROR(
IF(テーブル!$B$3="交付申請",J78,
IF(AND(テーブル!$B$3="変更申請",J$26=0),0,
IF(AND(テーブル!$B$3="変更申請",J$26&gt;=1),J78,
IF(テーブル!$B$3="実績報告（１次）",J78,
IF(AND(テーブル!$B$3="交付申請（２次）",J$26=0),0,
IF(AND(テーブル!$B$3="交付申請（２次）",J$26&gt;=1),J78,
IF(AND(テーブル!$B$3="交付申請兼実績報告（２次）",J$26=0),0,
IF(AND(テーブル!$B$3="交付申請兼実績報告（２次）",J$26&gt;=1),J78,
IF(AND(テーブル!$B$3="実績報告（２次）",J$26=0),0,
IF(AND(テーブル!$B$3="実績報告（２次）",J$26&gt;=1),J78)))))))))),0)</f>
        <v>0</v>
      </c>
      <c r="K40" s="1997">
        <f>IFERROR(
IF(テーブル!$B$3="交付申請",K78,
IF(AND(テーブル!$B$3="変更申請",K$26=0),0,
IF(AND(テーブル!$B$3="変更申請",K$26&gt;=1),K78,
IF(テーブル!$B$3="実績報告（１次）",K78,
IF(AND(テーブル!$B$3="交付申請（２次）",K$26=0),0,
IF(AND(テーブル!$B$3="交付申請（２次）",K$26&gt;=1),K78,
IF(AND(テーブル!$B$3="交付申請兼実績報告（２次）",K$26=0),0,
IF(AND(テーブル!$B$3="交付申請兼実績報告（２次）",K$26&gt;=1),K78,
IF(AND(テーブル!$B$3="実績報告（２次）",K$26=0),0,
IF(AND(テーブル!$B$3="実績報告（２次）",K$26&gt;=1),K78)))))))))),0)</f>
        <v>0</v>
      </c>
      <c r="L40" s="1997">
        <f>IFERROR(
IF(テーブル!$B$3="交付申請",L78,
IF(AND(テーブル!$B$3="変更申請",L$26=0),0,
IF(AND(テーブル!$B$3="変更申請",L$26&gt;=1),L78,
IF(テーブル!$B$3="実績報告（１次）",L78,
IF(AND(テーブル!$B$3="交付申請（２次）",L$26=0),0,
IF(AND(テーブル!$B$3="交付申請（２次）",L$26&gt;=1),L78,
IF(AND(テーブル!$B$3="交付申請兼実績報告（２次）",L$26=0),0,
IF(AND(テーブル!$B$3="交付申請兼実績報告（２次）",L$26&gt;=1),L78,
IF(AND(テーブル!$B$3="実績報告（２次）",L$26=0),0,
IF(AND(テーブル!$B$3="実績報告（２次）",L$26&gt;=1),L78)))))))))),0)</f>
        <v>0</v>
      </c>
      <c r="M40" s="1997">
        <f>IFERROR(
IF(テーブル!$B$3="交付申請",M78,
IF(AND(テーブル!$B$3="変更申請",M$26=0),0,
IF(AND(テーブル!$B$3="変更申請",M$26&gt;=1),M78,
IF(テーブル!$B$3="実績報告（１次）",M78,
IF(AND(テーブル!$B$3="交付申請（２次）",M$26=0),0,
IF(AND(テーブル!$B$3="交付申請（２次）",M$26&gt;=1),M78,
IF(AND(テーブル!$B$3="交付申請兼実績報告（２次）",M$26=0),0,
IF(AND(テーブル!$B$3="交付申請兼実績報告（２次）",M$26&gt;=1),M78,
IF(AND(テーブル!$B$3="実績報告（２次）",M$26=0),0,
IF(AND(テーブル!$B$3="実績報告（２次）",M$26&gt;=1),M78)))))))))),0)</f>
        <v>0</v>
      </c>
      <c r="N40" s="1997">
        <f>IFERROR(
IF(テーブル!$B$3="交付申請",N78,
IF(AND(テーブル!$B$3="変更申請",N$26=0),0,
IF(AND(テーブル!$B$3="変更申請",N$26&gt;=1),N78,
IF(テーブル!$B$3="実績報告（１次）",N78,
IF(AND(テーブル!$B$3="交付申請（２次）",N$26=0),0,
IF(AND(テーブル!$B$3="交付申請（２次）",N$26&gt;=1),N78,
IF(AND(テーブル!$B$3="交付申請兼実績報告（２次）",N$26=0),0,
IF(AND(テーブル!$B$3="交付申請兼実績報告（２次）",N$26&gt;=1),N78,
IF(AND(テーブル!$B$3="実績報告（２次）",N$26=0),0,
IF(AND(テーブル!$B$3="実績報告（２次）",N$26&gt;=1),N78)))))))))),0)</f>
        <v>0</v>
      </c>
      <c r="O40" s="1997">
        <f>IFERROR(
IF(テーブル!$B$3="交付申請",O78,
IF(AND(テーブル!$B$3="変更申請",O$26=0),0,
IF(AND(テーブル!$B$3="変更申請",O$26&gt;=1),O78,
IF(テーブル!$B$3="実績報告（１次）",O78,
IF(AND(テーブル!$B$3="交付申請（２次）",O$26=0),0,
IF(AND(テーブル!$B$3="交付申請（２次）",O$26&gt;=1),O78,
IF(AND(テーブル!$B$3="交付申請兼実績報告（２次）",O$26=0),0,
IF(AND(テーブル!$B$3="交付申請兼実績報告（２次）",O$26&gt;=1),O78,
IF(AND(テーブル!$B$3="実績報告（２次）",O$26=0),0,
IF(AND(テーブル!$B$3="実績報告（２次）",O$26&gt;=1),O78)))))))))),0)</f>
        <v>0</v>
      </c>
      <c r="P40" s="1997">
        <f>IFERROR(
IF(テーブル!$B$3="交付申請",P78,
IF(AND(テーブル!$B$3="変更申請",P$26=0),0,
IF(AND(テーブル!$B$3="変更申請",P$26&gt;=1),P78,
IF(テーブル!$B$3="実績報告（１次）",P78,
IF(AND(テーブル!$B$3="交付申請（２次）",P$26=0),0,
IF(AND(テーブル!$B$3="交付申請（２次）",P$26&gt;=1),P78,
IF(AND(テーブル!$B$3="交付申請兼実績報告（２次）",P$26=0),0,
IF(AND(テーブル!$B$3="交付申請兼実績報告（２次）",P$26&gt;=1),P78,
IF(AND(テーブル!$B$3="実績報告（２次）",P$26=0),0,
IF(AND(テーブル!$B$3="実績報告（２次）",P$26&gt;=1),P78)))))))))),0)</f>
        <v>0</v>
      </c>
      <c r="Q40" s="1997">
        <f>IFERROR(
IF(テーブル!$B$3="交付申請",Q78,
IF(AND(テーブル!$B$3="変更申請",Q$26=0),0,
IF(AND(テーブル!$B$3="変更申請",Q$26&gt;=1),Q78,
IF(テーブル!$B$3="実績報告（１次）",Q78,
IF(AND(テーブル!$B$3="交付申請（２次）",Q$26=0),0,
IF(AND(テーブル!$B$3="交付申請（２次）",Q$26&gt;=1),Q78,
IF(AND(テーブル!$B$3="交付申請兼実績報告（２次）",Q$26=0),0,
IF(AND(テーブル!$B$3="交付申請兼実績報告（２次）",Q$26&gt;=1),Q78,
IF(AND(テーブル!$B$3="実績報告（２次）",Q$26=0),0,
IF(AND(テーブル!$B$3="実績報告（２次）",Q$26&gt;=1),Q78)))))))))),0)</f>
        <v>0</v>
      </c>
      <c r="R40" s="1997">
        <f>IFERROR(
IF(テーブル!$B$3="交付申請",R78,
IF(AND(テーブル!$B$3="変更申請",R$26=0),0,
IF(AND(テーブル!$B$3="変更申請",R$26&gt;=1),R78,
IF(テーブル!$B$3="実績報告（１次）",R78,
IF(AND(テーブル!$B$3="交付申請（２次）",R$26=0),0,
IF(AND(テーブル!$B$3="交付申請（２次）",R$26&gt;=1),R78,
IF(AND(テーブル!$B$3="交付申請兼実績報告（２次）",R$26=0),0,
IF(AND(テーブル!$B$3="交付申請兼実績報告（２次）",R$26&gt;=1),R78,
IF(AND(テーブル!$B$3="実績報告（２次）",R$26=0),0,
IF(AND(テーブル!$B$3="実績報告（２次）",R$26&gt;=1),R78)))))))))),0)</f>
        <v>0</v>
      </c>
      <c r="S40" s="1997">
        <f>IFERROR(
IF(テーブル!$B$3="交付申請",S78,
IF(AND(テーブル!$B$3="変更申請",S$26=0),0,
IF(AND(テーブル!$B$3="変更申請",S$26&gt;=1),S78,
IF(テーブル!$B$3="実績報告（１次）",S78,
IF(AND(テーブル!$B$3="交付申請（２次）",S$26=0),0,
IF(AND(テーブル!$B$3="交付申請（２次）",S$26&gt;=1),S78,
IF(AND(テーブル!$B$3="交付申請兼実績報告（２次）",S$26=0),0,
IF(AND(テーブル!$B$3="交付申請兼実績報告（２次）",S$26&gt;=1),S78,
IF(AND(テーブル!$B$3="実績報告（２次）",S$26=0),0,
IF(AND(テーブル!$B$3="実績報告（２次）",S$26&gt;=1),S78)))))))))),0)</f>
        <v>0</v>
      </c>
      <c r="T40" s="1997">
        <f>IFERROR(
IF(テーブル!$B$3="交付申請",T78,
IF(AND(テーブル!$B$3="変更申請",T$26=0),0,
IF(AND(テーブル!$B$3="変更申請",T$26&gt;=1),T78,
IF(テーブル!$B$3="実績報告（１次）",T78,
IF(AND(テーブル!$B$3="交付申請（２次）",T$26=0),0,
IF(AND(テーブル!$B$3="交付申請（２次）",T$26&gt;=1),T78,
IF(AND(テーブル!$B$3="交付申請兼実績報告（２次）",T$26=0),0,
IF(AND(テーブル!$B$3="交付申請兼実績報告（２次）",T$26&gt;=1),T78,
IF(AND(テーブル!$B$3="実績報告（２次）",T$26=0),0,
IF(AND(テーブル!$B$3="実績報告（２次）",T$26&gt;=1),T78)))))))))),0)</f>
        <v>0</v>
      </c>
      <c r="U40" s="1997">
        <f>IFERROR(
IF(テーブル!$B$3="交付申請",U78,
IF(AND(テーブル!$B$3="変更申請",U$26=0),0,
IF(AND(テーブル!$B$3="変更申請",U$26&gt;=1),U78,
IF(テーブル!$B$3="実績報告（１次）",U78,
IF(AND(テーブル!$B$3="交付申請（２次）",U$26=0),0,
IF(AND(テーブル!$B$3="交付申請（２次）",U$26&gt;=1),U78,
IF(AND(テーブル!$B$3="交付申請兼実績報告（２次）",U$26=0),0,
IF(AND(テーブル!$B$3="交付申請兼実績報告（２次）",U$26&gt;=1),U78,
IF(AND(テーブル!$B$3="実績報告（２次）",U$26=0),0,
IF(AND(テーブル!$B$3="実績報告（２次）",U$26&gt;=1),U78)))))))))),0)</f>
        <v>0</v>
      </c>
      <c r="V40" s="1997">
        <f>IFERROR(
IF(テーブル!$B$3="交付申請",V78,
IF(AND(テーブル!$B$3="変更申請",V$26=0),0,
IF(AND(テーブル!$B$3="変更申請",V$26&gt;=1),V78,
IF(テーブル!$B$3="実績報告（１次）",V78,
IF(AND(テーブル!$B$3="交付申請（２次）",V$26=0),0,
IF(AND(テーブル!$B$3="交付申請（２次）",V$26&gt;=1),V78,
IF(AND(テーブル!$B$3="交付申請兼実績報告（２次）",V$26=0),0,
IF(AND(テーブル!$B$3="交付申請兼実績報告（２次）",V$26&gt;=1),V78,
IF(AND(テーブル!$B$3="実績報告（２次）",V$26=0),0,
IF(AND(テーブル!$B$3="実績報告（２次）",V$26&gt;=1),V78)))))))))),0)</f>
        <v>0</v>
      </c>
      <c r="W40" s="1997">
        <f>IFERROR(
IF(テーブル!$B$3="交付申請",W78,
IF(AND(テーブル!$B$3="変更申請",W$26=0),0,
IF(AND(テーブル!$B$3="変更申請",W$26&gt;=1),W78,
IF(テーブル!$B$3="実績報告（１次）",W78,
IF(AND(テーブル!$B$3="交付申請（２次）",W$26=0),0,
IF(AND(テーブル!$B$3="交付申請（２次）",W$26&gt;=1),W78,
IF(AND(テーブル!$B$3="交付申請兼実績報告（２次）",W$26=0),0,
IF(AND(テーブル!$B$3="交付申請兼実績報告（２次）",W$26&gt;=1),W78,
IF(AND(テーブル!$B$3="実績報告（２次）",W$26=0),0,
IF(AND(テーブル!$B$3="実績報告（２次）",W$26&gt;=1),W78)))))))))),0)</f>
        <v>0</v>
      </c>
      <c r="X40" s="1997">
        <f>IFERROR(
IF(テーブル!$B$3="交付申請",X78,
IF(AND(テーブル!$B$3="変更申請",X$26=0),0,
IF(AND(テーブル!$B$3="変更申請",X$26&gt;=1),X78,
IF(テーブル!$B$3="実績報告（１次）",X78,
IF(AND(テーブル!$B$3="交付申請（２次）",X$26=0),0,
IF(AND(テーブル!$B$3="交付申請（２次）",X$26&gt;=1),X78,
IF(AND(テーブル!$B$3="交付申請兼実績報告（２次）",X$26=0),0,
IF(AND(テーブル!$B$3="交付申請兼実績報告（２次）",X$26&gt;=1),X78,
IF(AND(テーブル!$B$3="実績報告（２次）",X$26=0),0,
IF(AND(テーブル!$B$3="実績報告（２次）",X$26&gt;=1),X78)))))))))),0)</f>
        <v>0</v>
      </c>
      <c r="Y40" s="1997">
        <f>IFERROR(
IF(テーブル!$B$3="交付申請",Y78,
IF(AND(テーブル!$B$3="変更申請",Y$26=0),0,
IF(AND(テーブル!$B$3="変更申請",Y$26&gt;=1),Y78,
IF(テーブル!$B$3="実績報告（１次）",Y78,
IF(AND(テーブル!$B$3="交付申請（２次）",Y$26=0),0,
IF(AND(テーブル!$B$3="交付申請（２次）",Y$26&gt;=1),Y78,
IF(AND(テーブル!$B$3="交付申請兼実績報告（２次）",Y$26=0),0,
IF(AND(テーブル!$B$3="交付申請兼実績報告（２次）",Y$26&gt;=1),Y78,
IF(AND(テーブル!$B$3="実績報告（２次）",Y$26=0),0,
IF(AND(テーブル!$B$3="実績報告（２次）",Y$26&gt;=1),Y78)))))))))),0)</f>
        <v>0</v>
      </c>
      <c r="Z40" s="1997">
        <f>IFERROR(
IF(テーブル!$B$3="交付申請",Z78,
IF(AND(テーブル!$B$3="変更申請",Z$26=0),0,
IF(AND(テーブル!$B$3="変更申請",Z$26&gt;=1),Z78,
IF(テーブル!$B$3="実績報告（１次）",Z78,
IF(AND(テーブル!$B$3="交付申請（２次）",Z$26=0),0,
IF(AND(テーブル!$B$3="交付申請（２次）",Z$26&gt;=1),Z78,
IF(AND(テーブル!$B$3="交付申請兼実績報告（２次）",Z$26=0),0,
IF(AND(テーブル!$B$3="交付申請兼実績報告（２次）",Z$26&gt;=1),Z78,
IF(AND(テーブル!$B$3="実績報告（２次）",Z$26=0),0,
IF(AND(テーブル!$B$3="実績報告（２次）",Z$26&gt;=1),Z78)))))))))),0)</f>
        <v>0</v>
      </c>
      <c r="AA40" s="1997">
        <f>IFERROR(
IF(テーブル!$B$3="交付申請",AA78,
IF(AND(テーブル!$B$3="変更申請",AA$26=0),0,
IF(AND(テーブル!$B$3="変更申請",AA$26&gt;=1),AA78,
IF(テーブル!$B$3="実績報告（１次）",AA78,
IF(AND(テーブル!$B$3="交付申請（２次）",AA$26=0),0,
IF(AND(テーブル!$B$3="交付申請（２次）",AA$26&gt;=1),AA78,
IF(AND(テーブル!$B$3="交付申請兼実績報告（２次）",AA$26=0),0,
IF(AND(テーブル!$B$3="交付申請兼実績報告（２次）",AA$26&gt;=1),AA78,
IF(AND(テーブル!$B$3="実績報告（２次）",AA$26=0),0,
IF(AND(テーブル!$B$3="実績報告（２次）",AA$26&gt;=1),AA78)))))))))),0)</f>
        <v>0</v>
      </c>
      <c r="AB40" s="1997">
        <f>IFERROR(
IF(テーブル!$B$3="交付申請",AB78,
IF(AND(テーブル!$B$3="変更申請",AB$26=0),0,
IF(AND(テーブル!$B$3="変更申請",AB$26&gt;=1),AB78,
IF(テーブル!$B$3="実績報告（１次）",AB78,
IF(AND(テーブル!$B$3="交付申請（２次）",AB$26=0),0,
IF(AND(テーブル!$B$3="交付申請（２次）",AB$26&gt;=1),AB78,
IF(AND(テーブル!$B$3="交付申請兼実績報告（２次）",AB$26=0),0,
IF(AND(テーブル!$B$3="交付申請兼実績報告（２次）",AB$26&gt;=1),AB78,
IF(AND(テーブル!$B$3="実績報告（２次）",AB$26=0),0,
IF(AND(テーブル!$B$3="実績報告（２次）",AB$26&gt;=1),AB78)))))))))),0)</f>
        <v>0</v>
      </c>
      <c r="AC40" s="1997">
        <f>IFERROR(
IF(テーブル!$B$3="交付申請",AC78,
IF(AND(テーブル!$B$3="変更申請",AC$26=0),0,
IF(AND(テーブル!$B$3="変更申請",AC$26&gt;=1),AC78,
IF(テーブル!$B$3="実績報告（１次）",AC78,
IF(AND(テーブル!$B$3="交付申請（２次）",AC$26=0),0,
IF(AND(テーブル!$B$3="交付申請（２次）",AC$26&gt;=1),AC78,
IF(AND(テーブル!$B$3="交付申請兼実績報告（２次）",AC$26=0),0,
IF(AND(テーブル!$B$3="交付申請兼実績報告（２次）",AC$26&gt;=1),AC78,
IF(AND(テーブル!$B$3="実績報告（２次）",AC$26=0),0,
IF(AND(テーブル!$B$3="実績報告（２次）",AC$26&gt;=1),AC78)))))))))),0)</f>
        <v>0</v>
      </c>
      <c r="AD40" s="1997">
        <f>IFERROR(
IF(テーブル!$B$3="交付申請",AD78,
IF(AND(テーブル!$B$3="変更申請",AD$26=0),0,
IF(AND(テーブル!$B$3="変更申請",AD$26&gt;=1),AD78,
IF(テーブル!$B$3="実績報告（１次）",AD78,
IF(AND(テーブル!$B$3="交付申請（２次）",AD$26=0),0,
IF(AND(テーブル!$B$3="交付申請（２次）",AD$26&gt;=1),AD78,
IF(AND(テーブル!$B$3="交付申請兼実績報告（２次）",AD$26=0),0,
IF(AND(テーブル!$B$3="交付申請兼実績報告（２次）",AD$26&gt;=1),AD78,
IF(AND(テーブル!$B$3="実績報告（２次）",AD$26=0),0,
IF(AND(テーブル!$B$3="実績報告（２次）",AD$26&gt;=1),AD78)))))))))),0)</f>
        <v>0</v>
      </c>
      <c r="AE40" s="1997">
        <f>IFERROR(
IF(テーブル!$B$3="交付申請",AE78,
IF(AND(テーブル!$B$3="変更申請",AE$26=0),0,
IF(AND(テーブル!$B$3="変更申請",AE$26&gt;=1),AE78,
IF(テーブル!$B$3="実績報告（１次）",AE78,
IF(AND(テーブル!$B$3="交付申請（２次）",AE$26=0),0,
IF(AND(テーブル!$B$3="交付申請（２次）",AE$26&gt;=1),AE78,
IF(AND(テーブル!$B$3="交付申請兼実績報告（２次）",AE$26=0),0,
IF(AND(テーブル!$B$3="交付申請兼実績報告（２次）",AE$26&gt;=1),AE78,
IF(AND(テーブル!$B$3="実績報告（２次）",AE$26=0),0,
IF(AND(テーブル!$B$3="実績報告（２次）",AE$26&gt;=1),AE78)))))))))),0)</f>
        <v>0</v>
      </c>
      <c r="AF40" s="1997">
        <f>IFERROR(
IF(テーブル!$B$3="交付申請",AF78,
IF(AND(テーブル!$B$3="変更申請",AF$26=0),0,
IF(AND(テーブル!$B$3="変更申請",AF$26&gt;=1),AF78,
IF(テーブル!$B$3="実績報告（１次）",AF78,
IF(AND(テーブル!$B$3="交付申請（２次）",AF$26=0),0,
IF(AND(テーブル!$B$3="交付申請（２次）",AF$26&gt;=1),AF78,
IF(AND(テーブル!$B$3="交付申請兼実績報告（２次）",AF$26=0),0,
IF(AND(テーブル!$B$3="交付申請兼実績報告（２次）",AF$26&gt;=1),AF78,
IF(AND(テーブル!$B$3="実績報告（２次）",AF$26=0),0,
IF(AND(テーブル!$B$3="実績報告（２次）",AF$26&gt;=1),AF78)))))))))),0)</f>
        <v>0</v>
      </c>
      <c r="AG40" s="1997">
        <f>IFERROR(
IF(テーブル!$B$3="交付申請",AG78,
IF(AND(テーブル!$B$3="変更申請",AG$26=0),0,
IF(AND(テーブル!$B$3="変更申請",AG$26&gt;=1),AG78,
IF(テーブル!$B$3="実績報告（１次）",AG78,
IF(AND(テーブル!$B$3="交付申請（２次）",AG$26=0),0,
IF(AND(テーブル!$B$3="交付申請（２次）",AG$26&gt;=1),AG78,
IF(AND(テーブル!$B$3="交付申請兼実績報告（２次）",AG$26=0),0,
IF(AND(テーブル!$B$3="交付申請兼実績報告（２次）",AG$26&gt;=1),AG78,
IF(AND(テーブル!$B$3="実績報告（２次）",AG$26=0),0,
IF(AND(テーブル!$B$3="実績報告（２次）",AG$26&gt;=1),AG78)))))))))),0)</f>
        <v>0</v>
      </c>
      <c r="AH40" s="1997">
        <f>IFERROR(
IF(テーブル!$B$3="交付申請",AH78,
IF(AND(テーブル!$B$3="変更申請",AH$26=0),0,
IF(AND(テーブル!$B$3="変更申請",AH$26&gt;=1),AH78,
IF(テーブル!$B$3="実績報告（１次）",AH78,
IF(AND(テーブル!$B$3="交付申請（２次）",AH$26=0),0,
IF(AND(テーブル!$B$3="交付申請（２次）",AH$26&gt;=1),AH78,
IF(AND(テーブル!$B$3="交付申請兼実績報告（２次）",AH$26=0),0,
IF(AND(テーブル!$B$3="交付申請兼実績報告（２次）",AH$26&gt;=1),AH78,
IF(AND(テーブル!$B$3="実績報告（２次）",AH$26=0),0,
IF(AND(テーブル!$B$3="実績報告（２次）",AH$26&gt;=1),AH78)))))))))),0)</f>
        <v>0</v>
      </c>
      <c r="AI40" s="1997">
        <f>IFERROR(
IF(テーブル!$B$3="交付申請",AI78,
IF(AND(テーブル!$B$3="変更申請",AI$26=0),0,
IF(AND(テーブル!$B$3="変更申請",AI$26&gt;=1),AI78,
IF(テーブル!$B$3="実績報告（１次）",AI78,
IF(AND(テーブル!$B$3="交付申請（２次）",AI$26=0),0,
IF(AND(テーブル!$B$3="交付申請（２次）",AI$26&gt;=1),AI78,
IF(AND(テーブル!$B$3="交付申請兼実績報告（２次）",AI$26=0),0,
IF(AND(テーブル!$B$3="交付申請兼実績報告（２次）",AI$26&gt;=1),AI78,
IF(AND(テーブル!$B$3="実績報告（２次）",AI$26=0),0,
IF(AND(テーブル!$B$3="実績報告（２次）",AI$26&gt;=1),AI78)))))))))),0)</f>
        <v>0</v>
      </c>
      <c r="AJ40" s="1997">
        <f>IFERROR(
IF(テーブル!$B$3="交付申請",AJ78,
IF(AND(テーブル!$B$3="変更申請",AJ$26=0),0,
IF(AND(テーブル!$B$3="変更申請",AJ$26&gt;=1),AJ78,
IF(テーブル!$B$3="実績報告（１次）",AJ78,
IF(AND(テーブル!$B$3="交付申請（２次）",AJ$26=0),0,
IF(AND(テーブル!$B$3="交付申請（２次）",AJ$26&gt;=1),AJ78,
IF(AND(テーブル!$B$3="交付申請兼実績報告（２次）",AJ$26=0),0,
IF(AND(テーブル!$B$3="交付申請兼実績報告（２次）",AJ$26&gt;=1),AJ78,
IF(AND(テーブル!$B$3="実績報告（２次）",AJ$26=0),0,
IF(AND(テーブル!$B$3="実績報告（２次）",AJ$26&gt;=1),AJ78)))))))))),0)</f>
        <v>0</v>
      </c>
      <c r="AK40" s="1997">
        <f>IFERROR(
IF(テーブル!$B$3="交付申請",AK78,
IF(AND(テーブル!$B$3="変更申請",AK$26=0),0,
IF(AND(テーブル!$B$3="変更申請",AK$26&gt;=1),AK78,
IF(テーブル!$B$3="実績報告（１次）",AK78,
IF(AND(テーブル!$B$3="交付申請（２次）",AK$26=0),0,
IF(AND(テーブル!$B$3="交付申請（２次）",AK$26&gt;=1),AK78,
IF(AND(テーブル!$B$3="交付申請兼実績報告（２次）",AK$26=0),0,
IF(AND(テーブル!$B$3="交付申請兼実績報告（２次）",AK$26&gt;=1),AK78,
IF(AND(テーブル!$B$3="実績報告（２次）",AK$26=0),0,
IF(AND(テーブル!$B$3="実績報告（２次）",AK$26&gt;=1),AK78)))))))))),0)</f>
        <v>0</v>
      </c>
      <c r="AL40" s="1997">
        <f>IFERROR(
IF(テーブル!$B$3="交付申請",AL78,
IF(AND(テーブル!$B$3="変更申請",AL$26=0),0,
IF(AND(テーブル!$B$3="変更申請",AL$26&gt;=1),AL78,
IF(テーブル!$B$3="実績報告（１次）",AL78,
IF(AND(テーブル!$B$3="交付申請（２次）",AL$26=0),0,
IF(AND(テーブル!$B$3="交付申請（２次）",AL$26&gt;=1),AL78,
IF(AND(テーブル!$B$3="交付申請兼実績報告（２次）",AL$26=0),0,
IF(AND(テーブル!$B$3="交付申請兼実績報告（２次）",AL$26&gt;=1),AL78,
IF(AND(テーブル!$B$3="実績報告（２次）",AL$26=0),0,
IF(AND(テーブル!$B$3="実績報告（２次）",AL$26&gt;=1),AL78)))))))))),0)</f>
        <v>0</v>
      </c>
      <c r="AM40" s="1997">
        <f>IFERROR(
IF(テーブル!$B$3="交付申請",AM78,
IF(AND(テーブル!$B$3="変更申請",AM$26=0),0,
IF(AND(テーブル!$B$3="変更申請",AM$26&gt;=1),AM78,
IF(テーブル!$B$3="実績報告（１次）",AM78,
IF(AND(テーブル!$B$3="交付申請（２次）",AM$26=0),0,
IF(AND(テーブル!$B$3="交付申請（２次）",AM$26&gt;=1),AM78,
IF(AND(テーブル!$B$3="交付申請兼実績報告（２次）",AM$26=0),0,
IF(AND(テーブル!$B$3="交付申請兼実績報告（２次）",AM$26&gt;=1),AM78,
IF(AND(テーブル!$B$3="実績報告（２次）",AM$26=0),0,
IF(AND(テーブル!$B$3="実績報告（２次）",AM$26&gt;=1),AM78)))))))))),0)</f>
        <v>0</v>
      </c>
      <c r="AN40" s="1997">
        <f>IFERROR(
IF(テーブル!$B$3="交付申請",AN78,
IF(AND(テーブル!$B$3="変更申請",AN$26=0),0,
IF(AND(テーブル!$B$3="変更申請",AN$26&gt;=1),AN78,
IF(テーブル!$B$3="実績報告（１次）",AN78,
IF(AND(テーブル!$B$3="交付申請（２次）",AN$26=0),0,
IF(AND(テーブル!$B$3="交付申請（２次）",AN$26&gt;=1),AN78,
IF(AND(テーブル!$B$3="交付申請兼実績報告（２次）",AN$26=0),0,
IF(AND(テーブル!$B$3="交付申請兼実績報告（２次）",AN$26&gt;=1),AN78,
IF(AND(テーブル!$B$3="実績報告（２次）",AN$26=0),0,
IF(AND(テーブル!$B$3="実績報告（２次）",AN$26&gt;=1),AN78)))))))))),0)</f>
        <v>0</v>
      </c>
      <c r="AO40" s="1997">
        <f>IFERROR(
IF(テーブル!$B$3="交付申請",AO78,
IF(AND(テーブル!$B$3="変更申請",AO$26=0),0,
IF(AND(テーブル!$B$3="変更申請",AO$26&gt;=1),AO78,
IF(テーブル!$B$3="実績報告（１次）",AO78,
IF(AND(テーブル!$B$3="交付申請（２次）",AO$26=0),0,
IF(AND(テーブル!$B$3="交付申請（２次）",AO$26&gt;=1),AO78,
IF(AND(テーブル!$B$3="交付申請兼実績報告（２次）",AO$26=0),0,
IF(AND(テーブル!$B$3="交付申請兼実績報告（２次）",AO$26&gt;=1),AO78,
IF(AND(テーブル!$B$3="実績報告（２次）",AO$26=0),0,
IF(AND(テーブル!$B$3="実績報告（２次）",AO$26&gt;=1),AO78)))))))))),0)</f>
        <v>0</v>
      </c>
      <c r="AP40" s="1997">
        <f>IFERROR(
IF(テーブル!$B$3="交付申請",AP78,
IF(AND(テーブル!$B$3="変更申請",AP$26=0),0,
IF(AND(テーブル!$B$3="変更申請",AP$26&gt;=1),AP78,
IF(テーブル!$B$3="実績報告（１次）",AP78,
IF(AND(テーブル!$B$3="交付申請（２次）",AP$26=0),0,
IF(AND(テーブル!$B$3="交付申請（２次）",AP$26&gt;=1),AP78,
IF(AND(テーブル!$B$3="交付申請兼実績報告（２次）",AP$26=0),0,
IF(AND(テーブル!$B$3="交付申請兼実績報告（２次）",AP$26&gt;=1),AP78,
IF(AND(テーブル!$B$3="実績報告（２次）",AP$26=0),0,
IF(AND(テーブル!$B$3="実績報告（２次）",AP$26&gt;=1),AP78)))))))))),0)</f>
        <v>0</v>
      </c>
      <c r="AQ40" s="1997">
        <f>IFERROR(
IF(テーブル!$B$3="交付申請",AQ78,
IF(AND(テーブル!$B$3="変更申請",AQ$26=0),0,
IF(AND(テーブル!$B$3="変更申請",AQ$26&gt;=1),AQ78,
IF(テーブル!$B$3="実績報告（１次）",AQ78,
IF(AND(テーブル!$B$3="交付申請（２次）",AQ$26=0),0,
IF(AND(テーブル!$B$3="交付申請（２次）",AQ$26&gt;=1),AQ78,
IF(AND(テーブル!$B$3="交付申請兼実績報告（２次）",AQ$26=0),0,
IF(AND(テーブル!$B$3="交付申請兼実績報告（２次）",AQ$26&gt;=1),AQ78,
IF(AND(テーブル!$B$3="実績報告（２次）",AQ$26=0),0,
IF(AND(テーブル!$B$3="実績報告（２次）",AQ$26&gt;=1),AQ78)))))))))),0)</f>
        <v>0</v>
      </c>
      <c r="AR40" s="1997">
        <f>IFERROR(
IF(テーブル!$B$3="交付申請",AR78,
IF(AND(テーブル!$B$3="変更申請",AR$26=0),0,
IF(AND(テーブル!$B$3="変更申請",AR$26&gt;=1),AR78,
IF(テーブル!$B$3="実績報告（１次）",AR78,
IF(AND(テーブル!$B$3="交付申請（２次）",AR$26=0),0,
IF(AND(テーブル!$B$3="交付申請（２次）",AR$26&gt;=1),AR78,
IF(AND(テーブル!$B$3="交付申請兼実績報告（２次）",AR$26=0),0,
IF(AND(テーブル!$B$3="交付申請兼実績報告（２次）",AR$26&gt;=1),AR78,
IF(AND(テーブル!$B$3="実績報告（２次）",AR$26=0),0,
IF(AND(テーブル!$B$3="実績報告（２次）",AR$26&gt;=1),AR78)))))))))),0)</f>
        <v>0</v>
      </c>
      <c r="AS40" s="1997">
        <f>IFERROR(
IF(テーブル!$B$3="交付申請",AS78,
IF(AND(テーブル!$B$3="変更申請",AS$26=0),0,
IF(AND(テーブル!$B$3="変更申請",AS$26&gt;=1),AS78,
IF(テーブル!$B$3="実績報告（１次）",AS78,
IF(AND(テーブル!$B$3="交付申請（２次）",AS$26=0),0,
IF(AND(テーブル!$B$3="交付申請（２次）",AS$26&gt;=1),AS78,
IF(AND(テーブル!$B$3="交付申請兼実績報告（２次）",AS$26=0),0,
IF(AND(テーブル!$B$3="交付申請兼実績報告（２次）",AS$26&gt;=1),AS78,
IF(AND(テーブル!$B$3="実績報告（２次）",AS$26=0),0,
IF(AND(テーブル!$B$3="実績報告（２次）",AS$26&gt;=1),AS78)))))))))),0)</f>
        <v>0</v>
      </c>
      <c r="AT40" s="1997">
        <f>IFERROR(
IF(テーブル!$B$3="交付申請",AT78,
IF(AND(テーブル!$B$3="変更申請",AT$26=0),0,
IF(AND(テーブル!$B$3="変更申請",AT$26&gt;=1),AT78,
IF(テーブル!$B$3="実績報告（１次）",AT78,
IF(AND(テーブル!$B$3="交付申請（２次）",AT$26=0),0,
IF(AND(テーブル!$B$3="交付申請（２次）",AT$26&gt;=1),AT78,
IF(AND(テーブル!$B$3="交付申請兼実績報告（２次）",AT$26=0),0,
IF(AND(テーブル!$B$3="交付申請兼実績報告（２次）",AT$26&gt;=1),AT78,
IF(AND(テーブル!$B$3="実績報告（２次）",AT$26=0),0,
IF(AND(テーブル!$B$3="実績報告（２次）",AT$26&gt;=1),AT78)))))))))),0)</f>
        <v>0</v>
      </c>
      <c r="AU40" s="1997">
        <f>IFERROR(
IF(テーブル!$B$3="交付申請",AU78,
IF(AND(テーブル!$B$3="変更申請",AU$26=0),0,
IF(AND(テーブル!$B$3="変更申請",AU$26&gt;=1),AU78,
IF(テーブル!$B$3="実績報告（１次）",AU78,
IF(AND(テーブル!$B$3="交付申請（２次）",AU$26=0),0,
IF(AND(テーブル!$B$3="交付申請（２次）",AU$26&gt;=1),AU78,
IF(AND(テーブル!$B$3="交付申請兼実績報告（２次）",AU$26=0),0,
IF(AND(テーブル!$B$3="交付申請兼実績報告（２次）",AU$26&gt;=1),AU78,
IF(AND(テーブル!$B$3="実績報告（２次）",AU$26=0),0,
IF(AND(テーブル!$B$3="実績報告（２次）",AU$26&gt;=1),AU78)))))))))),0)</f>
        <v>0</v>
      </c>
      <c r="AV40" s="1997">
        <f>IFERROR(
IF(テーブル!$B$3="交付申請",AV78,
IF(AND(テーブル!$B$3="変更申請",AV$26=0),0,
IF(AND(テーブル!$B$3="変更申請",AV$26&gt;=1),AV78,
IF(テーブル!$B$3="実績報告（１次）",AV78,
IF(AND(テーブル!$B$3="交付申請（２次）",AV$26=0),0,
IF(AND(テーブル!$B$3="交付申請（２次）",AV$26&gt;=1),AV78,
IF(AND(テーブル!$B$3="交付申請兼実績報告（２次）",AV$26=0),0,
IF(AND(テーブル!$B$3="交付申請兼実績報告（２次）",AV$26&gt;=1),AV78,
IF(AND(テーブル!$B$3="実績報告（２次）",AV$26=0),0,
IF(AND(テーブル!$B$3="実績報告（２次）",AV$26&gt;=1),AV78)))))))))),0)</f>
        <v>0</v>
      </c>
      <c r="AW40" s="1997">
        <f>IFERROR(
IF(テーブル!$B$3="交付申請",AW78,
IF(AND(テーブル!$B$3="変更申請",AW$26=0),0,
IF(AND(テーブル!$B$3="変更申請",AW$26&gt;=1),AW78,
IF(テーブル!$B$3="実績報告（１次）",AW78,
IF(AND(テーブル!$B$3="交付申請（２次）",AW$26=0),0,
IF(AND(テーブル!$B$3="交付申請（２次）",AW$26&gt;=1),AW78,
IF(AND(テーブル!$B$3="交付申請兼実績報告（２次）",AW$26=0),0,
IF(AND(テーブル!$B$3="交付申請兼実績報告（２次）",AW$26&gt;=1),AW78,
IF(AND(テーブル!$B$3="実績報告（２次）",AW$26=0),0,
IF(AND(テーブル!$B$3="実績報告（２次）",AW$26&gt;=1),AW78)))))))))),0)</f>
        <v>0</v>
      </c>
      <c r="AX40" s="1997">
        <f>IFERROR(
IF(テーブル!$B$3="交付申請",AX78,
IF(AND(テーブル!$B$3="変更申請",AX$26=0),0,
IF(AND(テーブル!$B$3="変更申請",AX$26&gt;=1),AX78,
IF(テーブル!$B$3="実績報告（１次）",AX78,
IF(AND(テーブル!$B$3="交付申請（２次）",AX$26=0),0,
IF(AND(テーブル!$B$3="交付申請（２次）",AX$26&gt;=1),AX78,
IF(AND(テーブル!$B$3="交付申請兼実績報告（２次）",AX$26=0),0,
IF(AND(テーブル!$B$3="交付申請兼実績報告（２次）",AX$26&gt;=1),AX78,
IF(AND(テーブル!$B$3="実績報告（２次）",AX$26=0),0,
IF(AND(テーブル!$B$3="実績報告（２次）",AX$26&gt;=1),AX78)))))))))),0)</f>
        <v>0</v>
      </c>
      <c r="AY40" s="1997">
        <f>IFERROR(
IF(テーブル!$B$3="交付申請",AY78,
IF(AND(テーブル!$B$3="変更申請",AY$26=0),0,
IF(AND(テーブル!$B$3="変更申請",AY$26&gt;=1),AY78,
IF(テーブル!$B$3="実績報告（１次）",AY78,
IF(AND(テーブル!$B$3="交付申請（２次）",AY$26=0),0,
IF(AND(テーブル!$B$3="交付申請（２次）",AY$26&gt;=1),AY78,
IF(AND(テーブル!$B$3="交付申請兼実績報告（２次）",AY$26=0),0,
IF(AND(テーブル!$B$3="交付申請兼実績報告（２次）",AY$26&gt;=1),AY78,
IF(AND(テーブル!$B$3="実績報告（２次）",AY$26=0),0,
IF(AND(テーブル!$B$3="実績報告（２次）",AY$26&gt;=1),AY78)))))))))),0)</f>
        <v>0</v>
      </c>
      <c r="AZ40" s="1997">
        <f>IFERROR(
IF(テーブル!$B$3="交付申請",AZ78,
IF(AND(テーブル!$B$3="変更申請",AZ$26=0),0,
IF(AND(テーブル!$B$3="変更申請",AZ$26&gt;=1),AZ78,
IF(テーブル!$B$3="実績報告（１次）",AZ78,
IF(AND(テーブル!$B$3="交付申請（２次）",AZ$26=0),0,
IF(AND(テーブル!$B$3="交付申請（２次）",AZ$26&gt;=1),AZ78,
IF(AND(テーブル!$B$3="交付申請兼実績報告（２次）",AZ$26=0),0,
IF(AND(テーブル!$B$3="交付申請兼実績報告（２次）",AZ$26&gt;=1),AZ78,
IF(AND(テーブル!$B$3="実績報告（２次）",AZ$26=0),0,
IF(AND(テーブル!$B$3="実績報告（２次）",AZ$26&gt;=1),AZ78)))))))))),0)</f>
        <v>0</v>
      </c>
      <c r="BA40" s="1997">
        <f>IFERROR(
IF(テーブル!$B$3="交付申請",BA78,
IF(AND(テーブル!$B$3="変更申請",BA$26=0),0,
IF(AND(テーブル!$B$3="変更申請",BA$26&gt;=1),BA78,
IF(テーブル!$B$3="実績報告（１次）",BA78,
IF(AND(テーブル!$B$3="交付申請（２次）",BA$26=0),0,
IF(AND(テーブル!$B$3="交付申請（２次）",BA$26&gt;=1),BA78,
IF(AND(テーブル!$B$3="交付申請兼実績報告（２次）",BA$26=0),0,
IF(AND(テーブル!$B$3="交付申請兼実績報告（２次）",BA$26&gt;=1),BA78,
IF(AND(テーブル!$B$3="実績報告（２次）",BA$26=0),0,
IF(AND(テーブル!$B$3="実績報告（２次）",BA$26&gt;=1),BA78)))))))))),0)</f>
        <v>0</v>
      </c>
      <c r="BB40" s="1997">
        <f>IFERROR(
IF(テーブル!$B$3="交付申請",BB78,
IF(AND(テーブル!$B$3="変更申請",BB$26=0),0,
IF(AND(テーブル!$B$3="変更申請",BB$26&gt;=1),BB78,
IF(テーブル!$B$3="実績報告（１次）",BB78,
IF(AND(テーブル!$B$3="交付申請（２次）",BB$26=0),0,
IF(AND(テーブル!$B$3="交付申請（２次）",BB$26&gt;=1),BB78,
IF(AND(テーブル!$B$3="交付申請兼実績報告（２次）",BB$26=0),0,
IF(AND(テーブル!$B$3="交付申請兼実績報告（２次）",BB$26&gt;=1),BB78,
IF(AND(テーブル!$B$3="実績報告（２次）",BB$26=0),0,
IF(AND(テーブル!$B$3="実績報告（２次）",BB$26&gt;=1),BB78)))))))))),0)</f>
        <v>0</v>
      </c>
      <c r="BC40" s="1997">
        <f>IFERROR(
IF(テーブル!$B$3="交付申請",BC78,
IF(AND(テーブル!$B$3="変更申請",BC$26=0),0,
IF(AND(テーブル!$B$3="変更申請",BC$26&gt;=1),BC78,
IF(テーブル!$B$3="実績報告（１次）",BC78,
IF(AND(テーブル!$B$3="交付申請（２次）",BC$26=0),0,
IF(AND(テーブル!$B$3="交付申請（２次）",BC$26&gt;=1),BC78,
IF(AND(テーブル!$B$3="交付申請兼実績報告（２次）",BC$26=0),0,
IF(AND(テーブル!$B$3="交付申請兼実績報告（２次）",BC$26&gt;=1),BC78,
IF(AND(テーブル!$B$3="実績報告（２次）",BC$26=0),0,
IF(AND(テーブル!$B$3="実績報告（２次）",BC$26&gt;=1),BC78)))))))))),0)</f>
        <v>0</v>
      </c>
      <c r="BD40" s="1997">
        <f>IFERROR(
IF(テーブル!$B$3="交付申請",BD78,
IF(AND(テーブル!$B$3="変更申請",BD$26=0),0,
IF(AND(テーブル!$B$3="変更申請",BD$26&gt;=1),BD78,
IF(テーブル!$B$3="実績報告（１次）",BD78,
IF(AND(テーブル!$B$3="交付申請（２次）",BD$26=0),0,
IF(AND(テーブル!$B$3="交付申請（２次）",BD$26&gt;=1),BD78,
IF(AND(テーブル!$B$3="交付申請兼実績報告（２次）",BD$26=0),0,
IF(AND(テーブル!$B$3="交付申請兼実績報告（２次）",BD$26&gt;=1),BD78,
IF(AND(テーブル!$B$3="実績報告（２次）",BD$26=0),0,
IF(AND(テーブル!$B$3="実績報告（２次）",BD$26&gt;=1),BD78)))))))))),0)</f>
        <v>0</v>
      </c>
      <c r="BE40" s="1997">
        <f>IFERROR(
IF(テーブル!$B$3="交付申請",BE78,
IF(AND(テーブル!$B$3="変更申請",BE$26=0),0,
IF(AND(テーブル!$B$3="変更申請",BE$26&gt;=1),BE78,
IF(テーブル!$B$3="実績報告（１次）",BE78,
IF(AND(テーブル!$B$3="交付申請（２次）",BE$26=0),0,
IF(AND(テーブル!$B$3="交付申請（２次）",BE$26&gt;=1),BE78,
IF(AND(テーブル!$B$3="交付申請兼実績報告（２次）",BE$26=0),0,
IF(AND(テーブル!$B$3="交付申請兼実績報告（２次）",BE$26&gt;=1),BE78,
IF(AND(テーブル!$B$3="実績報告（２次）",BE$26=0),0,
IF(AND(テーブル!$B$3="実績報告（２次）",BE$26&gt;=1),BE78)))))))))),0)</f>
        <v>0</v>
      </c>
      <c r="BF40" s="1997">
        <f>IFERROR(
IF(テーブル!$B$3="交付申請",BF78,
IF(AND(テーブル!$B$3="変更申請",BF$26=0),0,
IF(AND(テーブル!$B$3="変更申請",BF$26&gt;=1),BF78,
IF(テーブル!$B$3="実績報告（１次）",BF78,
IF(AND(テーブル!$B$3="交付申請（２次）",BF$26=0),0,
IF(AND(テーブル!$B$3="交付申請（２次）",BF$26&gt;=1),BF78,
IF(AND(テーブル!$B$3="交付申請兼実績報告（２次）",BF$26=0),0,
IF(AND(テーブル!$B$3="交付申請兼実績報告（２次）",BF$26&gt;=1),BF78,
IF(AND(テーブル!$B$3="実績報告（２次）",BF$26=0),0,
IF(AND(テーブル!$B$3="実績報告（２次）",BF$26&gt;=1),BF78)))))))))),0)</f>
        <v>0</v>
      </c>
      <c r="BG40" s="1997">
        <f>IFERROR(
IF(テーブル!$B$3="交付申請",BG78,
IF(AND(テーブル!$B$3="変更申請",BG$26=0),0,
IF(AND(テーブル!$B$3="変更申請",BG$26&gt;=1),BG78,
IF(テーブル!$B$3="実績報告（１次）",BG78,
IF(AND(テーブル!$B$3="交付申請（２次）",BG$26=0),0,
IF(AND(テーブル!$B$3="交付申請（２次）",BG$26&gt;=1),BG78,
IF(AND(テーブル!$B$3="交付申請兼実績報告（２次）",BG$26=0),0,
IF(AND(テーブル!$B$3="交付申請兼実績報告（２次）",BG$26&gt;=1),BG78,
IF(AND(テーブル!$B$3="実績報告（２次）",BG$26=0),0,
IF(AND(テーブル!$B$3="実績報告（２次）",BG$26&gt;=1),BG78)))))))))),0)</f>
        <v>0</v>
      </c>
      <c r="BH40" s="1997">
        <f>IFERROR(
IF(テーブル!$B$3="交付申請",BH78,
IF(AND(テーブル!$B$3="変更申請",BH$26=0),0,
IF(AND(テーブル!$B$3="変更申請",BH$26&gt;=1),BH78,
IF(テーブル!$B$3="実績報告（１次）",BH78,
IF(AND(テーブル!$B$3="交付申請（２次）",BH$26=0),0,
IF(AND(テーブル!$B$3="交付申請（２次）",BH$26&gt;=1),BH78,
IF(AND(テーブル!$B$3="交付申請兼実績報告（２次）",BH$26=0),0,
IF(AND(テーブル!$B$3="交付申請兼実績報告（２次）",BH$26&gt;=1),BH78,
IF(AND(テーブル!$B$3="実績報告（２次）",BH$26=0),0,
IF(AND(テーブル!$B$3="実績報告（２次）",BH$26&gt;=1),BH78)))))))))),0)</f>
        <v>0</v>
      </c>
      <c r="BI40" s="1997">
        <f>IFERROR(
IF(テーブル!$B$3="交付申請",BI78,
IF(AND(テーブル!$B$3="変更申請",BI$26=0),0,
IF(AND(テーブル!$B$3="変更申請",BI$26&gt;=1),BI78,
IF(テーブル!$B$3="実績報告（１次）",BI78,
IF(AND(テーブル!$B$3="交付申請（２次）",BI$26=0),0,
IF(AND(テーブル!$B$3="交付申請（２次）",BI$26&gt;=1),BI78,
IF(AND(テーブル!$B$3="交付申請兼実績報告（２次）",BI$26=0),0,
IF(AND(テーブル!$B$3="交付申請兼実績報告（２次）",BI$26&gt;=1),BI78,
IF(AND(テーブル!$B$3="実績報告（２次）",BI$26=0),0,
IF(AND(テーブル!$B$3="実績報告（２次）",BI$26&gt;=1),BI78)))))))))),0)</f>
        <v>0</v>
      </c>
      <c r="BJ40" s="1997">
        <f>IFERROR(
IF(テーブル!$B$3="交付申請",BJ78,
IF(AND(テーブル!$B$3="変更申請",BJ$26=0),0,
IF(AND(テーブル!$B$3="変更申請",BJ$26&gt;=1),BJ78,
IF(テーブル!$B$3="実績報告（１次）",BJ78,
IF(AND(テーブル!$B$3="交付申請（２次）",BJ$26=0),0,
IF(AND(テーブル!$B$3="交付申請（２次）",BJ$26&gt;=1),BJ78,
IF(AND(テーブル!$B$3="交付申請兼実績報告（２次）",BJ$26=0),0,
IF(AND(テーブル!$B$3="交付申請兼実績報告（２次）",BJ$26&gt;=1),BJ78,
IF(AND(テーブル!$B$3="実績報告（２次）",BJ$26=0),0,
IF(AND(テーブル!$B$3="実績報告（２次）",BJ$26&gt;=1),BJ78)))))))))),0)</f>
        <v>0</v>
      </c>
      <c r="BK40" s="1997">
        <f>IFERROR(
IF(テーブル!$B$3="交付申請",BK78,
IF(AND(テーブル!$B$3="変更申請",BK$26=0),0,
IF(AND(テーブル!$B$3="変更申請",BK$26&gt;=1),BK78,
IF(テーブル!$B$3="実績報告（１次）",BK78,
IF(AND(テーブル!$B$3="交付申請（２次）",BK$26=0),0,
IF(AND(テーブル!$B$3="交付申請（２次）",BK$26&gt;=1),BK78,
IF(AND(テーブル!$B$3="交付申請兼実績報告（２次）",BK$26=0),0,
IF(AND(テーブル!$B$3="交付申請兼実績報告（２次）",BK$26&gt;=1),BK78,
IF(AND(テーブル!$B$3="実績報告（２次）",BK$26=0),0,
IF(AND(テーブル!$B$3="実績報告（２次）",BK$26&gt;=1),BK78)))))))))),0)</f>
        <v>0</v>
      </c>
      <c r="BL40" s="1997">
        <f>IFERROR(
IF(テーブル!$B$3="交付申請",BL78,
IF(AND(テーブル!$B$3="変更申請",BL$26=0),0,
IF(AND(テーブル!$B$3="変更申請",BL$26&gt;=1),BL78,
IF(テーブル!$B$3="実績報告（１次）",BL78,
IF(AND(テーブル!$B$3="交付申請（２次）",BL$26=0),0,
IF(AND(テーブル!$B$3="交付申請（２次）",BL$26&gt;=1),BL78,
IF(AND(テーブル!$B$3="交付申請兼実績報告（２次）",BL$26=0),0,
IF(AND(テーブル!$B$3="交付申請兼実績報告（２次）",BL$26&gt;=1),BL78,
IF(AND(テーブル!$B$3="実績報告（２次）",BL$26=0),0,
IF(AND(テーブル!$B$3="実績報告（２次）",BL$26&gt;=1),BL78)))))))))),0)</f>
        <v>0</v>
      </c>
      <c r="BM40" s="1997">
        <f>IFERROR(
IF(テーブル!$B$3="交付申請",BM78,
IF(AND(テーブル!$B$3="変更申請",BM$26=0),0,
IF(AND(テーブル!$B$3="変更申請",BM$26&gt;=1),BM78,
IF(テーブル!$B$3="実績報告（１次）",BM78,
IF(AND(テーブル!$B$3="交付申請（２次）",BM$26=0),0,
IF(AND(テーブル!$B$3="交付申請（２次）",BM$26&gt;=1),BM78,
IF(AND(テーブル!$B$3="交付申請兼実績報告（２次）",BM$26=0),0,
IF(AND(テーブル!$B$3="交付申請兼実績報告（２次）",BM$26&gt;=1),BM78,
IF(AND(テーブル!$B$3="実績報告（２次）",BM$26=0),0,
IF(AND(テーブル!$B$3="実績報告（２次）",BM$26&gt;=1),BM78)))))))))),0)</f>
        <v>0</v>
      </c>
      <c r="BN40" s="1997">
        <f>IFERROR(
IF(テーブル!$B$3="交付申請",BN78,
IF(AND(テーブル!$B$3="変更申請",BN$26=0),0,
IF(AND(テーブル!$B$3="変更申請",BN$26&gt;=1),BN78,
IF(テーブル!$B$3="実績報告（１次）",BN78,
IF(AND(テーブル!$B$3="交付申請（２次）",BN$26=0),0,
IF(AND(テーブル!$B$3="交付申請（２次）",BN$26&gt;=1),BN78,
IF(AND(テーブル!$B$3="交付申請兼実績報告（２次）",BN$26=0),0,
IF(AND(テーブル!$B$3="交付申請兼実績報告（２次）",BN$26&gt;=1),BN78,
IF(AND(テーブル!$B$3="実績報告（２次）",BN$26=0),0,
IF(AND(テーブル!$B$3="実績報告（２次）",BN$26&gt;=1),BN78)))))))))),0)</f>
        <v>0</v>
      </c>
      <c r="BO40" s="1997">
        <f>IFERROR(
IF(テーブル!$B$3="交付申請",BO78,
IF(AND(テーブル!$B$3="変更申請",BO$26=0),0,
IF(AND(テーブル!$B$3="変更申請",BO$26&gt;=1),BO78,
IF(テーブル!$B$3="実績報告（１次）",BO78,
IF(AND(テーブル!$B$3="交付申請（２次）",BO$26=0),0,
IF(AND(テーブル!$B$3="交付申請（２次）",BO$26&gt;=1),BO78,
IF(AND(テーブル!$B$3="交付申請兼実績報告（２次）",BO$26=0),0,
IF(AND(テーブル!$B$3="交付申請兼実績報告（２次）",BO$26&gt;=1),BO78,
IF(AND(テーブル!$B$3="実績報告（２次）",BO$26=0),0,
IF(AND(テーブル!$B$3="実績報告（２次）",BO$26&gt;=1),BO78)))))))))),0)</f>
        <v>0</v>
      </c>
      <c r="BP40" s="1997">
        <f>IFERROR(
IF(テーブル!$B$3="交付申請",BP78,
IF(AND(テーブル!$B$3="変更申請",BP$26=0),0,
IF(AND(テーブル!$B$3="変更申請",BP$26&gt;=1),BP78,
IF(テーブル!$B$3="実績報告（１次）",BP78,
IF(AND(テーブル!$B$3="交付申請（２次）",BP$26=0),0,
IF(AND(テーブル!$B$3="交付申請（２次）",BP$26&gt;=1),BP78,
IF(AND(テーブル!$B$3="交付申請兼実績報告（２次）",BP$26=0),0,
IF(AND(テーブル!$B$3="交付申請兼実績報告（２次）",BP$26&gt;=1),BP78,
IF(AND(テーブル!$B$3="実績報告（２次）",BP$26=0),0,
IF(AND(テーブル!$B$3="実績報告（２次）",BP$26&gt;=1),BP78)))))))))),0)</f>
        <v>0</v>
      </c>
      <c r="BQ40" s="1997">
        <f>IFERROR(
IF(テーブル!$B$3="交付申請",BQ78,
IF(AND(テーブル!$B$3="変更申請",BQ$26=0),0,
IF(AND(テーブル!$B$3="変更申請",BQ$26&gt;=1),BQ78,
IF(テーブル!$B$3="実績報告（１次）",BQ78,
IF(AND(テーブル!$B$3="交付申請（２次）",BQ$26=0),0,
IF(AND(テーブル!$B$3="交付申請（２次）",BQ$26&gt;=1),BQ78,
IF(AND(テーブル!$B$3="交付申請兼実績報告（２次）",BQ$26=0),0,
IF(AND(テーブル!$B$3="交付申請兼実績報告（２次）",BQ$26&gt;=1),BQ78,
IF(AND(テーブル!$B$3="実績報告（２次）",BQ$26=0),0,
IF(AND(テーブル!$B$3="実績報告（２次）",BQ$26&gt;=1),BQ78)))))))))),0)</f>
        <v>0</v>
      </c>
      <c r="BR40" s="1997">
        <f>IFERROR(
IF(テーブル!$B$3="交付申請",BR78,
IF(AND(テーブル!$B$3="変更申請",BR$26=0),0,
IF(AND(テーブル!$B$3="変更申請",BR$26&gt;=1),BR78,
IF(テーブル!$B$3="実績報告（１次）",BR78,
IF(AND(テーブル!$B$3="交付申請（２次）",BR$26=0),0,
IF(AND(テーブル!$B$3="交付申請（２次）",BR$26&gt;=1),BR78,
IF(AND(テーブル!$B$3="交付申請兼実績報告（２次）",BR$26=0),0,
IF(AND(テーブル!$B$3="交付申請兼実績報告（２次）",BR$26&gt;=1),BR78,
IF(AND(テーブル!$B$3="実績報告（２次）",BR$26=0),0,
IF(AND(テーブル!$B$3="実績報告（２次）",BR$26&gt;=1),BR78)))))))))),0)</f>
        <v>0</v>
      </c>
      <c r="BS40" s="1997">
        <f>IFERROR(
IF(テーブル!$B$3="交付申請",BS78,
IF(AND(テーブル!$B$3="変更申請",BS$26=0),0,
IF(AND(テーブル!$B$3="変更申請",BS$26&gt;=1),BS78,
IF(テーブル!$B$3="実績報告（１次）",BS78,
IF(AND(テーブル!$B$3="交付申請（２次）",BS$26=0),0,
IF(AND(テーブル!$B$3="交付申請（２次）",BS$26&gt;=1),BS78,
IF(AND(テーブル!$B$3="交付申請兼実績報告（２次）",BS$26=0),0,
IF(AND(テーブル!$B$3="交付申請兼実績報告（２次）",BS$26&gt;=1),BS78,
IF(AND(テーブル!$B$3="実績報告（２次）",BS$26=0),0,
IF(AND(テーブル!$B$3="実績報告（２次）",BS$26&gt;=1),BS78)))))))))),0)</f>
        <v>0</v>
      </c>
      <c r="BT40" s="1997">
        <f>IFERROR(
IF(テーブル!$B$3="交付申請",BT78,
IF(AND(テーブル!$B$3="変更申請",BT$26=0),0,
IF(AND(テーブル!$B$3="変更申請",BT$26&gt;=1),BT78,
IF(テーブル!$B$3="実績報告（１次）",BT78,
IF(AND(テーブル!$B$3="交付申請（２次）",BT$26=0),0,
IF(AND(テーブル!$B$3="交付申請（２次）",BT$26&gt;=1),BT78,
IF(AND(テーブル!$B$3="交付申請兼実績報告（２次）",BT$26=0),0,
IF(AND(テーブル!$B$3="交付申請兼実績報告（２次）",BT$26&gt;=1),BT78,
IF(AND(テーブル!$B$3="実績報告（２次）",BT$26=0),0,
IF(AND(テーブル!$B$3="実績報告（２次）",BT$26&gt;=1),BT78)))))))))),0)</f>
        <v>0</v>
      </c>
      <c r="BU40" s="1997">
        <f>IFERROR(
IF(テーブル!$B$3="交付申請",BU78,
IF(AND(テーブル!$B$3="変更申請",BU$26=0),0,
IF(AND(テーブル!$B$3="変更申請",BU$26&gt;=1),BU78,
IF(テーブル!$B$3="実績報告（１次）",BU78,
IF(AND(テーブル!$B$3="交付申請（２次）",BU$26=0),0,
IF(AND(テーブル!$B$3="交付申請（２次）",BU$26&gt;=1),BU78,
IF(AND(テーブル!$B$3="交付申請兼実績報告（２次）",BU$26=0),0,
IF(AND(テーブル!$B$3="交付申請兼実績報告（２次）",BU$26&gt;=1),BU78,
IF(AND(テーブル!$B$3="実績報告（２次）",BU$26=0),0,
IF(AND(テーブル!$B$3="実績報告（２次）",BU$26&gt;=1),BU78)))))))))),0)</f>
        <v>0</v>
      </c>
      <c r="BV40" s="1997">
        <f>IFERROR(
IF(テーブル!$B$3="交付申請",BV78,
IF(AND(テーブル!$B$3="変更申請",BV$26=0),0,
IF(AND(テーブル!$B$3="変更申請",BV$26&gt;=1),BV78,
IF(テーブル!$B$3="実績報告（１次）",BV78,
IF(AND(テーブル!$B$3="交付申請（２次）",BV$26=0),0,
IF(AND(テーブル!$B$3="交付申請（２次）",BV$26&gt;=1),BV78,
IF(AND(テーブル!$B$3="交付申請兼実績報告（２次）",BV$26=0),0,
IF(AND(テーブル!$B$3="交付申請兼実績報告（２次）",BV$26&gt;=1),BV78,
IF(AND(テーブル!$B$3="実績報告（２次）",BV$26=0),0,
IF(AND(テーブル!$B$3="実績報告（２次）",BV$26&gt;=1),BV78)))))))))),0)</f>
        <v>0</v>
      </c>
      <c r="BW40" s="1997">
        <f>IFERROR(
IF(テーブル!$B$3="交付申請",BW78,
IF(AND(テーブル!$B$3="変更申請",BW$26=0),0,
IF(AND(テーブル!$B$3="変更申請",BW$26&gt;=1),BW78,
IF(テーブル!$B$3="実績報告（１次）",BW78,
IF(AND(テーブル!$B$3="交付申請（２次）",BW$26=0),0,
IF(AND(テーブル!$B$3="交付申請（２次）",BW$26&gt;=1),BW78,
IF(AND(テーブル!$B$3="交付申請兼実績報告（２次）",BW$26=0),0,
IF(AND(テーブル!$B$3="交付申請兼実績報告（２次）",BW$26&gt;=1),BW78,
IF(AND(テーブル!$B$3="実績報告（２次）",BW$26=0),0,
IF(AND(テーブル!$B$3="実績報告（２次）",BW$26&gt;=1),BW78)))))))))),0)</f>
        <v>0</v>
      </c>
      <c r="BX40" s="1997">
        <f>IFERROR(
IF(テーブル!$B$3="交付申請",BX78,
IF(AND(テーブル!$B$3="変更申請",BX$26=0),0,
IF(AND(テーブル!$B$3="変更申請",BX$26&gt;=1),BX78,
IF(テーブル!$B$3="実績報告（１次）",BX78,
IF(AND(テーブル!$B$3="交付申請（２次）",BX$26=0),0,
IF(AND(テーブル!$B$3="交付申請（２次）",BX$26&gt;=1),BX78,
IF(AND(テーブル!$B$3="交付申請兼実績報告（２次）",BX$26=0),0,
IF(AND(テーブル!$B$3="交付申請兼実績報告（２次）",BX$26&gt;=1),BX78,
IF(AND(テーブル!$B$3="実績報告（２次）",BX$26=0),0,
IF(AND(テーブル!$B$3="実績報告（２次）",BX$26&gt;=1),BX78)))))))))),0)</f>
        <v>0</v>
      </c>
      <c r="BY40" s="1997">
        <f>IFERROR(
IF(テーブル!$B$3="交付申請",BY78,
IF(AND(テーブル!$B$3="変更申請",BY$26=0),0,
IF(AND(テーブル!$B$3="変更申請",BY$26&gt;=1),BY78,
IF(テーブル!$B$3="実績報告（１次）",BY78,
IF(AND(テーブル!$B$3="交付申請（２次）",BY$26=0),0,
IF(AND(テーブル!$B$3="交付申請（２次）",BY$26&gt;=1),BY78,
IF(AND(テーブル!$B$3="交付申請兼実績報告（２次）",BY$26=0),0,
IF(AND(テーブル!$B$3="交付申請兼実績報告（２次）",BY$26&gt;=1),BY78,
IF(AND(テーブル!$B$3="実績報告（２次）",BY$26=0),0,
IF(AND(テーブル!$B$3="実績報告（２次）",BY$26&gt;=1),BY78)))))))))),0)</f>
        <v>0</v>
      </c>
      <c r="BZ40" s="1997">
        <f>IFERROR(
IF(テーブル!$B$3="交付申請",BZ78,
IF(AND(テーブル!$B$3="変更申請",BZ$26=0),0,
IF(AND(テーブル!$B$3="変更申請",BZ$26&gt;=1),BZ78,
IF(テーブル!$B$3="実績報告（１次）",BZ78,
IF(AND(テーブル!$B$3="交付申請（２次）",BZ$26=0),0,
IF(AND(テーブル!$B$3="交付申請（２次）",BZ$26&gt;=1),BZ78,
IF(AND(テーブル!$B$3="交付申請兼実績報告（２次）",BZ$26=0),0,
IF(AND(テーブル!$B$3="交付申請兼実績報告（２次）",BZ$26&gt;=1),BZ78,
IF(AND(テーブル!$B$3="実績報告（２次）",BZ$26=0),0,
IF(AND(テーブル!$B$3="実績報告（２次）",BZ$26&gt;=1),BZ78)))))))))),0)</f>
        <v>0</v>
      </c>
      <c r="CA40" s="1997">
        <f>IFERROR(
IF(テーブル!$B$3="交付申請",CA78,
IF(AND(テーブル!$B$3="変更申請",CA$26=0),0,
IF(AND(テーブル!$B$3="変更申請",CA$26&gt;=1),CA78,
IF(テーブル!$B$3="実績報告（１次）",CA78,
IF(AND(テーブル!$B$3="交付申請（２次）",CA$26=0),0,
IF(AND(テーブル!$B$3="交付申請（２次）",CA$26&gt;=1),CA78,
IF(AND(テーブル!$B$3="交付申請兼実績報告（２次）",CA$26=0),0,
IF(AND(テーブル!$B$3="交付申請兼実績報告（２次）",CA$26&gt;=1),CA78,
IF(AND(テーブル!$B$3="実績報告（２次）",CA$26=0),0,
IF(AND(テーブル!$B$3="実績報告（２次）",CA$26&gt;=1),CA78)))))))))),0)</f>
        <v>0</v>
      </c>
      <c r="CB40" s="1997">
        <f>IFERROR(
IF(テーブル!$B$3="交付申請",CB78,
IF(AND(テーブル!$B$3="変更申請",CB$26=0),0,
IF(AND(テーブル!$B$3="変更申請",CB$26&gt;=1),CB78,
IF(テーブル!$B$3="実績報告（１次）",CB78,
IF(AND(テーブル!$B$3="交付申請（２次）",CB$26=0),0,
IF(AND(テーブル!$B$3="交付申請（２次）",CB$26&gt;=1),CB78,
IF(AND(テーブル!$B$3="交付申請兼実績報告（２次）",CB$26=0),0,
IF(AND(テーブル!$B$3="交付申請兼実績報告（２次）",CB$26&gt;=1),CB78,
IF(AND(テーブル!$B$3="実績報告（２次）",CB$26=0),0,
IF(AND(テーブル!$B$3="実績報告（２次）",CB$26&gt;=1),CB78)))))))))),0)</f>
        <v>0</v>
      </c>
      <c r="CC40" s="1997">
        <f>IFERROR(
IF(テーブル!$B$3="交付申請",CC78,
IF(AND(テーブル!$B$3="変更申請",CC$26=0),0,
IF(AND(テーブル!$B$3="変更申請",CC$26&gt;=1),CC78,
IF(テーブル!$B$3="実績報告（１次）",CC78,
IF(AND(テーブル!$B$3="交付申請（２次）",CC$26=0),0,
IF(AND(テーブル!$B$3="交付申請（２次）",CC$26&gt;=1),CC78,
IF(AND(テーブル!$B$3="交付申請兼実績報告（２次）",CC$26=0),0,
IF(AND(テーブル!$B$3="交付申請兼実績報告（２次）",CC$26&gt;=1),CC78,
IF(AND(テーブル!$B$3="実績報告（２次）",CC$26=0),0,
IF(AND(テーブル!$B$3="実績報告（２次）",CC$26&gt;=1),CC78)))))))))),0)</f>
        <v>0</v>
      </c>
      <c r="CD40" s="1997">
        <f>IFERROR(
IF(テーブル!$B$3="交付申請",CD78,
IF(AND(テーブル!$B$3="変更申請",CD$26=0),0,
IF(AND(テーブル!$B$3="変更申請",CD$26&gt;=1),CD78,
IF(テーブル!$B$3="実績報告（１次）",CD78,
IF(AND(テーブル!$B$3="交付申請（２次）",CD$26=0),0,
IF(AND(テーブル!$B$3="交付申請（２次）",CD$26&gt;=1),CD78,
IF(AND(テーブル!$B$3="交付申請兼実績報告（２次）",CD$26=0),0,
IF(AND(テーブル!$B$3="交付申請兼実績報告（２次）",CD$26&gt;=1),CD78,
IF(AND(テーブル!$B$3="実績報告（２次）",CD$26=0),0,
IF(AND(テーブル!$B$3="実績報告（２次）",CD$26&gt;=1),CD78)))))))))),0)</f>
        <v>0</v>
      </c>
      <c r="CE40" s="1997">
        <f>IFERROR(
IF(テーブル!$B$3="交付申請",CE78,
IF(AND(テーブル!$B$3="変更申請",CE$26=0),0,
IF(AND(テーブル!$B$3="変更申請",CE$26&gt;=1),CE78,
IF(テーブル!$B$3="実績報告（１次）",CE78,
IF(AND(テーブル!$B$3="交付申請（２次）",CE$26=0),0,
IF(AND(テーブル!$B$3="交付申請（２次）",CE$26&gt;=1),CE78,
IF(AND(テーブル!$B$3="交付申請兼実績報告（２次）",CE$26=0),0,
IF(AND(テーブル!$B$3="交付申請兼実績報告（２次）",CE$26&gt;=1),CE78,
IF(AND(テーブル!$B$3="実績報告（２次）",CE$26=0),0,
IF(AND(テーブル!$B$3="実績報告（２次）",CE$26&gt;=1),CE78)))))))))),0)</f>
        <v>0</v>
      </c>
      <c r="CF40" s="1997">
        <f>IFERROR(
IF(テーブル!$B$3="交付申請",CF78,
IF(AND(テーブル!$B$3="変更申請",CF$26=0),0,
IF(AND(テーブル!$B$3="変更申請",CF$26&gt;=1),CF78,
IF(テーブル!$B$3="実績報告（１次）",CF78,
IF(AND(テーブル!$B$3="交付申請（２次）",CF$26=0),0,
IF(AND(テーブル!$B$3="交付申請（２次）",CF$26&gt;=1),CF78,
IF(AND(テーブル!$B$3="交付申請兼実績報告（２次）",CF$26=0),0,
IF(AND(テーブル!$B$3="交付申請兼実績報告（２次）",CF$26&gt;=1),CF78,
IF(AND(テーブル!$B$3="実績報告（２次）",CF$26=0),0,
IF(AND(テーブル!$B$3="実績報告（２次）",CF$26&gt;=1),CF78)))))))))),0)</f>
        <v>0</v>
      </c>
      <c r="CG40" s="1997">
        <f>IFERROR(
IF(テーブル!$B$3="交付申請",CG78,
IF(AND(テーブル!$B$3="変更申請",CG$26=0),0,
IF(AND(テーブル!$B$3="変更申請",CG$26&gt;=1),CG78,
IF(テーブル!$B$3="実績報告（１次）",CG78,
IF(AND(テーブル!$B$3="交付申請（２次）",CG$26=0),0,
IF(AND(テーブル!$B$3="交付申請（２次）",CG$26&gt;=1),CG78,
IF(AND(テーブル!$B$3="交付申請兼実績報告（２次）",CG$26=0),0,
IF(AND(テーブル!$B$3="交付申請兼実績報告（２次）",CG$26&gt;=1),CG78,
IF(AND(テーブル!$B$3="実績報告（２次）",CG$26=0),0,
IF(AND(テーブル!$B$3="実績報告（２次）",CG$26&gt;=1),CG78)))))))))),0)</f>
        <v>0</v>
      </c>
      <c r="CH40" s="1997">
        <f>IFERROR(
IF(テーブル!$B$3="交付申請",CH78,
IF(AND(テーブル!$B$3="変更申請",CH$26=0),0,
IF(AND(テーブル!$B$3="変更申請",CH$26&gt;=1),CH78,
IF(テーブル!$B$3="実績報告（１次）",CH78,
IF(AND(テーブル!$B$3="交付申請（２次）",CH$26=0),0,
IF(AND(テーブル!$B$3="交付申請（２次）",CH$26&gt;=1),CH78,
IF(AND(テーブル!$B$3="交付申請兼実績報告（２次）",CH$26=0),0,
IF(AND(テーブル!$B$3="交付申請兼実績報告（２次）",CH$26&gt;=1),CH78,
IF(AND(テーブル!$B$3="実績報告（２次）",CH$26=0),0,
IF(AND(テーブル!$B$3="実績報告（２次）",CH$26&gt;=1),CH78)))))))))),0)</f>
        <v>0</v>
      </c>
      <c r="CI40" s="1997">
        <f>IFERROR(
IF(テーブル!$B$3="交付申請",CI78,
IF(AND(テーブル!$B$3="変更申請",CI$26=0),0,
IF(AND(テーブル!$B$3="変更申請",CI$26&gt;=1),CI78,
IF(テーブル!$B$3="実績報告（１次）",CI78,
IF(AND(テーブル!$B$3="交付申請（２次）",CI$26=0),0,
IF(AND(テーブル!$B$3="交付申請（２次）",CI$26&gt;=1),CI78,
IF(AND(テーブル!$B$3="交付申請兼実績報告（２次）",CI$26=0),0,
IF(AND(テーブル!$B$3="交付申請兼実績報告（２次）",CI$26&gt;=1),CI78,
IF(AND(テーブル!$B$3="実績報告（２次）",CI$26=0),0,
IF(AND(テーブル!$B$3="実績報告（２次）",CI$26&gt;=1),CI78)))))))))),0)</f>
        <v>0</v>
      </c>
      <c r="CJ40" s="1997">
        <f>IFERROR(
IF(テーブル!$B$3="交付申請",CJ78,
IF(AND(テーブル!$B$3="変更申請",CJ$26=0),0,
IF(AND(テーブル!$B$3="変更申請",CJ$26&gt;=1),CJ78,
IF(テーブル!$B$3="実績報告（１次）",CJ78,
IF(AND(テーブル!$B$3="交付申請（２次）",CJ$26=0),0,
IF(AND(テーブル!$B$3="交付申請（２次）",CJ$26&gt;=1),CJ78,
IF(AND(テーブル!$B$3="交付申請兼実績報告（２次）",CJ$26=0),0,
IF(AND(テーブル!$B$3="交付申請兼実績報告（２次）",CJ$26&gt;=1),CJ78,
IF(AND(テーブル!$B$3="実績報告（２次）",CJ$26=0),0,
IF(AND(テーブル!$B$3="実績報告（２次）",CJ$26&gt;=1),CJ78)))))))))),0)</f>
        <v>0</v>
      </c>
      <c r="CK40" s="1997">
        <f>IFERROR(
IF(テーブル!$B$3="交付申請",CK78,
IF(AND(テーブル!$B$3="変更申請",CK$26=0),0,
IF(AND(テーブル!$B$3="変更申請",CK$26&gt;=1),CK78,
IF(テーブル!$B$3="実績報告（１次）",CK78,
IF(AND(テーブル!$B$3="交付申請（２次）",CK$26=0),0,
IF(AND(テーブル!$B$3="交付申請（２次）",CK$26&gt;=1),CK78,
IF(AND(テーブル!$B$3="交付申請兼実績報告（２次）",CK$26=0),0,
IF(AND(テーブル!$B$3="交付申請兼実績報告（２次）",CK$26&gt;=1),CK78,
IF(AND(テーブル!$B$3="実績報告（２次）",CK$26=0),0,
IF(AND(テーブル!$B$3="実績報告（２次）",CK$26&gt;=1),CK78)))))))))),0)</f>
        <v>0</v>
      </c>
      <c r="CL40" s="1997">
        <f>IFERROR(
IF(テーブル!$B$3="交付申請",CL78,
IF(AND(テーブル!$B$3="変更申請",CL$26=0),0,
IF(AND(テーブル!$B$3="変更申請",CL$26&gt;=1),CL78,
IF(テーブル!$B$3="実績報告（１次）",CL78,
IF(AND(テーブル!$B$3="交付申請（２次）",CL$26=0),0,
IF(AND(テーブル!$B$3="交付申請（２次）",CL$26&gt;=1),CL78,
IF(AND(テーブル!$B$3="交付申請兼実績報告（２次）",CL$26=0),0,
IF(AND(テーブル!$B$3="交付申請兼実績報告（２次）",CL$26&gt;=1),CL78,
IF(AND(テーブル!$B$3="実績報告（２次）",CL$26=0),0,
IF(AND(テーブル!$B$3="実績報告（２次）",CL$26&gt;=1),CL78)))))))))),0)</f>
        <v>0</v>
      </c>
      <c r="CM40" s="1997">
        <f>IFERROR(
IF(テーブル!$B$3="交付申請",CM78,
IF(AND(テーブル!$B$3="変更申請",CM$26=0),0,
IF(AND(テーブル!$B$3="変更申請",CM$26&gt;=1),CM78,
IF(テーブル!$B$3="実績報告（１次）",CM78,
IF(AND(テーブル!$B$3="交付申請（２次）",CM$26=0),0,
IF(AND(テーブル!$B$3="交付申請（２次）",CM$26&gt;=1),CM78,
IF(AND(テーブル!$B$3="交付申請兼実績報告（２次）",CM$26=0),0,
IF(AND(テーブル!$B$3="交付申請兼実績報告（２次）",CM$26&gt;=1),CM78,
IF(AND(テーブル!$B$3="実績報告（２次）",CM$26=0),0,
IF(AND(テーブル!$B$3="実績報告（２次）",CM$26&gt;=1),CM78)))))))))),0)</f>
        <v>0</v>
      </c>
      <c r="CN40" s="1997">
        <f>IFERROR(
IF(テーブル!$B$3="交付申請",CN78,
IF(AND(テーブル!$B$3="変更申請",CN$26=0),0,
IF(AND(テーブル!$B$3="変更申請",CN$26&gt;=1),CN78,
IF(テーブル!$B$3="実績報告（１次）",CN78,
IF(AND(テーブル!$B$3="交付申請（２次）",CN$26=0),0,
IF(AND(テーブル!$B$3="交付申請（２次）",CN$26&gt;=1),CN78,
IF(AND(テーブル!$B$3="交付申請兼実績報告（２次）",CN$26=0),0,
IF(AND(テーブル!$B$3="交付申請兼実績報告（２次）",CN$26&gt;=1),CN78,
IF(AND(テーブル!$B$3="実績報告（２次）",CN$26=0),0,
IF(AND(テーブル!$B$3="実績報告（２次）",CN$26&gt;=1),CN78)))))))))),0)</f>
        <v>0</v>
      </c>
      <c r="CO40" s="1997">
        <f>IFERROR(
IF(テーブル!$B$3="交付申請",CO78,
IF(AND(テーブル!$B$3="変更申請",CO$26=0),0,
IF(AND(テーブル!$B$3="変更申請",CO$26&gt;=1),CO78,
IF(テーブル!$B$3="実績報告（１次）",CO78,
IF(AND(テーブル!$B$3="交付申請（２次）",CO$26=0),0,
IF(AND(テーブル!$B$3="交付申請（２次）",CO$26&gt;=1),CO78,
IF(AND(テーブル!$B$3="交付申請兼実績報告（２次）",CO$26=0),0,
IF(AND(テーブル!$B$3="交付申請兼実績報告（２次）",CO$26&gt;=1),CO78,
IF(AND(テーブル!$B$3="実績報告（２次）",CO$26=0),0,
IF(AND(テーブル!$B$3="実績報告（２次）",CO$26&gt;=1),CO78)))))))))),0)</f>
        <v>0</v>
      </c>
      <c r="CP40" s="1997">
        <f>IFERROR(
IF(テーブル!$B$3="交付申請",CP78,
IF(AND(テーブル!$B$3="変更申請",CP$26=0),0,
IF(AND(テーブル!$B$3="変更申請",CP$26&gt;=1),CP78,
IF(テーブル!$B$3="実績報告（１次）",CP78,
IF(AND(テーブル!$B$3="交付申請（２次）",CP$26=0),0,
IF(AND(テーブル!$B$3="交付申請（２次）",CP$26&gt;=1),CP78,
IF(AND(テーブル!$B$3="交付申請兼実績報告（２次）",CP$26=0),0,
IF(AND(テーブル!$B$3="交付申請兼実績報告（２次）",CP$26&gt;=1),CP78,
IF(AND(テーブル!$B$3="実績報告（２次）",CP$26=0),0,
IF(AND(テーブル!$B$3="実績報告（２次）",CP$26&gt;=1),CP78)))))))))),0)</f>
        <v>0</v>
      </c>
      <c r="CQ40" s="1997">
        <f>IFERROR(
IF(テーブル!$B$3="交付申請",CQ78,
IF(AND(テーブル!$B$3="変更申請",CQ$26=0),0,
IF(AND(テーブル!$B$3="変更申請",CQ$26&gt;=1),CQ78,
IF(テーブル!$B$3="実績報告（１次）",CQ78,
IF(AND(テーブル!$B$3="交付申請（２次）",CQ$26=0),0,
IF(AND(テーブル!$B$3="交付申請（２次）",CQ$26&gt;=1),CQ78,
IF(AND(テーブル!$B$3="交付申請兼実績報告（２次）",CQ$26=0),0,
IF(AND(テーブル!$B$3="交付申請兼実績報告（２次）",CQ$26&gt;=1),CQ78,
IF(AND(テーブル!$B$3="実績報告（２次）",CQ$26=0),0,
IF(AND(テーブル!$B$3="実績報告（２次）",CQ$26&gt;=1),CQ78)))))))))),0)</f>
        <v>0</v>
      </c>
      <c r="CR40" s="1997">
        <f>IFERROR(
IF(テーブル!$B$3="交付申請",CR78,
IF(AND(テーブル!$B$3="変更申請",CR$26=0),0,
IF(AND(テーブル!$B$3="変更申請",CR$26&gt;=1),CR78,
IF(テーブル!$B$3="実績報告（１次）",CR78,
IF(AND(テーブル!$B$3="交付申請（２次）",CR$26=0),0,
IF(AND(テーブル!$B$3="交付申請（２次）",CR$26&gt;=1),CR78,
IF(AND(テーブル!$B$3="交付申請兼実績報告（２次）",CR$26=0),0,
IF(AND(テーブル!$B$3="交付申請兼実績報告（２次）",CR$26&gt;=1),CR78,
IF(AND(テーブル!$B$3="実績報告（２次）",CR$26=0),0,
IF(AND(テーブル!$B$3="実績報告（２次）",CR$26&gt;=1),CR78)))))))))),0)</f>
        <v>0</v>
      </c>
      <c r="CS40" s="1997">
        <f>IFERROR(
IF(テーブル!$B$3="交付申請",CS78,
IF(AND(テーブル!$B$3="変更申請",CS$26=0),0,
IF(AND(テーブル!$B$3="変更申請",CS$26&gt;=1),CS78,
IF(テーブル!$B$3="実績報告（１次）",CS78,
IF(AND(テーブル!$B$3="交付申請（２次）",CS$26=0),0,
IF(AND(テーブル!$B$3="交付申請（２次）",CS$26&gt;=1),CS78,
IF(AND(テーブル!$B$3="交付申請兼実績報告（２次）",CS$26=0),0,
IF(AND(テーブル!$B$3="交付申請兼実績報告（２次）",CS$26&gt;=1),CS78,
IF(AND(テーブル!$B$3="実績報告（２次）",CS$26=0),0,
IF(AND(テーブル!$B$3="実績報告（２次）",CS$26&gt;=1),CS78)))))))))),0)</f>
        <v>0</v>
      </c>
      <c r="CT40" s="1997">
        <f>IFERROR(
IF(テーブル!$B$3="交付申請",CT78,
IF(AND(テーブル!$B$3="変更申請",CT$26=0),0,
IF(AND(テーブル!$B$3="変更申請",CT$26&gt;=1),CT78,
IF(テーブル!$B$3="実績報告（１次）",CT78,
IF(AND(テーブル!$B$3="交付申請（２次）",CT$26=0),0,
IF(AND(テーブル!$B$3="交付申請（２次）",CT$26&gt;=1),CT78,
IF(AND(テーブル!$B$3="交付申請兼実績報告（２次）",CT$26=0),0,
IF(AND(テーブル!$B$3="交付申請兼実績報告（２次）",CT$26&gt;=1),CT78,
IF(AND(テーブル!$B$3="実績報告（２次）",CT$26=0),0,
IF(AND(テーブル!$B$3="実績報告（２次）",CT$26&gt;=1),CT78)))))))))),0)</f>
        <v>0</v>
      </c>
      <c r="CU40" s="1997">
        <f>IFERROR(
IF(テーブル!$B$3="交付申請",CU78,
IF(AND(テーブル!$B$3="変更申請",CU$26=0),0,
IF(AND(テーブル!$B$3="変更申請",CU$26&gt;=1),CU78,
IF(テーブル!$B$3="実績報告（１次）",CU78,
IF(AND(テーブル!$B$3="交付申請（２次）",CU$26=0),0,
IF(AND(テーブル!$B$3="交付申請（２次）",CU$26&gt;=1),CU78,
IF(AND(テーブル!$B$3="交付申請兼実績報告（２次）",CU$26=0),0,
IF(AND(テーブル!$B$3="交付申請兼実績報告（２次）",CU$26&gt;=1),CU78,
IF(AND(テーブル!$B$3="実績報告（２次）",CU$26=0),0,
IF(AND(テーブル!$B$3="実績報告（２次）",CU$26&gt;=1),CU78)))))))))),0)</f>
        <v>0</v>
      </c>
      <c r="CV40" s="1997">
        <f>IFERROR(
IF(テーブル!$B$3="交付申請",CV78,
IF(AND(テーブル!$B$3="変更申請",CV$26=0),0,
IF(AND(テーブル!$B$3="変更申請",CV$26&gt;=1),CV78,
IF(テーブル!$B$3="実績報告（１次）",CV78,
IF(AND(テーブル!$B$3="交付申請（２次）",CV$26=0),0,
IF(AND(テーブル!$B$3="交付申請（２次）",CV$26&gt;=1),CV78,
IF(AND(テーブル!$B$3="交付申請兼実績報告（２次）",CV$26=0),0,
IF(AND(テーブル!$B$3="交付申請兼実績報告（２次）",CV$26&gt;=1),CV78,
IF(AND(テーブル!$B$3="実績報告（２次）",CV$26=0),0,
IF(AND(テーブル!$B$3="実績報告（２次）",CV$26&gt;=1),CV78)))))))))),0)</f>
        <v>0</v>
      </c>
      <c r="CW40" s="1997">
        <f>IFERROR(
IF(テーブル!$B$3="交付申請",CW78,
IF(AND(テーブル!$B$3="変更申請",CW$26=0),0,
IF(AND(テーブル!$B$3="変更申請",CW$26&gt;=1),CW78,
IF(テーブル!$B$3="実績報告（１次）",CW78,
IF(AND(テーブル!$B$3="交付申請（２次）",CW$26=0),0,
IF(AND(テーブル!$B$3="交付申請（２次）",CW$26&gt;=1),CW78,
IF(AND(テーブル!$B$3="交付申請兼実績報告（２次）",CW$26=0),0,
IF(AND(テーブル!$B$3="交付申請兼実績報告（２次）",CW$26&gt;=1),CW78,
IF(AND(テーブル!$B$3="実績報告（２次）",CW$26=0),0,
IF(AND(テーブル!$B$3="実績報告（２次）",CW$26&gt;=1),CW78)))))))))),0)</f>
        <v>0</v>
      </c>
      <c r="CX40" s="1997">
        <f>IFERROR(
IF(テーブル!$B$3="交付申請",CX78,
IF(AND(テーブル!$B$3="変更申請",CX$26=0),0,
IF(AND(テーブル!$B$3="変更申請",CX$26&gt;=1),CX78,
IF(テーブル!$B$3="実績報告（１次）",CX78,
IF(AND(テーブル!$B$3="交付申請（２次）",CX$26=0),0,
IF(AND(テーブル!$B$3="交付申請（２次）",CX$26&gt;=1),CX78,
IF(AND(テーブル!$B$3="交付申請兼実績報告（２次）",CX$26=0),0,
IF(AND(テーブル!$B$3="交付申請兼実績報告（２次）",CX$26&gt;=1),CX78,
IF(AND(テーブル!$B$3="実績報告（２次）",CX$26=0),0,
IF(AND(テーブル!$B$3="実績報告（２次）",CX$26&gt;=1),CX78)))))))))),0)</f>
        <v>0</v>
      </c>
      <c r="CY40" s="1997">
        <f>IFERROR(
IF(テーブル!$B$3="交付申請",CY78,
IF(AND(テーブル!$B$3="変更申請",CY$26=0),0,
IF(AND(テーブル!$B$3="変更申請",CY$26&gt;=1),CY78,
IF(テーブル!$B$3="実績報告（１次）",CY78,
IF(AND(テーブル!$B$3="交付申請（２次）",CY$26=0),0,
IF(AND(テーブル!$B$3="交付申請（２次）",CY$26&gt;=1),CY78,
IF(AND(テーブル!$B$3="交付申請兼実績報告（２次）",CY$26=0),0,
IF(AND(テーブル!$B$3="交付申請兼実績報告（２次）",CY$26&gt;=1),CY78,
IF(AND(テーブル!$B$3="実績報告（２次）",CY$26=0),0,
IF(AND(テーブル!$B$3="実績報告（２次）",CY$26&gt;=1),CY78)))))))))),0)</f>
        <v>0</v>
      </c>
      <c r="CZ40" s="1997">
        <f>IFERROR(
IF(テーブル!$B$3="交付申請",CZ78,
IF(AND(テーブル!$B$3="変更申請",CZ$26=0),0,
IF(AND(テーブル!$B$3="変更申請",CZ$26&gt;=1),CZ78,
IF(テーブル!$B$3="実績報告（１次）",CZ78,
IF(AND(テーブル!$B$3="交付申請（２次）",CZ$26=0),0,
IF(AND(テーブル!$B$3="交付申請（２次）",CZ$26&gt;=1),CZ78,
IF(AND(テーブル!$B$3="交付申請兼実績報告（２次）",CZ$26=0),0,
IF(AND(テーブル!$B$3="交付申請兼実績報告（２次）",CZ$26&gt;=1),CZ78,
IF(AND(テーブル!$B$3="実績報告（２次）",CZ$26=0),0,
IF(AND(テーブル!$B$3="実績報告（２次）",CZ$26&gt;=1),CZ78)))))))))),0)</f>
        <v>0</v>
      </c>
      <c r="DA40" s="1997">
        <f>IFERROR(
IF(テーブル!$B$3="交付申請",DA78,
IF(AND(テーブル!$B$3="変更申請",DA$26=0),0,
IF(AND(テーブル!$B$3="変更申請",DA$26&gt;=1),DA78,
IF(テーブル!$B$3="実績報告（１次）",DA78,
IF(AND(テーブル!$B$3="交付申請（２次）",DA$26=0),0,
IF(AND(テーブル!$B$3="交付申請（２次）",DA$26&gt;=1),DA78,
IF(AND(テーブル!$B$3="交付申請兼実績報告（２次）",DA$26=0),0,
IF(AND(テーブル!$B$3="交付申請兼実績報告（２次）",DA$26&gt;=1),DA78,
IF(AND(テーブル!$B$3="実績報告（２次）",DA$26=0),0,
IF(AND(テーブル!$B$3="実績報告（２次）",DA$26&gt;=1),DA78)))))))))),0)</f>
        <v>0</v>
      </c>
      <c r="DB40" s="1997">
        <f>IFERROR(
IF(テーブル!$B$3="交付申請",DB78,
IF(AND(テーブル!$B$3="変更申請",DB$26=0),0,
IF(AND(テーブル!$B$3="変更申請",DB$26&gt;=1),DB78,
IF(テーブル!$B$3="実績報告（１次）",DB78,
IF(AND(テーブル!$B$3="交付申請（２次）",DB$26=0),0,
IF(AND(テーブル!$B$3="交付申請（２次）",DB$26&gt;=1),DB78,
IF(AND(テーブル!$B$3="交付申請兼実績報告（２次）",DB$26=0),0,
IF(AND(テーブル!$B$3="交付申請兼実績報告（２次）",DB$26&gt;=1),DB78,
IF(AND(テーブル!$B$3="実績報告（２次）",DB$26=0),0,
IF(AND(テーブル!$B$3="実績報告（２次）",DB$26&gt;=1),DB78)))))))))),0)</f>
        <v>0</v>
      </c>
      <c r="DC40" s="1997">
        <f>IFERROR(
IF(テーブル!$B$3="交付申請",DC78,
IF(AND(テーブル!$B$3="変更申請",DC$26=0),0,
IF(AND(テーブル!$B$3="変更申請",DC$26&gt;=1),DC78,
IF(テーブル!$B$3="実績報告（１次）",DC78,
IF(AND(テーブル!$B$3="交付申請（２次）",DC$26=0),0,
IF(AND(テーブル!$B$3="交付申請（２次）",DC$26&gt;=1),DC78,
IF(AND(テーブル!$B$3="交付申請兼実績報告（２次）",DC$26=0),0,
IF(AND(テーブル!$B$3="交付申請兼実績報告（２次）",DC$26&gt;=1),DC78,
IF(AND(テーブル!$B$3="実績報告（２次）",DC$26=0),0,
IF(AND(テーブル!$B$3="実績報告（２次）",DC$26&gt;=1),DC78)))))))))),0)</f>
        <v>0</v>
      </c>
      <c r="DD40" s="1997">
        <f>IFERROR(
IF(テーブル!$B$3="交付申請",DD78,
IF(AND(テーブル!$B$3="変更申請",DD$26=0),0,
IF(AND(テーブル!$B$3="変更申請",DD$26&gt;=1),DD78,
IF(テーブル!$B$3="実績報告（１次）",DD78,
IF(AND(テーブル!$B$3="交付申請（２次）",DD$26=0),0,
IF(AND(テーブル!$B$3="交付申請（２次）",DD$26&gt;=1),DD78,
IF(AND(テーブル!$B$3="交付申請兼実績報告（２次）",DD$26=0),0,
IF(AND(テーブル!$B$3="交付申請兼実績報告（２次）",DD$26&gt;=1),DD78,
IF(AND(テーブル!$B$3="実績報告（２次）",DD$26=0),0,
IF(AND(テーブル!$B$3="実績報告（２次）",DD$26&gt;=1),DD78)))))))))),0)</f>
        <v>0</v>
      </c>
      <c r="DE40" s="1997">
        <f>IFERROR(
IF(テーブル!$B$3="交付申請",DE78,
IF(AND(テーブル!$B$3="変更申請",DE$26=0),0,
IF(AND(テーブル!$B$3="変更申請",DE$26&gt;=1),DE78,
IF(テーブル!$B$3="実績報告（１次）",DE78,
IF(AND(テーブル!$B$3="交付申請（２次）",DE$26=0),0,
IF(AND(テーブル!$B$3="交付申請（２次）",DE$26&gt;=1),DE78,
IF(AND(テーブル!$B$3="交付申請兼実績報告（２次）",DE$26=0),0,
IF(AND(テーブル!$B$3="交付申請兼実績報告（２次）",DE$26&gt;=1),DE78,
IF(AND(テーブル!$B$3="実績報告（２次）",DE$26=0),0,
IF(AND(テーブル!$B$3="実績報告（２次）",DE$26&gt;=1),DE78)))))))))),0)</f>
        <v>0</v>
      </c>
      <c r="DF40" s="1997">
        <f>IFERROR(
IF(テーブル!$B$3="交付申請",DF78,
IF(AND(テーブル!$B$3="変更申請",DF$26=0),0,
IF(AND(テーブル!$B$3="変更申請",DF$26&gt;=1),DF78,
IF(テーブル!$B$3="実績報告（１次）",DF78,
IF(AND(テーブル!$B$3="交付申請（２次）",DF$26=0),0,
IF(AND(テーブル!$B$3="交付申請（２次）",DF$26&gt;=1),DF78,
IF(AND(テーブル!$B$3="交付申請兼実績報告（２次）",DF$26=0),0,
IF(AND(テーブル!$B$3="交付申請兼実績報告（２次）",DF$26&gt;=1),DF78,
IF(AND(テーブル!$B$3="実績報告（２次）",DF$26=0),0,
IF(AND(テーブル!$B$3="実績報告（２次）",DF$26&gt;=1),DF78)))))))))),0)</f>
        <v>0</v>
      </c>
      <c r="DG40" s="1997">
        <f>IFERROR(
IF(テーブル!$B$3="交付申請",DG78,
IF(AND(テーブル!$B$3="変更申請",DG$26=0),0,
IF(AND(テーブル!$B$3="変更申請",DG$26&gt;=1),DG78,
IF(テーブル!$B$3="実績報告（１次）",DG78,
IF(AND(テーブル!$B$3="交付申請（２次）",DG$26=0),0,
IF(AND(テーブル!$B$3="交付申請（２次）",DG$26&gt;=1),DG78,
IF(AND(テーブル!$B$3="交付申請兼実績報告（２次）",DG$26=0),0,
IF(AND(テーブル!$B$3="交付申請兼実績報告（２次）",DG$26&gt;=1),DG78,
IF(AND(テーブル!$B$3="実績報告（２次）",DG$26=0),0,
IF(AND(テーブル!$B$3="実績報告（２次）",DG$26&gt;=1),DG78)))))))))),0)</f>
        <v>0</v>
      </c>
      <c r="DH40" s="1997">
        <f>IFERROR(
IF(テーブル!$B$3="交付申請",DH78,
IF(AND(テーブル!$B$3="変更申請",DH$26=0),0,
IF(AND(テーブル!$B$3="変更申請",DH$26&gt;=1),DH78,
IF(テーブル!$B$3="実績報告（１次）",DH78,
IF(AND(テーブル!$B$3="交付申請（２次）",DH$26=0),0,
IF(AND(テーブル!$B$3="交付申請（２次）",DH$26&gt;=1),DH78,
IF(AND(テーブル!$B$3="交付申請兼実績報告（２次）",DH$26=0),0,
IF(AND(テーブル!$B$3="交付申請兼実績報告（２次）",DH$26&gt;=1),DH78,
IF(AND(テーブル!$B$3="実績報告（２次）",DH$26=0),0,
IF(AND(テーブル!$B$3="実績報告（２次）",DH$26&gt;=1),DH78)))))))))),0)</f>
        <v>0</v>
      </c>
      <c r="DI40" s="1997">
        <f>IFERROR(
IF(テーブル!$B$3="交付申請",DI78,
IF(AND(テーブル!$B$3="変更申請",DI$26=0),0,
IF(AND(テーブル!$B$3="変更申請",DI$26&gt;=1),DI78,
IF(テーブル!$B$3="実績報告（１次）",DI78,
IF(AND(テーブル!$B$3="交付申請（２次）",DI$26=0),0,
IF(AND(テーブル!$B$3="交付申請（２次）",DI$26&gt;=1),DI78,
IF(AND(テーブル!$B$3="交付申請兼実績報告（２次）",DI$26=0),0,
IF(AND(テーブル!$B$3="交付申請兼実績報告（２次）",DI$26&gt;=1),DI78,
IF(AND(テーブル!$B$3="実績報告（２次）",DI$26=0),0,
IF(AND(テーブル!$B$3="実績報告（２次）",DI$26&gt;=1),DI78)))))))))),0)</f>
        <v>0</v>
      </c>
      <c r="DJ40" s="1997">
        <f>IFERROR(
IF(テーブル!$B$3="交付申請",DJ78,
IF(AND(テーブル!$B$3="変更申請",DJ$26=0),0,
IF(AND(テーブル!$B$3="変更申請",DJ$26&gt;=1),DJ78,
IF(テーブル!$B$3="実績報告（１次）",DJ78,
IF(AND(テーブル!$B$3="交付申請（２次）",DJ$26=0),0,
IF(AND(テーブル!$B$3="交付申請（２次）",DJ$26&gt;=1),DJ78,
IF(AND(テーブル!$B$3="交付申請兼実績報告（２次）",DJ$26=0),0,
IF(AND(テーブル!$B$3="交付申請兼実績報告（２次）",DJ$26&gt;=1),DJ78,
IF(AND(テーブル!$B$3="実績報告（２次）",DJ$26=0),0,
IF(AND(テーブル!$B$3="実績報告（２次）",DJ$26&gt;=1),DJ78)))))))))),0)</f>
        <v>0</v>
      </c>
      <c r="DK40" s="1997">
        <f>IFERROR(
IF(テーブル!$B$3="交付申請",DK78,
IF(AND(テーブル!$B$3="変更申請",DK$26=0),0,
IF(AND(テーブル!$B$3="変更申請",DK$26&gt;=1),DK78,
IF(テーブル!$B$3="実績報告（１次）",DK78,
IF(AND(テーブル!$B$3="交付申請（２次）",DK$26=0),0,
IF(AND(テーブル!$B$3="交付申請（２次）",DK$26&gt;=1),DK78,
IF(AND(テーブル!$B$3="交付申請兼実績報告（２次）",DK$26=0),0,
IF(AND(テーブル!$B$3="交付申請兼実績報告（２次）",DK$26&gt;=1),DK78,
IF(AND(テーブル!$B$3="実績報告（２次）",DK$26=0),0,
IF(AND(テーブル!$B$3="実績報告（２次）",DK$26&gt;=1),DK78)))))))))),0)</f>
        <v>0</v>
      </c>
      <c r="DL40" s="1997">
        <f>IFERROR(
IF(テーブル!$B$3="交付申請",DL78,
IF(AND(テーブル!$B$3="変更申請",DL$26=0),0,
IF(AND(テーブル!$B$3="変更申請",DL$26&gt;=1),DL78,
IF(テーブル!$B$3="実績報告（１次）",DL78,
IF(AND(テーブル!$B$3="交付申請（２次）",DL$26=0),0,
IF(AND(テーブル!$B$3="交付申請（２次）",DL$26&gt;=1),DL78,
IF(AND(テーブル!$B$3="交付申請兼実績報告（２次）",DL$26=0),0,
IF(AND(テーブル!$B$3="交付申請兼実績報告（２次）",DL$26&gt;=1),DL78,
IF(AND(テーブル!$B$3="実績報告（２次）",DL$26=0),0,
IF(AND(テーブル!$B$3="実績報告（２次）",DL$26&gt;=1),DL78)))))))))),0)</f>
        <v>0</v>
      </c>
      <c r="DM40" s="1997">
        <f>IFERROR(
IF(テーブル!$B$3="交付申請",DM78,
IF(AND(テーブル!$B$3="変更申請",DM$26=0),0,
IF(AND(テーブル!$B$3="変更申請",DM$26&gt;=1),DM78,
IF(テーブル!$B$3="実績報告（１次）",DM78,
IF(AND(テーブル!$B$3="交付申請（２次）",DM$26=0),0,
IF(AND(テーブル!$B$3="交付申請（２次）",DM$26&gt;=1),DM78,
IF(AND(テーブル!$B$3="交付申請兼実績報告（２次）",DM$26=0),0,
IF(AND(テーブル!$B$3="交付申請兼実績報告（２次）",DM$26&gt;=1),DM78,
IF(AND(テーブル!$B$3="実績報告（２次）",DM$26=0),0,
IF(AND(テーブル!$B$3="実績報告（２次）",DM$26&gt;=1),DM78)))))))))),0)</f>
        <v>0</v>
      </c>
      <c r="DN40" s="1997">
        <f>IFERROR(
IF(テーブル!$B$3="交付申請",DN78,
IF(AND(テーブル!$B$3="変更申請",DN$26=0),0,
IF(AND(テーブル!$B$3="変更申請",DN$26&gt;=1),DN78,
IF(テーブル!$B$3="実績報告（１次）",DN78,
IF(AND(テーブル!$B$3="交付申請（２次）",DN$26=0),0,
IF(AND(テーブル!$B$3="交付申請（２次）",DN$26&gt;=1),DN78,
IF(AND(テーブル!$B$3="交付申請兼実績報告（２次）",DN$26=0),0,
IF(AND(テーブル!$B$3="交付申請兼実績報告（２次）",DN$26&gt;=1),DN78,
IF(AND(テーブル!$B$3="実績報告（２次）",DN$26=0),0,
IF(AND(テーブル!$B$3="実績報告（２次）",DN$26&gt;=1),DN78)))))))))),0)</f>
        <v>0</v>
      </c>
      <c r="DO40" s="1997">
        <f>IFERROR(
IF(テーブル!$B$3="交付申請",DO78,
IF(AND(テーブル!$B$3="変更申請",DO$26=0),0,
IF(AND(テーブル!$B$3="変更申請",DO$26&gt;=1),DO78,
IF(テーブル!$B$3="実績報告（１次）",DO78,
IF(AND(テーブル!$B$3="交付申請（２次）",DO$26=0),0,
IF(AND(テーブル!$B$3="交付申請（２次）",DO$26&gt;=1),DO78,
IF(AND(テーブル!$B$3="交付申請兼実績報告（２次）",DO$26=0),0,
IF(AND(テーブル!$B$3="交付申請兼実績報告（２次）",DO$26&gt;=1),DO78,
IF(AND(テーブル!$B$3="実績報告（２次）",DO$26=0),0,
IF(AND(テーブル!$B$3="実績報告（２次）",DO$26&gt;=1),DO78)))))))))),0)</f>
        <v>0</v>
      </c>
      <c r="DP40" s="1997">
        <f>IFERROR(
IF(テーブル!$B$3="交付申請",DP78,
IF(AND(テーブル!$B$3="変更申請",DP$26=0),0,
IF(AND(テーブル!$B$3="変更申請",DP$26&gt;=1),DP78,
IF(テーブル!$B$3="実績報告（１次）",DP78,
IF(AND(テーブル!$B$3="交付申請（２次）",DP$26=0),0,
IF(AND(テーブル!$B$3="交付申請（２次）",DP$26&gt;=1),DP78,
IF(AND(テーブル!$B$3="交付申請兼実績報告（２次）",DP$26=0),0,
IF(AND(テーブル!$B$3="交付申請兼実績報告（２次）",DP$26&gt;=1),DP78,
IF(AND(テーブル!$B$3="実績報告（２次）",DP$26=0),0,
IF(AND(テーブル!$B$3="実績報告（２次）",DP$26&gt;=1),DP78)))))))))),0)</f>
        <v>0</v>
      </c>
      <c r="DQ40" s="1997">
        <f>IFERROR(
IF(テーブル!$B$3="交付申請",DQ78,
IF(AND(テーブル!$B$3="変更申請",DQ$26=0),0,
IF(AND(テーブル!$B$3="変更申請",DQ$26&gt;=1),DQ78,
IF(テーブル!$B$3="実績報告（１次）",DQ78,
IF(AND(テーブル!$B$3="交付申請（２次）",DQ$26=0),0,
IF(AND(テーブル!$B$3="交付申請（２次）",DQ$26&gt;=1),DQ78,
IF(AND(テーブル!$B$3="交付申請兼実績報告（２次）",DQ$26=0),0,
IF(AND(テーブル!$B$3="交付申請兼実績報告（２次）",DQ$26&gt;=1),DQ78,
IF(AND(テーブル!$B$3="実績報告（２次）",DQ$26=0),0,
IF(AND(テーブル!$B$3="実績報告（２次）",DQ$26&gt;=1),DQ78)))))))))),0)</f>
        <v>0</v>
      </c>
      <c r="DR40" s="1997">
        <f>IFERROR(
IF(テーブル!$B$3="交付申請",DR78,
IF(AND(テーブル!$B$3="変更申請",DR$26=0),0,
IF(AND(テーブル!$B$3="変更申請",DR$26&gt;=1),DR78,
IF(テーブル!$B$3="実績報告（１次）",DR78,
IF(AND(テーブル!$B$3="交付申請（２次）",DR$26=0),0,
IF(AND(テーブル!$B$3="交付申請（２次）",DR$26&gt;=1),DR78,
IF(AND(テーブル!$B$3="交付申請兼実績報告（２次）",DR$26=0),0,
IF(AND(テーブル!$B$3="交付申請兼実績報告（２次）",DR$26&gt;=1),DR78,
IF(AND(テーブル!$B$3="実績報告（２次）",DR$26=0),0,
IF(AND(テーブル!$B$3="実績報告（２次）",DR$26&gt;=1),DR78)))))))))),0)</f>
        <v>0</v>
      </c>
      <c r="DS40" s="1997">
        <f>IFERROR(
IF(テーブル!$B$3="交付申請",DS78,
IF(AND(テーブル!$B$3="変更申請",DS$26=0),0,
IF(AND(テーブル!$B$3="変更申請",DS$26&gt;=1),DS78,
IF(テーブル!$B$3="実績報告（１次）",DS78,
IF(AND(テーブル!$B$3="交付申請（２次）",DS$26=0),0,
IF(AND(テーブル!$B$3="交付申請（２次）",DS$26&gt;=1),DS78,
IF(AND(テーブル!$B$3="交付申請兼実績報告（２次）",DS$26=0),0,
IF(AND(テーブル!$B$3="交付申請兼実績報告（２次）",DS$26&gt;=1),DS78,
IF(AND(テーブル!$B$3="実績報告（２次）",DS$26=0),0,
IF(AND(テーブル!$B$3="実績報告（２次）",DS$26&gt;=1),DS78)))))))))),0)</f>
        <v>0</v>
      </c>
      <c r="DT40" s="1997">
        <f>IFERROR(
IF(テーブル!$B$3="交付申請",DT78,
IF(AND(テーブル!$B$3="変更申請",DT$26=0),0,
IF(AND(テーブル!$B$3="変更申請",DT$26&gt;=1),DT78,
IF(テーブル!$B$3="実績報告（１次）",DT78,
IF(AND(テーブル!$B$3="交付申請（２次）",DT$26=0),0,
IF(AND(テーブル!$B$3="交付申請（２次）",DT$26&gt;=1),DT78,
IF(AND(テーブル!$B$3="交付申請兼実績報告（２次）",DT$26=0),0,
IF(AND(テーブル!$B$3="交付申請兼実績報告（２次）",DT$26&gt;=1),DT78,
IF(AND(テーブル!$B$3="実績報告（２次）",DT$26=0),0,
IF(AND(テーブル!$B$3="実績報告（２次）",DT$26&gt;=1),DT78)))))))))),0)</f>
        <v>0</v>
      </c>
      <c r="DU40" s="1997">
        <f>IFERROR(
IF(テーブル!$B$3="交付申請",DU78,
IF(AND(テーブル!$B$3="変更申請",DU$26=0),0,
IF(AND(テーブル!$B$3="変更申請",DU$26&gt;=1),DU78,
IF(テーブル!$B$3="実績報告（１次）",DU78,
IF(AND(テーブル!$B$3="交付申請（２次）",DU$26=0),0,
IF(AND(テーブル!$B$3="交付申請（２次）",DU$26&gt;=1),DU78,
IF(AND(テーブル!$B$3="交付申請兼実績報告（２次）",DU$26=0),0,
IF(AND(テーブル!$B$3="交付申請兼実績報告（２次）",DU$26&gt;=1),DU78,
IF(AND(テーブル!$B$3="実績報告（２次）",DU$26=0),0,
IF(AND(テーブル!$B$3="実績報告（２次）",DU$26&gt;=1),DU78)))))))))),0)</f>
        <v>0</v>
      </c>
      <c r="DV40" s="1997">
        <f>IFERROR(
IF(テーブル!$B$3="交付申請",DV78,
IF(AND(テーブル!$B$3="変更申請",DV$26=0),0,
IF(AND(テーブル!$B$3="変更申請",DV$26&gt;=1),DV78,
IF(テーブル!$B$3="実績報告（１次）",DV78,
IF(AND(テーブル!$B$3="交付申請（２次）",DV$26=0),0,
IF(AND(テーブル!$B$3="交付申請（２次）",DV$26&gt;=1),DV78,
IF(AND(テーブル!$B$3="交付申請兼実績報告（２次）",DV$26=0),0,
IF(AND(テーブル!$B$3="交付申請兼実績報告（２次）",DV$26&gt;=1),DV78,
IF(AND(テーブル!$B$3="実績報告（２次）",DV$26=0),0,
IF(AND(テーブル!$B$3="実績報告（２次）",DV$26&gt;=1),DV78)))))))))),0)</f>
        <v>0</v>
      </c>
      <c r="DW40" s="1997">
        <f>IFERROR(
IF(テーブル!$B$3="交付申請",DW78,
IF(AND(テーブル!$B$3="変更申請",DW$26=0),0,
IF(AND(テーブル!$B$3="変更申請",DW$26&gt;=1),DW78,
IF(テーブル!$B$3="実績報告（１次）",DW78,
IF(AND(テーブル!$B$3="交付申請（２次）",DW$26=0),0,
IF(AND(テーブル!$B$3="交付申請（２次）",DW$26&gt;=1),DW78,
IF(AND(テーブル!$B$3="交付申請兼実績報告（２次）",DW$26=0),0,
IF(AND(テーブル!$B$3="交付申請兼実績報告（２次）",DW$26&gt;=1),DW78,
IF(AND(テーブル!$B$3="実績報告（２次）",DW$26=0),0,
IF(AND(テーブル!$B$3="実績報告（２次）",DW$26&gt;=1),DW78)))))))))),0)</f>
        <v>0</v>
      </c>
      <c r="DX40" s="1997">
        <f>IFERROR(
IF(テーブル!$B$3="交付申請",DX78,
IF(AND(テーブル!$B$3="変更申請",DX$26=0),0,
IF(AND(テーブル!$B$3="変更申請",DX$26&gt;=1),DX78,
IF(テーブル!$B$3="実績報告（１次）",DX78,
IF(AND(テーブル!$B$3="交付申請（２次）",DX$26=0),0,
IF(AND(テーブル!$B$3="交付申請（２次）",DX$26&gt;=1),DX78,
IF(AND(テーブル!$B$3="交付申請兼実績報告（２次）",DX$26=0),0,
IF(AND(テーブル!$B$3="交付申請兼実績報告（２次）",DX$26&gt;=1),DX78,
IF(AND(テーブル!$B$3="実績報告（２次）",DX$26=0),0,
IF(AND(テーブル!$B$3="実績報告（２次）",DX$26&gt;=1),DX78)))))))))),0)</f>
        <v>0</v>
      </c>
      <c r="DY40" s="1997">
        <f>IFERROR(
IF(テーブル!$B$3="交付申請",DY78,
IF(AND(テーブル!$B$3="変更申請",DY$26=0),0,
IF(AND(テーブル!$B$3="変更申請",DY$26&gt;=1),DY78,
IF(テーブル!$B$3="実績報告（１次）",DY78,
IF(AND(テーブル!$B$3="交付申請（２次）",DY$26=0),0,
IF(AND(テーブル!$B$3="交付申請（２次）",DY$26&gt;=1),DY78,
IF(AND(テーブル!$B$3="交付申請兼実績報告（２次）",DY$26=0),0,
IF(AND(テーブル!$B$3="交付申請兼実績報告（２次）",DY$26&gt;=1),DY78,
IF(AND(テーブル!$B$3="実績報告（２次）",DY$26=0),0,
IF(AND(テーブル!$B$3="実績報告（２次）",DY$26&gt;=1),DY78)))))))))),0)</f>
        <v>0</v>
      </c>
      <c r="DZ40" s="1997">
        <f>IFERROR(
IF(テーブル!$B$3="交付申請",DZ78,
IF(AND(テーブル!$B$3="変更申請",DZ$26=0),0,
IF(AND(テーブル!$B$3="変更申請",DZ$26&gt;=1),DZ78,
IF(テーブル!$B$3="実績報告（１次）",DZ78,
IF(AND(テーブル!$B$3="交付申請（２次）",DZ$26=0),0,
IF(AND(テーブル!$B$3="交付申請（２次）",DZ$26&gt;=1),DZ78,
IF(AND(テーブル!$B$3="交付申請兼実績報告（２次）",DZ$26=0),0,
IF(AND(テーブル!$B$3="交付申請兼実績報告（２次）",DZ$26&gt;=1),DZ78,
IF(AND(テーブル!$B$3="実績報告（２次）",DZ$26=0),0,
IF(AND(テーブル!$B$3="実績報告（２次）",DZ$26&gt;=1),DZ78)))))))))),0)</f>
        <v>0</v>
      </c>
      <c r="EA40" s="1997">
        <f>IFERROR(
IF(テーブル!$B$3="交付申請",EA78,
IF(AND(テーブル!$B$3="変更申請",EA$26=0),0,
IF(AND(テーブル!$B$3="変更申請",EA$26&gt;=1),EA78,
IF(テーブル!$B$3="実績報告（１次）",EA78,
IF(AND(テーブル!$B$3="交付申請（２次）",EA$26=0),0,
IF(AND(テーブル!$B$3="交付申請（２次）",EA$26&gt;=1),EA78,
IF(AND(テーブル!$B$3="交付申請兼実績報告（２次）",EA$26=0),0,
IF(AND(テーブル!$B$3="交付申請兼実績報告（２次）",EA$26&gt;=1),EA78,
IF(AND(テーブル!$B$3="実績報告（２次）",EA$26=0),0,
IF(AND(テーブル!$B$3="実績報告（２次）",EA$26&gt;=1),EA78)))))))))),0)</f>
        <v>0</v>
      </c>
      <c r="EB40" s="1997">
        <f>IFERROR(
IF(テーブル!$B$3="交付申請",EB78,
IF(AND(テーブル!$B$3="変更申請",EB$26=0),0,
IF(AND(テーブル!$B$3="変更申請",EB$26&gt;=1),EB78,
IF(テーブル!$B$3="実績報告（１次）",EB78,
IF(AND(テーブル!$B$3="交付申請（２次）",EB$26=0),0,
IF(AND(テーブル!$B$3="交付申請（２次）",EB$26&gt;=1),EB78,
IF(AND(テーブル!$B$3="交付申請兼実績報告（２次）",EB$26=0),0,
IF(AND(テーブル!$B$3="交付申請兼実績報告（２次）",EB$26&gt;=1),EB78,
IF(AND(テーブル!$B$3="実績報告（２次）",EB$26=0),0,
IF(AND(テーブル!$B$3="実績報告（２次）",EB$26&gt;=1),EB78)))))))))),0)</f>
        <v>0</v>
      </c>
      <c r="EC40" s="1997">
        <f>IFERROR(
IF(テーブル!$B$3="交付申請",EC78,
IF(AND(テーブル!$B$3="変更申請",EC$26=0),0,
IF(AND(テーブル!$B$3="変更申請",EC$26&gt;=1),EC78,
IF(テーブル!$B$3="実績報告（１次）",EC78,
IF(AND(テーブル!$B$3="交付申請（２次）",EC$26=0),0,
IF(AND(テーブル!$B$3="交付申請（２次）",EC$26&gt;=1),EC78,
IF(AND(テーブル!$B$3="交付申請兼実績報告（２次）",EC$26=0),0,
IF(AND(テーブル!$B$3="交付申請兼実績報告（２次）",EC$26&gt;=1),EC78,
IF(AND(テーブル!$B$3="実績報告（２次）",EC$26=0),0,
IF(AND(テーブル!$B$3="実績報告（２次）",EC$26&gt;=1),EC78)))))))))),0)</f>
        <v>0</v>
      </c>
      <c r="ED40" s="1997">
        <f>IFERROR(
IF(テーブル!$B$3="交付申請",ED78,
IF(AND(テーブル!$B$3="変更申請",ED$26=0),0,
IF(AND(テーブル!$B$3="変更申請",ED$26&gt;=1),ED78,
IF(テーブル!$B$3="実績報告（１次）",ED78,
IF(AND(テーブル!$B$3="交付申請（２次）",ED$26=0),0,
IF(AND(テーブル!$B$3="交付申請（２次）",ED$26&gt;=1),ED78,
IF(AND(テーブル!$B$3="交付申請兼実績報告（２次）",ED$26=0),0,
IF(AND(テーブル!$B$3="交付申請兼実績報告（２次）",ED$26&gt;=1),ED78,
IF(AND(テーブル!$B$3="実績報告（２次）",ED$26=0),0,
IF(AND(テーブル!$B$3="実績報告（２次）",ED$26&gt;=1),ED78)))))))))),0)</f>
        <v>0</v>
      </c>
      <c r="EE40" s="1997">
        <f>IFERROR(
IF(テーブル!$B$3="交付申請",EE78,
IF(AND(テーブル!$B$3="変更申請",EE$26=0),0,
IF(AND(テーブル!$B$3="変更申請",EE$26&gt;=1),EE78,
IF(テーブル!$B$3="実績報告（１次）",EE78,
IF(AND(テーブル!$B$3="交付申請（２次）",EE$26=0),0,
IF(AND(テーブル!$B$3="交付申請（２次）",EE$26&gt;=1),EE78,
IF(AND(テーブル!$B$3="交付申請兼実績報告（２次）",EE$26=0),0,
IF(AND(テーブル!$B$3="交付申請兼実績報告（２次）",EE$26&gt;=1),EE78,
IF(AND(テーブル!$B$3="実績報告（２次）",EE$26=0),0,
IF(AND(テーブル!$B$3="実績報告（２次）",EE$26&gt;=1),EE78)))))))))),0)</f>
        <v>0</v>
      </c>
      <c r="EF40" s="1997">
        <f>IFERROR(
IF(テーブル!$B$3="交付申請",EF78,
IF(AND(テーブル!$B$3="変更申請",EF$26=0),0,
IF(AND(テーブル!$B$3="変更申請",EF$26&gt;=1),EF78,
IF(テーブル!$B$3="実績報告（１次）",EF78,
IF(AND(テーブル!$B$3="交付申請（２次）",EF$26=0),0,
IF(AND(テーブル!$B$3="交付申請（２次）",EF$26&gt;=1),EF78,
IF(AND(テーブル!$B$3="交付申請兼実績報告（２次）",EF$26=0),0,
IF(AND(テーブル!$B$3="交付申請兼実績報告（２次）",EF$26&gt;=1),EF78,
IF(AND(テーブル!$B$3="実績報告（２次）",EF$26=0),0,
IF(AND(テーブル!$B$3="実績報告（２次）",EF$26&gt;=1),EF78)))))))))),0)</f>
        <v>0</v>
      </c>
      <c r="EG40" s="1997">
        <f>IFERROR(
IF(テーブル!$B$3="交付申請",EG78,
IF(AND(テーブル!$B$3="変更申請",EG$26=0),0,
IF(AND(テーブル!$B$3="変更申請",EG$26&gt;=1),EG78,
IF(テーブル!$B$3="実績報告（１次）",EG78,
IF(AND(テーブル!$B$3="交付申請（２次）",EG$26=0),0,
IF(AND(テーブル!$B$3="交付申請（２次）",EG$26&gt;=1),EG78,
IF(AND(テーブル!$B$3="交付申請兼実績報告（２次）",EG$26=0),0,
IF(AND(テーブル!$B$3="交付申請兼実績報告（２次）",EG$26&gt;=1),EG78,
IF(AND(テーブル!$B$3="実績報告（２次）",EG$26=0),0,
IF(AND(テーブル!$B$3="実績報告（２次）",EG$26&gt;=1),EG78)))))))))),0)</f>
        <v>0</v>
      </c>
      <c r="EH40" s="1997">
        <f>IFERROR(
IF(テーブル!$B$3="交付申請",EH78,
IF(AND(テーブル!$B$3="変更申請",EH$26=0),0,
IF(AND(テーブル!$B$3="変更申請",EH$26&gt;=1),EH78,
IF(テーブル!$B$3="実績報告（１次）",EH78,
IF(AND(テーブル!$B$3="交付申請（２次）",EH$26=0),0,
IF(AND(テーブル!$B$3="交付申請（２次）",EH$26&gt;=1),EH78,
IF(AND(テーブル!$B$3="交付申請兼実績報告（２次）",EH$26=0),0,
IF(AND(テーブル!$B$3="交付申請兼実績報告（２次）",EH$26&gt;=1),EH78,
IF(AND(テーブル!$B$3="実績報告（２次）",EH$26=0),0,
IF(AND(テーブル!$B$3="実績報告（２次）",EH$26&gt;=1),EH78)))))))))),0)</f>
        <v>0</v>
      </c>
      <c r="EI40" s="1997">
        <f>IFERROR(
IF(テーブル!$B$3="交付申請",EI78,
IF(AND(テーブル!$B$3="変更申請",EI$26=0),0,
IF(AND(テーブル!$B$3="変更申請",EI$26&gt;=1),EI78,
IF(テーブル!$B$3="実績報告（１次）",EI78,
IF(AND(テーブル!$B$3="交付申請（２次）",EI$26=0),0,
IF(AND(テーブル!$B$3="交付申請（２次）",EI$26&gt;=1),EI78,
IF(AND(テーブル!$B$3="交付申請兼実績報告（２次）",EI$26=0),0,
IF(AND(テーブル!$B$3="交付申請兼実績報告（２次）",EI$26&gt;=1),EI78,
IF(AND(テーブル!$B$3="実績報告（２次）",EI$26=0),0,
IF(AND(テーブル!$B$3="実績報告（２次）",EI$26&gt;=1),EI78)))))))))),0)</f>
        <v>0</v>
      </c>
      <c r="EJ40" s="1997">
        <f>IFERROR(
IF(テーブル!$B$3="交付申請",EJ78,
IF(AND(テーブル!$B$3="変更申請",EJ$26=0),0,
IF(AND(テーブル!$B$3="変更申請",EJ$26&gt;=1),EJ78,
IF(テーブル!$B$3="実績報告（１次）",EJ78,
IF(AND(テーブル!$B$3="交付申請（２次）",EJ$26=0),0,
IF(AND(テーブル!$B$3="交付申請（２次）",EJ$26&gt;=1),EJ78,
IF(AND(テーブル!$B$3="交付申請兼実績報告（２次）",EJ$26=0),0,
IF(AND(テーブル!$B$3="交付申請兼実績報告（２次）",EJ$26&gt;=1),EJ78,
IF(AND(テーブル!$B$3="実績報告（２次）",EJ$26=0),0,
IF(AND(テーブル!$B$3="実績報告（２次）",EJ$26&gt;=1),EJ78)))))))))),0)</f>
        <v>0</v>
      </c>
      <c r="EK40" s="1997">
        <f>IFERROR(
IF(テーブル!$B$3="交付申請",EK78,
IF(AND(テーブル!$B$3="変更申請",EK$26=0),0,
IF(AND(テーブル!$B$3="変更申請",EK$26&gt;=1),EK78,
IF(テーブル!$B$3="実績報告（１次）",EK78,
IF(AND(テーブル!$B$3="交付申請（２次）",EK$26=0),0,
IF(AND(テーブル!$B$3="交付申請（２次）",EK$26&gt;=1),EK78,
IF(AND(テーブル!$B$3="交付申請兼実績報告（２次）",EK$26=0),0,
IF(AND(テーブル!$B$3="交付申請兼実績報告（２次）",EK$26&gt;=1),EK78,
IF(AND(テーブル!$B$3="実績報告（２次）",EK$26=0),0,
IF(AND(テーブル!$B$3="実績報告（２次）",EK$26&gt;=1),EK78)))))))))),0)</f>
        <v>0</v>
      </c>
      <c r="EL40" s="1997">
        <f>IFERROR(
IF(テーブル!$B$3="交付申請",EL78,
IF(AND(テーブル!$B$3="変更申請",EL$26=0),0,
IF(AND(テーブル!$B$3="変更申請",EL$26&gt;=1),EL78,
IF(テーブル!$B$3="実績報告（１次）",EL78,
IF(AND(テーブル!$B$3="交付申請（２次）",EL$26=0),0,
IF(AND(テーブル!$B$3="交付申請（２次）",EL$26&gt;=1),EL78,
IF(AND(テーブル!$B$3="交付申請兼実績報告（２次）",EL$26=0),0,
IF(AND(テーブル!$B$3="交付申請兼実績報告（２次）",EL$26&gt;=1),EL78,
IF(AND(テーブル!$B$3="実績報告（２次）",EL$26=0),0,
IF(AND(テーブル!$B$3="実績報告（２次）",EL$26&gt;=1),EL78)))))))))),0)</f>
        <v>0</v>
      </c>
      <c r="EM40" s="1997">
        <f>IFERROR(
IF(テーブル!$B$3="交付申請",EM78,
IF(AND(テーブル!$B$3="変更申請",EM$26=0),0,
IF(AND(テーブル!$B$3="変更申請",EM$26&gt;=1),EM78,
IF(テーブル!$B$3="実績報告（１次）",EM78,
IF(AND(テーブル!$B$3="交付申請（２次）",EM$26=0),0,
IF(AND(テーブル!$B$3="交付申請（２次）",EM$26&gt;=1),EM78,
IF(AND(テーブル!$B$3="交付申請兼実績報告（２次）",EM$26=0),0,
IF(AND(テーブル!$B$3="交付申請兼実績報告（２次）",EM$26&gt;=1),EM78,
IF(AND(テーブル!$B$3="実績報告（２次）",EM$26=0),0,
IF(AND(テーブル!$B$3="実績報告（２次）",EM$26&gt;=1),EM78)))))))))),0)</f>
        <v>0</v>
      </c>
      <c r="EN40" s="1997">
        <f>IFERROR(
IF(テーブル!$B$3="交付申請",EN78,
IF(AND(テーブル!$B$3="変更申請",EN$26=0),0,
IF(AND(テーブル!$B$3="変更申請",EN$26&gt;=1),EN78,
IF(テーブル!$B$3="実績報告（１次）",EN78,
IF(AND(テーブル!$B$3="交付申請（２次）",EN$26=0),0,
IF(AND(テーブル!$B$3="交付申請（２次）",EN$26&gt;=1),EN78,
IF(AND(テーブル!$B$3="交付申請兼実績報告（２次）",EN$26=0),0,
IF(AND(テーブル!$B$3="交付申請兼実績報告（２次）",EN$26&gt;=1),EN78,
IF(AND(テーブル!$B$3="実績報告（２次）",EN$26=0),0,
IF(AND(テーブル!$B$3="実績報告（２次）",EN$26&gt;=1),EN78)))))))))),0)</f>
        <v>0</v>
      </c>
      <c r="EO40" s="1997">
        <f>IFERROR(
IF(テーブル!$B$3="交付申請",EO78,
IF(AND(テーブル!$B$3="変更申請",EO$26=0),0,
IF(AND(テーブル!$B$3="変更申請",EO$26&gt;=1),EO78,
IF(テーブル!$B$3="実績報告（１次）",EO78,
IF(AND(テーブル!$B$3="交付申請（２次）",EO$26=0),0,
IF(AND(テーブル!$B$3="交付申請（２次）",EO$26&gt;=1),EO78,
IF(AND(テーブル!$B$3="交付申請兼実績報告（２次）",EO$26=0),0,
IF(AND(テーブル!$B$3="交付申請兼実績報告（２次）",EO$26&gt;=1),EO78,
IF(AND(テーブル!$B$3="実績報告（２次）",EO$26=0),0,
IF(AND(テーブル!$B$3="実績報告（２次）",EO$26&gt;=1),EO78)))))))))),0)</f>
        <v>0</v>
      </c>
      <c r="EP40" s="1997">
        <f>IFERROR(
IF(テーブル!$B$3="交付申請",EP78,
IF(AND(テーブル!$B$3="変更申請",EP$26=0),0,
IF(AND(テーブル!$B$3="変更申請",EP$26&gt;=1),EP78,
IF(テーブル!$B$3="実績報告（１次）",EP78,
IF(AND(テーブル!$B$3="交付申請（２次）",EP$26=0),0,
IF(AND(テーブル!$B$3="交付申請（２次）",EP$26&gt;=1),EP78,
IF(AND(テーブル!$B$3="交付申請兼実績報告（２次）",EP$26=0),0,
IF(AND(テーブル!$B$3="交付申請兼実績報告（２次）",EP$26&gt;=1),EP78,
IF(AND(テーブル!$B$3="実績報告（２次）",EP$26=0),0,
IF(AND(テーブル!$B$3="実績報告（２次）",EP$26&gt;=1),EP78)))))))))),0)</f>
        <v>0</v>
      </c>
      <c r="EQ40" s="1997">
        <f>IFERROR(
IF(テーブル!$B$3="交付申請",EQ78,
IF(AND(テーブル!$B$3="変更申請",EQ$26=0),0,
IF(AND(テーブル!$B$3="変更申請",EQ$26&gt;=1),EQ78,
IF(テーブル!$B$3="実績報告（１次）",EQ78,
IF(AND(テーブル!$B$3="交付申請（２次）",EQ$26=0),0,
IF(AND(テーブル!$B$3="交付申請（２次）",EQ$26&gt;=1),EQ78,
IF(AND(テーブル!$B$3="交付申請兼実績報告（２次）",EQ$26=0),0,
IF(AND(テーブル!$B$3="交付申請兼実績報告（２次）",EQ$26&gt;=1),EQ78,
IF(AND(テーブル!$B$3="実績報告（２次）",EQ$26=0),0,
IF(AND(テーブル!$B$3="実績報告（２次）",EQ$26&gt;=1),EQ78)))))))))),0)</f>
        <v>0</v>
      </c>
      <c r="ER40" s="1997">
        <f>IFERROR(
IF(テーブル!$B$3="交付申請",ER78,
IF(AND(テーブル!$B$3="変更申請",ER$26=0),0,
IF(AND(テーブル!$B$3="変更申請",ER$26&gt;=1),ER78,
IF(テーブル!$B$3="実績報告（１次）",ER78,
IF(AND(テーブル!$B$3="交付申請（２次）",ER$26=0),0,
IF(AND(テーブル!$B$3="交付申請（２次）",ER$26&gt;=1),ER78,
IF(AND(テーブル!$B$3="交付申請兼実績報告（２次）",ER$26=0),0,
IF(AND(テーブル!$B$3="交付申請兼実績報告（２次）",ER$26&gt;=1),ER78,
IF(AND(テーブル!$B$3="実績報告（２次）",ER$26=0),0,
IF(AND(テーブル!$B$3="実績報告（２次）",ER$26&gt;=1),ER78)))))))))),0)</f>
        <v>0</v>
      </c>
      <c r="ES40" s="1997">
        <f>IFERROR(
IF(テーブル!$B$3="交付申請",ES78,
IF(AND(テーブル!$B$3="変更申請",ES$26=0),0,
IF(AND(テーブル!$B$3="変更申請",ES$26&gt;=1),ES78,
IF(テーブル!$B$3="実績報告（１次）",ES78,
IF(AND(テーブル!$B$3="交付申請（２次）",ES$26=0),0,
IF(AND(テーブル!$B$3="交付申請（２次）",ES$26&gt;=1),ES78,
IF(AND(テーブル!$B$3="交付申請兼実績報告（２次）",ES$26=0),0,
IF(AND(テーブル!$B$3="交付申請兼実績報告（２次）",ES$26&gt;=1),ES78,
IF(AND(テーブル!$B$3="実績報告（２次）",ES$26=0),0,
IF(AND(テーブル!$B$3="実績報告（２次）",ES$26&gt;=1),ES78)))))))))),0)</f>
        <v>0</v>
      </c>
      <c r="ET40" s="1997">
        <f>IFERROR(
IF(テーブル!$B$3="交付申請",ET78,
IF(AND(テーブル!$B$3="変更申請",ET$26=0),0,
IF(AND(テーブル!$B$3="変更申請",ET$26&gt;=1),ET78,
IF(テーブル!$B$3="実績報告（１次）",ET78,
IF(AND(テーブル!$B$3="交付申請（２次）",ET$26=0),0,
IF(AND(テーブル!$B$3="交付申請（２次）",ET$26&gt;=1),ET78,
IF(AND(テーブル!$B$3="交付申請兼実績報告（２次）",ET$26=0),0,
IF(AND(テーブル!$B$3="交付申請兼実績報告（２次）",ET$26&gt;=1),ET78,
IF(AND(テーブル!$B$3="実績報告（２次）",ET$26=0),0,
IF(AND(テーブル!$B$3="実績報告（２次）",ET$26&gt;=1),ET78)))))))))),0)</f>
        <v>0</v>
      </c>
      <c r="EU40" s="1997">
        <f>IFERROR(
IF(テーブル!$B$3="交付申請",EU78,
IF(AND(テーブル!$B$3="変更申請",EU$26=0),0,
IF(AND(テーブル!$B$3="変更申請",EU$26&gt;=1),EU78,
IF(テーブル!$B$3="実績報告（１次）",EU78,
IF(AND(テーブル!$B$3="交付申請（２次）",EU$26=0),0,
IF(AND(テーブル!$B$3="交付申請（２次）",EU$26&gt;=1),EU78,
IF(AND(テーブル!$B$3="交付申請兼実績報告（２次）",EU$26=0),0,
IF(AND(テーブル!$B$3="交付申請兼実績報告（２次）",EU$26&gt;=1),EU78,
IF(AND(テーブル!$B$3="実績報告（２次）",EU$26=0),0,
IF(AND(テーブル!$B$3="実績報告（２次）",EU$26&gt;=1),EU78)))))))))),0)</f>
        <v>0</v>
      </c>
      <c r="EV40" s="1997">
        <f>IFERROR(
IF(テーブル!$B$3="交付申請",EV78,
IF(AND(テーブル!$B$3="変更申請",EV$26=0),0,
IF(AND(テーブル!$B$3="変更申請",EV$26&gt;=1),EV78,
IF(テーブル!$B$3="実績報告（１次）",EV78,
IF(AND(テーブル!$B$3="交付申請（２次）",EV$26=0),0,
IF(AND(テーブル!$B$3="交付申請（２次）",EV$26&gt;=1),EV78,
IF(AND(テーブル!$B$3="交付申請兼実績報告（２次）",EV$26=0),0,
IF(AND(テーブル!$B$3="交付申請兼実績報告（２次）",EV$26&gt;=1),EV78,
IF(AND(テーブル!$B$3="実績報告（２次）",EV$26=0),0,
IF(AND(テーブル!$B$3="実績報告（２次）",EV$26&gt;=1),EV78)))))))))),0)</f>
        <v>0</v>
      </c>
      <c r="EW40" s="1997">
        <f>IFERROR(
IF(テーブル!$B$3="交付申請",EW78,
IF(AND(テーブル!$B$3="変更申請",EW$26=0),0,
IF(AND(テーブル!$B$3="変更申請",EW$26&gt;=1),EW78,
IF(テーブル!$B$3="実績報告（１次）",EW78,
IF(AND(テーブル!$B$3="交付申請（２次）",EW$26=0),0,
IF(AND(テーブル!$B$3="交付申請（２次）",EW$26&gt;=1),EW78,
IF(AND(テーブル!$B$3="交付申請兼実績報告（２次）",EW$26=0),0,
IF(AND(テーブル!$B$3="交付申請兼実績報告（２次）",EW$26&gt;=1),EW78,
IF(AND(テーブル!$B$3="実績報告（２次）",EW$26=0),0,
IF(AND(テーブル!$B$3="実績報告（２次）",EW$26&gt;=1),EW78)))))))))),0)</f>
        <v>0</v>
      </c>
      <c r="EX40" s="1997">
        <f>IFERROR(
IF(テーブル!$B$3="交付申請",EX78,
IF(AND(テーブル!$B$3="変更申請",EX$26=0),0,
IF(AND(テーブル!$B$3="変更申請",EX$26&gt;=1),EX78,
IF(テーブル!$B$3="実績報告（１次）",EX78,
IF(AND(テーブル!$B$3="交付申請（２次）",EX$26=0),0,
IF(AND(テーブル!$B$3="交付申請（２次）",EX$26&gt;=1),EX78,
IF(AND(テーブル!$B$3="交付申請兼実績報告（２次）",EX$26=0),0,
IF(AND(テーブル!$B$3="交付申請兼実績報告（２次）",EX$26&gt;=1),EX78,
IF(AND(テーブル!$B$3="実績報告（２次）",EX$26=0),0,
IF(AND(テーブル!$B$3="実績報告（２次）",EX$26&gt;=1),EX78)))))))))),0)</f>
        <v>0</v>
      </c>
      <c r="EY40" s="1997">
        <f>IFERROR(
IF(テーブル!$B$3="交付申請",EY78,
IF(AND(テーブル!$B$3="変更申請",EY$26=0),0,
IF(AND(テーブル!$B$3="変更申請",EY$26&gt;=1),EY78,
IF(テーブル!$B$3="実績報告（１次）",EY78,
IF(AND(テーブル!$B$3="交付申請（２次）",EY$26=0),0,
IF(AND(テーブル!$B$3="交付申請（２次）",EY$26&gt;=1),EY78,
IF(AND(テーブル!$B$3="交付申請兼実績報告（２次）",EY$26=0),0,
IF(AND(テーブル!$B$3="交付申請兼実績報告（２次）",EY$26&gt;=1),EY78,
IF(AND(テーブル!$B$3="実績報告（２次）",EY$26=0),0,
IF(AND(テーブル!$B$3="実績報告（２次）",EY$26&gt;=1),EY78)))))))))),0)</f>
        <v>0</v>
      </c>
      <c r="EZ40" s="1997">
        <f>IFERROR(
IF(テーブル!$B$3="交付申請",EZ78,
IF(AND(テーブル!$B$3="変更申請",EZ$26=0),0,
IF(AND(テーブル!$B$3="変更申請",EZ$26&gt;=1),EZ78,
IF(テーブル!$B$3="実績報告（１次）",EZ78,
IF(AND(テーブル!$B$3="交付申請（２次）",EZ$26=0),0,
IF(AND(テーブル!$B$3="交付申請（２次）",EZ$26&gt;=1),EZ78,
IF(AND(テーブル!$B$3="交付申請兼実績報告（２次）",EZ$26=0),0,
IF(AND(テーブル!$B$3="交付申請兼実績報告（２次）",EZ$26&gt;=1),EZ78,
IF(AND(テーブル!$B$3="実績報告（２次）",EZ$26=0),0,
IF(AND(テーブル!$B$3="実績報告（２次）",EZ$26&gt;=1),EZ78)))))))))),0)</f>
        <v>0</v>
      </c>
      <c r="FA40" s="1997">
        <f>IFERROR(
IF(テーブル!$B$3="交付申請",FA78,
IF(AND(テーブル!$B$3="変更申請",FA$26=0),0,
IF(AND(テーブル!$B$3="変更申請",FA$26&gt;=1),FA78,
IF(テーブル!$B$3="実績報告（１次）",FA78,
IF(AND(テーブル!$B$3="交付申請（２次）",FA$26=0),0,
IF(AND(テーブル!$B$3="交付申請（２次）",FA$26&gt;=1),FA78,
IF(AND(テーブル!$B$3="交付申請兼実績報告（２次）",FA$26=0),0,
IF(AND(テーブル!$B$3="交付申請兼実績報告（２次）",FA$26&gt;=1),FA78,
IF(AND(テーブル!$B$3="実績報告（２次）",FA$26=0),0,
IF(AND(テーブル!$B$3="実績報告（２次）",FA$26&gt;=1),FA78)))))))))),0)</f>
        <v>0</v>
      </c>
      <c r="FB40" s="1997">
        <f>IFERROR(
IF(テーブル!$B$3="交付申請",FB78,
IF(AND(テーブル!$B$3="変更申請",FB$26=0),0,
IF(AND(テーブル!$B$3="変更申請",FB$26&gt;=1),FB78,
IF(テーブル!$B$3="実績報告（１次）",FB78,
IF(AND(テーブル!$B$3="交付申請（２次）",FB$26=0),0,
IF(AND(テーブル!$B$3="交付申請（２次）",FB$26&gt;=1),FB78,
IF(AND(テーブル!$B$3="交付申請兼実績報告（２次）",FB$26=0),0,
IF(AND(テーブル!$B$3="交付申請兼実績報告（２次）",FB$26&gt;=1),FB78,
IF(AND(テーブル!$B$3="実績報告（２次）",FB$26=0),0,
IF(AND(テーブル!$B$3="実績報告（２次）",FB$26&gt;=1),FB78)))))))))),0)</f>
        <v>0</v>
      </c>
      <c r="FC40" s="1997">
        <f>IFERROR(
IF(テーブル!$B$3="交付申請",FC78,
IF(AND(テーブル!$B$3="変更申請",FC$26=0),0,
IF(AND(テーブル!$B$3="変更申請",FC$26&gt;=1),FC78,
IF(テーブル!$B$3="実績報告（１次）",FC78,
IF(AND(テーブル!$B$3="交付申請（２次）",FC$26=0),0,
IF(AND(テーブル!$B$3="交付申請（２次）",FC$26&gt;=1),FC78,
IF(AND(テーブル!$B$3="交付申請兼実績報告（２次）",FC$26=0),0,
IF(AND(テーブル!$B$3="交付申請兼実績報告（２次）",FC$26&gt;=1),FC78,
IF(AND(テーブル!$B$3="実績報告（２次）",FC$26=0),0,
IF(AND(テーブル!$B$3="実績報告（２次）",FC$26&gt;=1),FC78)))))))))),0)</f>
        <v>0</v>
      </c>
      <c r="FD40" s="1997">
        <f>IFERROR(
IF(テーブル!$B$3="交付申請",FD78,
IF(AND(テーブル!$B$3="変更申請",FD$26=0),0,
IF(AND(テーブル!$B$3="変更申請",FD$26&gt;=1),FD78,
IF(テーブル!$B$3="実績報告（１次）",FD78,
IF(AND(テーブル!$B$3="交付申請（２次）",FD$26=0),0,
IF(AND(テーブル!$B$3="交付申請（２次）",FD$26&gt;=1),FD78,
IF(AND(テーブル!$B$3="交付申請兼実績報告（２次）",FD$26=0),0,
IF(AND(テーブル!$B$3="交付申請兼実績報告（２次）",FD$26&gt;=1),FD78,
IF(AND(テーブル!$B$3="実績報告（２次）",FD$26=0),0,
IF(AND(テーブル!$B$3="実績報告（２次）",FD$26&gt;=1),FD78)))))))))),0)</f>
        <v>0</v>
      </c>
      <c r="FE40" s="1997">
        <f>IFERROR(
IF(テーブル!$B$3="交付申請",FE78,
IF(AND(テーブル!$B$3="変更申請",FE$26=0),0,
IF(AND(テーブル!$B$3="変更申請",FE$26&gt;=1),FE78,
IF(テーブル!$B$3="実績報告（１次）",FE78,
IF(AND(テーブル!$B$3="交付申請（２次）",FE$26=0),0,
IF(AND(テーブル!$B$3="交付申請（２次）",FE$26&gt;=1),FE78,
IF(AND(テーブル!$B$3="交付申請兼実績報告（２次）",FE$26=0),0,
IF(AND(テーブル!$B$3="交付申請兼実績報告（２次）",FE$26&gt;=1),FE78,
IF(AND(テーブル!$B$3="実績報告（２次）",FE$26=0),0,
IF(AND(テーブル!$B$3="実績報告（２次）",FE$26&gt;=1),FE78)))))))))),0)</f>
        <v>0</v>
      </c>
      <c r="FF40" s="1997">
        <f>IFERROR(
IF(テーブル!$B$3="交付申請",FF78,
IF(AND(テーブル!$B$3="変更申請",FF$26=0),0,
IF(AND(テーブル!$B$3="変更申請",FF$26&gt;=1),FF78,
IF(テーブル!$B$3="実績報告（１次）",FF78,
IF(AND(テーブル!$B$3="交付申請（２次）",FF$26=0),0,
IF(AND(テーブル!$B$3="交付申請（２次）",FF$26&gt;=1),FF78,
IF(AND(テーブル!$B$3="交付申請兼実績報告（２次）",FF$26=0),0,
IF(AND(テーブル!$B$3="交付申請兼実績報告（２次）",FF$26&gt;=1),FF78,
IF(AND(テーブル!$B$3="実績報告（２次）",FF$26=0),0,
IF(AND(テーブル!$B$3="実績報告（２次）",FF$26&gt;=1),FF78)))))))))),0)</f>
        <v>0</v>
      </c>
      <c r="FG40" s="1997">
        <f>IFERROR(
IF(テーブル!$B$3="交付申請",FG78,
IF(AND(テーブル!$B$3="変更申請",FG$26=0),0,
IF(AND(テーブル!$B$3="変更申請",FG$26&gt;=1),FG78,
IF(テーブル!$B$3="実績報告（１次）",FG78,
IF(AND(テーブル!$B$3="交付申請（２次）",FG$26=0),0,
IF(AND(テーブル!$B$3="交付申請（２次）",FG$26&gt;=1),FG78,
IF(AND(テーブル!$B$3="交付申請兼実績報告（２次）",FG$26=0),0,
IF(AND(テーブル!$B$3="交付申請兼実績報告（２次）",FG$26&gt;=1),FG78,
IF(AND(テーブル!$B$3="実績報告（２次）",FG$26=0),0,
IF(AND(テーブル!$B$3="実績報告（２次）",FG$26&gt;=1),FG78)))))))))),0)</f>
        <v>0</v>
      </c>
      <c r="FH40" s="1997">
        <f>IFERROR(
IF(テーブル!$B$3="交付申請",FH78,
IF(AND(テーブル!$B$3="変更申請",FH$26=0),0,
IF(AND(テーブル!$B$3="変更申請",FH$26&gt;=1),FH78,
IF(テーブル!$B$3="実績報告（１次）",FH78,
IF(AND(テーブル!$B$3="交付申請（２次）",FH$26=0),0,
IF(AND(テーブル!$B$3="交付申請（２次）",FH$26&gt;=1),FH78,
IF(AND(テーブル!$B$3="交付申請兼実績報告（２次）",FH$26=0),0,
IF(AND(テーブル!$B$3="交付申請兼実績報告（２次）",FH$26&gt;=1),FH78,
IF(AND(テーブル!$B$3="実績報告（２次）",FH$26=0),0,
IF(AND(テーブル!$B$3="実績報告（２次）",FH$26&gt;=1),FH78)))))))))),0)</f>
        <v>0</v>
      </c>
      <c r="FI40" s="1997">
        <f>IFERROR(
IF(テーブル!$B$3="交付申請",FI78,
IF(AND(テーブル!$B$3="変更申請",FI$26=0),0,
IF(AND(テーブル!$B$3="変更申請",FI$26&gt;=1),FI78,
IF(テーブル!$B$3="実績報告（１次）",FI78,
IF(AND(テーブル!$B$3="交付申請（２次）",FI$26=0),0,
IF(AND(テーブル!$B$3="交付申請（２次）",FI$26&gt;=1),FI78,
IF(AND(テーブル!$B$3="交付申請兼実績報告（２次）",FI$26=0),0,
IF(AND(テーブル!$B$3="交付申請兼実績報告（２次）",FI$26&gt;=1),FI78,
IF(AND(テーブル!$B$3="実績報告（２次）",FI$26=0),0,
IF(AND(テーブル!$B$3="実績報告（２次）",FI$26&gt;=1),FI78)))))))))),0)</f>
        <v>0</v>
      </c>
      <c r="FJ40" s="1997">
        <f>IFERROR(
IF(テーブル!$B$3="交付申請",FJ78,
IF(AND(テーブル!$B$3="変更申請",FJ$26=0),0,
IF(AND(テーブル!$B$3="変更申請",FJ$26&gt;=1),FJ78,
IF(テーブル!$B$3="実績報告（１次）",FJ78,
IF(AND(テーブル!$B$3="交付申請（２次）",FJ$26=0),0,
IF(AND(テーブル!$B$3="交付申請（２次）",FJ$26&gt;=1),FJ78,
IF(AND(テーブル!$B$3="交付申請兼実績報告（２次）",FJ$26=0),0,
IF(AND(テーブル!$B$3="交付申請兼実績報告（２次）",FJ$26&gt;=1),FJ78,
IF(AND(テーブル!$B$3="実績報告（２次）",FJ$26=0),0,
IF(AND(テーブル!$B$3="実績報告（２次）",FJ$26&gt;=1),FJ78)))))))))),0)</f>
        <v>0</v>
      </c>
      <c r="FK40" s="1997">
        <f>IFERROR(
IF(テーブル!$B$3="交付申請",FK78,
IF(AND(テーブル!$B$3="変更申請",FK$26=0),0,
IF(AND(テーブル!$B$3="変更申請",FK$26&gt;=1),FK78,
IF(テーブル!$B$3="実績報告（１次）",FK78,
IF(AND(テーブル!$B$3="交付申請（２次）",FK$26=0),0,
IF(AND(テーブル!$B$3="交付申請（２次）",FK$26&gt;=1),FK78,
IF(AND(テーブル!$B$3="交付申請兼実績報告（２次）",FK$26=0),0,
IF(AND(テーブル!$B$3="交付申請兼実績報告（２次）",FK$26&gt;=1),FK78,
IF(AND(テーブル!$B$3="実績報告（２次）",FK$26=0),0,
IF(AND(テーブル!$B$3="実績報告（２次）",FK$26&gt;=1),FK78)))))))))),0)</f>
        <v>0</v>
      </c>
      <c r="FL40" s="1997">
        <f>IFERROR(
IF(テーブル!$B$3="交付申請",FL78,
IF(AND(テーブル!$B$3="変更申請",FL$26=0),0,
IF(AND(テーブル!$B$3="変更申請",FL$26&gt;=1),FL78,
IF(テーブル!$B$3="実績報告（１次）",FL78,
IF(AND(テーブル!$B$3="交付申請（２次）",FL$26=0),0,
IF(AND(テーブル!$B$3="交付申請（２次）",FL$26&gt;=1),FL78,
IF(AND(テーブル!$B$3="交付申請兼実績報告（２次）",FL$26=0),0,
IF(AND(テーブル!$B$3="交付申請兼実績報告（２次）",FL$26&gt;=1),FL78,
IF(AND(テーブル!$B$3="実績報告（２次）",FL$26=0),0,
IF(AND(テーブル!$B$3="実績報告（２次）",FL$26&gt;=1),FL78)))))))))),0)</f>
        <v>0</v>
      </c>
      <c r="FM40" s="1997">
        <f>IFERROR(
IF(テーブル!$B$3="交付申請",FM78,
IF(AND(テーブル!$B$3="変更申請",FM$26=0),0,
IF(AND(テーブル!$B$3="変更申請",FM$26&gt;=1),FM78,
IF(テーブル!$B$3="実績報告（１次）",FM78,
IF(AND(テーブル!$B$3="交付申請（２次）",FM$26=0),0,
IF(AND(テーブル!$B$3="交付申請（２次）",FM$26&gt;=1),FM78,
IF(AND(テーブル!$B$3="交付申請兼実績報告（２次）",FM$26=0),0,
IF(AND(テーブル!$B$3="交付申請兼実績報告（２次）",FM$26&gt;=1),FM78,
IF(AND(テーブル!$B$3="実績報告（２次）",FM$26=0),0,
IF(AND(テーブル!$B$3="実績報告（２次）",FM$26&gt;=1),FM78)))))))))),0)</f>
        <v>0</v>
      </c>
      <c r="FN40" s="1997">
        <f>IFERROR(
IF(テーブル!$B$3="交付申請",FN78,
IF(AND(テーブル!$B$3="変更申請",FN$26=0),0,
IF(AND(テーブル!$B$3="変更申請",FN$26&gt;=1),FN78,
IF(テーブル!$B$3="実績報告（１次）",FN78,
IF(AND(テーブル!$B$3="交付申請（２次）",FN$26=0),0,
IF(AND(テーブル!$B$3="交付申請（２次）",FN$26&gt;=1),FN78,
IF(AND(テーブル!$B$3="交付申請兼実績報告（２次）",FN$26=0),0,
IF(AND(テーブル!$B$3="交付申請兼実績報告（２次）",FN$26&gt;=1),FN78,
IF(AND(テーブル!$B$3="実績報告（２次）",FN$26=0),0,
IF(AND(テーブル!$B$3="実績報告（２次）",FN$26&gt;=1),FN78)))))))))),0)</f>
        <v>0</v>
      </c>
      <c r="FO40" s="1997">
        <f>IFERROR(
IF(テーブル!$B$3="交付申請",FO78,
IF(AND(テーブル!$B$3="変更申請",FO$26=0),0,
IF(AND(テーブル!$B$3="変更申請",FO$26&gt;=1),FO78,
IF(テーブル!$B$3="実績報告（１次）",FO78,
IF(AND(テーブル!$B$3="交付申請（２次）",FO$26=0),0,
IF(AND(テーブル!$B$3="交付申請（２次）",FO$26&gt;=1),FO78,
IF(AND(テーブル!$B$3="交付申請兼実績報告（２次）",FO$26=0),0,
IF(AND(テーブル!$B$3="交付申請兼実績報告（２次）",FO$26&gt;=1),FO78,
IF(AND(テーブル!$B$3="実績報告（２次）",FO$26=0),0,
IF(AND(テーブル!$B$3="実績報告（２次）",FO$26&gt;=1),FO78)))))))))),0)</f>
        <v>0</v>
      </c>
      <c r="FP40" s="1997">
        <f>IFERROR(
IF(テーブル!$B$3="交付申請",FP78,
IF(AND(テーブル!$B$3="変更申請",FP$26=0),0,
IF(AND(テーブル!$B$3="変更申請",FP$26&gt;=1),FP78,
IF(テーブル!$B$3="実績報告（１次）",FP78,
IF(AND(テーブル!$B$3="交付申請（２次）",FP$26=0),0,
IF(AND(テーブル!$B$3="交付申請（２次）",FP$26&gt;=1),FP78,
IF(AND(テーブル!$B$3="交付申請兼実績報告（２次）",FP$26=0),0,
IF(AND(テーブル!$B$3="交付申請兼実績報告（２次）",FP$26&gt;=1),FP78,
IF(AND(テーブル!$B$3="実績報告（２次）",FP$26=0),0,
IF(AND(テーブル!$B$3="実績報告（２次）",FP$26&gt;=1),FP78)))))))))),0)</f>
        <v>0</v>
      </c>
      <c r="FQ40" s="1997">
        <f>IFERROR(
IF(テーブル!$B$3="交付申請",FQ78,
IF(AND(テーブル!$B$3="変更申請",FQ$26=0),0,
IF(AND(テーブル!$B$3="変更申請",FQ$26&gt;=1),FQ78,
IF(テーブル!$B$3="実績報告（１次）",FQ78,
IF(AND(テーブル!$B$3="交付申請（２次）",FQ$26=0),0,
IF(AND(テーブル!$B$3="交付申請（２次）",FQ$26&gt;=1),FQ78,
IF(AND(テーブル!$B$3="交付申請兼実績報告（２次）",FQ$26=0),0,
IF(AND(テーブル!$B$3="交付申請兼実績報告（２次）",FQ$26&gt;=1),FQ78,
IF(AND(テーブル!$B$3="実績報告（２次）",FQ$26=0),0,
IF(AND(テーブル!$B$3="実績報告（２次）",FQ$26&gt;=1),FQ78)))))))))),0)</f>
        <v>0</v>
      </c>
      <c r="FR40" s="1997">
        <f>IFERROR(
IF(テーブル!$B$3="交付申請",FR78,
IF(AND(テーブル!$B$3="変更申請",FR$26=0),0,
IF(AND(テーブル!$B$3="変更申請",FR$26&gt;=1),FR78,
IF(テーブル!$B$3="実績報告（１次）",FR78,
IF(AND(テーブル!$B$3="交付申請（２次）",FR$26=0),0,
IF(AND(テーブル!$B$3="交付申請（２次）",FR$26&gt;=1),FR78,
IF(AND(テーブル!$B$3="交付申請兼実績報告（２次）",FR$26=0),0,
IF(AND(テーブル!$B$3="交付申請兼実績報告（２次）",FR$26&gt;=1),FR78,
IF(AND(テーブル!$B$3="実績報告（２次）",FR$26=0),0,
IF(AND(テーブル!$B$3="実績報告（２次）",FR$26&gt;=1),FR78)))))))))),0)</f>
        <v>0</v>
      </c>
      <c r="FS40" s="1997">
        <f>IFERROR(
IF(テーブル!$B$3="交付申請",FS78,
IF(AND(テーブル!$B$3="変更申請",FS$26=0),0,
IF(AND(テーブル!$B$3="変更申請",FS$26&gt;=1),FS78,
IF(テーブル!$B$3="実績報告（１次）",FS78,
IF(AND(テーブル!$B$3="交付申請（２次）",FS$26=0),0,
IF(AND(テーブル!$B$3="交付申請（２次）",FS$26&gt;=1),FS78,
IF(AND(テーブル!$B$3="交付申請兼実績報告（２次）",FS$26=0),0,
IF(AND(テーブル!$B$3="交付申請兼実績報告（２次）",FS$26&gt;=1),FS78,
IF(AND(テーブル!$B$3="実績報告（２次）",FS$26=0),0,
IF(AND(テーブル!$B$3="実績報告（２次）",FS$26&gt;=1),FS78)))))))))),0)</f>
        <v>0</v>
      </c>
      <c r="FT40" s="1997">
        <f>IFERROR(
IF(テーブル!$B$3="交付申請",FT78,
IF(AND(テーブル!$B$3="変更申請",FT$26=0),0,
IF(AND(テーブル!$B$3="変更申請",FT$26&gt;=1),FT78,
IF(テーブル!$B$3="実績報告（１次）",FT78,
IF(AND(テーブル!$B$3="交付申請（２次）",FT$26=0),0,
IF(AND(テーブル!$B$3="交付申請（２次）",FT$26&gt;=1),FT78,
IF(AND(テーブル!$B$3="交付申請兼実績報告（２次）",FT$26=0),0,
IF(AND(テーブル!$B$3="交付申請兼実績報告（２次）",FT$26&gt;=1),FT78,
IF(AND(テーブル!$B$3="実績報告（２次）",FT$26=0),0,
IF(AND(テーブル!$B$3="実績報告（２次）",FT$26&gt;=1),FT78)))))))))),0)</f>
        <v>0</v>
      </c>
      <c r="FU40" s="1997">
        <f>IFERROR(
IF(テーブル!$B$3="交付申請",FU78,
IF(AND(テーブル!$B$3="変更申請",FU$26=0),0,
IF(AND(テーブル!$B$3="変更申請",FU$26&gt;=1),FU78,
IF(テーブル!$B$3="実績報告（１次）",FU78,
IF(AND(テーブル!$B$3="交付申請（２次）",FU$26=0),0,
IF(AND(テーブル!$B$3="交付申請（２次）",FU$26&gt;=1),FU78,
IF(AND(テーブル!$B$3="交付申請兼実績報告（２次）",FU$26=0),0,
IF(AND(テーブル!$B$3="交付申請兼実績報告（２次）",FU$26&gt;=1),FU78,
IF(AND(テーブル!$B$3="実績報告（２次）",FU$26=0),0,
IF(AND(テーブル!$B$3="実績報告（２次）",FU$26&gt;=1),FU78)))))))))),0)</f>
        <v>0</v>
      </c>
      <c r="FV40" s="1997">
        <f>IFERROR(
IF(テーブル!$B$3="交付申請",FV78,
IF(AND(テーブル!$B$3="変更申請",FV$26=0),0,
IF(AND(テーブル!$B$3="変更申請",FV$26&gt;=1),FV78,
IF(テーブル!$B$3="実績報告（１次）",FV78,
IF(AND(テーブル!$B$3="交付申請（２次）",FV$26=0),0,
IF(AND(テーブル!$B$3="交付申請（２次）",FV$26&gt;=1),FV78,
IF(AND(テーブル!$B$3="交付申請兼実績報告（２次）",FV$26=0),0,
IF(AND(テーブル!$B$3="交付申請兼実績報告（２次）",FV$26&gt;=1),FV78,
IF(AND(テーブル!$B$3="実績報告（２次）",FV$26=0),0,
IF(AND(テーブル!$B$3="実績報告（２次）",FV$26&gt;=1),FV78)))))))))),0)</f>
        <v>0</v>
      </c>
      <c r="FW40" s="1997">
        <f>IFERROR(
IF(テーブル!$B$3="交付申請",FW78,
IF(AND(テーブル!$B$3="変更申請",FW$26=0),0,
IF(AND(テーブル!$B$3="変更申請",FW$26&gt;=1),FW78,
IF(テーブル!$B$3="実績報告（１次）",FW78,
IF(AND(テーブル!$B$3="交付申請（２次）",FW$26=0),0,
IF(AND(テーブル!$B$3="交付申請（２次）",FW$26&gt;=1),FW78,
IF(AND(テーブル!$B$3="交付申請兼実績報告（２次）",FW$26=0),0,
IF(AND(テーブル!$B$3="交付申請兼実績報告（２次）",FW$26&gt;=1),FW78,
IF(AND(テーブル!$B$3="実績報告（２次）",FW$26=0),0,
IF(AND(テーブル!$B$3="実績報告（２次）",FW$26&gt;=1),FW78)))))))))),0)</f>
        <v>0</v>
      </c>
      <c r="FX40" s="1997">
        <f>IFERROR(
IF(テーブル!$B$3="交付申請",FX78,
IF(AND(テーブル!$B$3="変更申請",FX$26=0),0,
IF(AND(テーブル!$B$3="変更申請",FX$26&gt;=1),FX78,
IF(テーブル!$B$3="実績報告（１次）",FX78,
IF(AND(テーブル!$B$3="交付申請（２次）",FX$26=0),0,
IF(AND(テーブル!$B$3="交付申請（２次）",FX$26&gt;=1),FX78,
IF(AND(テーブル!$B$3="交付申請兼実績報告（２次）",FX$26=0),0,
IF(AND(テーブル!$B$3="交付申請兼実績報告（２次）",FX$26&gt;=1),FX78,
IF(AND(テーブル!$B$3="実績報告（２次）",FX$26=0),0,
IF(AND(テーブル!$B$3="実績報告（２次）",FX$26&gt;=1),FX78)))))))))),0)</f>
        <v>0</v>
      </c>
      <c r="FY40" s="1997">
        <f>IFERROR(
IF(テーブル!$B$3="交付申請",FY78,
IF(AND(テーブル!$B$3="変更申請",FY$26=0),0,
IF(AND(テーブル!$B$3="変更申請",FY$26&gt;=1),FY78,
IF(テーブル!$B$3="実績報告（１次）",FY78,
IF(AND(テーブル!$B$3="交付申請（２次）",FY$26=0),0,
IF(AND(テーブル!$B$3="交付申請（２次）",FY$26&gt;=1),FY78,
IF(AND(テーブル!$B$3="交付申請兼実績報告（２次）",FY$26=0),0,
IF(AND(テーブル!$B$3="交付申請兼実績報告（２次）",FY$26&gt;=1),FY78,
IF(AND(テーブル!$B$3="実績報告（２次）",FY$26=0),0,
IF(AND(テーブル!$B$3="実績報告（２次）",FY$26&gt;=1),FY78)))))))))),0)</f>
        <v>0</v>
      </c>
      <c r="FZ40" s="1997">
        <f>IFERROR(
IF(テーブル!$B$3="交付申請",FZ78,
IF(AND(テーブル!$B$3="変更申請",FZ$26=0),0,
IF(AND(テーブル!$B$3="変更申請",FZ$26&gt;=1),FZ78,
IF(テーブル!$B$3="実績報告（１次）",FZ78,
IF(AND(テーブル!$B$3="交付申請（２次）",FZ$26=0),0,
IF(AND(テーブル!$B$3="交付申請（２次）",FZ$26&gt;=1),FZ78,
IF(AND(テーブル!$B$3="交付申請兼実績報告（２次）",FZ$26=0),0,
IF(AND(テーブル!$B$3="交付申請兼実績報告（２次）",FZ$26&gt;=1),FZ78,
IF(AND(テーブル!$B$3="実績報告（２次）",FZ$26=0),0,
IF(AND(テーブル!$B$3="実績報告（２次）",FZ$26&gt;=1),FZ78)))))))))),0)</f>
        <v>0</v>
      </c>
      <c r="GA40" s="1997">
        <f>IFERROR(
IF(テーブル!$B$3="交付申請",GA78,
IF(AND(テーブル!$B$3="変更申請",GA$26=0),0,
IF(AND(テーブル!$B$3="変更申請",GA$26&gt;=1),GA78,
IF(テーブル!$B$3="実績報告（１次）",GA78,
IF(AND(テーブル!$B$3="交付申請（２次）",GA$26=0),0,
IF(AND(テーブル!$B$3="交付申請（２次）",GA$26&gt;=1),GA78,
IF(AND(テーブル!$B$3="交付申請兼実績報告（２次）",GA$26=0),0,
IF(AND(テーブル!$B$3="交付申請兼実績報告（２次）",GA$26&gt;=1),GA78,
IF(AND(テーブル!$B$3="実績報告（２次）",GA$26=0),0,
IF(AND(テーブル!$B$3="実績報告（２次）",GA$26&gt;=1),GA78)))))))))),0)</f>
        <v>0</v>
      </c>
      <c r="GB40" s="1997">
        <f>IFERROR(
IF(テーブル!$B$3="交付申請",GB78,
IF(AND(テーブル!$B$3="変更申請",GB$26=0),0,
IF(AND(テーブル!$B$3="変更申請",GB$26&gt;=1),GB78,
IF(テーブル!$B$3="実績報告（１次）",GB78,
IF(AND(テーブル!$B$3="交付申請（２次）",GB$26=0),0,
IF(AND(テーブル!$B$3="交付申請（２次）",GB$26&gt;=1),GB78,
IF(AND(テーブル!$B$3="交付申請兼実績報告（２次）",GB$26=0),0,
IF(AND(テーブル!$B$3="交付申請兼実績報告（２次）",GB$26&gt;=1),GB78,
IF(AND(テーブル!$B$3="実績報告（２次）",GB$26=0),0,
IF(AND(テーブル!$B$3="実績報告（２次）",GB$26&gt;=1),GB78)))))))))),0)</f>
        <v>0</v>
      </c>
      <c r="GC40" s="1997">
        <f>IFERROR(
IF(テーブル!$B$3="交付申請",GC78,
IF(AND(テーブル!$B$3="変更申請",GC$26=0),0,
IF(AND(テーブル!$B$3="変更申請",GC$26&gt;=1),GC78,
IF(テーブル!$B$3="実績報告（１次）",GC78,
IF(AND(テーブル!$B$3="交付申請（２次）",GC$26=0),0,
IF(AND(テーブル!$B$3="交付申請（２次）",GC$26&gt;=1),GC78,
IF(AND(テーブル!$B$3="交付申請兼実績報告（２次）",GC$26=0),0,
IF(AND(テーブル!$B$3="交付申請兼実績報告（２次）",GC$26&gt;=1),GC78,
IF(AND(テーブル!$B$3="実績報告（２次）",GC$26=0),0,
IF(AND(テーブル!$B$3="実績報告（２次）",GC$26&gt;=1),GC78)))))))))),0)</f>
        <v>0</v>
      </c>
      <c r="GD40" s="1997">
        <f>IFERROR(
IF(テーブル!$B$3="交付申請",GD78,
IF(AND(テーブル!$B$3="変更申請",GD$26=0),0,
IF(AND(テーブル!$B$3="変更申請",GD$26&gt;=1),GD78,
IF(テーブル!$B$3="実績報告（１次）",GD78,
IF(AND(テーブル!$B$3="交付申請（２次）",GD$26=0),0,
IF(AND(テーブル!$B$3="交付申請（２次）",GD$26&gt;=1),GD78,
IF(AND(テーブル!$B$3="交付申請兼実績報告（２次）",GD$26=0),0,
IF(AND(テーブル!$B$3="交付申請兼実績報告（２次）",GD$26&gt;=1),GD78,
IF(AND(テーブル!$B$3="実績報告（２次）",GD$26=0),0,
IF(AND(テーブル!$B$3="実績報告（２次）",GD$26&gt;=1),GD78)))))))))),0)</f>
        <v>0</v>
      </c>
      <c r="GE40" s="1997">
        <f>IFERROR(
IF(テーブル!$B$3="交付申請",GE78,
IF(AND(テーブル!$B$3="変更申請",GE$26=0),0,
IF(AND(テーブル!$B$3="変更申請",GE$26&gt;=1),GE78,
IF(テーブル!$B$3="実績報告（１次）",GE78,
IF(AND(テーブル!$B$3="交付申請（２次）",GE$26=0),0,
IF(AND(テーブル!$B$3="交付申請（２次）",GE$26&gt;=1),GE78,
IF(AND(テーブル!$B$3="交付申請兼実績報告（２次）",GE$26=0),0,
IF(AND(テーブル!$B$3="交付申請兼実績報告（２次）",GE$26&gt;=1),GE78,
IF(AND(テーブル!$B$3="実績報告（２次）",GE$26=0),0,
IF(AND(テーブル!$B$3="実績報告（２次）",GE$26&gt;=1),GE78)))))))))),0)</f>
        <v>0</v>
      </c>
      <c r="GF40" s="2019">
        <f>IFERROR(
IF(テーブル!$B$3="交付申請",GF78,
IF(AND(テーブル!$B$3="変更申請",GF$26=0),0,
IF(AND(テーブル!$B$3="変更申請",GF$26&gt;=1),GF78,
IF(テーブル!$B$3="実績報告（１次）",GF78,
IF(AND(テーブル!$B$3="交付申請（２次）",GF$26=0),0,
IF(AND(テーブル!$B$3="交付申請（２次）",GF$26&gt;=1),GF78,
IF(AND(テーブル!$B$3="交付申請兼実績報告（２次）",GF$26=0),0,
IF(AND(テーブル!$B$3="交付申請兼実績報告（２次）",GF$26&gt;=1),GF78,
IF(AND(テーブル!$B$3="実績報告（２次）",GF$26=0),0,
IF(AND(テーブル!$B$3="実績報告（２次）",GF$26&gt;=1),GF78)))))))))),0)</f>
        <v>0</v>
      </c>
      <c r="GG40" s="2006"/>
    </row>
    <row r="41" spans="1:189" s="638" customFormat="1" ht="19.5" thickBot="1" x14ac:dyDescent="0.45">
      <c r="A41" s="2003"/>
      <c r="B41" s="2020" t="s">
        <v>1259</v>
      </c>
      <c r="C41" s="2021">
        <f t="shared" si="21"/>
        <v>0</v>
      </c>
      <c r="D41" s="2022"/>
      <c r="E41" s="2023"/>
      <c r="F41" s="2024">
        <f>IFERROR(
IF(テーブル!$B$3="交付申請",F81,
IF(AND(テーブル!$B$3="変更申請",F$26=0),0,
IF(AND(テーブル!$B$3="変更申請",F$26&gt;=1),F81,
IF(テーブル!$B$3="実績報告（１次）",F81,
IF(AND(テーブル!$B$3="交付申請（２次）",F$26=0),0,
IF(AND(テーブル!$B$3="交付申請（２次）",F$26&gt;=1),F81,
IF(AND(テーブル!$B$3="交付申請兼実績報告（２次）",F$26=0),0,
IF(AND(テーブル!$B$3="交付申請兼実績報告（２次）",F$26&gt;=1),F81,
IF(AND(テーブル!$B$3="実績報告（２次）",F$26=0),0,
IF(AND(テーブル!$B$3="実績報告（２次）",F$26&gt;=1),F81)))))))))),0)</f>
        <v>0</v>
      </c>
      <c r="G41" s="2024">
        <f>IFERROR(
IF(テーブル!$B$3="交付申請",G81,
IF(AND(テーブル!$B$3="変更申請",G$26=0),0,
IF(AND(テーブル!$B$3="変更申請",G$26&gt;=1),G81,
IF(テーブル!$B$3="実績報告（１次）",G81,
IF(AND(テーブル!$B$3="交付申請（２次）",G$26=0),0,
IF(AND(テーブル!$B$3="交付申請（２次）",G$26&gt;=1),G81,
IF(AND(テーブル!$B$3="交付申請兼実績報告（２次）",G$26=0),0,
IF(AND(テーブル!$B$3="交付申請兼実績報告（２次）",G$26&gt;=1),G81,
IF(AND(テーブル!$B$3="実績報告（２次）",G$26=0),0,
IF(AND(テーブル!$B$3="実績報告（２次）",G$26&gt;=1),G81)))))))))),0)</f>
        <v>0</v>
      </c>
      <c r="H41" s="2024">
        <f>IFERROR(
IF(テーブル!$B$3="交付申請",H81,
IF(AND(テーブル!$B$3="変更申請",H$26=0),0,
IF(AND(テーブル!$B$3="変更申請",H$26&gt;=1),H81,
IF(テーブル!$B$3="実績報告（１次）",H81,
IF(AND(テーブル!$B$3="交付申請（２次）",H$26=0),0,
IF(AND(テーブル!$B$3="交付申請（２次）",H$26&gt;=1),H81,
IF(AND(テーブル!$B$3="交付申請兼実績報告（２次）",H$26=0),0,
IF(AND(テーブル!$B$3="交付申請兼実績報告（２次）",H$26&gt;=1),H81,
IF(AND(テーブル!$B$3="実績報告（２次）",H$26=0),0,
IF(AND(テーブル!$B$3="実績報告（２次）",H$26&gt;=1),H81)))))))))),0)</f>
        <v>0</v>
      </c>
      <c r="I41" s="2024">
        <f>IFERROR(
IF(テーブル!$B$3="交付申請",I81,
IF(AND(テーブル!$B$3="変更申請",I$26=0),0,
IF(AND(テーブル!$B$3="変更申請",I$26&gt;=1),I81,
IF(テーブル!$B$3="実績報告（１次）",I81,
IF(AND(テーブル!$B$3="交付申請（２次）",I$26=0),0,
IF(AND(テーブル!$B$3="交付申請（２次）",I$26&gt;=1),I81,
IF(AND(テーブル!$B$3="交付申請兼実績報告（２次）",I$26=0),0,
IF(AND(テーブル!$B$3="交付申請兼実績報告（２次）",I$26&gt;=1),I81,
IF(AND(テーブル!$B$3="実績報告（２次）",I$26=0),0,
IF(AND(テーブル!$B$3="実績報告（２次）",I$26&gt;=1),I81)))))))))),0)</f>
        <v>0</v>
      </c>
      <c r="J41" s="2024">
        <f>IFERROR(
IF(テーブル!$B$3="交付申請",J81,
IF(AND(テーブル!$B$3="変更申請",J$26=0),0,
IF(AND(テーブル!$B$3="変更申請",J$26&gt;=1),J81,
IF(テーブル!$B$3="実績報告（１次）",J81,
IF(AND(テーブル!$B$3="交付申請（２次）",J$26=0),0,
IF(AND(テーブル!$B$3="交付申請（２次）",J$26&gt;=1),J81,
IF(AND(テーブル!$B$3="交付申請兼実績報告（２次）",J$26=0),0,
IF(AND(テーブル!$B$3="交付申請兼実績報告（２次）",J$26&gt;=1),J81,
IF(AND(テーブル!$B$3="実績報告（２次）",J$26=0),0,
IF(AND(テーブル!$B$3="実績報告（２次）",J$26&gt;=1),J81)))))))))),0)</f>
        <v>0</v>
      </c>
      <c r="K41" s="2024">
        <f>IFERROR(
IF(テーブル!$B$3="交付申請",K81,
IF(AND(テーブル!$B$3="変更申請",K$26=0),0,
IF(AND(テーブル!$B$3="変更申請",K$26&gt;=1),K81,
IF(テーブル!$B$3="実績報告（１次）",K81,
IF(AND(テーブル!$B$3="交付申請（２次）",K$26=0),0,
IF(AND(テーブル!$B$3="交付申請（２次）",K$26&gt;=1),K81,
IF(AND(テーブル!$B$3="交付申請兼実績報告（２次）",K$26=0),0,
IF(AND(テーブル!$B$3="交付申請兼実績報告（２次）",K$26&gt;=1),K81,
IF(AND(テーブル!$B$3="実績報告（２次）",K$26=0),0,
IF(AND(テーブル!$B$3="実績報告（２次）",K$26&gt;=1),K81)))))))))),0)</f>
        <v>0</v>
      </c>
      <c r="L41" s="2024">
        <f>IFERROR(
IF(テーブル!$B$3="交付申請",L81,
IF(AND(テーブル!$B$3="変更申請",L$26=0),0,
IF(AND(テーブル!$B$3="変更申請",L$26&gt;=1),L81,
IF(テーブル!$B$3="実績報告（１次）",L81,
IF(AND(テーブル!$B$3="交付申請（２次）",L$26=0),0,
IF(AND(テーブル!$B$3="交付申請（２次）",L$26&gt;=1),L81,
IF(AND(テーブル!$B$3="交付申請兼実績報告（２次）",L$26=0),0,
IF(AND(テーブル!$B$3="交付申請兼実績報告（２次）",L$26&gt;=1),L81,
IF(AND(テーブル!$B$3="実績報告（２次）",L$26=0),0,
IF(AND(テーブル!$B$3="実績報告（２次）",L$26&gt;=1),L81)))))))))),0)</f>
        <v>0</v>
      </c>
      <c r="M41" s="2024">
        <f>IFERROR(
IF(テーブル!$B$3="交付申請",M81,
IF(AND(テーブル!$B$3="変更申請",M$26=0),0,
IF(AND(テーブル!$B$3="変更申請",M$26&gt;=1),M81,
IF(テーブル!$B$3="実績報告（１次）",M81,
IF(AND(テーブル!$B$3="交付申請（２次）",M$26=0),0,
IF(AND(テーブル!$B$3="交付申請（２次）",M$26&gt;=1),M81,
IF(AND(テーブル!$B$3="交付申請兼実績報告（２次）",M$26=0),0,
IF(AND(テーブル!$B$3="交付申請兼実績報告（２次）",M$26&gt;=1),M81,
IF(AND(テーブル!$B$3="実績報告（２次）",M$26=0),0,
IF(AND(テーブル!$B$3="実績報告（２次）",M$26&gt;=1),M81)))))))))),0)</f>
        <v>0</v>
      </c>
      <c r="N41" s="2024">
        <f>IFERROR(
IF(テーブル!$B$3="交付申請",N81,
IF(AND(テーブル!$B$3="変更申請",N$26=0),0,
IF(AND(テーブル!$B$3="変更申請",N$26&gt;=1),N81,
IF(テーブル!$B$3="実績報告（１次）",N81,
IF(AND(テーブル!$B$3="交付申請（２次）",N$26=0),0,
IF(AND(テーブル!$B$3="交付申請（２次）",N$26&gt;=1),N81,
IF(AND(テーブル!$B$3="交付申請兼実績報告（２次）",N$26=0),0,
IF(AND(テーブル!$B$3="交付申請兼実績報告（２次）",N$26&gt;=1),N81,
IF(AND(テーブル!$B$3="実績報告（２次）",N$26=0),0,
IF(AND(テーブル!$B$3="実績報告（２次）",N$26&gt;=1),N81)))))))))),0)</f>
        <v>0</v>
      </c>
      <c r="O41" s="2024">
        <f>IFERROR(
IF(テーブル!$B$3="交付申請",O81,
IF(AND(テーブル!$B$3="変更申請",O$26=0),0,
IF(AND(テーブル!$B$3="変更申請",O$26&gt;=1),O81,
IF(テーブル!$B$3="実績報告（１次）",O81,
IF(AND(テーブル!$B$3="交付申請（２次）",O$26=0),0,
IF(AND(テーブル!$B$3="交付申請（２次）",O$26&gt;=1),O81,
IF(AND(テーブル!$B$3="交付申請兼実績報告（２次）",O$26=0),0,
IF(AND(テーブル!$B$3="交付申請兼実績報告（２次）",O$26&gt;=1),O81,
IF(AND(テーブル!$B$3="実績報告（２次）",O$26=0),0,
IF(AND(テーブル!$B$3="実績報告（２次）",O$26&gt;=1),O81)))))))))),0)</f>
        <v>0</v>
      </c>
      <c r="P41" s="2024">
        <f>IFERROR(
IF(テーブル!$B$3="交付申請",P81,
IF(AND(テーブル!$B$3="変更申請",P$26=0),0,
IF(AND(テーブル!$B$3="変更申請",P$26&gt;=1),P81,
IF(テーブル!$B$3="実績報告（１次）",P81,
IF(AND(テーブル!$B$3="交付申請（２次）",P$26=0),0,
IF(AND(テーブル!$B$3="交付申請（２次）",P$26&gt;=1),P81,
IF(AND(テーブル!$B$3="交付申請兼実績報告（２次）",P$26=0),0,
IF(AND(テーブル!$B$3="交付申請兼実績報告（２次）",P$26&gt;=1),P81,
IF(AND(テーブル!$B$3="実績報告（２次）",P$26=0),0,
IF(AND(テーブル!$B$3="実績報告（２次）",P$26&gt;=1),P81)))))))))),0)</f>
        <v>0</v>
      </c>
      <c r="Q41" s="2024">
        <f>IFERROR(
IF(テーブル!$B$3="交付申請",Q81,
IF(AND(テーブル!$B$3="変更申請",Q$26=0),0,
IF(AND(テーブル!$B$3="変更申請",Q$26&gt;=1),Q81,
IF(テーブル!$B$3="実績報告（１次）",Q81,
IF(AND(テーブル!$B$3="交付申請（２次）",Q$26=0),0,
IF(AND(テーブル!$B$3="交付申請（２次）",Q$26&gt;=1),Q81,
IF(AND(テーブル!$B$3="交付申請兼実績報告（２次）",Q$26=0),0,
IF(AND(テーブル!$B$3="交付申請兼実績報告（２次）",Q$26&gt;=1),Q81,
IF(AND(テーブル!$B$3="実績報告（２次）",Q$26=0),0,
IF(AND(テーブル!$B$3="実績報告（２次）",Q$26&gt;=1),Q81)))))))))),0)</f>
        <v>0</v>
      </c>
      <c r="R41" s="2024">
        <f>IFERROR(
IF(テーブル!$B$3="交付申請",R81,
IF(AND(テーブル!$B$3="変更申請",R$26=0),0,
IF(AND(テーブル!$B$3="変更申請",R$26&gt;=1),R81,
IF(テーブル!$B$3="実績報告（１次）",R81,
IF(AND(テーブル!$B$3="交付申請（２次）",R$26=0),0,
IF(AND(テーブル!$B$3="交付申請（２次）",R$26&gt;=1),R81,
IF(AND(テーブル!$B$3="交付申請兼実績報告（２次）",R$26=0),0,
IF(AND(テーブル!$B$3="交付申請兼実績報告（２次）",R$26&gt;=1),R81,
IF(AND(テーブル!$B$3="実績報告（２次）",R$26=0),0,
IF(AND(テーブル!$B$3="実績報告（２次）",R$26&gt;=1),R81)))))))))),0)</f>
        <v>0</v>
      </c>
      <c r="S41" s="2024">
        <f>IFERROR(
IF(テーブル!$B$3="交付申請",S81,
IF(AND(テーブル!$B$3="変更申請",S$26=0),0,
IF(AND(テーブル!$B$3="変更申請",S$26&gt;=1),S81,
IF(テーブル!$B$3="実績報告（１次）",S81,
IF(AND(テーブル!$B$3="交付申請（２次）",S$26=0),0,
IF(AND(テーブル!$B$3="交付申請（２次）",S$26&gt;=1),S81,
IF(AND(テーブル!$B$3="交付申請兼実績報告（２次）",S$26=0),0,
IF(AND(テーブル!$B$3="交付申請兼実績報告（２次）",S$26&gt;=1),S81,
IF(AND(テーブル!$B$3="実績報告（２次）",S$26=0),0,
IF(AND(テーブル!$B$3="実績報告（２次）",S$26&gt;=1),S81)))))))))),0)</f>
        <v>0</v>
      </c>
      <c r="T41" s="2024">
        <f>IFERROR(
IF(テーブル!$B$3="交付申請",T81,
IF(AND(テーブル!$B$3="変更申請",T$26=0),0,
IF(AND(テーブル!$B$3="変更申請",T$26&gt;=1),T81,
IF(テーブル!$B$3="実績報告（１次）",T81,
IF(AND(テーブル!$B$3="交付申請（２次）",T$26=0),0,
IF(AND(テーブル!$B$3="交付申請（２次）",T$26&gt;=1),T81,
IF(AND(テーブル!$B$3="交付申請兼実績報告（２次）",T$26=0),0,
IF(AND(テーブル!$B$3="交付申請兼実績報告（２次）",T$26&gt;=1),T81,
IF(AND(テーブル!$B$3="実績報告（２次）",T$26=0),0,
IF(AND(テーブル!$B$3="実績報告（２次）",T$26&gt;=1),T81)))))))))),0)</f>
        <v>0</v>
      </c>
      <c r="U41" s="2024">
        <f>IFERROR(
IF(テーブル!$B$3="交付申請",U81,
IF(AND(テーブル!$B$3="変更申請",U$26=0),0,
IF(AND(テーブル!$B$3="変更申請",U$26&gt;=1),U81,
IF(テーブル!$B$3="実績報告（１次）",U81,
IF(AND(テーブル!$B$3="交付申請（２次）",U$26=0),0,
IF(AND(テーブル!$B$3="交付申請（２次）",U$26&gt;=1),U81,
IF(AND(テーブル!$B$3="交付申請兼実績報告（２次）",U$26=0),0,
IF(AND(テーブル!$B$3="交付申請兼実績報告（２次）",U$26&gt;=1),U81,
IF(AND(テーブル!$B$3="実績報告（２次）",U$26=0),0,
IF(AND(テーブル!$B$3="実績報告（２次）",U$26&gt;=1),U81)))))))))),0)</f>
        <v>0</v>
      </c>
      <c r="V41" s="2024">
        <f>IFERROR(
IF(テーブル!$B$3="交付申請",V81,
IF(AND(テーブル!$B$3="変更申請",V$26=0),0,
IF(AND(テーブル!$B$3="変更申請",V$26&gt;=1),V81,
IF(テーブル!$B$3="実績報告（１次）",V81,
IF(AND(テーブル!$B$3="交付申請（２次）",V$26=0),0,
IF(AND(テーブル!$B$3="交付申請（２次）",V$26&gt;=1),V81,
IF(AND(テーブル!$B$3="交付申請兼実績報告（２次）",V$26=0),0,
IF(AND(テーブル!$B$3="交付申請兼実績報告（２次）",V$26&gt;=1),V81,
IF(AND(テーブル!$B$3="実績報告（２次）",V$26=0),0,
IF(AND(テーブル!$B$3="実績報告（２次）",V$26&gt;=1),V81)))))))))),0)</f>
        <v>0</v>
      </c>
      <c r="W41" s="2024">
        <f>IFERROR(
IF(テーブル!$B$3="交付申請",W81,
IF(AND(テーブル!$B$3="変更申請",W$26=0),0,
IF(AND(テーブル!$B$3="変更申請",W$26&gt;=1),W81,
IF(テーブル!$B$3="実績報告（１次）",W81,
IF(AND(テーブル!$B$3="交付申請（２次）",W$26=0),0,
IF(AND(テーブル!$B$3="交付申請（２次）",W$26&gt;=1),W81,
IF(AND(テーブル!$B$3="交付申請兼実績報告（２次）",W$26=0),0,
IF(AND(テーブル!$B$3="交付申請兼実績報告（２次）",W$26&gt;=1),W81,
IF(AND(テーブル!$B$3="実績報告（２次）",W$26=0),0,
IF(AND(テーブル!$B$3="実績報告（２次）",W$26&gt;=1),W81)))))))))),0)</f>
        <v>0</v>
      </c>
      <c r="X41" s="2024">
        <f>IFERROR(
IF(テーブル!$B$3="交付申請",X81,
IF(AND(テーブル!$B$3="変更申請",X$26=0),0,
IF(AND(テーブル!$B$3="変更申請",X$26&gt;=1),X81,
IF(テーブル!$B$3="実績報告（１次）",X81,
IF(AND(テーブル!$B$3="交付申請（２次）",X$26=0),0,
IF(AND(テーブル!$B$3="交付申請（２次）",X$26&gt;=1),X81,
IF(AND(テーブル!$B$3="交付申請兼実績報告（２次）",X$26=0),0,
IF(AND(テーブル!$B$3="交付申請兼実績報告（２次）",X$26&gt;=1),X81,
IF(AND(テーブル!$B$3="実績報告（２次）",X$26=0),0,
IF(AND(テーブル!$B$3="実績報告（２次）",X$26&gt;=1),X81)))))))))),0)</f>
        <v>0</v>
      </c>
      <c r="Y41" s="2024">
        <f>IFERROR(
IF(テーブル!$B$3="交付申請",Y81,
IF(AND(テーブル!$B$3="変更申請",Y$26=0),0,
IF(AND(テーブル!$B$3="変更申請",Y$26&gt;=1),Y81,
IF(テーブル!$B$3="実績報告（１次）",Y81,
IF(AND(テーブル!$B$3="交付申請（２次）",Y$26=0),0,
IF(AND(テーブル!$B$3="交付申請（２次）",Y$26&gt;=1),Y81,
IF(AND(テーブル!$B$3="交付申請兼実績報告（２次）",Y$26=0),0,
IF(AND(テーブル!$B$3="交付申請兼実績報告（２次）",Y$26&gt;=1),Y81,
IF(AND(テーブル!$B$3="実績報告（２次）",Y$26=0),0,
IF(AND(テーブル!$B$3="実績報告（２次）",Y$26&gt;=1),Y81)))))))))),0)</f>
        <v>0</v>
      </c>
      <c r="Z41" s="2024">
        <f>IFERROR(
IF(テーブル!$B$3="交付申請",Z81,
IF(AND(テーブル!$B$3="変更申請",Z$26=0),0,
IF(AND(テーブル!$B$3="変更申請",Z$26&gt;=1),Z81,
IF(テーブル!$B$3="実績報告（１次）",Z81,
IF(AND(テーブル!$B$3="交付申請（２次）",Z$26=0),0,
IF(AND(テーブル!$B$3="交付申請（２次）",Z$26&gt;=1),Z81,
IF(AND(テーブル!$B$3="交付申請兼実績報告（２次）",Z$26=0),0,
IF(AND(テーブル!$B$3="交付申請兼実績報告（２次）",Z$26&gt;=1),Z81,
IF(AND(テーブル!$B$3="実績報告（２次）",Z$26=0),0,
IF(AND(テーブル!$B$3="実績報告（２次）",Z$26&gt;=1),Z81)))))))))),0)</f>
        <v>0</v>
      </c>
      <c r="AA41" s="2024">
        <f>IFERROR(
IF(テーブル!$B$3="交付申請",AA81,
IF(AND(テーブル!$B$3="変更申請",AA$26=0),0,
IF(AND(テーブル!$B$3="変更申請",AA$26&gt;=1),AA81,
IF(テーブル!$B$3="実績報告（１次）",AA81,
IF(AND(テーブル!$B$3="交付申請（２次）",AA$26=0),0,
IF(AND(テーブル!$B$3="交付申請（２次）",AA$26&gt;=1),AA81,
IF(AND(テーブル!$B$3="交付申請兼実績報告（２次）",AA$26=0),0,
IF(AND(テーブル!$B$3="交付申請兼実績報告（２次）",AA$26&gt;=1),AA81,
IF(AND(テーブル!$B$3="実績報告（２次）",AA$26=0),0,
IF(AND(テーブル!$B$3="実績報告（２次）",AA$26&gt;=1),AA81)))))))))),0)</f>
        <v>0</v>
      </c>
      <c r="AB41" s="2024">
        <f>IFERROR(
IF(テーブル!$B$3="交付申請",AB81,
IF(AND(テーブル!$B$3="変更申請",AB$26=0),0,
IF(AND(テーブル!$B$3="変更申請",AB$26&gt;=1),AB81,
IF(テーブル!$B$3="実績報告（１次）",AB81,
IF(AND(テーブル!$B$3="交付申請（２次）",AB$26=0),0,
IF(AND(テーブル!$B$3="交付申請（２次）",AB$26&gt;=1),AB81,
IF(AND(テーブル!$B$3="交付申請兼実績報告（２次）",AB$26=0),0,
IF(AND(テーブル!$B$3="交付申請兼実績報告（２次）",AB$26&gt;=1),AB81,
IF(AND(テーブル!$B$3="実績報告（２次）",AB$26=0),0,
IF(AND(テーブル!$B$3="実績報告（２次）",AB$26&gt;=1),AB81)))))))))),0)</f>
        <v>0</v>
      </c>
      <c r="AC41" s="2024">
        <f>IFERROR(
IF(テーブル!$B$3="交付申請",AC81,
IF(AND(テーブル!$B$3="変更申請",AC$26=0),0,
IF(AND(テーブル!$B$3="変更申請",AC$26&gt;=1),AC81,
IF(テーブル!$B$3="実績報告（１次）",AC81,
IF(AND(テーブル!$B$3="交付申請（２次）",AC$26=0),0,
IF(AND(テーブル!$B$3="交付申請（２次）",AC$26&gt;=1),AC81,
IF(AND(テーブル!$B$3="交付申請兼実績報告（２次）",AC$26=0),0,
IF(AND(テーブル!$B$3="交付申請兼実績報告（２次）",AC$26&gt;=1),AC81,
IF(AND(テーブル!$B$3="実績報告（２次）",AC$26=0),0,
IF(AND(テーブル!$B$3="実績報告（２次）",AC$26&gt;=1),AC81)))))))))),0)</f>
        <v>0</v>
      </c>
      <c r="AD41" s="2024">
        <f>IFERROR(
IF(テーブル!$B$3="交付申請",AD81,
IF(AND(テーブル!$B$3="変更申請",AD$26=0),0,
IF(AND(テーブル!$B$3="変更申請",AD$26&gt;=1),AD81,
IF(テーブル!$B$3="実績報告（１次）",AD81,
IF(AND(テーブル!$B$3="交付申請（２次）",AD$26=0),0,
IF(AND(テーブル!$B$3="交付申請（２次）",AD$26&gt;=1),AD81,
IF(AND(テーブル!$B$3="交付申請兼実績報告（２次）",AD$26=0),0,
IF(AND(テーブル!$B$3="交付申請兼実績報告（２次）",AD$26&gt;=1),AD81,
IF(AND(テーブル!$B$3="実績報告（２次）",AD$26=0),0,
IF(AND(テーブル!$B$3="実績報告（２次）",AD$26&gt;=1),AD81)))))))))),0)</f>
        <v>0</v>
      </c>
      <c r="AE41" s="2024">
        <f>IFERROR(
IF(テーブル!$B$3="交付申請",AE81,
IF(AND(テーブル!$B$3="変更申請",AE$26=0),0,
IF(AND(テーブル!$B$3="変更申請",AE$26&gt;=1),AE81,
IF(テーブル!$B$3="実績報告（１次）",AE81,
IF(AND(テーブル!$B$3="交付申請（２次）",AE$26=0),0,
IF(AND(テーブル!$B$3="交付申請（２次）",AE$26&gt;=1),AE81,
IF(AND(テーブル!$B$3="交付申請兼実績報告（２次）",AE$26=0),0,
IF(AND(テーブル!$B$3="交付申請兼実績報告（２次）",AE$26&gt;=1),AE81,
IF(AND(テーブル!$B$3="実績報告（２次）",AE$26=0),0,
IF(AND(テーブル!$B$3="実績報告（２次）",AE$26&gt;=1),AE81)))))))))),0)</f>
        <v>0</v>
      </c>
      <c r="AF41" s="2024">
        <f>IFERROR(
IF(テーブル!$B$3="交付申請",AF81,
IF(AND(テーブル!$B$3="変更申請",AF$26=0),0,
IF(AND(テーブル!$B$3="変更申請",AF$26&gt;=1),AF81,
IF(テーブル!$B$3="実績報告（１次）",AF81,
IF(AND(テーブル!$B$3="交付申請（２次）",AF$26=0),0,
IF(AND(テーブル!$B$3="交付申請（２次）",AF$26&gt;=1),AF81,
IF(AND(テーブル!$B$3="交付申請兼実績報告（２次）",AF$26=0),0,
IF(AND(テーブル!$B$3="交付申請兼実績報告（２次）",AF$26&gt;=1),AF81,
IF(AND(テーブル!$B$3="実績報告（２次）",AF$26=0),0,
IF(AND(テーブル!$B$3="実績報告（２次）",AF$26&gt;=1),AF81)))))))))),0)</f>
        <v>0</v>
      </c>
      <c r="AG41" s="2024">
        <f>IFERROR(
IF(テーブル!$B$3="交付申請",AG81,
IF(AND(テーブル!$B$3="変更申請",AG$26=0),0,
IF(AND(テーブル!$B$3="変更申請",AG$26&gt;=1),AG81,
IF(テーブル!$B$3="実績報告（１次）",AG81,
IF(AND(テーブル!$B$3="交付申請（２次）",AG$26=0),0,
IF(AND(テーブル!$B$3="交付申請（２次）",AG$26&gt;=1),AG81,
IF(AND(テーブル!$B$3="交付申請兼実績報告（２次）",AG$26=0),0,
IF(AND(テーブル!$B$3="交付申請兼実績報告（２次）",AG$26&gt;=1),AG81,
IF(AND(テーブル!$B$3="実績報告（２次）",AG$26=0),0,
IF(AND(テーブル!$B$3="実績報告（２次）",AG$26&gt;=1),AG81)))))))))),0)</f>
        <v>0</v>
      </c>
      <c r="AH41" s="2024">
        <f>IFERROR(
IF(テーブル!$B$3="交付申請",AH81,
IF(AND(テーブル!$B$3="変更申請",AH$26=0),0,
IF(AND(テーブル!$B$3="変更申請",AH$26&gt;=1),AH81,
IF(テーブル!$B$3="実績報告（１次）",AH81,
IF(AND(テーブル!$B$3="交付申請（２次）",AH$26=0),0,
IF(AND(テーブル!$B$3="交付申請（２次）",AH$26&gt;=1),AH81,
IF(AND(テーブル!$B$3="交付申請兼実績報告（２次）",AH$26=0),0,
IF(AND(テーブル!$B$3="交付申請兼実績報告（２次）",AH$26&gt;=1),AH81,
IF(AND(テーブル!$B$3="実績報告（２次）",AH$26=0),0,
IF(AND(テーブル!$B$3="実績報告（２次）",AH$26&gt;=1),AH81)))))))))),0)</f>
        <v>0</v>
      </c>
      <c r="AI41" s="2024">
        <f>IFERROR(
IF(テーブル!$B$3="交付申請",AI81,
IF(AND(テーブル!$B$3="変更申請",AI$26=0),0,
IF(AND(テーブル!$B$3="変更申請",AI$26&gt;=1),AI81,
IF(テーブル!$B$3="実績報告（１次）",AI81,
IF(AND(テーブル!$B$3="交付申請（２次）",AI$26=0),0,
IF(AND(テーブル!$B$3="交付申請（２次）",AI$26&gt;=1),AI81,
IF(AND(テーブル!$B$3="交付申請兼実績報告（２次）",AI$26=0),0,
IF(AND(テーブル!$B$3="交付申請兼実績報告（２次）",AI$26&gt;=1),AI81,
IF(AND(テーブル!$B$3="実績報告（２次）",AI$26=0),0,
IF(AND(テーブル!$B$3="実績報告（２次）",AI$26&gt;=1),AI81)))))))))),0)</f>
        <v>0</v>
      </c>
      <c r="AJ41" s="2024">
        <f>IFERROR(
IF(テーブル!$B$3="交付申請",AJ81,
IF(AND(テーブル!$B$3="変更申請",AJ$26=0),0,
IF(AND(テーブル!$B$3="変更申請",AJ$26&gt;=1),AJ81,
IF(テーブル!$B$3="実績報告（１次）",AJ81,
IF(AND(テーブル!$B$3="交付申請（２次）",AJ$26=0),0,
IF(AND(テーブル!$B$3="交付申請（２次）",AJ$26&gt;=1),AJ81,
IF(AND(テーブル!$B$3="交付申請兼実績報告（２次）",AJ$26=0),0,
IF(AND(テーブル!$B$3="交付申請兼実績報告（２次）",AJ$26&gt;=1),AJ81,
IF(AND(テーブル!$B$3="実績報告（２次）",AJ$26=0),0,
IF(AND(テーブル!$B$3="実績報告（２次）",AJ$26&gt;=1),AJ81)))))))))),0)</f>
        <v>0</v>
      </c>
      <c r="AK41" s="2024">
        <f>IFERROR(
IF(テーブル!$B$3="交付申請",AK81,
IF(AND(テーブル!$B$3="変更申請",AK$26=0),0,
IF(AND(テーブル!$B$3="変更申請",AK$26&gt;=1),AK81,
IF(テーブル!$B$3="実績報告（１次）",AK81,
IF(AND(テーブル!$B$3="交付申請（２次）",AK$26=0),0,
IF(AND(テーブル!$B$3="交付申請（２次）",AK$26&gt;=1),AK81,
IF(AND(テーブル!$B$3="交付申請兼実績報告（２次）",AK$26=0),0,
IF(AND(テーブル!$B$3="交付申請兼実績報告（２次）",AK$26&gt;=1),AK81,
IF(AND(テーブル!$B$3="実績報告（２次）",AK$26=0),0,
IF(AND(テーブル!$B$3="実績報告（２次）",AK$26&gt;=1),AK81)))))))))),0)</f>
        <v>0</v>
      </c>
      <c r="AL41" s="2024">
        <f>IFERROR(
IF(テーブル!$B$3="交付申請",AL81,
IF(AND(テーブル!$B$3="変更申請",AL$26=0),0,
IF(AND(テーブル!$B$3="変更申請",AL$26&gt;=1),AL81,
IF(テーブル!$B$3="実績報告（１次）",AL81,
IF(AND(テーブル!$B$3="交付申請（２次）",AL$26=0),0,
IF(AND(テーブル!$B$3="交付申請（２次）",AL$26&gt;=1),AL81,
IF(AND(テーブル!$B$3="交付申請兼実績報告（２次）",AL$26=0),0,
IF(AND(テーブル!$B$3="交付申請兼実績報告（２次）",AL$26&gt;=1),AL81,
IF(AND(テーブル!$B$3="実績報告（２次）",AL$26=0),0,
IF(AND(テーブル!$B$3="実績報告（２次）",AL$26&gt;=1),AL81)))))))))),0)</f>
        <v>0</v>
      </c>
      <c r="AM41" s="2024">
        <f>IFERROR(
IF(テーブル!$B$3="交付申請",AM81,
IF(AND(テーブル!$B$3="変更申請",AM$26=0),0,
IF(AND(テーブル!$B$3="変更申請",AM$26&gt;=1),AM81,
IF(テーブル!$B$3="実績報告（１次）",AM81,
IF(AND(テーブル!$B$3="交付申請（２次）",AM$26=0),0,
IF(AND(テーブル!$B$3="交付申請（２次）",AM$26&gt;=1),AM81,
IF(AND(テーブル!$B$3="交付申請兼実績報告（２次）",AM$26=0),0,
IF(AND(テーブル!$B$3="交付申請兼実績報告（２次）",AM$26&gt;=1),AM81,
IF(AND(テーブル!$B$3="実績報告（２次）",AM$26=0),0,
IF(AND(テーブル!$B$3="実績報告（２次）",AM$26&gt;=1),AM81)))))))))),0)</f>
        <v>0</v>
      </c>
      <c r="AN41" s="2024">
        <f>IFERROR(
IF(テーブル!$B$3="交付申請",AN81,
IF(AND(テーブル!$B$3="変更申請",AN$26=0),0,
IF(AND(テーブル!$B$3="変更申請",AN$26&gt;=1),AN81,
IF(テーブル!$B$3="実績報告（１次）",AN81,
IF(AND(テーブル!$B$3="交付申請（２次）",AN$26=0),0,
IF(AND(テーブル!$B$3="交付申請（２次）",AN$26&gt;=1),AN81,
IF(AND(テーブル!$B$3="交付申請兼実績報告（２次）",AN$26=0),0,
IF(AND(テーブル!$B$3="交付申請兼実績報告（２次）",AN$26&gt;=1),AN81,
IF(AND(テーブル!$B$3="実績報告（２次）",AN$26=0),0,
IF(AND(テーブル!$B$3="実績報告（２次）",AN$26&gt;=1),AN81)))))))))),0)</f>
        <v>0</v>
      </c>
      <c r="AO41" s="2024">
        <f>IFERROR(
IF(テーブル!$B$3="交付申請",AO81,
IF(AND(テーブル!$B$3="変更申請",AO$26=0),0,
IF(AND(テーブル!$B$3="変更申請",AO$26&gt;=1),AO81,
IF(テーブル!$B$3="実績報告（１次）",AO81,
IF(AND(テーブル!$B$3="交付申請（２次）",AO$26=0),0,
IF(AND(テーブル!$B$3="交付申請（２次）",AO$26&gt;=1),AO81,
IF(AND(テーブル!$B$3="交付申請兼実績報告（２次）",AO$26=0),0,
IF(AND(テーブル!$B$3="交付申請兼実績報告（２次）",AO$26&gt;=1),AO81,
IF(AND(テーブル!$B$3="実績報告（２次）",AO$26=0),0,
IF(AND(テーブル!$B$3="実績報告（２次）",AO$26&gt;=1),AO81)))))))))),0)</f>
        <v>0</v>
      </c>
      <c r="AP41" s="2024">
        <f>IFERROR(
IF(テーブル!$B$3="交付申請",AP81,
IF(AND(テーブル!$B$3="変更申請",AP$26=0),0,
IF(AND(テーブル!$B$3="変更申請",AP$26&gt;=1),AP81,
IF(テーブル!$B$3="実績報告（１次）",AP81,
IF(AND(テーブル!$B$3="交付申請（２次）",AP$26=0),0,
IF(AND(テーブル!$B$3="交付申請（２次）",AP$26&gt;=1),AP81,
IF(AND(テーブル!$B$3="交付申請兼実績報告（２次）",AP$26=0),0,
IF(AND(テーブル!$B$3="交付申請兼実績報告（２次）",AP$26&gt;=1),AP81,
IF(AND(テーブル!$B$3="実績報告（２次）",AP$26=0),0,
IF(AND(テーブル!$B$3="実績報告（２次）",AP$26&gt;=1),AP81)))))))))),0)</f>
        <v>0</v>
      </c>
      <c r="AQ41" s="2024">
        <f>IFERROR(
IF(テーブル!$B$3="交付申請",AQ81,
IF(AND(テーブル!$B$3="変更申請",AQ$26=0),0,
IF(AND(テーブル!$B$3="変更申請",AQ$26&gt;=1),AQ81,
IF(テーブル!$B$3="実績報告（１次）",AQ81,
IF(AND(テーブル!$B$3="交付申請（２次）",AQ$26=0),0,
IF(AND(テーブル!$B$3="交付申請（２次）",AQ$26&gt;=1),AQ81,
IF(AND(テーブル!$B$3="交付申請兼実績報告（２次）",AQ$26=0),0,
IF(AND(テーブル!$B$3="交付申請兼実績報告（２次）",AQ$26&gt;=1),AQ81,
IF(AND(テーブル!$B$3="実績報告（２次）",AQ$26=0),0,
IF(AND(テーブル!$B$3="実績報告（２次）",AQ$26&gt;=1),AQ81)))))))))),0)</f>
        <v>0</v>
      </c>
      <c r="AR41" s="2024">
        <f>IFERROR(
IF(テーブル!$B$3="交付申請",AR81,
IF(AND(テーブル!$B$3="変更申請",AR$26=0),0,
IF(AND(テーブル!$B$3="変更申請",AR$26&gt;=1),AR81,
IF(テーブル!$B$3="実績報告（１次）",AR81,
IF(AND(テーブル!$B$3="交付申請（２次）",AR$26=0),0,
IF(AND(テーブル!$B$3="交付申請（２次）",AR$26&gt;=1),AR81,
IF(AND(テーブル!$B$3="交付申請兼実績報告（２次）",AR$26=0),0,
IF(AND(テーブル!$B$3="交付申請兼実績報告（２次）",AR$26&gt;=1),AR81,
IF(AND(テーブル!$B$3="実績報告（２次）",AR$26=0),0,
IF(AND(テーブル!$B$3="実績報告（２次）",AR$26&gt;=1),AR81)))))))))),0)</f>
        <v>0</v>
      </c>
      <c r="AS41" s="2024">
        <f>IFERROR(
IF(テーブル!$B$3="交付申請",AS81,
IF(AND(テーブル!$B$3="変更申請",AS$26=0),0,
IF(AND(テーブル!$B$3="変更申請",AS$26&gt;=1),AS81,
IF(テーブル!$B$3="実績報告（１次）",AS81,
IF(AND(テーブル!$B$3="交付申請（２次）",AS$26=0),0,
IF(AND(テーブル!$B$3="交付申請（２次）",AS$26&gt;=1),AS81,
IF(AND(テーブル!$B$3="交付申請兼実績報告（２次）",AS$26=0),0,
IF(AND(テーブル!$B$3="交付申請兼実績報告（２次）",AS$26&gt;=1),AS81,
IF(AND(テーブル!$B$3="実績報告（２次）",AS$26=0),0,
IF(AND(テーブル!$B$3="実績報告（２次）",AS$26&gt;=1),AS81)))))))))),0)</f>
        <v>0</v>
      </c>
      <c r="AT41" s="2024">
        <f>IFERROR(
IF(テーブル!$B$3="交付申請",AT81,
IF(AND(テーブル!$B$3="変更申請",AT$26=0),0,
IF(AND(テーブル!$B$3="変更申請",AT$26&gt;=1),AT81,
IF(テーブル!$B$3="実績報告（１次）",AT81,
IF(AND(テーブル!$B$3="交付申請（２次）",AT$26=0),0,
IF(AND(テーブル!$B$3="交付申請（２次）",AT$26&gt;=1),AT81,
IF(AND(テーブル!$B$3="交付申請兼実績報告（２次）",AT$26=0),0,
IF(AND(テーブル!$B$3="交付申請兼実績報告（２次）",AT$26&gt;=1),AT81,
IF(AND(テーブル!$B$3="実績報告（２次）",AT$26=0),0,
IF(AND(テーブル!$B$3="実績報告（２次）",AT$26&gt;=1),AT81)))))))))),0)</f>
        <v>0</v>
      </c>
      <c r="AU41" s="2024">
        <f>IFERROR(
IF(テーブル!$B$3="交付申請",AU81,
IF(AND(テーブル!$B$3="変更申請",AU$26=0),0,
IF(AND(テーブル!$B$3="変更申請",AU$26&gt;=1),AU81,
IF(テーブル!$B$3="実績報告（１次）",AU81,
IF(AND(テーブル!$B$3="交付申請（２次）",AU$26=0),0,
IF(AND(テーブル!$B$3="交付申請（２次）",AU$26&gt;=1),AU81,
IF(AND(テーブル!$B$3="交付申請兼実績報告（２次）",AU$26=0),0,
IF(AND(テーブル!$B$3="交付申請兼実績報告（２次）",AU$26&gt;=1),AU81,
IF(AND(テーブル!$B$3="実績報告（２次）",AU$26=0),0,
IF(AND(テーブル!$B$3="実績報告（２次）",AU$26&gt;=1),AU81)))))))))),0)</f>
        <v>0</v>
      </c>
      <c r="AV41" s="2024">
        <f>IFERROR(
IF(テーブル!$B$3="交付申請",AV81,
IF(AND(テーブル!$B$3="変更申請",AV$26=0),0,
IF(AND(テーブル!$B$3="変更申請",AV$26&gt;=1),AV81,
IF(テーブル!$B$3="実績報告（１次）",AV81,
IF(AND(テーブル!$B$3="交付申請（２次）",AV$26=0),0,
IF(AND(テーブル!$B$3="交付申請（２次）",AV$26&gt;=1),AV81,
IF(AND(テーブル!$B$3="交付申請兼実績報告（２次）",AV$26=0),0,
IF(AND(テーブル!$B$3="交付申請兼実績報告（２次）",AV$26&gt;=1),AV81,
IF(AND(テーブル!$B$3="実績報告（２次）",AV$26=0),0,
IF(AND(テーブル!$B$3="実績報告（２次）",AV$26&gt;=1),AV81)))))))))),0)</f>
        <v>0</v>
      </c>
      <c r="AW41" s="2024">
        <f>IFERROR(
IF(テーブル!$B$3="交付申請",AW81,
IF(AND(テーブル!$B$3="変更申請",AW$26=0),0,
IF(AND(テーブル!$B$3="変更申請",AW$26&gt;=1),AW81,
IF(テーブル!$B$3="実績報告（１次）",AW81,
IF(AND(テーブル!$B$3="交付申請（２次）",AW$26=0),0,
IF(AND(テーブル!$B$3="交付申請（２次）",AW$26&gt;=1),AW81,
IF(AND(テーブル!$B$3="交付申請兼実績報告（２次）",AW$26=0),0,
IF(AND(テーブル!$B$3="交付申請兼実績報告（２次）",AW$26&gt;=1),AW81,
IF(AND(テーブル!$B$3="実績報告（２次）",AW$26=0),0,
IF(AND(テーブル!$B$3="実績報告（２次）",AW$26&gt;=1),AW81)))))))))),0)</f>
        <v>0</v>
      </c>
      <c r="AX41" s="2024">
        <f>IFERROR(
IF(テーブル!$B$3="交付申請",AX81,
IF(AND(テーブル!$B$3="変更申請",AX$26=0),0,
IF(AND(テーブル!$B$3="変更申請",AX$26&gt;=1),AX81,
IF(テーブル!$B$3="実績報告（１次）",AX81,
IF(AND(テーブル!$B$3="交付申請（２次）",AX$26=0),0,
IF(AND(テーブル!$B$3="交付申請（２次）",AX$26&gt;=1),AX81,
IF(AND(テーブル!$B$3="交付申請兼実績報告（２次）",AX$26=0),0,
IF(AND(テーブル!$B$3="交付申請兼実績報告（２次）",AX$26&gt;=1),AX81,
IF(AND(テーブル!$B$3="実績報告（２次）",AX$26=0),0,
IF(AND(テーブル!$B$3="実績報告（２次）",AX$26&gt;=1),AX81)))))))))),0)</f>
        <v>0</v>
      </c>
      <c r="AY41" s="2024">
        <f>IFERROR(
IF(テーブル!$B$3="交付申請",AY81,
IF(AND(テーブル!$B$3="変更申請",AY$26=0),0,
IF(AND(テーブル!$B$3="変更申請",AY$26&gt;=1),AY81,
IF(テーブル!$B$3="実績報告（１次）",AY81,
IF(AND(テーブル!$B$3="交付申請（２次）",AY$26=0),0,
IF(AND(テーブル!$B$3="交付申請（２次）",AY$26&gt;=1),AY81,
IF(AND(テーブル!$B$3="交付申請兼実績報告（２次）",AY$26=0),0,
IF(AND(テーブル!$B$3="交付申請兼実績報告（２次）",AY$26&gt;=1),AY81,
IF(AND(テーブル!$B$3="実績報告（２次）",AY$26=0),0,
IF(AND(テーブル!$B$3="実績報告（２次）",AY$26&gt;=1),AY81)))))))))),0)</f>
        <v>0</v>
      </c>
      <c r="AZ41" s="2024">
        <f>IFERROR(
IF(テーブル!$B$3="交付申請",AZ81,
IF(AND(テーブル!$B$3="変更申請",AZ$26=0),0,
IF(AND(テーブル!$B$3="変更申請",AZ$26&gt;=1),AZ81,
IF(テーブル!$B$3="実績報告（１次）",AZ81,
IF(AND(テーブル!$B$3="交付申請（２次）",AZ$26=0),0,
IF(AND(テーブル!$B$3="交付申請（２次）",AZ$26&gt;=1),AZ81,
IF(AND(テーブル!$B$3="交付申請兼実績報告（２次）",AZ$26=0),0,
IF(AND(テーブル!$B$3="交付申請兼実績報告（２次）",AZ$26&gt;=1),AZ81,
IF(AND(テーブル!$B$3="実績報告（２次）",AZ$26=0),0,
IF(AND(テーブル!$B$3="実績報告（２次）",AZ$26&gt;=1),AZ81)))))))))),0)</f>
        <v>0</v>
      </c>
      <c r="BA41" s="2024">
        <f>IFERROR(
IF(テーブル!$B$3="交付申請",BA81,
IF(AND(テーブル!$B$3="変更申請",BA$26=0),0,
IF(AND(テーブル!$B$3="変更申請",BA$26&gt;=1),BA81,
IF(テーブル!$B$3="実績報告（１次）",BA81,
IF(AND(テーブル!$B$3="交付申請（２次）",BA$26=0),0,
IF(AND(テーブル!$B$3="交付申請（２次）",BA$26&gt;=1),BA81,
IF(AND(テーブル!$B$3="交付申請兼実績報告（２次）",BA$26=0),0,
IF(AND(テーブル!$B$3="交付申請兼実績報告（２次）",BA$26&gt;=1),BA81,
IF(AND(テーブル!$B$3="実績報告（２次）",BA$26=0),0,
IF(AND(テーブル!$B$3="実績報告（２次）",BA$26&gt;=1),BA81)))))))))),0)</f>
        <v>0</v>
      </c>
      <c r="BB41" s="2024">
        <f>IFERROR(
IF(テーブル!$B$3="交付申請",BB81,
IF(AND(テーブル!$B$3="変更申請",BB$26=0),0,
IF(AND(テーブル!$B$3="変更申請",BB$26&gt;=1),BB81,
IF(テーブル!$B$3="実績報告（１次）",BB81,
IF(AND(テーブル!$B$3="交付申請（２次）",BB$26=0),0,
IF(AND(テーブル!$B$3="交付申請（２次）",BB$26&gt;=1),BB81,
IF(AND(テーブル!$B$3="交付申請兼実績報告（２次）",BB$26=0),0,
IF(AND(テーブル!$B$3="交付申請兼実績報告（２次）",BB$26&gt;=1),BB81,
IF(AND(テーブル!$B$3="実績報告（２次）",BB$26=0),0,
IF(AND(テーブル!$B$3="実績報告（２次）",BB$26&gt;=1),BB81)))))))))),0)</f>
        <v>0</v>
      </c>
      <c r="BC41" s="2024">
        <f>IFERROR(
IF(テーブル!$B$3="交付申請",BC81,
IF(AND(テーブル!$B$3="変更申請",BC$26=0),0,
IF(AND(テーブル!$B$3="変更申請",BC$26&gt;=1),BC81,
IF(テーブル!$B$3="実績報告（１次）",BC81,
IF(AND(テーブル!$B$3="交付申請（２次）",BC$26=0),0,
IF(AND(テーブル!$B$3="交付申請（２次）",BC$26&gt;=1),BC81,
IF(AND(テーブル!$B$3="交付申請兼実績報告（２次）",BC$26=0),0,
IF(AND(テーブル!$B$3="交付申請兼実績報告（２次）",BC$26&gt;=1),BC81,
IF(AND(テーブル!$B$3="実績報告（２次）",BC$26=0),0,
IF(AND(テーブル!$B$3="実績報告（２次）",BC$26&gt;=1),BC81)))))))))),0)</f>
        <v>0</v>
      </c>
      <c r="BD41" s="2024">
        <f>IFERROR(
IF(テーブル!$B$3="交付申請",BD81,
IF(AND(テーブル!$B$3="変更申請",BD$26=0),0,
IF(AND(テーブル!$B$3="変更申請",BD$26&gt;=1),BD81,
IF(テーブル!$B$3="実績報告（１次）",BD81,
IF(AND(テーブル!$B$3="交付申請（２次）",BD$26=0),0,
IF(AND(テーブル!$B$3="交付申請（２次）",BD$26&gt;=1),BD81,
IF(AND(テーブル!$B$3="交付申請兼実績報告（２次）",BD$26=0),0,
IF(AND(テーブル!$B$3="交付申請兼実績報告（２次）",BD$26&gt;=1),BD81,
IF(AND(テーブル!$B$3="実績報告（２次）",BD$26=0),0,
IF(AND(テーブル!$B$3="実績報告（２次）",BD$26&gt;=1),BD81)))))))))),0)</f>
        <v>0</v>
      </c>
      <c r="BE41" s="2024">
        <f>IFERROR(
IF(テーブル!$B$3="交付申請",BE81,
IF(AND(テーブル!$B$3="変更申請",BE$26=0),0,
IF(AND(テーブル!$B$3="変更申請",BE$26&gt;=1),BE81,
IF(テーブル!$B$3="実績報告（１次）",BE81,
IF(AND(テーブル!$B$3="交付申請（２次）",BE$26=0),0,
IF(AND(テーブル!$B$3="交付申請（２次）",BE$26&gt;=1),BE81,
IF(AND(テーブル!$B$3="交付申請兼実績報告（２次）",BE$26=0),0,
IF(AND(テーブル!$B$3="交付申請兼実績報告（２次）",BE$26&gt;=1),BE81,
IF(AND(テーブル!$B$3="実績報告（２次）",BE$26=0),0,
IF(AND(テーブル!$B$3="実績報告（２次）",BE$26&gt;=1),BE81)))))))))),0)</f>
        <v>0</v>
      </c>
      <c r="BF41" s="2024">
        <f>IFERROR(
IF(テーブル!$B$3="交付申請",BF81,
IF(AND(テーブル!$B$3="変更申請",BF$26=0),0,
IF(AND(テーブル!$B$3="変更申請",BF$26&gt;=1),BF81,
IF(テーブル!$B$3="実績報告（１次）",BF81,
IF(AND(テーブル!$B$3="交付申請（２次）",BF$26=0),0,
IF(AND(テーブル!$B$3="交付申請（２次）",BF$26&gt;=1),BF81,
IF(AND(テーブル!$B$3="交付申請兼実績報告（２次）",BF$26=0),0,
IF(AND(テーブル!$B$3="交付申請兼実績報告（２次）",BF$26&gt;=1),BF81,
IF(AND(テーブル!$B$3="実績報告（２次）",BF$26=0),0,
IF(AND(テーブル!$B$3="実績報告（２次）",BF$26&gt;=1),BF81)))))))))),0)</f>
        <v>0</v>
      </c>
      <c r="BG41" s="2024">
        <f>IFERROR(
IF(テーブル!$B$3="交付申請",BG81,
IF(AND(テーブル!$B$3="変更申請",BG$26=0),0,
IF(AND(テーブル!$B$3="変更申請",BG$26&gt;=1),BG81,
IF(テーブル!$B$3="実績報告（１次）",BG81,
IF(AND(テーブル!$B$3="交付申請（２次）",BG$26=0),0,
IF(AND(テーブル!$B$3="交付申請（２次）",BG$26&gt;=1),BG81,
IF(AND(テーブル!$B$3="交付申請兼実績報告（２次）",BG$26=0),0,
IF(AND(テーブル!$B$3="交付申請兼実績報告（２次）",BG$26&gt;=1),BG81,
IF(AND(テーブル!$B$3="実績報告（２次）",BG$26=0),0,
IF(AND(テーブル!$B$3="実績報告（２次）",BG$26&gt;=1),BG81)))))))))),0)</f>
        <v>0</v>
      </c>
      <c r="BH41" s="2024">
        <f>IFERROR(
IF(テーブル!$B$3="交付申請",BH81,
IF(AND(テーブル!$B$3="変更申請",BH$26=0),0,
IF(AND(テーブル!$B$3="変更申請",BH$26&gt;=1),BH81,
IF(テーブル!$B$3="実績報告（１次）",BH81,
IF(AND(テーブル!$B$3="交付申請（２次）",BH$26=0),0,
IF(AND(テーブル!$B$3="交付申請（２次）",BH$26&gt;=1),BH81,
IF(AND(テーブル!$B$3="交付申請兼実績報告（２次）",BH$26=0),0,
IF(AND(テーブル!$B$3="交付申請兼実績報告（２次）",BH$26&gt;=1),BH81,
IF(AND(テーブル!$B$3="実績報告（２次）",BH$26=0),0,
IF(AND(テーブル!$B$3="実績報告（２次）",BH$26&gt;=1),BH81)))))))))),0)</f>
        <v>0</v>
      </c>
      <c r="BI41" s="2024">
        <f>IFERROR(
IF(テーブル!$B$3="交付申請",BI81,
IF(AND(テーブル!$B$3="変更申請",BI$26=0),0,
IF(AND(テーブル!$B$3="変更申請",BI$26&gt;=1),BI81,
IF(テーブル!$B$3="実績報告（１次）",BI81,
IF(AND(テーブル!$B$3="交付申請（２次）",BI$26=0),0,
IF(AND(テーブル!$B$3="交付申請（２次）",BI$26&gt;=1),BI81,
IF(AND(テーブル!$B$3="交付申請兼実績報告（２次）",BI$26=0),0,
IF(AND(テーブル!$B$3="交付申請兼実績報告（２次）",BI$26&gt;=1),BI81,
IF(AND(テーブル!$B$3="実績報告（２次）",BI$26=0),0,
IF(AND(テーブル!$B$3="実績報告（２次）",BI$26&gt;=1),BI81)))))))))),0)</f>
        <v>0</v>
      </c>
      <c r="BJ41" s="2024">
        <f>IFERROR(
IF(テーブル!$B$3="交付申請",BJ81,
IF(AND(テーブル!$B$3="変更申請",BJ$26=0),0,
IF(AND(テーブル!$B$3="変更申請",BJ$26&gt;=1),BJ81,
IF(テーブル!$B$3="実績報告（１次）",BJ81,
IF(AND(テーブル!$B$3="交付申請（２次）",BJ$26=0),0,
IF(AND(テーブル!$B$3="交付申請（２次）",BJ$26&gt;=1),BJ81,
IF(AND(テーブル!$B$3="交付申請兼実績報告（２次）",BJ$26=0),0,
IF(AND(テーブル!$B$3="交付申請兼実績報告（２次）",BJ$26&gt;=1),BJ81,
IF(AND(テーブル!$B$3="実績報告（２次）",BJ$26=0),0,
IF(AND(テーブル!$B$3="実績報告（２次）",BJ$26&gt;=1),BJ81)))))))))),0)</f>
        <v>0</v>
      </c>
      <c r="BK41" s="2024">
        <f>IFERROR(
IF(テーブル!$B$3="交付申請",BK81,
IF(AND(テーブル!$B$3="変更申請",BK$26=0),0,
IF(AND(テーブル!$B$3="変更申請",BK$26&gt;=1),BK81,
IF(テーブル!$B$3="実績報告（１次）",BK81,
IF(AND(テーブル!$B$3="交付申請（２次）",BK$26=0),0,
IF(AND(テーブル!$B$3="交付申請（２次）",BK$26&gt;=1),BK81,
IF(AND(テーブル!$B$3="交付申請兼実績報告（２次）",BK$26=0),0,
IF(AND(テーブル!$B$3="交付申請兼実績報告（２次）",BK$26&gt;=1),BK81,
IF(AND(テーブル!$B$3="実績報告（２次）",BK$26=0),0,
IF(AND(テーブル!$B$3="実績報告（２次）",BK$26&gt;=1),BK81)))))))))),0)</f>
        <v>0</v>
      </c>
      <c r="BL41" s="2024">
        <f>IFERROR(
IF(テーブル!$B$3="交付申請",BL81,
IF(AND(テーブル!$B$3="変更申請",BL$26=0),0,
IF(AND(テーブル!$B$3="変更申請",BL$26&gt;=1),BL81,
IF(テーブル!$B$3="実績報告（１次）",BL81,
IF(AND(テーブル!$B$3="交付申請（２次）",BL$26=0),0,
IF(AND(テーブル!$B$3="交付申請（２次）",BL$26&gt;=1),BL81,
IF(AND(テーブル!$B$3="交付申請兼実績報告（２次）",BL$26=0),0,
IF(AND(テーブル!$B$3="交付申請兼実績報告（２次）",BL$26&gt;=1),BL81,
IF(AND(テーブル!$B$3="実績報告（２次）",BL$26=0),0,
IF(AND(テーブル!$B$3="実績報告（２次）",BL$26&gt;=1),BL81)))))))))),0)</f>
        <v>0</v>
      </c>
      <c r="BM41" s="2024">
        <f>IFERROR(
IF(テーブル!$B$3="交付申請",BM81,
IF(AND(テーブル!$B$3="変更申請",BM$26=0),0,
IF(AND(テーブル!$B$3="変更申請",BM$26&gt;=1),BM81,
IF(テーブル!$B$3="実績報告（１次）",BM81,
IF(AND(テーブル!$B$3="交付申請（２次）",BM$26=0),0,
IF(AND(テーブル!$B$3="交付申請（２次）",BM$26&gt;=1),BM81,
IF(AND(テーブル!$B$3="交付申請兼実績報告（２次）",BM$26=0),0,
IF(AND(テーブル!$B$3="交付申請兼実績報告（２次）",BM$26&gt;=1),BM81,
IF(AND(テーブル!$B$3="実績報告（２次）",BM$26=0),0,
IF(AND(テーブル!$B$3="実績報告（２次）",BM$26&gt;=1),BM81)))))))))),0)</f>
        <v>0</v>
      </c>
      <c r="BN41" s="2024">
        <f>IFERROR(
IF(テーブル!$B$3="交付申請",BN81,
IF(AND(テーブル!$B$3="変更申請",BN$26=0),0,
IF(AND(テーブル!$B$3="変更申請",BN$26&gt;=1),BN81,
IF(テーブル!$B$3="実績報告（１次）",BN81,
IF(AND(テーブル!$B$3="交付申請（２次）",BN$26=0),0,
IF(AND(テーブル!$B$3="交付申請（２次）",BN$26&gt;=1),BN81,
IF(AND(テーブル!$B$3="交付申請兼実績報告（２次）",BN$26=0),0,
IF(AND(テーブル!$B$3="交付申請兼実績報告（２次）",BN$26&gt;=1),BN81,
IF(AND(テーブル!$B$3="実績報告（２次）",BN$26=0),0,
IF(AND(テーブル!$B$3="実績報告（２次）",BN$26&gt;=1),BN81)))))))))),0)</f>
        <v>0</v>
      </c>
      <c r="BO41" s="2024">
        <f>IFERROR(
IF(テーブル!$B$3="交付申請",BO81,
IF(AND(テーブル!$B$3="変更申請",BO$26=0),0,
IF(AND(テーブル!$B$3="変更申請",BO$26&gt;=1),BO81,
IF(テーブル!$B$3="実績報告（１次）",BO81,
IF(AND(テーブル!$B$3="交付申請（２次）",BO$26=0),0,
IF(AND(テーブル!$B$3="交付申請（２次）",BO$26&gt;=1),BO81,
IF(AND(テーブル!$B$3="交付申請兼実績報告（２次）",BO$26=0),0,
IF(AND(テーブル!$B$3="交付申請兼実績報告（２次）",BO$26&gt;=1),BO81,
IF(AND(テーブル!$B$3="実績報告（２次）",BO$26=0),0,
IF(AND(テーブル!$B$3="実績報告（２次）",BO$26&gt;=1),BO81)))))))))),0)</f>
        <v>0</v>
      </c>
      <c r="BP41" s="2024">
        <f>IFERROR(
IF(テーブル!$B$3="交付申請",BP81,
IF(AND(テーブル!$B$3="変更申請",BP$26=0),0,
IF(AND(テーブル!$B$3="変更申請",BP$26&gt;=1),BP81,
IF(テーブル!$B$3="実績報告（１次）",BP81,
IF(AND(テーブル!$B$3="交付申請（２次）",BP$26=0),0,
IF(AND(テーブル!$B$3="交付申請（２次）",BP$26&gt;=1),BP81,
IF(AND(テーブル!$B$3="交付申請兼実績報告（２次）",BP$26=0),0,
IF(AND(テーブル!$B$3="交付申請兼実績報告（２次）",BP$26&gt;=1),BP81,
IF(AND(テーブル!$B$3="実績報告（２次）",BP$26=0),0,
IF(AND(テーブル!$B$3="実績報告（２次）",BP$26&gt;=1),BP81)))))))))),0)</f>
        <v>0</v>
      </c>
      <c r="BQ41" s="2024">
        <f>IFERROR(
IF(テーブル!$B$3="交付申請",BQ81,
IF(AND(テーブル!$B$3="変更申請",BQ$26=0),0,
IF(AND(テーブル!$B$3="変更申請",BQ$26&gt;=1),BQ81,
IF(テーブル!$B$3="実績報告（１次）",BQ81,
IF(AND(テーブル!$B$3="交付申請（２次）",BQ$26=0),0,
IF(AND(テーブル!$B$3="交付申請（２次）",BQ$26&gt;=1),BQ81,
IF(AND(テーブル!$B$3="交付申請兼実績報告（２次）",BQ$26=0),0,
IF(AND(テーブル!$B$3="交付申請兼実績報告（２次）",BQ$26&gt;=1),BQ81,
IF(AND(テーブル!$B$3="実績報告（２次）",BQ$26=0),0,
IF(AND(テーブル!$B$3="実績報告（２次）",BQ$26&gt;=1),BQ81)))))))))),0)</f>
        <v>0</v>
      </c>
      <c r="BR41" s="2024">
        <f>IFERROR(
IF(テーブル!$B$3="交付申請",BR81,
IF(AND(テーブル!$B$3="変更申請",BR$26=0),0,
IF(AND(テーブル!$B$3="変更申請",BR$26&gt;=1),BR81,
IF(テーブル!$B$3="実績報告（１次）",BR81,
IF(AND(テーブル!$B$3="交付申請（２次）",BR$26=0),0,
IF(AND(テーブル!$B$3="交付申請（２次）",BR$26&gt;=1),BR81,
IF(AND(テーブル!$B$3="交付申請兼実績報告（２次）",BR$26=0),0,
IF(AND(テーブル!$B$3="交付申請兼実績報告（２次）",BR$26&gt;=1),BR81,
IF(AND(テーブル!$B$3="実績報告（２次）",BR$26=0),0,
IF(AND(テーブル!$B$3="実績報告（２次）",BR$26&gt;=1),BR81)))))))))),0)</f>
        <v>0</v>
      </c>
      <c r="BS41" s="2024">
        <f>IFERROR(
IF(テーブル!$B$3="交付申請",BS81,
IF(AND(テーブル!$B$3="変更申請",BS$26=0),0,
IF(AND(テーブル!$B$3="変更申請",BS$26&gt;=1),BS81,
IF(テーブル!$B$3="実績報告（１次）",BS81,
IF(AND(テーブル!$B$3="交付申請（２次）",BS$26=0),0,
IF(AND(テーブル!$B$3="交付申請（２次）",BS$26&gt;=1),BS81,
IF(AND(テーブル!$B$3="交付申請兼実績報告（２次）",BS$26=0),0,
IF(AND(テーブル!$B$3="交付申請兼実績報告（２次）",BS$26&gt;=1),BS81,
IF(AND(テーブル!$B$3="実績報告（２次）",BS$26=0),0,
IF(AND(テーブル!$B$3="実績報告（２次）",BS$26&gt;=1),BS81)))))))))),0)</f>
        <v>0</v>
      </c>
      <c r="BT41" s="2024">
        <f>IFERROR(
IF(テーブル!$B$3="交付申請",BT81,
IF(AND(テーブル!$B$3="変更申請",BT$26=0),0,
IF(AND(テーブル!$B$3="変更申請",BT$26&gt;=1),BT81,
IF(テーブル!$B$3="実績報告（１次）",BT81,
IF(AND(テーブル!$B$3="交付申請（２次）",BT$26=0),0,
IF(AND(テーブル!$B$3="交付申請（２次）",BT$26&gt;=1),BT81,
IF(AND(テーブル!$B$3="交付申請兼実績報告（２次）",BT$26=0),0,
IF(AND(テーブル!$B$3="交付申請兼実績報告（２次）",BT$26&gt;=1),BT81,
IF(AND(テーブル!$B$3="実績報告（２次）",BT$26=0),0,
IF(AND(テーブル!$B$3="実績報告（２次）",BT$26&gt;=1),BT81)))))))))),0)</f>
        <v>0</v>
      </c>
      <c r="BU41" s="2024">
        <f>IFERROR(
IF(テーブル!$B$3="交付申請",BU81,
IF(AND(テーブル!$B$3="変更申請",BU$26=0),0,
IF(AND(テーブル!$B$3="変更申請",BU$26&gt;=1),BU81,
IF(テーブル!$B$3="実績報告（１次）",BU81,
IF(AND(テーブル!$B$3="交付申請（２次）",BU$26=0),0,
IF(AND(テーブル!$B$3="交付申請（２次）",BU$26&gt;=1),BU81,
IF(AND(テーブル!$B$3="交付申請兼実績報告（２次）",BU$26=0),0,
IF(AND(テーブル!$B$3="交付申請兼実績報告（２次）",BU$26&gt;=1),BU81,
IF(AND(テーブル!$B$3="実績報告（２次）",BU$26=0),0,
IF(AND(テーブル!$B$3="実績報告（２次）",BU$26&gt;=1),BU81)))))))))),0)</f>
        <v>0</v>
      </c>
      <c r="BV41" s="2024">
        <f>IFERROR(
IF(テーブル!$B$3="交付申請",BV81,
IF(AND(テーブル!$B$3="変更申請",BV$26=0),0,
IF(AND(テーブル!$B$3="変更申請",BV$26&gt;=1),BV81,
IF(テーブル!$B$3="実績報告（１次）",BV81,
IF(AND(テーブル!$B$3="交付申請（２次）",BV$26=0),0,
IF(AND(テーブル!$B$3="交付申請（２次）",BV$26&gt;=1),BV81,
IF(AND(テーブル!$B$3="交付申請兼実績報告（２次）",BV$26=0),0,
IF(AND(テーブル!$B$3="交付申請兼実績報告（２次）",BV$26&gt;=1),BV81,
IF(AND(テーブル!$B$3="実績報告（２次）",BV$26=0),0,
IF(AND(テーブル!$B$3="実績報告（２次）",BV$26&gt;=1),BV81)))))))))),0)</f>
        <v>0</v>
      </c>
      <c r="BW41" s="2024">
        <f>IFERROR(
IF(テーブル!$B$3="交付申請",BW81,
IF(AND(テーブル!$B$3="変更申請",BW$26=0),0,
IF(AND(テーブル!$B$3="変更申請",BW$26&gt;=1),BW81,
IF(テーブル!$B$3="実績報告（１次）",BW81,
IF(AND(テーブル!$B$3="交付申請（２次）",BW$26=0),0,
IF(AND(テーブル!$B$3="交付申請（２次）",BW$26&gt;=1),BW81,
IF(AND(テーブル!$B$3="交付申請兼実績報告（２次）",BW$26=0),0,
IF(AND(テーブル!$B$3="交付申請兼実績報告（２次）",BW$26&gt;=1),BW81,
IF(AND(テーブル!$B$3="実績報告（２次）",BW$26=0),0,
IF(AND(テーブル!$B$3="実績報告（２次）",BW$26&gt;=1),BW81)))))))))),0)</f>
        <v>0</v>
      </c>
      <c r="BX41" s="2024">
        <f>IFERROR(
IF(テーブル!$B$3="交付申請",BX81,
IF(AND(テーブル!$B$3="変更申請",BX$26=0),0,
IF(AND(テーブル!$B$3="変更申請",BX$26&gt;=1),BX81,
IF(テーブル!$B$3="実績報告（１次）",BX81,
IF(AND(テーブル!$B$3="交付申請（２次）",BX$26=0),0,
IF(AND(テーブル!$B$3="交付申請（２次）",BX$26&gt;=1),BX81,
IF(AND(テーブル!$B$3="交付申請兼実績報告（２次）",BX$26=0),0,
IF(AND(テーブル!$B$3="交付申請兼実績報告（２次）",BX$26&gt;=1),BX81,
IF(AND(テーブル!$B$3="実績報告（２次）",BX$26=0),0,
IF(AND(テーブル!$B$3="実績報告（２次）",BX$26&gt;=1),BX81)))))))))),0)</f>
        <v>0</v>
      </c>
      <c r="BY41" s="2024">
        <f>IFERROR(
IF(テーブル!$B$3="交付申請",BY81,
IF(AND(テーブル!$B$3="変更申請",BY$26=0),0,
IF(AND(テーブル!$B$3="変更申請",BY$26&gt;=1),BY81,
IF(テーブル!$B$3="実績報告（１次）",BY81,
IF(AND(テーブル!$B$3="交付申請（２次）",BY$26=0),0,
IF(AND(テーブル!$B$3="交付申請（２次）",BY$26&gt;=1),BY81,
IF(AND(テーブル!$B$3="交付申請兼実績報告（２次）",BY$26=0),0,
IF(AND(テーブル!$B$3="交付申請兼実績報告（２次）",BY$26&gt;=1),BY81,
IF(AND(テーブル!$B$3="実績報告（２次）",BY$26=0),0,
IF(AND(テーブル!$B$3="実績報告（２次）",BY$26&gt;=1),BY81)))))))))),0)</f>
        <v>0</v>
      </c>
      <c r="BZ41" s="2024">
        <f>IFERROR(
IF(テーブル!$B$3="交付申請",BZ81,
IF(AND(テーブル!$B$3="変更申請",BZ$26=0),0,
IF(AND(テーブル!$B$3="変更申請",BZ$26&gt;=1),BZ81,
IF(テーブル!$B$3="実績報告（１次）",BZ81,
IF(AND(テーブル!$B$3="交付申請（２次）",BZ$26=0),0,
IF(AND(テーブル!$B$3="交付申請（２次）",BZ$26&gt;=1),BZ81,
IF(AND(テーブル!$B$3="交付申請兼実績報告（２次）",BZ$26=0),0,
IF(AND(テーブル!$B$3="交付申請兼実績報告（２次）",BZ$26&gt;=1),BZ81,
IF(AND(テーブル!$B$3="実績報告（２次）",BZ$26=0),0,
IF(AND(テーブル!$B$3="実績報告（２次）",BZ$26&gt;=1),BZ81)))))))))),0)</f>
        <v>0</v>
      </c>
      <c r="CA41" s="2024">
        <f>IFERROR(
IF(テーブル!$B$3="交付申請",CA81,
IF(AND(テーブル!$B$3="変更申請",CA$26=0),0,
IF(AND(テーブル!$B$3="変更申請",CA$26&gt;=1),CA81,
IF(テーブル!$B$3="実績報告（１次）",CA81,
IF(AND(テーブル!$B$3="交付申請（２次）",CA$26=0),0,
IF(AND(テーブル!$B$3="交付申請（２次）",CA$26&gt;=1),CA81,
IF(AND(テーブル!$B$3="交付申請兼実績報告（２次）",CA$26=0),0,
IF(AND(テーブル!$B$3="交付申請兼実績報告（２次）",CA$26&gt;=1),CA81,
IF(AND(テーブル!$B$3="実績報告（２次）",CA$26=0),0,
IF(AND(テーブル!$B$3="実績報告（２次）",CA$26&gt;=1),CA81)))))))))),0)</f>
        <v>0</v>
      </c>
      <c r="CB41" s="2024">
        <f>IFERROR(
IF(テーブル!$B$3="交付申請",CB81,
IF(AND(テーブル!$B$3="変更申請",CB$26=0),0,
IF(AND(テーブル!$B$3="変更申請",CB$26&gt;=1),CB81,
IF(テーブル!$B$3="実績報告（１次）",CB81,
IF(AND(テーブル!$B$3="交付申請（２次）",CB$26=0),0,
IF(AND(テーブル!$B$3="交付申請（２次）",CB$26&gt;=1),CB81,
IF(AND(テーブル!$B$3="交付申請兼実績報告（２次）",CB$26=0),0,
IF(AND(テーブル!$B$3="交付申請兼実績報告（２次）",CB$26&gt;=1),CB81,
IF(AND(テーブル!$B$3="実績報告（２次）",CB$26=0),0,
IF(AND(テーブル!$B$3="実績報告（２次）",CB$26&gt;=1),CB81)))))))))),0)</f>
        <v>0</v>
      </c>
      <c r="CC41" s="2024">
        <f>IFERROR(
IF(テーブル!$B$3="交付申請",CC81,
IF(AND(テーブル!$B$3="変更申請",CC$26=0),0,
IF(AND(テーブル!$B$3="変更申請",CC$26&gt;=1),CC81,
IF(テーブル!$B$3="実績報告（１次）",CC81,
IF(AND(テーブル!$B$3="交付申請（２次）",CC$26=0),0,
IF(AND(テーブル!$B$3="交付申請（２次）",CC$26&gt;=1),CC81,
IF(AND(テーブル!$B$3="交付申請兼実績報告（２次）",CC$26=0),0,
IF(AND(テーブル!$B$3="交付申請兼実績報告（２次）",CC$26&gt;=1),CC81,
IF(AND(テーブル!$B$3="実績報告（２次）",CC$26=0),0,
IF(AND(テーブル!$B$3="実績報告（２次）",CC$26&gt;=1),CC81)))))))))),0)</f>
        <v>0</v>
      </c>
      <c r="CD41" s="2024">
        <f>IFERROR(
IF(テーブル!$B$3="交付申請",CD81,
IF(AND(テーブル!$B$3="変更申請",CD$26=0),0,
IF(AND(テーブル!$B$3="変更申請",CD$26&gt;=1),CD81,
IF(テーブル!$B$3="実績報告（１次）",CD81,
IF(AND(テーブル!$B$3="交付申請（２次）",CD$26=0),0,
IF(AND(テーブル!$B$3="交付申請（２次）",CD$26&gt;=1),CD81,
IF(AND(テーブル!$B$3="交付申請兼実績報告（２次）",CD$26=0),0,
IF(AND(テーブル!$B$3="交付申請兼実績報告（２次）",CD$26&gt;=1),CD81,
IF(AND(テーブル!$B$3="実績報告（２次）",CD$26=0),0,
IF(AND(テーブル!$B$3="実績報告（２次）",CD$26&gt;=1),CD81)))))))))),0)</f>
        <v>0</v>
      </c>
      <c r="CE41" s="2024">
        <f>IFERROR(
IF(テーブル!$B$3="交付申請",CE81,
IF(AND(テーブル!$B$3="変更申請",CE$26=0),0,
IF(AND(テーブル!$B$3="変更申請",CE$26&gt;=1),CE81,
IF(テーブル!$B$3="実績報告（１次）",CE81,
IF(AND(テーブル!$B$3="交付申請（２次）",CE$26=0),0,
IF(AND(テーブル!$B$3="交付申請（２次）",CE$26&gt;=1),CE81,
IF(AND(テーブル!$B$3="交付申請兼実績報告（２次）",CE$26=0),0,
IF(AND(テーブル!$B$3="交付申請兼実績報告（２次）",CE$26&gt;=1),CE81,
IF(AND(テーブル!$B$3="実績報告（２次）",CE$26=0),0,
IF(AND(テーブル!$B$3="実績報告（２次）",CE$26&gt;=1),CE81)))))))))),0)</f>
        <v>0</v>
      </c>
      <c r="CF41" s="2024">
        <f>IFERROR(
IF(テーブル!$B$3="交付申請",CF81,
IF(AND(テーブル!$B$3="変更申請",CF$26=0),0,
IF(AND(テーブル!$B$3="変更申請",CF$26&gt;=1),CF81,
IF(テーブル!$B$3="実績報告（１次）",CF81,
IF(AND(テーブル!$B$3="交付申請（２次）",CF$26=0),0,
IF(AND(テーブル!$B$3="交付申請（２次）",CF$26&gt;=1),CF81,
IF(AND(テーブル!$B$3="交付申請兼実績報告（２次）",CF$26=0),0,
IF(AND(テーブル!$B$3="交付申請兼実績報告（２次）",CF$26&gt;=1),CF81,
IF(AND(テーブル!$B$3="実績報告（２次）",CF$26=0),0,
IF(AND(テーブル!$B$3="実績報告（２次）",CF$26&gt;=1),CF81)))))))))),0)</f>
        <v>0</v>
      </c>
      <c r="CG41" s="2024">
        <f>IFERROR(
IF(テーブル!$B$3="交付申請",CG81,
IF(AND(テーブル!$B$3="変更申請",CG$26=0),0,
IF(AND(テーブル!$B$3="変更申請",CG$26&gt;=1),CG81,
IF(テーブル!$B$3="実績報告（１次）",CG81,
IF(AND(テーブル!$B$3="交付申請（２次）",CG$26=0),0,
IF(AND(テーブル!$B$3="交付申請（２次）",CG$26&gt;=1),CG81,
IF(AND(テーブル!$B$3="交付申請兼実績報告（２次）",CG$26=0),0,
IF(AND(テーブル!$B$3="交付申請兼実績報告（２次）",CG$26&gt;=1),CG81,
IF(AND(テーブル!$B$3="実績報告（２次）",CG$26=0),0,
IF(AND(テーブル!$B$3="実績報告（２次）",CG$26&gt;=1),CG81)))))))))),0)</f>
        <v>0</v>
      </c>
      <c r="CH41" s="2024">
        <f>IFERROR(
IF(テーブル!$B$3="交付申請",CH81,
IF(AND(テーブル!$B$3="変更申請",CH$26=0),0,
IF(AND(テーブル!$B$3="変更申請",CH$26&gt;=1),CH81,
IF(テーブル!$B$3="実績報告（１次）",CH81,
IF(AND(テーブル!$B$3="交付申請（２次）",CH$26=0),0,
IF(AND(テーブル!$B$3="交付申請（２次）",CH$26&gt;=1),CH81,
IF(AND(テーブル!$B$3="交付申請兼実績報告（２次）",CH$26=0),0,
IF(AND(テーブル!$B$3="交付申請兼実績報告（２次）",CH$26&gt;=1),CH81,
IF(AND(テーブル!$B$3="実績報告（２次）",CH$26=0),0,
IF(AND(テーブル!$B$3="実績報告（２次）",CH$26&gt;=1),CH81)))))))))),0)</f>
        <v>0</v>
      </c>
      <c r="CI41" s="2024">
        <f>IFERROR(
IF(テーブル!$B$3="交付申請",CI81,
IF(AND(テーブル!$B$3="変更申請",CI$26=0),0,
IF(AND(テーブル!$B$3="変更申請",CI$26&gt;=1),CI81,
IF(テーブル!$B$3="実績報告（１次）",CI81,
IF(AND(テーブル!$B$3="交付申請（２次）",CI$26=0),0,
IF(AND(テーブル!$B$3="交付申請（２次）",CI$26&gt;=1),CI81,
IF(AND(テーブル!$B$3="交付申請兼実績報告（２次）",CI$26=0),0,
IF(AND(テーブル!$B$3="交付申請兼実績報告（２次）",CI$26&gt;=1),CI81,
IF(AND(テーブル!$B$3="実績報告（２次）",CI$26=0),0,
IF(AND(テーブル!$B$3="実績報告（２次）",CI$26&gt;=1),CI81)))))))))),0)</f>
        <v>0</v>
      </c>
      <c r="CJ41" s="2024">
        <f>IFERROR(
IF(テーブル!$B$3="交付申請",CJ81,
IF(AND(テーブル!$B$3="変更申請",CJ$26=0),0,
IF(AND(テーブル!$B$3="変更申請",CJ$26&gt;=1),CJ81,
IF(テーブル!$B$3="実績報告（１次）",CJ81,
IF(AND(テーブル!$B$3="交付申請（２次）",CJ$26=0),0,
IF(AND(テーブル!$B$3="交付申請（２次）",CJ$26&gt;=1),CJ81,
IF(AND(テーブル!$B$3="交付申請兼実績報告（２次）",CJ$26=0),0,
IF(AND(テーブル!$B$3="交付申請兼実績報告（２次）",CJ$26&gt;=1),CJ81,
IF(AND(テーブル!$B$3="実績報告（２次）",CJ$26=0),0,
IF(AND(テーブル!$B$3="実績報告（２次）",CJ$26&gt;=1),CJ81)))))))))),0)</f>
        <v>0</v>
      </c>
      <c r="CK41" s="2024">
        <f>IFERROR(
IF(テーブル!$B$3="交付申請",CK81,
IF(AND(テーブル!$B$3="変更申請",CK$26=0),0,
IF(AND(テーブル!$B$3="変更申請",CK$26&gt;=1),CK81,
IF(テーブル!$B$3="実績報告（１次）",CK81,
IF(AND(テーブル!$B$3="交付申請（２次）",CK$26=0),0,
IF(AND(テーブル!$B$3="交付申請（２次）",CK$26&gt;=1),CK81,
IF(AND(テーブル!$B$3="交付申請兼実績報告（２次）",CK$26=0),0,
IF(AND(テーブル!$B$3="交付申請兼実績報告（２次）",CK$26&gt;=1),CK81,
IF(AND(テーブル!$B$3="実績報告（２次）",CK$26=0),0,
IF(AND(テーブル!$B$3="実績報告（２次）",CK$26&gt;=1),CK81)))))))))),0)</f>
        <v>0</v>
      </c>
      <c r="CL41" s="2024">
        <f>IFERROR(
IF(テーブル!$B$3="交付申請",CL81,
IF(AND(テーブル!$B$3="変更申請",CL$26=0),0,
IF(AND(テーブル!$B$3="変更申請",CL$26&gt;=1),CL81,
IF(テーブル!$B$3="実績報告（１次）",CL81,
IF(AND(テーブル!$B$3="交付申請（２次）",CL$26=0),0,
IF(AND(テーブル!$B$3="交付申請（２次）",CL$26&gt;=1),CL81,
IF(AND(テーブル!$B$3="交付申請兼実績報告（２次）",CL$26=0),0,
IF(AND(テーブル!$B$3="交付申請兼実績報告（２次）",CL$26&gt;=1),CL81,
IF(AND(テーブル!$B$3="実績報告（２次）",CL$26=0),0,
IF(AND(テーブル!$B$3="実績報告（２次）",CL$26&gt;=1),CL81)))))))))),0)</f>
        <v>0</v>
      </c>
      <c r="CM41" s="2024">
        <f>IFERROR(
IF(テーブル!$B$3="交付申請",CM81,
IF(AND(テーブル!$B$3="変更申請",CM$26=0),0,
IF(AND(テーブル!$B$3="変更申請",CM$26&gt;=1),CM81,
IF(テーブル!$B$3="実績報告（１次）",CM81,
IF(AND(テーブル!$B$3="交付申請（２次）",CM$26=0),0,
IF(AND(テーブル!$B$3="交付申請（２次）",CM$26&gt;=1),CM81,
IF(AND(テーブル!$B$3="交付申請兼実績報告（２次）",CM$26=0),0,
IF(AND(テーブル!$B$3="交付申請兼実績報告（２次）",CM$26&gt;=1),CM81,
IF(AND(テーブル!$B$3="実績報告（２次）",CM$26=0),0,
IF(AND(テーブル!$B$3="実績報告（２次）",CM$26&gt;=1),CM81)))))))))),0)</f>
        <v>0</v>
      </c>
      <c r="CN41" s="2024">
        <f>IFERROR(
IF(テーブル!$B$3="交付申請",CN81,
IF(AND(テーブル!$B$3="変更申請",CN$26=0),0,
IF(AND(テーブル!$B$3="変更申請",CN$26&gt;=1),CN81,
IF(テーブル!$B$3="実績報告（１次）",CN81,
IF(AND(テーブル!$B$3="交付申請（２次）",CN$26=0),0,
IF(AND(テーブル!$B$3="交付申請（２次）",CN$26&gt;=1),CN81,
IF(AND(テーブル!$B$3="交付申請兼実績報告（２次）",CN$26=0),0,
IF(AND(テーブル!$B$3="交付申請兼実績報告（２次）",CN$26&gt;=1),CN81,
IF(AND(テーブル!$B$3="実績報告（２次）",CN$26=0),0,
IF(AND(テーブル!$B$3="実績報告（２次）",CN$26&gt;=1),CN81)))))))))),0)</f>
        <v>0</v>
      </c>
      <c r="CO41" s="2024">
        <f>IFERROR(
IF(テーブル!$B$3="交付申請",CO81,
IF(AND(テーブル!$B$3="変更申請",CO$26=0),0,
IF(AND(テーブル!$B$3="変更申請",CO$26&gt;=1),CO81,
IF(テーブル!$B$3="実績報告（１次）",CO81,
IF(AND(テーブル!$B$3="交付申請（２次）",CO$26=0),0,
IF(AND(テーブル!$B$3="交付申請（２次）",CO$26&gt;=1),CO81,
IF(AND(テーブル!$B$3="交付申請兼実績報告（２次）",CO$26=0),0,
IF(AND(テーブル!$B$3="交付申請兼実績報告（２次）",CO$26&gt;=1),CO81,
IF(AND(テーブル!$B$3="実績報告（２次）",CO$26=0),0,
IF(AND(テーブル!$B$3="実績報告（２次）",CO$26&gt;=1),CO81)))))))))),0)</f>
        <v>0</v>
      </c>
      <c r="CP41" s="2024">
        <f>IFERROR(
IF(テーブル!$B$3="交付申請",CP81,
IF(AND(テーブル!$B$3="変更申請",CP$26=0),0,
IF(AND(テーブル!$B$3="変更申請",CP$26&gt;=1),CP81,
IF(テーブル!$B$3="実績報告（１次）",CP81,
IF(AND(テーブル!$B$3="交付申請（２次）",CP$26=0),0,
IF(AND(テーブル!$B$3="交付申請（２次）",CP$26&gt;=1),CP81,
IF(AND(テーブル!$B$3="交付申請兼実績報告（２次）",CP$26=0),0,
IF(AND(テーブル!$B$3="交付申請兼実績報告（２次）",CP$26&gt;=1),CP81,
IF(AND(テーブル!$B$3="実績報告（２次）",CP$26=0),0,
IF(AND(テーブル!$B$3="実績報告（２次）",CP$26&gt;=1),CP81)))))))))),0)</f>
        <v>0</v>
      </c>
      <c r="CQ41" s="2024">
        <f>IFERROR(
IF(テーブル!$B$3="交付申請",CQ81,
IF(AND(テーブル!$B$3="変更申請",CQ$26=0),0,
IF(AND(テーブル!$B$3="変更申請",CQ$26&gt;=1),CQ81,
IF(テーブル!$B$3="実績報告（１次）",CQ81,
IF(AND(テーブル!$B$3="交付申請（２次）",CQ$26=0),0,
IF(AND(テーブル!$B$3="交付申請（２次）",CQ$26&gt;=1),CQ81,
IF(AND(テーブル!$B$3="交付申請兼実績報告（２次）",CQ$26=0),0,
IF(AND(テーブル!$B$3="交付申請兼実績報告（２次）",CQ$26&gt;=1),CQ81,
IF(AND(テーブル!$B$3="実績報告（２次）",CQ$26=0),0,
IF(AND(テーブル!$B$3="実績報告（２次）",CQ$26&gt;=1),CQ81)))))))))),0)</f>
        <v>0</v>
      </c>
      <c r="CR41" s="2024">
        <f>IFERROR(
IF(テーブル!$B$3="交付申請",CR81,
IF(AND(テーブル!$B$3="変更申請",CR$26=0),0,
IF(AND(テーブル!$B$3="変更申請",CR$26&gt;=1),CR81,
IF(テーブル!$B$3="実績報告（１次）",CR81,
IF(AND(テーブル!$B$3="交付申請（２次）",CR$26=0),0,
IF(AND(テーブル!$B$3="交付申請（２次）",CR$26&gt;=1),CR81,
IF(AND(テーブル!$B$3="交付申請兼実績報告（２次）",CR$26=0),0,
IF(AND(テーブル!$B$3="交付申請兼実績報告（２次）",CR$26&gt;=1),CR81,
IF(AND(テーブル!$B$3="実績報告（２次）",CR$26=0),0,
IF(AND(テーブル!$B$3="実績報告（２次）",CR$26&gt;=1),CR81)))))))))),0)</f>
        <v>0</v>
      </c>
      <c r="CS41" s="2024">
        <f>IFERROR(
IF(テーブル!$B$3="交付申請",CS81,
IF(AND(テーブル!$B$3="変更申請",CS$26=0),0,
IF(AND(テーブル!$B$3="変更申請",CS$26&gt;=1),CS81,
IF(テーブル!$B$3="実績報告（１次）",CS81,
IF(AND(テーブル!$B$3="交付申請（２次）",CS$26=0),0,
IF(AND(テーブル!$B$3="交付申請（２次）",CS$26&gt;=1),CS81,
IF(AND(テーブル!$B$3="交付申請兼実績報告（２次）",CS$26=0),0,
IF(AND(テーブル!$B$3="交付申請兼実績報告（２次）",CS$26&gt;=1),CS81,
IF(AND(テーブル!$B$3="実績報告（２次）",CS$26=0),0,
IF(AND(テーブル!$B$3="実績報告（２次）",CS$26&gt;=1),CS81)))))))))),0)</f>
        <v>0</v>
      </c>
      <c r="CT41" s="2024">
        <f>IFERROR(
IF(テーブル!$B$3="交付申請",CT81,
IF(AND(テーブル!$B$3="変更申請",CT$26=0),0,
IF(AND(テーブル!$B$3="変更申請",CT$26&gt;=1),CT81,
IF(テーブル!$B$3="実績報告（１次）",CT81,
IF(AND(テーブル!$B$3="交付申請（２次）",CT$26=0),0,
IF(AND(テーブル!$B$3="交付申請（２次）",CT$26&gt;=1),CT81,
IF(AND(テーブル!$B$3="交付申請兼実績報告（２次）",CT$26=0),0,
IF(AND(テーブル!$B$3="交付申請兼実績報告（２次）",CT$26&gt;=1),CT81,
IF(AND(テーブル!$B$3="実績報告（２次）",CT$26=0),0,
IF(AND(テーブル!$B$3="実績報告（２次）",CT$26&gt;=1),CT81)))))))))),0)</f>
        <v>0</v>
      </c>
      <c r="CU41" s="2024">
        <f>IFERROR(
IF(テーブル!$B$3="交付申請",CU81,
IF(AND(テーブル!$B$3="変更申請",CU$26=0),0,
IF(AND(テーブル!$B$3="変更申請",CU$26&gt;=1),CU81,
IF(テーブル!$B$3="実績報告（１次）",CU81,
IF(AND(テーブル!$B$3="交付申請（２次）",CU$26=0),0,
IF(AND(テーブル!$B$3="交付申請（２次）",CU$26&gt;=1),CU81,
IF(AND(テーブル!$B$3="交付申請兼実績報告（２次）",CU$26=0),0,
IF(AND(テーブル!$B$3="交付申請兼実績報告（２次）",CU$26&gt;=1),CU81,
IF(AND(テーブル!$B$3="実績報告（２次）",CU$26=0),0,
IF(AND(テーブル!$B$3="実績報告（２次）",CU$26&gt;=1),CU81)))))))))),0)</f>
        <v>0</v>
      </c>
      <c r="CV41" s="2024">
        <f>IFERROR(
IF(テーブル!$B$3="交付申請",CV81,
IF(AND(テーブル!$B$3="変更申請",CV$26=0),0,
IF(AND(テーブル!$B$3="変更申請",CV$26&gt;=1),CV81,
IF(テーブル!$B$3="実績報告（１次）",CV81,
IF(AND(テーブル!$B$3="交付申請（２次）",CV$26=0),0,
IF(AND(テーブル!$B$3="交付申請（２次）",CV$26&gt;=1),CV81,
IF(AND(テーブル!$B$3="交付申請兼実績報告（２次）",CV$26=0),0,
IF(AND(テーブル!$B$3="交付申請兼実績報告（２次）",CV$26&gt;=1),CV81,
IF(AND(テーブル!$B$3="実績報告（２次）",CV$26=0),0,
IF(AND(テーブル!$B$3="実績報告（２次）",CV$26&gt;=1),CV81)))))))))),0)</f>
        <v>0</v>
      </c>
      <c r="CW41" s="2024">
        <f>IFERROR(
IF(テーブル!$B$3="交付申請",CW81,
IF(AND(テーブル!$B$3="変更申請",CW$26=0),0,
IF(AND(テーブル!$B$3="変更申請",CW$26&gt;=1),CW81,
IF(テーブル!$B$3="実績報告（１次）",CW81,
IF(AND(テーブル!$B$3="交付申請（２次）",CW$26=0),0,
IF(AND(テーブル!$B$3="交付申請（２次）",CW$26&gt;=1),CW81,
IF(AND(テーブル!$B$3="交付申請兼実績報告（２次）",CW$26=0),0,
IF(AND(テーブル!$B$3="交付申請兼実績報告（２次）",CW$26&gt;=1),CW81,
IF(AND(テーブル!$B$3="実績報告（２次）",CW$26=0),0,
IF(AND(テーブル!$B$3="実績報告（２次）",CW$26&gt;=1),CW81)))))))))),0)</f>
        <v>0</v>
      </c>
      <c r="CX41" s="2024">
        <f>IFERROR(
IF(テーブル!$B$3="交付申請",CX81,
IF(AND(テーブル!$B$3="変更申請",CX$26=0),0,
IF(AND(テーブル!$B$3="変更申請",CX$26&gt;=1),CX81,
IF(テーブル!$B$3="実績報告（１次）",CX81,
IF(AND(テーブル!$B$3="交付申請（２次）",CX$26=0),0,
IF(AND(テーブル!$B$3="交付申請（２次）",CX$26&gt;=1),CX81,
IF(AND(テーブル!$B$3="交付申請兼実績報告（２次）",CX$26=0),0,
IF(AND(テーブル!$B$3="交付申請兼実績報告（２次）",CX$26&gt;=1),CX81,
IF(AND(テーブル!$B$3="実績報告（２次）",CX$26=0),0,
IF(AND(テーブル!$B$3="実績報告（２次）",CX$26&gt;=1),CX81)))))))))),0)</f>
        <v>0</v>
      </c>
      <c r="CY41" s="2024">
        <f>IFERROR(
IF(テーブル!$B$3="交付申請",CY81,
IF(AND(テーブル!$B$3="変更申請",CY$26=0),0,
IF(AND(テーブル!$B$3="変更申請",CY$26&gt;=1),CY81,
IF(テーブル!$B$3="実績報告（１次）",CY81,
IF(AND(テーブル!$B$3="交付申請（２次）",CY$26=0),0,
IF(AND(テーブル!$B$3="交付申請（２次）",CY$26&gt;=1),CY81,
IF(AND(テーブル!$B$3="交付申請兼実績報告（２次）",CY$26=0),0,
IF(AND(テーブル!$B$3="交付申請兼実績報告（２次）",CY$26&gt;=1),CY81,
IF(AND(テーブル!$B$3="実績報告（２次）",CY$26=0),0,
IF(AND(テーブル!$B$3="実績報告（２次）",CY$26&gt;=1),CY81)))))))))),0)</f>
        <v>0</v>
      </c>
      <c r="CZ41" s="2024">
        <f>IFERROR(
IF(テーブル!$B$3="交付申請",CZ81,
IF(AND(テーブル!$B$3="変更申請",CZ$26=0),0,
IF(AND(テーブル!$B$3="変更申請",CZ$26&gt;=1),CZ81,
IF(テーブル!$B$3="実績報告（１次）",CZ81,
IF(AND(テーブル!$B$3="交付申請（２次）",CZ$26=0),0,
IF(AND(テーブル!$B$3="交付申請（２次）",CZ$26&gt;=1),CZ81,
IF(AND(テーブル!$B$3="交付申請兼実績報告（２次）",CZ$26=0),0,
IF(AND(テーブル!$B$3="交付申請兼実績報告（２次）",CZ$26&gt;=1),CZ81,
IF(AND(テーブル!$B$3="実績報告（２次）",CZ$26=0),0,
IF(AND(テーブル!$B$3="実績報告（２次）",CZ$26&gt;=1),CZ81)))))))))),0)</f>
        <v>0</v>
      </c>
      <c r="DA41" s="2024">
        <f>IFERROR(
IF(テーブル!$B$3="交付申請",DA81,
IF(AND(テーブル!$B$3="変更申請",DA$26=0),0,
IF(AND(テーブル!$B$3="変更申請",DA$26&gt;=1),DA81,
IF(テーブル!$B$3="実績報告（１次）",DA81,
IF(AND(テーブル!$B$3="交付申請（２次）",DA$26=0),0,
IF(AND(テーブル!$B$3="交付申請（２次）",DA$26&gt;=1),DA81,
IF(AND(テーブル!$B$3="交付申請兼実績報告（２次）",DA$26=0),0,
IF(AND(テーブル!$B$3="交付申請兼実績報告（２次）",DA$26&gt;=1),DA81,
IF(AND(テーブル!$B$3="実績報告（２次）",DA$26=0),0,
IF(AND(テーブル!$B$3="実績報告（２次）",DA$26&gt;=1),DA81)))))))))),0)</f>
        <v>0</v>
      </c>
      <c r="DB41" s="2024">
        <f>IFERROR(
IF(テーブル!$B$3="交付申請",DB81,
IF(AND(テーブル!$B$3="変更申請",DB$26=0),0,
IF(AND(テーブル!$B$3="変更申請",DB$26&gt;=1),DB81,
IF(テーブル!$B$3="実績報告（１次）",DB81,
IF(AND(テーブル!$B$3="交付申請（２次）",DB$26=0),0,
IF(AND(テーブル!$B$3="交付申請（２次）",DB$26&gt;=1),DB81,
IF(AND(テーブル!$B$3="交付申請兼実績報告（２次）",DB$26=0),0,
IF(AND(テーブル!$B$3="交付申請兼実績報告（２次）",DB$26&gt;=1),DB81,
IF(AND(テーブル!$B$3="実績報告（２次）",DB$26=0),0,
IF(AND(テーブル!$B$3="実績報告（２次）",DB$26&gt;=1),DB81)))))))))),0)</f>
        <v>0</v>
      </c>
      <c r="DC41" s="2024">
        <f>IFERROR(
IF(テーブル!$B$3="交付申請",DC81,
IF(AND(テーブル!$B$3="変更申請",DC$26=0),0,
IF(AND(テーブル!$B$3="変更申請",DC$26&gt;=1),DC81,
IF(テーブル!$B$3="実績報告（１次）",DC81,
IF(AND(テーブル!$B$3="交付申請（２次）",DC$26=0),0,
IF(AND(テーブル!$B$3="交付申請（２次）",DC$26&gt;=1),DC81,
IF(AND(テーブル!$B$3="交付申請兼実績報告（２次）",DC$26=0),0,
IF(AND(テーブル!$B$3="交付申請兼実績報告（２次）",DC$26&gt;=1),DC81,
IF(AND(テーブル!$B$3="実績報告（２次）",DC$26=0),0,
IF(AND(テーブル!$B$3="実績報告（２次）",DC$26&gt;=1),DC81)))))))))),0)</f>
        <v>0</v>
      </c>
      <c r="DD41" s="2024">
        <f>IFERROR(
IF(テーブル!$B$3="交付申請",DD81,
IF(AND(テーブル!$B$3="変更申請",DD$26=0),0,
IF(AND(テーブル!$B$3="変更申請",DD$26&gt;=1),DD81,
IF(テーブル!$B$3="実績報告（１次）",DD81,
IF(AND(テーブル!$B$3="交付申請（２次）",DD$26=0),0,
IF(AND(テーブル!$B$3="交付申請（２次）",DD$26&gt;=1),DD81,
IF(AND(テーブル!$B$3="交付申請兼実績報告（２次）",DD$26=0),0,
IF(AND(テーブル!$B$3="交付申請兼実績報告（２次）",DD$26&gt;=1),DD81,
IF(AND(テーブル!$B$3="実績報告（２次）",DD$26=0),0,
IF(AND(テーブル!$B$3="実績報告（２次）",DD$26&gt;=1),DD81)))))))))),0)</f>
        <v>0</v>
      </c>
      <c r="DE41" s="2024">
        <f>IFERROR(
IF(テーブル!$B$3="交付申請",DE81,
IF(AND(テーブル!$B$3="変更申請",DE$26=0),0,
IF(AND(テーブル!$B$3="変更申請",DE$26&gt;=1),DE81,
IF(テーブル!$B$3="実績報告（１次）",DE81,
IF(AND(テーブル!$B$3="交付申請（２次）",DE$26=0),0,
IF(AND(テーブル!$B$3="交付申請（２次）",DE$26&gt;=1),DE81,
IF(AND(テーブル!$B$3="交付申請兼実績報告（２次）",DE$26=0),0,
IF(AND(テーブル!$B$3="交付申請兼実績報告（２次）",DE$26&gt;=1),DE81,
IF(AND(テーブル!$B$3="実績報告（２次）",DE$26=0),0,
IF(AND(テーブル!$B$3="実績報告（２次）",DE$26&gt;=1),DE81)))))))))),0)</f>
        <v>0</v>
      </c>
      <c r="DF41" s="2024">
        <f>IFERROR(
IF(テーブル!$B$3="交付申請",DF81,
IF(AND(テーブル!$B$3="変更申請",DF$26=0),0,
IF(AND(テーブル!$B$3="変更申請",DF$26&gt;=1),DF81,
IF(テーブル!$B$3="実績報告（１次）",DF81,
IF(AND(テーブル!$B$3="交付申請（２次）",DF$26=0),0,
IF(AND(テーブル!$B$3="交付申請（２次）",DF$26&gt;=1),DF81,
IF(AND(テーブル!$B$3="交付申請兼実績報告（２次）",DF$26=0),0,
IF(AND(テーブル!$B$3="交付申請兼実績報告（２次）",DF$26&gt;=1),DF81,
IF(AND(テーブル!$B$3="実績報告（２次）",DF$26=0),0,
IF(AND(テーブル!$B$3="実績報告（２次）",DF$26&gt;=1),DF81)))))))))),0)</f>
        <v>0</v>
      </c>
      <c r="DG41" s="2024">
        <f>IFERROR(
IF(テーブル!$B$3="交付申請",DG81,
IF(AND(テーブル!$B$3="変更申請",DG$26=0),0,
IF(AND(テーブル!$B$3="変更申請",DG$26&gt;=1),DG81,
IF(テーブル!$B$3="実績報告（１次）",DG81,
IF(AND(テーブル!$B$3="交付申請（２次）",DG$26=0),0,
IF(AND(テーブル!$B$3="交付申請（２次）",DG$26&gt;=1),DG81,
IF(AND(テーブル!$B$3="交付申請兼実績報告（２次）",DG$26=0),0,
IF(AND(テーブル!$B$3="交付申請兼実績報告（２次）",DG$26&gt;=1),DG81,
IF(AND(テーブル!$B$3="実績報告（２次）",DG$26=0),0,
IF(AND(テーブル!$B$3="実績報告（２次）",DG$26&gt;=1),DG81)))))))))),0)</f>
        <v>0</v>
      </c>
      <c r="DH41" s="2024">
        <f>IFERROR(
IF(テーブル!$B$3="交付申請",DH81,
IF(AND(テーブル!$B$3="変更申請",DH$26=0),0,
IF(AND(テーブル!$B$3="変更申請",DH$26&gt;=1),DH81,
IF(テーブル!$B$3="実績報告（１次）",DH81,
IF(AND(テーブル!$B$3="交付申請（２次）",DH$26=0),0,
IF(AND(テーブル!$B$3="交付申請（２次）",DH$26&gt;=1),DH81,
IF(AND(テーブル!$B$3="交付申請兼実績報告（２次）",DH$26=0),0,
IF(AND(テーブル!$B$3="交付申請兼実績報告（２次）",DH$26&gt;=1),DH81,
IF(AND(テーブル!$B$3="実績報告（２次）",DH$26=0),0,
IF(AND(テーブル!$B$3="実績報告（２次）",DH$26&gt;=1),DH81)))))))))),0)</f>
        <v>0</v>
      </c>
      <c r="DI41" s="2024">
        <f>IFERROR(
IF(テーブル!$B$3="交付申請",DI81,
IF(AND(テーブル!$B$3="変更申請",DI$26=0),0,
IF(AND(テーブル!$B$3="変更申請",DI$26&gt;=1),DI81,
IF(テーブル!$B$3="実績報告（１次）",DI81,
IF(AND(テーブル!$B$3="交付申請（２次）",DI$26=0),0,
IF(AND(テーブル!$B$3="交付申請（２次）",DI$26&gt;=1),DI81,
IF(AND(テーブル!$B$3="交付申請兼実績報告（２次）",DI$26=0),0,
IF(AND(テーブル!$B$3="交付申請兼実績報告（２次）",DI$26&gt;=1),DI81,
IF(AND(テーブル!$B$3="実績報告（２次）",DI$26=0),0,
IF(AND(テーブル!$B$3="実績報告（２次）",DI$26&gt;=1),DI81)))))))))),0)</f>
        <v>0</v>
      </c>
      <c r="DJ41" s="2024">
        <f>IFERROR(
IF(テーブル!$B$3="交付申請",DJ81,
IF(AND(テーブル!$B$3="変更申請",DJ$26=0),0,
IF(AND(テーブル!$B$3="変更申請",DJ$26&gt;=1),DJ81,
IF(テーブル!$B$3="実績報告（１次）",DJ81,
IF(AND(テーブル!$B$3="交付申請（２次）",DJ$26=0),0,
IF(AND(テーブル!$B$3="交付申請（２次）",DJ$26&gt;=1),DJ81,
IF(AND(テーブル!$B$3="交付申請兼実績報告（２次）",DJ$26=0),0,
IF(AND(テーブル!$B$3="交付申請兼実績報告（２次）",DJ$26&gt;=1),DJ81,
IF(AND(テーブル!$B$3="実績報告（２次）",DJ$26=0),0,
IF(AND(テーブル!$B$3="実績報告（２次）",DJ$26&gt;=1),DJ81)))))))))),0)</f>
        <v>0</v>
      </c>
      <c r="DK41" s="2024">
        <f>IFERROR(
IF(テーブル!$B$3="交付申請",DK81,
IF(AND(テーブル!$B$3="変更申請",DK$26=0),0,
IF(AND(テーブル!$B$3="変更申請",DK$26&gt;=1),DK81,
IF(テーブル!$B$3="実績報告（１次）",DK81,
IF(AND(テーブル!$B$3="交付申請（２次）",DK$26=0),0,
IF(AND(テーブル!$B$3="交付申請（２次）",DK$26&gt;=1),DK81,
IF(AND(テーブル!$B$3="交付申請兼実績報告（２次）",DK$26=0),0,
IF(AND(テーブル!$B$3="交付申請兼実績報告（２次）",DK$26&gt;=1),DK81,
IF(AND(テーブル!$B$3="実績報告（２次）",DK$26=0),0,
IF(AND(テーブル!$B$3="実績報告（２次）",DK$26&gt;=1),DK81)))))))))),0)</f>
        <v>0</v>
      </c>
      <c r="DL41" s="2024">
        <f>IFERROR(
IF(テーブル!$B$3="交付申請",DL81,
IF(AND(テーブル!$B$3="変更申請",DL$26=0),0,
IF(AND(テーブル!$B$3="変更申請",DL$26&gt;=1),DL81,
IF(テーブル!$B$3="実績報告（１次）",DL81,
IF(AND(テーブル!$B$3="交付申請（２次）",DL$26=0),0,
IF(AND(テーブル!$B$3="交付申請（２次）",DL$26&gt;=1),DL81,
IF(AND(テーブル!$B$3="交付申請兼実績報告（２次）",DL$26=0),0,
IF(AND(テーブル!$B$3="交付申請兼実績報告（２次）",DL$26&gt;=1),DL81,
IF(AND(テーブル!$B$3="実績報告（２次）",DL$26=0),0,
IF(AND(テーブル!$B$3="実績報告（２次）",DL$26&gt;=1),DL81)))))))))),0)</f>
        <v>0</v>
      </c>
      <c r="DM41" s="2024">
        <f>IFERROR(
IF(テーブル!$B$3="交付申請",DM81,
IF(AND(テーブル!$B$3="変更申請",DM$26=0),0,
IF(AND(テーブル!$B$3="変更申請",DM$26&gt;=1),DM81,
IF(テーブル!$B$3="実績報告（１次）",DM81,
IF(AND(テーブル!$B$3="交付申請（２次）",DM$26=0),0,
IF(AND(テーブル!$B$3="交付申請（２次）",DM$26&gt;=1),DM81,
IF(AND(テーブル!$B$3="交付申請兼実績報告（２次）",DM$26=0),0,
IF(AND(テーブル!$B$3="交付申請兼実績報告（２次）",DM$26&gt;=1),DM81,
IF(AND(テーブル!$B$3="実績報告（２次）",DM$26=0),0,
IF(AND(テーブル!$B$3="実績報告（２次）",DM$26&gt;=1),DM81)))))))))),0)</f>
        <v>0</v>
      </c>
      <c r="DN41" s="2024">
        <f>IFERROR(
IF(テーブル!$B$3="交付申請",DN81,
IF(AND(テーブル!$B$3="変更申請",DN$26=0),0,
IF(AND(テーブル!$B$3="変更申請",DN$26&gt;=1),DN81,
IF(テーブル!$B$3="実績報告（１次）",DN81,
IF(AND(テーブル!$B$3="交付申請（２次）",DN$26=0),0,
IF(AND(テーブル!$B$3="交付申請（２次）",DN$26&gt;=1),DN81,
IF(AND(テーブル!$B$3="交付申請兼実績報告（２次）",DN$26=0),0,
IF(AND(テーブル!$B$3="交付申請兼実績報告（２次）",DN$26&gt;=1),DN81,
IF(AND(テーブル!$B$3="実績報告（２次）",DN$26=0),0,
IF(AND(テーブル!$B$3="実績報告（２次）",DN$26&gt;=1),DN81)))))))))),0)</f>
        <v>0</v>
      </c>
      <c r="DO41" s="2024">
        <f>IFERROR(
IF(テーブル!$B$3="交付申請",DO81,
IF(AND(テーブル!$B$3="変更申請",DO$26=0),0,
IF(AND(テーブル!$B$3="変更申請",DO$26&gt;=1),DO81,
IF(テーブル!$B$3="実績報告（１次）",DO81,
IF(AND(テーブル!$B$3="交付申請（２次）",DO$26=0),0,
IF(AND(テーブル!$B$3="交付申請（２次）",DO$26&gt;=1),DO81,
IF(AND(テーブル!$B$3="交付申請兼実績報告（２次）",DO$26=0),0,
IF(AND(テーブル!$B$3="交付申請兼実績報告（２次）",DO$26&gt;=1),DO81,
IF(AND(テーブル!$B$3="実績報告（２次）",DO$26=0),0,
IF(AND(テーブル!$B$3="実績報告（２次）",DO$26&gt;=1),DO81)))))))))),0)</f>
        <v>0</v>
      </c>
      <c r="DP41" s="2024">
        <f>IFERROR(
IF(テーブル!$B$3="交付申請",DP81,
IF(AND(テーブル!$B$3="変更申請",DP$26=0),0,
IF(AND(テーブル!$B$3="変更申請",DP$26&gt;=1),DP81,
IF(テーブル!$B$3="実績報告（１次）",DP81,
IF(AND(テーブル!$B$3="交付申請（２次）",DP$26=0),0,
IF(AND(テーブル!$B$3="交付申請（２次）",DP$26&gt;=1),DP81,
IF(AND(テーブル!$B$3="交付申請兼実績報告（２次）",DP$26=0),0,
IF(AND(テーブル!$B$3="交付申請兼実績報告（２次）",DP$26&gt;=1),DP81,
IF(AND(テーブル!$B$3="実績報告（２次）",DP$26=0),0,
IF(AND(テーブル!$B$3="実績報告（２次）",DP$26&gt;=1),DP81)))))))))),0)</f>
        <v>0</v>
      </c>
      <c r="DQ41" s="2024">
        <f>IFERROR(
IF(テーブル!$B$3="交付申請",DQ81,
IF(AND(テーブル!$B$3="変更申請",DQ$26=0),0,
IF(AND(テーブル!$B$3="変更申請",DQ$26&gt;=1),DQ81,
IF(テーブル!$B$3="実績報告（１次）",DQ81,
IF(AND(テーブル!$B$3="交付申請（２次）",DQ$26=0),0,
IF(AND(テーブル!$B$3="交付申請（２次）",DQ$26&gt;=1),DQ81,
IF(AND(テーブル!$B$3="交付申請兼実績報告（２次）",DQ$26=0),0,
IF(AND(テーブル!$B$3="交付申請兼実績報告（２次）",DQ$26&gt;=1),DQ81,
IF(AND(テーブル!$B$3="実績報告（２次）",DQ$26=0),0,
IF(AND(テーブル!$B$3="実績報告（２次）",DQ$26&gt;=1),DQ81)))))))))),0)</f>
        <v>0</v>
      </c>
      <c r="DR41" s="2024">
        <f>IFERROR(
IF(テーブル!$B$3="交付申請",DR81,
IF(AND(テーブル!$B$3="変更申請",DR$26=0),0,
IF(AND(テーブル!$B$3="変更申請",DR$26&gt;=1),DR81,
IF(テーブル!$B$3="実績報告（１次）",DR81,
IF(AND(テーブル!$B$3="交付申請（２次）",DR$26=0),0,
IF(AND(テーブル!$B$3="交付申請（２次）",DR$26&gt;=1),DR81,
IF(AND(テーブル!$B$3="交付申請兼実績報告（２次）",DR$26=0),0,
IF(AND(テーブル!$B$3="交付申請兼実績報告（２次）",DR$26&gt;=1),DR81,
IF(AND(テーブル!$B$3="実績報告（２次）",DR$26=0),0,
IF(AND(テーブル!$B$3="実績報告（２次）",DR$26&gt;=1),DR81)))))))))),0)</f>
        <v>0</v>
      </c>
      <c r="DS41" s="2024">
        <f>IFERROR(
IF(テーブル!$B$3="交付申請",DS81,
IF(AND(テーブル!$B$3="変更申請",DS$26=0),0,
IF(AND(テーブル!$B$3="変更申請",DS$26&gt;=1),DS81,
IF(テーブル!$B$3="実績報告（１次）",DS81,
IF(AND(テーブル!$B$3="交付申請（２次）",DS$26=0),0,
IF(AND(テーブル!$B$3="交付申請（２次）",DS$26&gt;=1),DS81,
IF(AND(テーブル!$B$3="交付申請兼実績報告（２次）",DS$26=0),0,
IF(AND(テーブル!$B$3="交付申請兼実績報告（２次）",DS$26&gt;=1),DS81,
IF(AND(テーブル!$B$3="実績報告（２次）",DS$26=0),0,
IF(AND(テーブル!$B$3="実績報告（２次）",DS$26&gt;=1),DS81)))))))))),0)</f>
        <v>0</v>
      </c>
      <c r="DT41" s="2024">
        <f>IFERROR(
IF(テーブル!$B$3="交付申請",DT81,
IF(AND(テーブル!$B$3="変更申請",DT$26=0),0,
IF(AND(テーブル!$B$3="変更申請",DT$26&gt;=1),DT81,
IF(テーブル!$B$3="実績報告（１次）",DT81,
IF(AND(テーブル!$B$3="交付申請（２次）",DT$26=0),0,
IF(AND(テーブル!$B$3="交付申請（２次）",DT$26&gt;=1),DT81,
IF(AND(テーブル!$B$3="交付申請兼実績報告（２次）",DT$26=0),0,
IF(AND(テーブル!$B$3="交付申請兼実績報告（２次）",DT$26&gt;=1),DT81,
IF(AND(テーブル!$B$3="実績報告（２次）",DT$26=0),0,
IF(AND(テーブル!$B$3="実績報告（２次）",DT$26&gt;=1),DT81)))))))))),0)</f>
        <v>0</v>
      </c>
      <c r="DU41" s="2024">
        <f>IFERROR(
IF(テーブル!$B$3="交付申請",DU81,
IF(AND(テーブル!$B$3="変更申請",DU$26=0),0,
IF(AND(テーブル!$B$3="変更申請",DU$26&gt;=1),DU81,
IF(テーブル!$B$3="実績報告（１次）",DU81,
IF(AND(テーブル!$B$3="交付申請（２次）",DU$26=0),0,
IF(AND(テーブル!$B$3="交付申請（２次）",DU$26&gt;=1),DU81,
IF(AND(テーブル!$B$3="交付申請兼実績報告（２次）",DU$26=0),0,
IF(AND(テーブル!$B$3="交付申請兼実績報告（２次）",DU$26&gt;=1),DU81,
IF(AND(テーブル!$B$3="実績報告（２次）",DU$26=0),0,
IF(AND(テーブル!$B$3="実績報告（２次）",DU$26&gt;=1),DU81)))))))))),0)</f>
        <v>0</v>
      </c>
      <c r="DV41" s="2024">
        <f>IFERROR(
IF(テーブル!$B$3="交付申請",DV81,
IF(AND(テーブル!$B$3="変更申請",DV$26=0),0,
IF(AND(テーブル!$B$3="変更申請",DV$26&gt;=1),DV81,
IF(テーブル!$B$3="実績報告（１次）",DV81,
IF(AND(テーブル!$B$3="交付申請（２次）",DV$26=0),0,
IF(AND(テーブル!$B$3="交付申請（２次）",DV$26&gt;=1),DV81,
IF(AND(テーブル!$B$3="交付申請兼実績報告（２次）",DV$26=0),0,
IF(AND(テーブル!$B$3="交付申請兼実績報告（２次）",DV$26&gt;=1),DV81,
IF(AND(テーブル!$B$3="実績報告（２次）",DV$26=0),0,
IF(AND(テーブル!$B$3="実績報告（２次）",DV$26&gt;=1),DV81)))))))))),0)</f>
        <v>0</v>
      </c>
      <c r="DW41" s="2024">
        <f>IFERROR(
IF(テーブル!$B$3="交付申請",DW81,
IF(AND(テーブル!$B$3="変更申請",DW$26=0),0,
IF(AND(テーブル!$B$3="変更申請",DW$26&gt;=1),DW81,
IF(テーブル!$B$3="実績報告（１次）",DW81,
IF(AND(テーブル!$B$3="交付申請（２次）",DW$26=0),0,
IF(AND(テーブル!$B$3="交付申請（２次）",DW$26&gt;=1),DW81,
IF(AND(テーブル!$B$3="交付申請兼実績報告（２次）",DW$26=0),0,
IF(AND(テーブル!$B$3="交付申請兼実績報告（２次）",DW$26&gt;=1),DW81,
IF(AND(テーブル!$B$3="実績報告（２次）",DW$26=0),0,
IF(AND(テーブル!$B$3="実績報告（２次）",DW$26&gt;=1),DW81)))))))))),0)</f>
        <v>0</v>
      </c>
      <c r="DX41" s="2024">
        <f>IFERROR(
IF(テーブル!$B$3="交付申請",DX81,
IF(AND(テーブル!$B$3="変更申請",DX$26=0),0,
IF(AND(テーブル!$B$3="変更申請",DX$26&gt;=1),DX81,
IF(テーブル!$B$3="実績報告（１次）",DX81,
IF(AND(テーブル!$B$3="交付申請（２次）",DX$26=0),0,
IF(AND(テーブル!$B$3="交付申請（２次）",DX$26&gt;=1),DX81,
IF(AND(テーブル!$B$3="交付申請兼実績報告（２次）",DX$26=0),0,
IF(AND(テーブル!$B$3="交付申請兼実績報告（２次）",DX$26&gt;=1),DX81,
IF(AND(テーブル!$B$3="実績報告（２次）",DX$26=0),0,
IF(AND(テーブル!$B$3="実績報告（２次）",DX$26&gt;=1),DX81)))))))))),0)</f>
        <v>0</v>
      </c>
      <c r="DY41" s="2024">
        <f>IFERROR(
IF(テーブル!$B$3="交付申請",DY81,
IF(AND(テーブル!$B$3="変更申請",DY$26=0),0,
IF(AND(テーブル!$B$3="変更申請",DY$26&gt;=1),DY81,
IF(テーブル!$B$3="実績報告（１次）",DY81,
IF(AND(テーブル!$B$3="交付申請（２次）",DY$26=0),0,
IF(AND(テーブル!$B$3="交付申請（２次）",DY$26&gt;=1),DY81,
IF(AND(テーブル!$B$3="交付申請兼実績報告（２次）",DY$26=0),0,
IF(AND(テーブル!$B$3="交付申請兼実績報告（２次）",DY$26&gt;=1),DY81,
IF(AND(テーブル!$B$3="実績報告（２次）",DY$26=0),0,
IF(AND(テーブル!$B$3="実績報告（２次）",DY$26&gt;=1),DY81)))))))))),0)</f>
        <v>0</v>
      </c>
      <c r="DZ41" s="2024">
        <f>IFERROR(
IF(テーブル!$B$3="交付申請",DZ81,
IF(AND(テーブル!$B$3="変更申請",DZ$26=0),0,
IF(AND(テーブル!$B$3="変更申請",DZ$26&gt;=1),DZ81,
IF(テーブル!$B$3="実績報告（１次）",DZ81,
IF(AND(テーブル!$B$3="交付申請（２次）",DZ$26=0),0,
IF(AND(テーブル!$B$3="交付申請（２次）",DZ$26&gt;=1),DZ81,
IF(AND(テーブル!$B$3="交付申請兼実績報告（２次）",DZ$26=0),0,
IF(AND(テーブル!$B$3="交付申請兼実績報告（２次）",DZ$26&gt;=1),DZ81,
IF(AND(テーブル!$B$3="実績報告（２次）",DZ$26=0),0,
IF(AND(テーブル!$B$3="実績報告（２次）",DZ$26&gt;=1),DZ81)))))))))),0)</f>
        <v>0</v>
      </c>
      <c r="EA41" s="2024">
        <f>IFERROR(
IF(テーブル!$B$3="交付申請",EA81,
IF(AND(テーブル!$B$3="変更申請",EA$26=0),0,
IF(AND(テーブル!$B$3="変更申請",EA$26&gt;=1),EA81,
IF(テーブル!$B$3="実績報告（１次）",EA81,
IF(AND(テーブル!$B$3="交付申請（２次）",EA$26=0),0,
IF(AND(テーブル!$B$3="交付申請（２次）",EA$26&gt;=1),EA81,
IF(AND(テーブル!$B$3="交付申請兼実績報告（２次）",EA$26=0),0,
IF(AND(テーブル!$B$3="交付申請兼実績報告（２次）",EA$26&gt;=1),EA81,
IF(AND(テーブル!$B$3="実績報告（２次）",EA$26=0),0,
IF(AND(テーブル!$B$3="実績報告（２次）",EA$26&gt;=1),EA81)))))))))),0)</f>
        <v>0</v>
      </c>
      <c r="EB41" s="2024">
        <f>IFERROR(
IF(テーブル!$B$3="交付申請",EB81,
IF(AND(テーブル!$B$3="変更申請",EB$26=0),0,
IF(AND(テーブル!$B$3="変更申請",EB$26&gt;=1),EB81,
IF(テーブル!$B$3="実績報告（１次）",EB81,
IF(AND(テーブル!$B$3="交付申請（２次）",EB$26=0),0,
IF(AND(テーブル!$B$3="交付申請（２次）",EB$26&gt;=1),EB81,
IF(AND(テーブル!$B$3="交付申請兼実績報告（２次）",EB$26=0),0,
IF(AND(テーブル!$B$3="交付申請兼実績報告（２次）",EB$26&gt;=1),EB81,
IF(AND(テーブル!$B$3="実績報告（２次）",EB$26=0),0,
IF(AND(テーブル!$B$3="実績報告（２次）",EB$26&gt;=1),EB81)))))))))),0)</f>
        <v>0</v>
      </c>
      <c r="EC41" s="2024">
        <f>IFERROR(
IF(テーブル!$B$3="交付申請",EC81,
IF(AND(テーブル!$B$3="変更申請",EC$26=0),0,
IF(AND(テーブル!$B$3="変更申請",EC$26&gt;=1),EC81,
IF(テーブル!$B$3="実績報告（１次）",EC81,
IF(AND(テーブル!$B$3="交付申請（２次）",EC$26=0),0,
IF(AND(テーブル!$B$3="交付申請（２次）",EC$26&gt;=1),EC81,
IF(AND(テーブル!$B$3="交付申請兼実績報告（２次）",EC$26=0),0,
IF(AND(テーブル!$B$3="交付申請兼実績報告（２次）",EC$26&gt;=1),EC81,
IF(AND(テーブル!$B$3="実績報告（２次）",EC$26=0),0,
IF(AND(テーブル!$B$3="実績報告（２次）",EC$26&gt;=1),EC81)))))))))),0)</f>
        <v>0</v>
      </c>
      <c r="ED41" s="2024">
        <f>IFERROR(
IF(テーブル!$B$3="交付申請",ED81,
IF(AND(テーブル!$B$3="変更申請",ED$26=0),0,
IF(AND(テーブル!$B$3="変更申請",ED$26&gt;=1),ED81,
IF(テーブル!$B$3="実績報告（１次）",ED81,
IF(AND(テーブル!$B$3="交付申請（２次）",ED$26=0),0,
IF(AND(テーブル!$B$3="交付申請（２次）",ED$26&gt;=1),ED81,
IF(AND(テーブル!$B$3="交付申請兼実績報告（２次）",ED$26=0),0,
IF(AND(テーブル!$B$3="交付申請兼実績報告（２次）",ED$26&gt;=1),ED81,
IF(AND(テーブル!$B$3="実績報告（２次）",ED$26=0),0,
IF(AND(テーブル!$B$3="実績報告（２次）",ED$26&gt;=1),ED81)))))))))),0)</f>
        <v>0</v>
      </c>
      <c r="EE41" s="2024">
        <f>IFERROR(
IF(テーブル!$B$3="交付申請",EE81,
IF(AND(テーブル!$B$3="変更申請",EE$26=0),0,
IF(AND(テーブル!$B$3="変更申請",EE$26&gt;=1),EE81,
IF(テーブル!$B$3="実績報告（１次）",EE81,
IF(AND(テーブル!$B$3="交付申請（２次）",EE$26=0),0,
IF(AND(テーブル!$B$3="交付申請（２次）",EE$26&gt;=1),EE81,
IF(AND(テーブル!$B$3="交付申請兼実績報告（２次）",EE$26=0),0,
IF(AND(テーブル!$B$3="交付申請兼実績報告（２次）",EE$26&gt;=1),EE81,
IF(AND(テーブル!$B$3="実績報告（２次）",EE$26=0),0,
IF(AND(テーブル!$B$3="実績報告（２次）",EE$26&gt;=1),EE81)))))))))),0)</f>
        <v>0</v>
      </c>
      <c r="EF41" s="2024">
        <f>IFERROR(
IF(テーブル!$B$3="交付申請",EF81,
IF(AND(テーブル!$B$3="変更申請",EF$26=0),0,
IF(AND(テーブル!$B$3="変更申請",EF$26&gt;=1),EF81,
IF(テーブル!$B$3="実績報告（１次）",EF81,
IF(AND(テーブル!$B$3="交付申請（２次）",EF$26=0),0,
IF(AND(テーブル!$B$3="交付申請（２次）",EF$26&gt;=1),EF81,
IF(AND(テーブル!$B$3="交付申請兼実績報告（２次）",EF$26=0),0,
IF(AND(テーブル!$B$3="交付申請兼実績報告（２次）",EF$26&gt;=1),EF81,
IF(AND(テーブル!$B$3="実績報告（２次）",EF$26=0),0,
IF(AND(テーブル!$B$3="実績報告（２次）",EF$26&gt;=1),EF81)))))))))),0)</f>
        <v>0</v>
      </c>
      <c r="EG41" s="2024">
        <f>IFERROR(
IF(テーブル!$B$3="交付申請",EG81,
IF(AND(テーブル!$B$3="変更申請",EG$26=0),0,
IF(AND(テーブル!$B$3="変更申請",EG$26&gt;=1),EG81,
IF(テーブル!$B$3="実績報告（１次）",EG81,
IF(AND(テーブル!$B$3="交付申請（２次）",EG$26=0),0,
IF(AND(テーブル!$B$3="交付申請（２次）",EG$26&gt;=1),EG81,
IF(AND(テーブル!$B$3="交付申請兼実績報告（２次）",EG$26=0),0,
IF(AND(テーブル!$B$3="交付申請兼実績報告（２次）",EG$26&gt;=1),EG81,
IF(AND(テーブル!$B$3="実績報告（２次）",EG$26=0),0,
IF(AND(テーブル!$B$3="実績報告（２次）",EG$26&gt;=1),EG81)))))))))),0)</f>
        <v>0</v>
      </c>
      <c r="EH41" s="2024">
        <f>IFERROR(
IF(テーブル!$B$3="交付申請",EH81,
IF(AND(テーブル!$B$3="変更申請",EH$26=0),0,
IF(AND(テーブル!$B$3="変更申請",EH$26&gt;=1),EH81,
IF(テーブル!$B$3="実績報告（１次）",EH81,
IF(AND(テーブル!$B$3="交付申請（２次）",EH$26=0),0,
IF(AND(テーブル!$B$3="交付申請（２次）",EH$26&gt;=1),EH81,
IF(AND(テーブル!$B$3="交付申請兼実績報告（２次）",EH$26=0),0,
IF(AND(テーブル!$B$3="交付申請兼実績報告（２次）",EH$26&gt;=1),EH81,
IF(AND(テーブル!$B$3="実績報告（２次）",EH$26=0),0,
IF(AND(テーブル!$B$3="実績報告（２次）",EH$26&gt;=1),EH81)))))))))),0)</f>
        <v>0</v>
      </c>
      <c r="EI41" s="2024">
        <f>IFERROR(
IF(テーブル!$B$3="交付申請",EI81,
IF(AND(テーブル!$B$3="変更申請",EI$26=0),0,
IF(AND(テーブル!$B$3="変更申請",EI$26&gt;=1),EI81,
IF(テーブル!$B$3="実績報告（１次）",EI81,
IF(AND(テーブル!$B$3="交付申請（２次）",EI$26=0),0,
IF(AND(テーブル!$B$3="交付申請（２次）",EI$26&gt;=1),EI81,
IF(AND(テーブル!$B$3="交付申請兼実績報告（２次）",EI$26=0),0,
IF(AND(テーブル!$B$3="交付申請兼実績報告（２次）",EI$26&gt;=1),EI81,
IF(AND(テーブル!$B$3="実績報告（２次）",EI$26=0),0,
IF(AND(テーブル!$B$3="実績報告（２次）",EI$26&gt;=1),EI81)))))))))),0)</f>
        <v>0</v>
      </c>
      <c r="EJ41" s="2024">
        <f>IFERROR(
IF(テーブル!$B$3="交付申請",EJ81,
IF(AND(テーブル!$B$3="変更申請",EJ$26=0),0,
IF(AND(テーブル!$B$3="変更申請",EJ$26&gt;=1),EJ81,
IF(テーブル!$B$3="実績報告（１次）",EJ81,
IF(AND(テーブル!$B$3="交付申請（２次）",EJ$26=0),0,
IF(AND(テーブル!$B$3="交付申請（２次）",EJ$26&gt;=1),EJ81,
IF(AND(テーブル!$B$3="交付申請兼実績報告（２次）",EJ$26=0),0,
IF(AND(テーブル!$B$3="交付申請兼実績報告（２次）",EJ$26&gt;=1),EJ81,
IF(AND(テーブル!$B$3="実績報告（２次）",EJ$26=0),0,
IF(AND(テーブル!$B$3="実績報告（２次）",EJ$26&gt;=1),EJ81)))))))))),0)</f>
        <v>0</v>
      </c>
      <c r="EK41" s="2024">
        <f>IFERROR(
IF(テーブル!$B$3="交付申請",EK81,
IF(AND(テーブル!$B$3="変更申請",EK$26=0),0,
IF(AND(テーブル!$B$3="変更申請",EK$26&gt;=1),EK81,
IF(テーブル!$B$3="実績報告（１次）",EK81,
IF(AND(テーブル!$B$3="交付申請（２次）",EK$26=0),0,
IF(AND(テーブル!$B$3="交付申請（２次）",EK$26&gt;=1),EK81,
IF(AND(テーブル!$B$3="交付申請兼実績報告（２次）",EK$26=0),0,
IF(AND(テーブル!$B$3="交付申請兼実績報告（２次）",EK$26&gt;=1),EK81,
IF(AND(テーブル!$B$3="実績報告（２次）",EK$26=0),0,
IF(AND(テーブル!$B$3="実績報告（２次）",EK$26&gt;=1),EK81)))))))))),0)</f>
        <v>0</v>
      </c>
      <c r="EL41" s="2024">
        <f>IFERROR(
IF(テーブル!$B$3="交付申請",EL81,
IF(AND(テーブル!$B$3="変更申請",EL$26=0),0,
IF(AND(テーブル!$B$3="変更申請",EL$26&gt;=1),EL81,
IF(テーブル!$B$3="実績報告（１次）",EL81,
IF(AND(テーブル!$B$3="交付申請（２次）",EL$26=0),0,
IF(AND(テーブル!$B$3="交付申請（２次）",EL$26&gt;=1),EL81,
IF(AND(テーブル!$B$3="交付申請兼実績報告（２次）",EL$26=0),0,
IF(AND(テーブル!$B$3="交付申請兼実績報告（２次）",EL$26&gt;=1),EL81,
IF(AND(テーブル!$B$3="実績報告（２次）",EL$26=0),0,
IF(AND(テーブル!$B$3="実績報告（２次）",EL$26&gt;=1),EL81)))))))))),0)</f>
        <v>0</v>
      </c>
      <c r="EM41" s="2024">
        <f>IFERROR(
IF(テーブル!$B$3="交付申請",EM81,
IF(AND(テーブル!$B$3="変更申請",EM$26=0),0,
IF(AND(テーブル!$B$3="変更申請",EM$26&gt;=1),EM81,
IF(テーブル!$B$3="実績報告（１次）",EM81,
IF(AND(テーブル!$B$3="交付申請（２次）",EM$26=0),0,
IF(AND(テーブル!$B$3="交付申請（２次）",EM$26&gt;=1),EM81,
IF(AND(テーブル!$B$3="交付申請兼実績報告（２次）",EM$26=0),0,
IF(AND(テーブル!$B$3="交付申請兼実績報告（２次）",EM$26&gt;=1),EM81,
IF(AND(テーブル!$B$3="実績報告（２次）",EM$26=0),0,
IF(AND(テーブル!$B$3="実績報告（２次）",EM$26&gt;=1),EM81)))))))))),0)</f>
        <v>0</v>
      </c>
      <c r="EN41" s="2024">
        <f>IFERROR(
IF(テーブル!$B$3="交付申請",EN81,
IF(AND(テーブル!$B$3="変更申請",EN$26=0),0,
IF(AND(テーブル!$B$3="変更申請",EN$26&gt;=1),EN81,
IF(テーブル!$B$3="実績報告（１次）",EN81,
IF(AND(テーブル!$B$3="交付申請（２次）",EN$26=0),0,
IF(AND(テーブル!$B$3="交付申請（２次）",EN$26&gt;=1),EN81,
IF(AND(テーブル!$B$3="交付申請兼実績報告（２次）",EN$26=0),0,
IF(AND(テーブル!$B$3="交付申請兼実績報告（２次）",EN$26&gt;=1),EN81,
IF(AND(テーブル!$B$3="実績報告（２次）",EN$26=0),0,
IF(AND(テーブル!$B$3="実績報告（２次）",EN$26&gt;=1),EN81)))))))))),0)</f>
        <v>0</v>
      </c>
      <c r="EO41" s="2024">
        <f>IFERROR(
IF(テーブル!$B$3="交付申請",EO81,
IF(AND(テーブル!$B$3="変更申請",EO$26=0),0,
IF(AND(テーブル!$B$3="変更申請",EO$26&gt;=1),EO81,
IF(テーブル!$B$3="実績報告（１次）",EO81,
IF(AND(テーブル!$B$3="交付申請（２次）",EO$26=0),0,
IF(AND(テーブル!$B$3="交付申請（２次）",EO$26&gt;=1),EO81,
IF(AND(テーブル!$B$3="交付申請兼実績報告（２次）",EO$26=0),0,
IF(AND(テーブル!$B$3="交付申請兼実績報告（２次）",EO$26&gt;=1),EO81,
IF(AND(テーブル!$B$3="実績報告（２次）",EO$26=0),0,
IF(AND(テーブル!$B$3="実績報告（２次）",EO$26&gt;=1),EO81)))))))))),0)</f>
        <v>0</v>
      </c>
      <c r="EP41" s="2024">
        <f>IFERROR(
IF(テーブル!$B$3="交付申請",EP81,
IF(AND(テーブル!$B$3="変更申請",EP$26=0),0,
IF(AND(テーブル!$B$3="変更申請",EP$26&gt;=1),EP81,
IF(テーブル!$B$3="実績報告（１次）",EP81,
IF(AND(テーブル!$B$3="交付申請（２次）",EP$26=0),0,
IF(AND(テーブル!$B$3="交付申請（２次）",EP$26&gt;=1),EP81,
IF(AND(テーブル!$B$3="交付申請兼実績報告（２次）",EP$26=0),0,
IF(AND(テーブル!$B$3="交付申請兼実績報告（２次）",EP$26&gt;=1),EP81,
IF(AND(テーブル!$B$3="実績報告（２次）",EP$26=0),0,
IF(AND(テーブル!$B$3="実績報告（２次）",EP$26&gt;=1),EP81)))))))))),0)</f>
        <v>0</v>
      </c>
      <c r="EQ41" s="2024">
        <f>IFERROR(
IF(テーブル!$B$3="交付申請",EQ81,
IF(AND(テーブル!$B$3="変更申請",EQ$26=0),0,
IF(AND(テーブル!$B$3="変更申請",EQ$26&gt;=1),EQ81,
IF(テーブル!$B$3="実績報告（１次）",EQ81,
IF(AND(テーブル!$B$3="交付申請（２次）",EQ$26=0),0,
IF(AND(テーブル!$B$3="交付申請（２次）",EQ$26&gt;=1),EQ81,
IF(AND(テーブル!$B$3="交付申請兼実績報告（２次）",EQ$26=0),0,
IF(AND(テーブル!$B$3="交付申請兼実績報告（２次）",EQ$26&gt;=1),EQ81,
IF(AND(テーブル!$B$3="実績報告（２次）",EQ$26=0),0,
IF(AND(テーブル!$B$3="実績報告（２次）",EQ$26&gt;=1),EQ81)))))))))),0)</f>
        <v>0</v>
      </c>
      <c r="ER41" s="2024">
        <f>IFERROR(
IF(テーブル!$B$3="交付申請",ER81,
IF(AND(テーブル!$B$3="変更申請",ER$26=0),0,
IF(AND(テーブル!$B$3="変更申請",ER$26&gt;=1),ER81,
IF(テーブル!$B$3="実績報告（１次）",ER81,
IF(AND(テーブル!$B$3="交付申請（２次）",ER$26=0),0,
IF(AND(テーブル!$B$3="交付申請（２次）",ER$26&gt;=1),ER81,
IF(AND(テーブル!$B$3="交付申請兼実績報告（２次）",ER$26=0),0,
IF(AND(テーブル!$B$3="交付申請兼実績報告（２次）",ER$26&gt;=1),ER81,
IF(AND(テーブル!$B$3="実績報告（２次）",ER$26=0),0,
IF(AND(テーブル!$B$3="実績報告（２次）",ER$26&gt;=1),ER81)))))))))),0)</f>
        <v>0</v>
      </c>
      <c r="ES41" s="2024">
        <f>IFERROR(
IF(テーブル!$B$3="交付申請",ES81,
IF(AND(テーブル!$B$3="変更申請",ES$26=0),0,
IF(AND(テーブル!$B$3="変更申請",ES$26&gt;=1),ES81,
IF(テーブル!$B$3="実績報告（１次）",ES81,
IF(AND(テーブル!$B$3="交付申請（２次）",ES$26=0),0,
IF(AND(テーブル!$B$3="交付申請（２次）",ES$26&gt;=1),ES81,
IF(AND(テーブル!$B$3="交付申請兼実績報告（２次）",ES$26=0),0,
IF(AND(テーブル!$B$3="交付申請兼実績報告（２次）",ES$26&gt;=1),ES81,
IF(AND(テーブル!$B$3="実績報告（２次）",ES$26=0),0,
IF(AND(テーブル!$B$3="実績報告（２次）",ES$26&gt;=1),ES81)))))))))),0)</f>
        <v>0</v>
      </c>
      <c r="ET41" s="2024">
        <f>IFERROR(
IF(テーブル!$B$3="交付申請",ET81,
IF(AND(テーブル!$B$3="変更申請",ET$26=0),0,
IF(AND(テーブル!$B$3="変更申請",ET$26&gt;=1),ET81,
IF(テーブル!$B$3="実績報告（１次）",ET81,
IF(AND(テーブル!$B$3="交付申請（２次）",ET$26=0),0,
IF(AND(テーブル!$B$3="交付申請（２次）",ET$26&gt;=1),ET81,
IF(AND(テーブル!$B$3="交付申請兼実績報告（２次）",ET$26=0),0,
IF(AND(テーブル!$B$3="交付申請兼実績報告（２次）",ET$26&gt;=1),ET81,
IF(AND(テーブル!$B$3="実績報告（２次）",ET$26=0),0,
IF(AND(テーブル!$B$3="実績報告（２次）",ET$26&gt;=1),ET81)))))))))),0)</f>
        <v>0</v>
      </c>
      <c r="EU41" s="2024">
        <f>IFERROR(
IF(テーブル!$B$3="交付申請",EU81,
IF(AND(テーブル!$B$3="変更申請",EU$26=0),0,
IF(AND(テーブル!$B$3="変更申請",EU$26&gt;=1),EU81,
IF(テーブル!$B$3="実績報告（１次）",EU81,
IF(AND(テーブル!$B$3="交付申請（２次）",EU$26=0),0,
IF(AND(テーブル!$B$3="交付申請（２次）",EU$26&gt;=1),EU81,
IF(AND(テーブル!$B$3="交付申請兼実績報告（２次）",EU$26=0),0,
IF(AND(テーブル!$B$3="交付申請兼実績報告（２次）",EU$26&gt;=1),EU81,
IF(AND(テーブル!$B$3="実績報告（２次）",EU$26=0),0,
IF(AND(テーブル!$B$3="実績報告（２次）",EU$26&gt;=1),EU81)))))))))),0)</f>
        <v>0</v>
      </c>
      <c r="EV41" s="2024">
        <f>IFERROR(
IF(テーブル!$B$3="交付申請",EV81,
IF(AND(テーブル!$B$3="変更申請",EV$26=0),0,
IF(AND(テーブル!$B$3="変更申請",EV$26&gt;=1),EV81,
IF(テーブル!$B$3="実績報告（１次）",EV81,
IF(AND(テーブル!$B$3="交付申請（２次）",EV$26=0),0,
IF(AND(テーブル!$B$3="交付申請（２次）",EV$26&gt;=1),EV81,
IF(AND(テーブル!$B$3="交付申請兼実績報告（２次）",EV$26=0),0,
IF(AND(テーブル!$B$3="交付申請兼実績報告（２次）",EV$26&gt;=1),EV81,
IF(AND(テーブル!$B$3="実績報告（２次）",EV$26=0),0,
IF(AND(テーブル!$B$3="実績報告（２次）",EV$26&gt;=1),EV81)))))))))),0)</f>
        <v>0</v>
      </c>
      <c r="EW41" s="2024">
        <f>IFERROR(
IF(テーブル!$B$3="交付申請",EW81,
IF(AND(テーブル!$B$3="変更申請",EW$26=0),0,
IF(AND(テーブル!$B$3="変更申請",EW$26&gt;=1),EW81,
IF(テーブル!$B$3="実績報告（１次）",EW81,
IF(AND(テーブル!$B$3="交付申請（２次）",EW$26=0),0,
IF(AND(テーブル!$B$3="交付申請（２次）",EW$26&gt;=1),EW81,
IF(AND(テーブル!$B$3="交付申請兼実績報告（２次）",EW$26=0),0,
IF(AND(テーブル!$B$3="交付申請兼実績報告（２次）",EW$26&gt;=1),EW81,
IF(AND(テーブル!$B$3="実績報告（２次）",EW$26=0),0,
IF(AND(テーブル!$B$3="実績報告（２次）",EW$26&gt;=1),EW81)))))))))),0)</f>
        <v>0</v>
      </c>
      <c r="EX41" s="2024">
        <f>IFERROR(
IF(テーブル!$B$3="交付申請",EX81,
IF(AND(テーブル!$B$3="変更申請",EX$26=0),0,
IF(AND(テーブル!$B$3="変更申請",EX$26&gt;=1),EX81,
IF(テーブル!$B$3="実績報告（１次）",EX81,
IF(AND(テーブル!$B$3="交付申請（２次）",EX$26=0),0,
IF(AND(テーブル!$B$3="交付申請（２次）",EX$26&gt;=1),EX81,
IF(AND(テーブル!$B$3="交付申請兼実績報告（２次）",EX$26=0),0,
IF(AND(テーブル!$B$3="交付申請兼実績報告（２次）",EX$26&gt;=1),EX81,
IF(AND(テーブル!$B$3="実績報告（２次）",EX$26=0),0,
IF(AND(テーブル!$B$3="実績報告（２次）",EX$26&gt;=1),EX81)))))))))),0)</f>
        <v>0</v>
      </c>
      <c r="EY41" s="2024">
        <f>IFERROR(
IF(テーブル!$B$3="交付申請",EY81,
IF(AND(テーブル!$B$3="変更申請",EY$26=0),0,
IF(AND(テーブル!$B$3="変更申請",EY$26&gt;=1),EY81,
IF(テーブル!$B$3="実績報告（１次）",EY81,
IF(AND(テーブル!$B$3="交付申請（２次）",EY$26=0),0,
IF(AND(テーブル!$B$3="交付申請（２次）",EY$26&gt;=1),EY81,
IF(AND(テーブル!$B$3="交付申請兼実績報告（２次）",EY$26=0),0,
IF(AND(テーブル!$B$3="交付申請兼実績報告（２次）",EY$26&gt;=1),EY81,
IF(AND(テーブル!$B$3="実績報告（２次）",EY$26=0),0,
IF(AND(テーブル!$B$3="実績報告（２次）",EY$26&gt;=1),EY81)))))))))),0)</f>
        <v>0</v>
      </c>
      <c r="EZ41" s="2024">
        <f>IFERROR(
IF(テーブル!$B$3="交付申請",EZ81,
IF(AND(テーブル!$B$3="変更申請",EZ$26=0),0,
IF(AND(テーブル!$B$3="変更申請",EZ$26&gt;=1),EZ81,
IF(テーブル!$B$3="実績報告（１次）",EZ81,
IF(AND(テーブル!$B$3="交付申請（２次）",EZ$26=0),0,
IF(AND(テーブル!$B$3="交付申請（２次）",EZ$26&gt;=1),EZ81,
IF(AND(テーブル!$B$3="交付申請兼実績報告（２次）",EZ$26=0),0,
IF(AND(テーブル!$B$3="交付申請兼実績報告（２次）",EZ$26&gt;=1),EZ81,
IF(AND(テーブル!$B$3="実績報告（２次）",EZ$26=0),0,
IF(AND(テーブル!$B$3="実績報告（２次）",EZ$26&gt;=1),EZ81)))))))))),0)</f>
        <v>0</v>
      </c>
      <c r="FA41" s="2024">
        <f>IFERROR(
IF(テーブル!$B$3="交付申請",FA81,
IF(AND(テーブル!$B$3="変更申請",FA$26=0),0,
IF(AND(テーブル!$B$3="変更申請",FA$26&gt;=1),FA81,
IF(テーブル!$B$3="実績報告（１次）",FA81,
IF(AND(テーブル!$B$3="交付申請（２次）",FA$26=0),0,
IF(AND(テーブル!$B$3="交付申請（２次）",FA$26&gt;=1),FA81,
IF(AND(テーブル!$B$3="交付申請兼実績報告（２次）",FA$26=0),0,
IF(AND(テーブル!$B$3="交付申請兼実績報告（２次）",FA$26&gt;=1),FA81,
IF(AND(テーブル!$B$3="実績報告（２次）",FA$26=0),0,
IF(AND(テーブル!$B$3="実績報告（２次）",FA$26&gt;=1),FA81)))))))))),0)</f>
        <v>0</v>
      </c>
      <c r="FB41" s="2024">
        <f>IFERROR(
IF(テーブル!$B$3="交付申請",FB81,
IF(AND(テーブル!$B$3="変更申請",FB$26=0),0,
IF(AND(テーブル!$B$3="変更申請",FB$26&gt;=1),FB81,
IF(テーブル!$B$3="実績報告（１次）",FB81,
IF(AND(テーブル!$B$3="交付申請（２次）",FB$26=0),0,
IF(AND(テーブル!$B$3="交付申請（２次）",FB$26&gt;=1),FB81,
IF(AND(テーブル!$B$3="交付申請兼実績報告（２次）",FB$26=0),0,
IF(AND(テーブル!$B$3="交付申請兼実績報告（２次）",FB$26&gt;=1),FB81,
IF(AND(テーブル!$B$3="実績報告（２次）",FB$26=0),0,
IF(AND(テーブル!$B$3="実績報告（２次）",FB$26&gt;=1),FB81)))))))))),0)</f>
        <v>0</v>
      </c>
      <c r="FC41" s="2024">
        <f>IFERROR(
IF(テーブル!$B$3="交付申請",FC81,
IF(AND(テーブル!$B$3="変更申請",FC$26=0),0,
IF(AND(テーブル!$B$3="変更申請",FC$26&gt;=1),FC81,
IF(テーブル!$B$3="実績報告（１次）",FC81,
IF(AND(テーブル!$B$3="交付申請（２次）",FC$26=0),0,
IF(AND(テーブル!$B$3="交付申請（２次）",FC$26&gt;=1),FC81,
IF(AND(テーブル!$B$3="交付申請兼実績報告（２次）",FC$26=0),0,
IF(AND(テーブル!$B$3="交付申請兼実績報告（２次）",FC$26&gt;=1),FC81,
IF(AND(テーブル!$B$3="実績報告（２次）",FC$26=0),0,
IF(AND(テーブル!$B$3="実績報告（２次）",FC$26&gt;=1),FC81)))))))))),0)</f>
        <v>0</v>
      </c>
      <c r="FD41" s="2024">
        <f>IFERROR(
IF(テーブル!$B$3="交付申請",FD81,
IF(AND(テーブル!$B$3="変更申請",FD$26=0),0,
IF(AND(テーブル!$B$3="変更申請",FD$26&gt;=1),FD81,
IF(テーブル!$B$3="実績報告（１次）",FD81,
IF(AND(テーブル!$B$3="交付申請（２次）",FD$26=0),0,
IF(AND(テーブル!$B$3="交付申請（２次）",FD$26&gt;=1),FD81,
IF(AND(テーブル!$B$3="交付申請兼実績報告（２次）",FD$26=0),0,
IF(AND(テーブル!$B$3="交付申請兼実績報告（２次）",FD$26&gt;=1),FD81,
IF(AND(テーブル!$B$3="実績報告（２次）",FD$26=0),0,
IF(AND(テーブル!$B$3="実績報告（２次）",FD$26&gt;=1),FD81)))))))))),0)</f>
        <v>0</v>
      </c>
      <c r="FE41" s="2024">
        <f>IFERROR(
IF(テーブル!$B$3="交付申請",FE81,
IF(AND(テーブル!$B$3="変更申請",FE$26=0),0,
IF(AND(テーブル!$B$3="変更申請",FE$26&gt;=1),FE81,
IF(テーブル!$B$3="実績報告（１次）",FE81,
IF(AND(テーブル!$B$3="交付申請（２次）",FE$26=0),0,
IF(AND(テーブル!$B$3="交付申請（２次）",FE$26&gt;=1),FE81,
IF(AND(テーブル!$B$3="交付申請兼実績報告（２次）",FE$26=0),0,
IF(AND(テーブル!$B$3="交付申請兼実績報告（２次）",FE$26&gt;=1),FE81,
IF(AND(テーブル!$B$3="実績報告（２次）",FE$26=0),0,
IF(AND(テーブル!$B$3="実績報告（２次）",FE$26&gt;=1),FE81)))))))))),0)</f>
        <v>0</v>
      </c>
      <c r="FF41" s="2024">
        <f>IFERROR(
IF(テーブル!$B$3="交付申請",FF81,
IF(AND(テーブル!$B$3="変更申請",FF$26=0),0,
IF(AND(テーブル!$B$3="変更申請",FF$26&gt;=1),FF81,
IF(テーブル!$B$3="実績報告（１次）",FF81,
IF(AND(テーブル!$B$3="交付申請（２次）",FF$26=0),0,
IF(AND(テーブル!$B$3="交付申請（２次）",FF$26&gt;=1),FF81,
IF(AND(テーブル!$B$3="交付申請兼実績報告（２次）",FF$26=0),0,
IF(AND(テーブル!$B$3="交付申請兼実績報告（２次）",FF$26&gt;=1),FF81,
IF(AND(テーブル!$B$3="実績報告（２次）",FF$26=0),0,
IF(AND(テーブル!$B$3="実績報告（２次）",FF$26&gt;=1),FF81)))))))))),0)</f>
        <v>0</v>
      </c>
      <c r="FG41" s="2024">
        <f>IFERROR(
IF(テーブル!$B$3="交付申請",FG81,
IF(AND(テーブル!$B$3="変更申請",FG$26=0),0,
IF(AND(テーブル!$B$3="変更申請",FG$26&gt;=1),FG81,
IF(テーブル!$B$3="実績報告（１次）",FG81,
IF(AND(テーブル!$B$3="交付申請（２次）",FG$26=0),0,
IF(AND(テーブル!$B$3="交付申請（２次）",FG$26&gt;=1),FG81,
IF(AND(テーブル!$B$3="交付申請兼実績報告（２次）",FG$26=0),0,
IF(AND(テーブル!$B$3="交付申請兼実績報告（２次）",FG$26&gt;=1),FG81,
IF(AND(テーブル!$B$3="実績報告（２次）",FG$26=0),0,
IF(AND(テーブル!$B$3="実績報告（２次）",FG$26&gt;=1),FG81)))))))))),0)</f>
        <v>0</v>
      </c>
      <c r="FH41" s="2024">
        <f>IFERROR(
IF(テーブル!$B$3="交付申請",FH81,
IF(AND(テーブル!$B$3="変更申請",FH$26=0),0,
IF(AND(テーブル!$B$3="変更申請",FH$26&gt;=1),FH81,
IF(テーブル!$B$3="実績報告（１次）",FH81,
IF(AND(テーブル!$B$3="交付申請（２次）",FH$26=0),0,
IF(AND(テーブル!$B$3="交付申請（２次）",FH$26&gt;=1),FH81,
IF(AND(テーブル!$B$3="交付申請兼実績報告（２次）",FH$26=0),0,
IF(AND(テーブル!$B$3="交付申請兼実績報告（２次）",FH$26&gt;=1),FH81,
IF(AND(テーブル!$B$3="実績報告（２次）",FH$26=0),0,
IF(AND(テーブル!$B$3="実績報告（２次）",FH$26&gt;=1),FH81)))))))))),0)</f>
        <v>0</v>
      </c>
      <c r="FI41" s="2024">
        <f>IFERROR(
IF(テーブル!$B$3="交付申請",FI81,
IF(AND(テーブル!$B$3="変更申請",FI$26=0),0,
IF(AND(テーブル!$B$3="変更申請",FI$26&gt;=1),FI81,
IF(テーブル!$B$3="実績報告（１次）",FI81,
IF(AND(テーブル!$B$3="交付申請（２次）",FI$26=0),0,
IF(AND(テーブル!$B$3="交付申請（２次）",FI$26&gt;=1),FI81,
IF(AND(テーブル!$B$3="交付申請兼実績報告（２次）",FI$26=0),0,
IF(AND(テーブル!$B$3="交付申請兼実績報告（２次）",FI$26&gt;=1),FI81,
IF(AND(テーブル!$B$3="実績報告（２次）",FI$26=0),0,
IF(AND(テーブル!$B$3="実績報告（２次）",FI$26&gt;=1),FI81)))))))))),0)</f>
        <v>0</v>
      </c>
      <c r="FJ41" s="2024">
        <f>IFERROR(
IF(テーブル!$B$3="交付申請",FJ81,
IF(AND(テーブル!$B$3="変更申請",FJ$26=0),0,
IF(AND(テーブル!$B$3="変更申請",FJ$26&gt;=1),FJ81,
IF(テーブル!$B$3="実績報告（１次）",FJ81,
IF(AND(テーブル!$B$3="交付申請（２次）",FJ$26=0),0,
IF(AND(テーブル!$B$3="交付申請（２次）",FJ$26&gt;=1),FJ81,
IF(AND(テーブル!$B$3="交付申請兼実績報告（２次）",FJ$26=0),0,
IF(AND(テーブル!$B$3="交付申請兼実績報告（２次）",FJ$26&gt;=1),FJ81,
IF(AND(テーブル!$B$3="実績報告（２次）",FJ$26=0),0,
IF(AND(テーブル!$B$3="実績報告（２次）",FJ$26&gt;=1),FJ81)))))))))),0)</f>
        <v>0</v>
      </c>
      <c r="FK41" s="2024">
        <f>IFERROR(
IF(テーブル!$B$3="交付申請",FK81,
IF(AND(テーブル!$B$3="変更申請",FK$26=0),0,
IF(AND(テーブル!$B$3="変更申請",FK$26&gt;=1),FK81,
IF(テーブル!$B$3="実績報告（１次）",FK81,
IF(AND(テーブル!$B$3="交付申請（２次）",FK$26=0),0,
IF(AND(テーブル!$B$3="交付申請（２次）",FK$26&gt;=1),FK81,
IF(AND(テーブル!$B$3="交付申請兼実績報告（２次）",FK$26=0),0,
IF(AND(テーブル!$B$3="交付申請兼実績報告（２次）",FK$26&gt;=1),FK81,
IF(AND(テーブル!$B$3="実績報告（２次）",FK$26=0),0,
IF(AND(テーブル!$B$3="実績報告（２次）",FK$26&gt;=1),FK81)))))))))),0)</f>
        <v>0</v>
      </c>
      <c r="FL41" s="2024">
        <f>IFERROR(
IF(テーブル!$B$3="交付申請",FL81,
IF(AND(テーブル!$B$3="変更申請",FL$26=0),0,
IF(AND(テーブル!$B$3="変更申請",FL$26&gt;=1),FL81,
IF(テーブル!$B$3="実績報告（１次）",FL81,
IF(AND(テーブル!$B$3="交付申請（２次）",FL$26=0),0,
IF(AND(テーブル!$B$3="交付申請（２次）",FL$26&gt;=1),FL81,
IF(AND(テーブル!$B$3="交付申請兼実績報告（２次）",FL$26=0),0,
IF(AND(テーブル!$B$3="交付申請兼実績報告（２次）",FL$26&gt;=1),FL81,
IF(AND(テーブル!$B$3="実績報告（２次）",FL$26=0),0,
IF(AND(テーブル!$B$3="実績報告（２次）",FL$26&gt;=1),FL81)))))))))),0)</f>
        <v>0</v>
      </c>
      <c r="FM41" s="2024">
        <f>IFERROR(
IF(テーブル!$B$3="交付申請",FM81,
IF(AND(テーブル!$B$3="変更申請",FM$26=0),0,
IF(AND(テーブル!$B$3="変更申請",FM$26&gt;=1),FM81,
IF(テーブル!$B$3="実績報告（１次）",FM81,
IF(AND(テーブル!$B$3="交付申請（２次）",FM$26=0),0,
IF(AND(テーブル!$B$3="交付申請（２次）",FM$26&gt;=1),FM81,
IF(AND(テーブル!$B$3="交付申請兼実績報告（２次）",FM$26=0),0,
IF(AND(テーブル!$B$3="交付申請兼実績報告（２次）",FM$26&gt;=1),FM81,
IF(AND(テーブル!$B$3="実績報告（２次）",FM$26=0),0,
IF(AND(テーブル!$B$3="実績報告（２次）",FM$26&gt;=1),FM81)))))))))),0)</f>
        <v>0</v>
      </c>
      <c r="FN41" s="2024">
        <f>IFERROR(
IF(テーブル!$B$3="交付申請",FN81,
IF(AND(テーブル!$B$3="変更申請",FN$26=0),0,
IF(AND(テーブル!$B$3="変更申請",FN$26&gt;=1),FN81,
IF(テーブル!$B$3="実績報告（１次）",FN81,
IF(AND(テーブル!$B$3="交付申請（２次）",FN$26=0),0,
IF(AND(テーブル!$B$3="交付申請（２次）",FN$26&gt;=1),FN81,
IF(AND(テーブル!$B$3="交付申請兼実績報告（２次）",FN$26=0),0,
IF(AND(テーブル!$B$3="交付申請兼実績報告（２次）",FN$26&gt;=1),FN81,
IF(AND(テーブル!$B$3="実績報告（２次）",FN$26=0),0,
IF(AND(テーブル!$B$3="実績報告（２次）",FN$26&gt;=1),FN81)))))))))),0)</f>
        <v>0</v>
      </c>
      <c r="FO41" s="2024">
        <f>IFERROR(
IF(テーブル!$B$3="交付申請",FO81,
IF(AND(テーブル!$B$3="変更申請",FO$26=0),0,
IF(AND(テーブル!$B$3="変更申請",FO$26&gt;=1),FO81,
IF(テーブル!$B$3="実績報告（１次）",FO81,
IF(AND(テーブル!$B$3="交付申請（２次）",FO$26=0),0,
IF(AND(テーブル!$B$3="交付申請（２次）",FO$26&gt;=1),FO81,
IF(AND(テーブル!$B$3="交付申請兼実績報告（２次）",FO$26=0),0,
IF(AND(テーブル!$B$3="交付申請兼実績報告（２次）",FO$26&gt;=1),FO81,
IF(AND(テーブル!$B$3="実績報告（２次）",FO$26=0),0,
IF(AND(テーブル!$B$3="実績報告（２次）",FO$26&gt;=1),FO81)))))))))),0)</f>
        <v>0</v>
      </c>
      <c r="FP41" s="2024">
        <f>IFERROR(
IF(テーブル!$B$3="交付申請",FP81,
IF(AND(テーブル!$B$3="変更申請",FP$26=0),0,
IF(AND(テーブル!$B$3="変更申請",FP$26&gt;=1),FP81,
IF(テーブル!$B$3="実績報告（１次）",FP81,
IF(AND(テーブル!$B$3="交付申請（２次）",FP$26=0),0,
IF(AND(テーブル!$B$3="交付申請（２次）",FP$26&gt;=1),FP81,
IF(AND(テーブル!$B$3="交付申請兼実績報告（２次）",FP$26=0),0,
IF(AND(テーブル!$B$3="交付申請兼実績報告（２次）",FP$26&gt;=1),FP81,
IF(AND(テーブル!$B$3="実績報告（２次）",FP$26=0),0,
IF(AND(テーブル!$B$3="実績報告（２次）",FP$26&gt;=1),FP81)))))))))),0)</f>
        <v>0</v>
      </c>
      <c r="FQ41" s="2024">
        <f>IFERROR(
IF(テーブル!$B$3="交付申請",FQ81,
IF(AND(テーブル!$B$3="変更申請",FQ$26=0),0,
IF(AND(テーブル!$B$3="変更申請",FQ$26&gt;=1),FQ81,
IF(テーブル!$B$3="実績報告（１次）",FQ81,
IF(AND(テーブル!$B$3="交付申請（２次）",FQ$26=0),0,
IF(AND(テーブル!$B$3="交付申請（２次）",FQ$26&gt;=1),FQ81,
IF(AND(テーブル!$B$3="交付申請兼実績報告（２次）",FQ$26=0),0,
IF(AND(テーブル!$B$3="交付申請兼実績報告（２次）",FQ$26&gt;=1),FQ81,
IF(AND(テーブル!$B$3="実績報告（２次）",FQ$26=0),0,
IF(AND(テーブル!$B$3="実績報告（２次）",FQ$26&gt;=1),FQ81)))))))))),0)</f>
        <v>0</v>
      </c>
      <c r="FR41" s="2024">
        <f>IFERROR(
IF(テーブル!$B$3="交付申請",FR81,
IF(AND(テーブル!$B$3="変更申請",FR$26=0),0,
IF(AND(テーブル!$B$3="変更申請",FR$26&gt;=1),FR81,
IF(テーブル!$B$3="実績報告（１次）",FR81,
IF(AND(テーブル!$B$3="交付申請（２次）",FR$26=0),0,
IF(AND(テーブル!$B$3="交付申請（２次）",FR$26&gt;=1),FR81,
IF(AND(テーブル!$B$3="交付申請兼実績報告（２次）",FR$26=0),0,
IF(AND(テーブル!$B$3="交付申請兼実績報告（２次）",FR$26&gt;=1),FR81,
IF(AND(テーブル!$B$3="実績報告（２次）",FR$26=0),0,
IF(AND(テーブル!$B$3="実績報告（２次）",FR$26&gt;=1),FR81)))))))))),0)</f>
        <v>0</v>
      </c>
      <c r="FS41" s="2024">
        <f>IFERROR(
IF(テーブル!$B$3="交付申請",FS81,
IF(AND(テーブル!$B$3="変更申請",FS$26=0),0,
IF(AND(テーブル!$B$3="変更申請",FS$26&gt;=1),FS81,
IF(テーブル!$B$3="実績報告（１次）",FS81,
IF(AND(テーブル!$B$3="交付申請（２次）",FS$26=0),0,
IF(AND(テーブル!$B$3="交付申請（２次）",FS$26&gt;=1),FS81,
IF(AND(テーブル!$B$3="交付申請兼実績報告（２次）",FS$26=0),0,
IF(AND(テーブル!$B$3="交付申請兼実績報告（２次）",FS$26&gt;=1),FS81,
IF(AND(テーブル!$B$3="実績報告（２次）",FS$26=0),0,
IF(AND(テーブル!$B$3="実績報告（２次）",FS$26&gt;=1),FS81)))))))))),0)</f>
        <v>0</v>
      </c>
      <c r="FT41" s="2024">
        <f>IFERROR(
IF(テーブル!$B$3="交付申請",FT81,
IF(AND(テーブル!$B$3="変更申請",FT$26=0),0,
IF(AND(テーブル!$B$3="変更申請",FT$26&gt;=1),FT81,
IF(テーブル!$B$3="実績報告（１次）",FT81,
IF(AND(テーブル!$B$3="交付申請（２次）",FT$26=0),0,
IF(AND(テーブル!$B$3="交付申請（２次）",FT$26&gt;=1),FT81,
IF(AND(テーブル!$B$3="交付申請兼実績報告（２次）",FT$26=0),0,
IF(AND(テーブル!$B$3="交付申請兼実績報告（２次）",FT$26&gt;=1),FT81,
IF(AND(テーブル!$B$3="実績報告（２次）",FT$26=0),0,
IF(AND(テーブル!$B$3="実績報告（２次）",FT$26&gt;=1),FT81)))))))))),0)</f>
        <v>0</v>
      </c>
      <c r="FU41" s="2024">
        <f>IFERROR(
IF(テーブル!$B$3="交付申請",FU81,
IF(AND(テーブル!$B$3="変更申請",FU$26=0),0,
IF(AND(テーブル!$B$3="変更申請",FU$26&gt;=1),FU81,
IF(テーブル!$B$3="実績報告（１次）",FU81,
IF(AND(テーブル!$B$3="交付申請（２次）",FU$26=0),0,
IF(AND(テーブル!$B$3="交付申請（２次）",FU$26&gt;=1),FU81,
IF(AND(テーブル!$B$3="交付申請兼実績報告（２次）",FU$26=0),0,
IF(AND(テーブル!$B$3="交付申請兼実績報告（２次）",FU$26&gt;=1),FU81,
IF(AND(テーブル!$B$3="実績報告（２次）",FU$26=0),0,
IF(AND(テーブル!$B$3="実績報告（２次）",FU$26&gt;=1),FU81)))))))))),0)</f>
        <v>0</v>
      </c>
      <c r="FV41" s="2024">
        <f>IFERROR(
IF(テーブル!$B$3="交付申請",FV81,
IF(AND(テーブル!$B$3="変更申請",FV$26=0),0,
IF(AND(テーブル!$B$3="変更申請",FV$26&gt;=1),FV81,
IF(テーブル!$B$3="実績報告（１次）",FV81,
IF(AND(テーブル!$B$3="交付申請（２次）",FV$26=0),0,
IF(AND(テーブル!$B$3="交付申請（２次）",FV$26&gt;=1),FV81,
IF(AND(テーブル!$B$3="交付申請兼実績報告（２次）",FV$26=0),0,
IF(AND(テーブル!$B$3="交付申請兼実績報告（２次）",FV$26&gt;=1),FV81,
IF(AND(テーブル!$B$3="実績報告（２次）",FV$26=0),0,
IF(AND(テーブル!$B$3="実績報告（２次）",FV$26&gt;=1),FV81)))))))))),0)</f>
        <v>0</v>
      </c>
      <c r="FW41" s="2024">
        <f>IFERROR(
IF(テーブル!$B$3="交付申請",FW81,
IF(AND(テーブル!$B$3="変更申請",FW$26=0),0,
IF(AND(テーブル!$B$3="変更申請",FW$26&gt;=1),FW81,
IF(テーブル!$B$3="実績報告（１次）",FW81,
IF(AND(テーブル!$B$3="交付申請（２次）",FW$26=0),0,
IF(AND(テーブル!$B$3="交付申請（２次）",FW$26&gt;=1),FW81,
IF(AND(テーブル!$B$3="交付申請兼実績報告（２次）",FW$26=0),0,
IF(AND(テーブル!$B$3="交付申請兼実績報告（２次）",FW$26&gt;=1),FW81,
IF(AND(テーブル!$B$3="実績報告（２次）",FW$26=0),0,
IF(AND(テーブル!$B$3="実績報告（２次）",FW$26&gt;=1),FW81)))))))))),0)</f>
        <v>0</v>
      </c>
      <c r="FX41" s="2024">
        <f>IFERROR(
IF(テーブル!$B$3="交付申請",FX81,
IF(AND(テーブル!$B$3="変更申請",FX$26=0),0,
IF(AND(テーブル!$B$3="変更申請",FX$26&gt;=1),FX81,
IF(テーブル!$B$3="実績報告（１次）",FX81,
IF(AND(テーブル!$B$3="交付申請（２次）",FX$26=0),0,
IF(AND(テーブル!$B$3="交付申請（２次）",FX$26&gt;=1),FX81,
IF(AND(テーブル!$B$3="交付申請兼実績報告（２次）",FX$26=0),0,
IF(AND(テーブル!$B$3="交付申請兼実績報告（２次）",FX$26&gt;=1),FX81,
IF(AND(テーブル!$B$3="実績報告（２次）",FX$26=0),0,
IF(AND(テーブル!$B$3="実績報告（２次）",FX$26&gt;=1),FX81)))))))))),0)</f>
        <v>0</v>
      </c>
      <c r="FY41" s="2024">
        <f>IFERROR(
IF(テーブル!$B$3="交付申請",FY81,
IF(AND(テーブル!$B$3="変更申請",FY$26=0),0,
IF(AND(テーブル!$B$3="変更申請",FY$26&gt;=1),FY81,
IF(テーブル!$B$3="実績報告（１次）",FY81,
IF(AND(テーブル!$B$3="交付申請（２次）",FY$26=0),0,
IF(AND(テーブル!$B$3="交付申請（２次）",FY$26&gt;=1),FY81,
IF(AND(テーブル!$B$3="交付申請兼実績報告（２次）",FY$26=0),0,
IF(AND(テーブル!$B$3="交付申請兼実績報告（２次）",FY$26&gt;=1),FY81,
IF(AND(テーブル!$B$3="実績報告（２次）",FY$26=0),0,
IF(AND(テーブル!$B$3="実績報告（２次）",FY$26&gt;=1),FY81)))))))))),0)</f>
        <v>0</v>
      </c>
      <c r="FZ41" s="2024">
        <f>IFERROR(
IF(テーブル!$B$3="交付申請",FZ81,
IF(AND(テーブル!$B$3="変更申請",FZ$26=0),0,
IF(AND(テーブル!$B$3="変更申請",FZ$26&gt;=1),FZ81,
IF(テーブル!$B$3="実績報告（１次）",FZ81,
IF(AND(テーブル!$B$3="交付申請（２次）",FZ$26=0),0,
IF(AND(テーブル!$B$3="交付申請（２次）",FZ$26&gt;=1),FZ81,
IF(AND(テーブル!$B$3="交付申請兼実績報告（２次）",FZ$26=0),0,
IF(AND(テーブル!$B$3="交付申請兼実績報告（２次）",FZ$26&gt;=1),FZ81,
IF(AND(テーブル!$B$3="実績報告（２次）",FZ$26=0),0,
IF(AND(テーブル!$B$3="実績報告（２次）",FZ$26&gt;=1),FZ81)))))))))),0)</f>
        <v>0</v>
      </c>
      <c r="GA41" s="2024">
        <f>IFERROR(
IF(テーブル!$B$3="交付申請",GA81,
IF(AND(テーブル!$B$3="変更申請",GA$26=0),0,
IF(AND(テーブル!$B$3="変更申請",GA$26&gt;=1),GA81,
IF(テーブル!$B$3="実績報告（１次）",GA81,
IF(AND(テーブル!$B$3="交付申請（２次）",GA$26=0),0,
IF(AND(テーブル!$B$3="交付申請（２次）",GA$26&gt;=1),GA81,
IF(AND(テーブル!$B$3="交付申請兼実績報告（２次）",GA$26=0),0,
IF(AND(テーブル!$B$3="交付申請兼実績報告（２次）",GA$26&gt;=1),GA81,
IF(AND(テーブル!$B$3="実績報告（２次）",GA$26=0),0,
IF(AND(テーブル!$B$3="実績報告（２次）",GA$26&gt;=1),GA81)))))))))),0)</f>
        <v>0</v>
      </c>
      <c r="GB41" s="2024">
        <f>IFERROR(
IF(テーブル!$B$3="交付申請",GB81,
IF(AND(テーブル!$B$3="変更申請",GB$26=0),0,
IF(AND(テーブル!$B$3="変更申請",GB$26&gt;=1),GB81,
IF(テーブル!$B$3="実績報告（１次）",GB81,
IF(AND(テーブル!$B$3="交付申請（２次）",GB$26=0),0,
IF(AND(テーブル!$B$3="交付申請（２次）",GB$26&gt;=1),GB81,
IF(AND(テーブル!$B$3="交付申請兼実績報告（２次）",GB$26=0),0,
IF(AND(テーブル!$B$3="交付申請兼実績報告（２次）",GB$26&gt;=1),GB81,
IF(AND(テーブル!$B$3="実績報告（２次）",GB$26=0),0,
IF(AND(テーブル!$B$3="実績報告（２次）",GB$26&gt;=1),GB81)))))))))),0)</f>
        <v>0</v>
      </c>
      <c r="GC41" s="2024">
        <f>IFERROR(
IF(テーブル!$B$3="交付申請",GC81,
IF(AND(テーブル!$B$3="変更申請",GC$26=0),0,
IF(AND(テーブル!$B$3="変更申請",GC$26&gt;=1),GC81,
IF(テーブル!$B$3="実績報告（１次）",GC81,
IF(AND(テーブル!$B$3="交付申請（２次）",GC$26=0),0,
IF(AND(テーブル!$B$3="交付申請（２次）",GC$26&gt;=1),GC81,
IF(AND(テーブル!$B$3="交付申請兼実績報告（２次）",GC$26=0),0,
IF(AND(テーブル!$B$3="交付申請兼実績報告（２次）",GC$26&gt;=1),GC81,
IF(AND(テーブル!$B$3="実績報告（２次）",GC$26=0),0,
IF(AND(テーブル!$B$3="実績報告（２次）",GC$26&gt;=1),GC81)))))))))),0)</f>
        <v>0</v>
      </c>
      <c r="GD41" s="2024">
        <f>IFERROR(
IF(テーブル!$B$3="交付申請",GD81,
IF(AND(テーブル!$B$3="変更申請",GD$26=0),0,
IF(AND(テーブル!$B$3="変更申請",GD$26&gt;=1),GD81,
IF(テーブル!$B$3="実績報告（１次）",GD81,
IF(AND(テーブル!$B$3="交付申請（２次）",GD$26=0),0,
IF(AND(テーブル!$B$3="交付申請（２次）",GD$26&gt;=1),GD81,
IF(AND(テーブル!$B$3="交付申請兼実績報告（２次）",GD$26=0),0,
IF(AND(テーブル!$B$3="交付申請兼実績報告（２次）",GD$26&gt;=1),GD81,
IF(AND(テーブル!$B$3="実績報告（２次）",GD$26=0),0,
IF(AND(テーブル!$B$3="実績報告（２次）",GD$26&gt;=1),GD81)))))))))),0)</f>
        <v>0</v>
      </c>
      <c r="GE41" s="2024">
        <f>IFERROR(
IF(テーブル!$B$3="交付申請",GE81,
IF(AND(テーブル!$B$3="変更申請",GE$26=0),0,
IF(AND(テーブル!$B$3="変更申請",GE$26&gt;=1),GE81,
IF(テーブル!$B$3="実績報告（１次）",GE81,
IF(AND(テーブル!$B$3="交付申請（２次）",GE$26=0),0,
IF(AND(テーブル!$B$3="交付申請（２次）",GE$26&gt;=1),GE81,
IF(AND(テーブル!$B$3="交付申請兼実績報告（２次）",GE$26=0),0,
IF(AND(テーブル!$B$3="交付申請兼実績報告（２次）",GE$26&gt;=1),GE81,
IF(AND(テーブル!$B$3="実績報告（２次）",GE$26=0),0,
IF(AND(テーブル!$B$3="実績報告（２次）",GE$26&gt;=1),GE81)))))))))),0)</f>
        <v>0</v>
      </c>
      <c r="GF41" s="2025">
        <f>IFERROR(
IF(テーブル!$B$3="交付申請",GF81,
IF(AND(テーブル!$B$3="変更申請",GF$26=0),0,
IF(AND(テーブル!$B$3="変更申請",GF$26&gt;=1),GF81,
IF(テーブル!$B$3="実績報告（１次）",GF81,
IF(AND(テーブル!$B$3="交付申請（２次）",GF$26=0),0,
IF(AND(テーブル!$B$3="交付申請（２次）",GF$26&gt;=1),GF81,
IF(AND(テーブル!$B$3="交付申請兼実績報告（２次）",GF$26=0),0,
IF(AND(テーブル!$B$3="交付申請兼実績報告（２次）",GF$26&gt;=1),GF81,
IF(AND(テーブル!$B$3="実績報告（２次）",GF$26=0),0,
IF(AND(テーブル!$B$3="実績報告（２次）",GF$26&gt;=1),GF81)))))))))),0)</f>
        <v>0</v>
      </c>
      <c r="GG41" s="2006"/>
    </row>
    <row r="42" spans="1:189" s="638" customFormat="1" ht="18.75" hidden="1" x14ac:dyDescent="0.4">
      <c r="A42" s="635"/>
      <c r="B42" s="636" t="s">
        <v>1292</v>
      </c>
      <c r="C42" s="2008">
        <f t="shared" si="21"/>
        <v>0</v>
      </c>
      <c r="D42" s="2009"/>
      <c r="E42" s="637"/>
      <c r="F42" s="2010">
        <f>IFERROR(
IF(テーブル!$B$3="交付申請",F84,
IF(AND(テーブル!$B$3="変更申請",F$26=0),0,
IF(AND(テーブル!$B$3="変更申請",F$26&gt;=1),F84,
IF(テーブル!$B$3="実績報告（１次）",F84,
IF(AND(テーブル!$B$3="交付申請（２次）",F$26=0),0,
IF(AND(テーブル!$B$3="交付申請（２次）",F$26&gt;=1),F84,
IF(AND(テーブル!$B$3="交付申請兼実績報告（２次）",F$26=0),0,
IF(AND(テーブル!$B$3="交付申請兼実績報告（２次）",F$26&gt;=1),F84,
IF(AND(テーブル!$B$3="実績報告（２次）",F$26=0),0,
IF(AND(テーブル!$B$3="実績報告（２次）",F$26&gt;=1),F84)))))))))),0)</f>
        <v>0</v>
      </c>
      <c r="G42" s="2010">
        <f>IFERROR(
IF(テーブル!$B$3="交付申請",G84,
IF(AND(テーブル!$B$3="変更申請",G$26=0),0,
IF(AND(テーブル!$B$3="変更申請",G$26&gt;=1),G84,
IF(テーブル!$B$3="実績報告（１次）",G84,
IF(AND(テーブル!$B$3="交付申請（２次）",G$26=0),0,
IF(AND(テーブル!$B$3="交付申請（２次）",G$26&gt;=1),G84,
IF(AND(テーブル!$B$3="交付申請兼実績報告（２次）",G$26=0),0,
IF(AND(テーブル!$B$3="交付申請兼実績報告（２次）",G$26&gt;=1),G84,
IF(AND(テーブル!$B$3="実績報告（２次）",G$26=0),0,
IF(AND(テーブル!$B$3="実績報告（２次）",G$26&gt;=1),G84)))))))))),0)</f>
        <v>0</v>
      </c>
      <c r="H42" s="2010">
        <f>IFERROR(
IF(テーブル!$B$3="交付申請",H84,
IF(AND(テーブル!$B$3="変更申請",H$26=0),0,
IF(AND(テーブル!$B$3="変更申請",H$26&gt;=1),H84,
IF(テーブル!$B$3="実績報告（１次）",H84,
IF(AND(テーブル!$B$3="交付申請（２次）",H$26=0),0,
IF(AND(テーブル!$B$3="交付申請（２次）",H$26&gt;=1),H84,
IF(AND(テーブル!$B$3="交付申請兼実績報告（２次）",H$26=0),0,
IF(AND(テーブル!$B$3="交付申請兼実績報告（２次）",H$26&gt;=1),H84,
IF(AND(テーブル!$B$3="実績報告（２次）",H$26=0),0,
IF(AND(テーブル!$B$3="実績報告（２次）",H$26&gt;=1),H84)))))))))),0)</f>
        <v>0</v>
      </c>
      <c r="I42" s="2010">
        <f>IFERROR(
IF(テーブル!$B$3="交付申請",I84,
IF(AND(テーブル!$B$3="変更申請",I$26=0),0,
IF(AND(テーブル!$B$3="変更申請",I$26&gt;=1),I84,
IF(テーブル!$B$3="実績報告（１次）",I84,
IF(AND(テーブル!$B$3="交付申請（２次）",I$26=0),0,
IF(AND(テーブル!$B$3="交付申請（２次）",I$26&gt;=1),I84,
IF(AND(テーブル!$B$3="交付申請兼実績報告（２次）",I$26=0),0,
IF(AND(テーブル!$B$3="交付申請兼実績報告（２次）",I$26&gt;=1),I84,
IF(AND(テーブル!$B$3="実績報告（２次）",I$26=0),0,
IF(AND(テーブル!$B$3="実績報告（２次）",I$26&gt;=1),I84)))))))))),0)</f>
        <v>0</v>
      </c>
      <c r="J42" s="2010">
        <f>IFERROR(
IF(テーブル!$B$3="交付申請",J84,
IF(AND(テーブル!$B$3="変更申請",J$26=0),0,
IF(AND(テーブル!$B$3="変更申請",J$26&gt;=1),J84,
IF(テーブル!$B$3="実績報告（１次）",J84,
IF(AND(テーブル!$B$3="交付申請（２次）",J$26=0),0,
IF(AND(テーブル!$B$3="交付申請（２次）",J$26&gt;=1),J84,
IF(AND(テーブル!$B$3="交付申請兼実績報告（２次）",J$26=0),0,
IF(AND(テーブル!$B$3="交付申請兼実績報告（２次）",J$26&gt;=1),J84,
IF(AND(テーブル!$B$3="実績報告（２次）",J$26=0),0,
IF(AND(テーブル!$B$3="実績報告（２次）",J$26&gt;=1),J84)))))))))),0)</f>
        <v>0</v>
      </c>
      <c r="K42" s="2010">
        <f>IFERROR(
IF(テーブル!$B$3="交付申請",K84,
IF(AND(テーブル!$B$3="変更申請",K$26=0),0,
IF(AND(テーブル!$B$3="変更申請",K$26&gt;=1),K84,
IF(テーブル!$B$3="実績報告（１次）",K84,
IF(AND(テーブル!$B$3="交付申請（２次）",K$26=0),0,
IF(AND(テーブル!$B$3="交付申請（２次）",K$26&gt;=1),K84,
IF(AND(テーブル!$B$3="交付申請兼実績報告（２次）",K$26=0),0,
IF(AND(テーブル!$B$3="交付申請兼実績報告（２次）",K$26&gt;=1),K84,
IF(AND(テーブル!$B$3="実績報告（２次）",K$26=0),0,
IF(AND(テーブル!$B$3="実績報告（２次）",K$26&gt;=1),K84)))))))))),0)</f>
        <v>0</v>
      </c>
      <c r="L42" s="2010">
        <f>IFERROR(
IF(テーブル!$B$3="交付申請",L84,
IF(AND(テーブル!$B$3="変更申請",L$26=0),0,
IF(AND(テーブル!$B$3="変更申請",L$26&gt;=1),L84,
IF(テーブル!$B$3="実績報告（１次）",L84,
IF(AND(テーブル!$B$3="交付申請（２次）",L$26=0),0,
IF(AND(テーブル!$B$3="交付申請（２次）",L$26&gt;=1),L84,
IF(AND(テーブル!$B$3="交付申請兼実績報告（２次）",L$26=0),0,
IF(AND(テーブル!$B$3="交付申請兼実績報告（２次）",L$26&gt;=1),L84,
IF(AND(テーブル!$B$3="実績報告（２次）",L$26=0),0,
IF(AND(テーブル!$B$3="実績報告（２次）",L$26&gt;=1),L84)))))))))),0)</f>
        <v>0</v>
      </c>
      <c r="M42" s="2010">
        <f>IFERROR(
IF(テーブル!$B$3="交付申請",M84,
IF(AND(テーブル!$B$3="変更申請",M$26=0),0,
IF(AND(テーブル!$B$3="変更申請",M$26&gt;=1),M84,
IF(テーブル!$B$3="実績報告（１次）",M84,
IF(AND(テーブル!$B$3="交付申請（２次）",M$26=0),0,
IF(AND(テーブル!$B$3="交付申請（２次）",M$26&gt;=1),M84,
IF(AND(テーブル!$B$3="交付申請兼実績報告（２次）",M$26=0),0,
IF(AND(テーブル!$B$3="交付申請兼実績報告（２次）",M$26&gt;=1),M84,
IF(AND(テーブル!$B$3="実績報告（２次）",M$26=0),0,
IF(AND(テーブル!$B$3="実績報告（２次）",M$26&gt;=1),M84)))))))))),0)</f>
        <v>0</v>
      </c>
      <c r="N42" s="2010">
        <f>IFERROR(
IF(テーブル!$B$3="交付申請",N84,
IF(AND(テーブル!$B$3="変更申請",N$26=0),0,
IF(AND(テーブル!$B$3="変更申請",N$26&gt;=1),N84,
IF(テーブル!$B$3="実績報告（１次）",N84,
IF(AND(テーブル!$B$3="交付申請（２次）",N$26=0),0,
IF(AND(テーブル!$B$3="交付申請（２次）",N$26&gt;=1),N84,
IF(AND(テーブル!$B$3="交付申請兼実績報告（２次）",N$26=0),0,
IF(AND(テーブル!$B$3="交付申請兼実績報告（２次）",N$26&gt;=1),N84,
IF(AND(テーブル!$B$3="実績報告（２次）",N$26=0),0,
IF(AND(テーブル!$B$3="実績報告（２次）",N$26&gt;=1),N84)))))))))),0)</f>
        <v>0</v>
      </c>
      <c r="O42" s="2010">
        <f>IFERROR(
IF(テーブル!$B$3="交付申請",O84,
IF(AND(テーブル!$B$3="変更申請",O$26=0),0,
IF(AND(テーブル!$B$3="変更申請",O$26&gt;=1),O84,
IF(テーブル!$B$3="実績報告（１次）",O84,
IF(AND(テーブル!$B$3="交付申請（２次）",O$26=0),0,
IF(AND(テーブル!$B$3="交付申請（２次）",O$26&gt;=1),O84,
IF(AND(テーブル!$B$3="交付申請兼実績報告（２次）",O$26=0),0,
IF(AND(テーブル!$B$3="交付申請兼実績報告（２次）",O$26&gt;=1),O84,
IF(AND(テーブル!$B$3="実績報告（２次）",O$26=0),0,
IF(AND(テーブル!$B$3="実績報告（２次）",O$26&gt;=1),O84)))))))))),0)</f>
        <v>0</v>
      </c>
      <c r="P42" s="2010">
        <f>IFERROR(
IF(テーブル!$B$3="交付申請",P84,
IF(AND(テーブル!$B$3="変更申請",P$26=0),0,
IF(AND(テーブル!$B$3="変更申請",P$26&gt;=1),P84,
IF(テーブル!$B$3="実績報告（１次）",P84,
IF(AND(テーブル!$B$3="交付申請（２次）",P$26=0),0,
IF(AND(テーブル!$B$3="交付申請（２次）",P$26&gt;=1),P84,
IF(AND(テーブル!$B$3="交付申請兼実績報告（２次）",P$26=0),0,
IF(AND(テーブル!$B$3="交付申請兼実績報告（２次）",P$26&gt;=1),P84,
IF(AND(テーブル!$B$3="実績報告（２次）",P$26=0),0,
IF(AND(テーブル!$B$3="実績報告（２次）",P$26&gt;=1),P84)))))))))),0)</f>
        <v>0</v>
      </c>
      <c r="Q42" s="2010">
        <f>IFERROR(
IF(テーブル!$B$3="交付申請",Q84,
IF(AND(テーブル!$B$3="変更申請",Q$26=0),0,
IF(AND(テーブル!$B$3="変更申請",Q$26&gt;=1),Q84,
IF(テーブル!$B$3="実績報告（１次）",Q84,
IF(AND(テーブル!$B$3="交付申請（２次）",Q$26=0),0,
IF(AND(テーブル!$B$3="交付申請（２次）",Q$26&gt;=1),Q84,
IF(AND(テーブル!$B$3="交付申請兼実績報告（２次）",Q$26=0),0,
IF(AND(テーブル!$B$3="交付申請兼実績報告（２次）",Q$26&gt;=1),Q84,
IF(AND(テーブル!$B$3="実績報告（２次）",Q$26=0),0,
IF(AND(テーブル!$B$3="実績報告（２次）",Q$26&gt;=1),Q84)))))))))),0)</f>
        <v>0</v>
      </c>
      <c r="R42" s="2010">
        <f>IFERROR(
IF(テーブル!$B$3="交付申請",R84,
IF(AND(テーブル!$B$3="変更申請",R$26=0),0,
IF(AND(テーブル!$B$3="変更申請",R$26&gt;=1),R84,
IF(テーブル!$B$3="実績報告（１次）",R84,
IF(AND(テーブル!$B$3="交付申請（２次）",R$26=0),0,
IF(AND(テーブル!$B$3="交付申請（２次）",R$26&gt;=1),R84,
IF(AND(テーブル!$B$3="交付申請兼実績報告（２次）",R$26=0),0,
IF(AND(テーブル!$B$3="交付申請兼実績報告（２次）",R$26&gt;=1),R84,
IF(AND(テーブル!$B$3="実績報告（２次）",R$26=0),0,
IF(AND(テーブル!$B$3="実績報告（２次）",R$26&gt;=1),R84)))))))))),0)</f>
        <v>0</v>
      </c>
      <c r="S42" s="2010">
        <f>IFERROR(
IF(テーブル!$B$3="交付申請",S84,
IF(AND(テーブル!$B$3="変更申請",S$26=0),0,
IF(AND(テーブル!$B$3="変更申請",S$26&gt;=1),S84,
IF(テーブル!$B$3="実績報告（１次）",S84,
IF(AND(テーブル!$B$3="交付申請（２次）",S$26=0),0,
IF(AND(テーブル!$B$3="交付申請（２次）",S$26&gt;=1),S84,
IF(AND(テーブル!$B$3="交付申請兼実績報告（２次）",S$26=0),0,
IF(AND(テーブル!$B$3="交付申請兼実績報告（２次）",S$26&gt;=1),S84,
IF(AND(テーブル!$B$3="実績報告（２次）",S$26=0),0,
IF(AND(テーブル!$B$3="実績報告（２次）",S$26&gt;=1),S84)))))))))),0)</f>
        <v>0</v>
      </c>
      <c r="T42" s="2010">
        <f>IFERROR(
IF(テーブル!$B$3="交付申請",T84,
IF(AND(テーブル!$B$3="変更申請",T$26=0),0,
IF(AND(テーブル!$B$3="変更申請",T$26&gt;=1),T84,
IF(テーブル!$B$3="実績報告（１次）",T84,
IF(AND(テーブル!$B$3="交付申請（２次）",T$26=0),0,
IF(AND(テーブル!$B$3="交付申請（２次）",T$26&gt;=1),T84,
IF(AND(テーブル!$B$3="交付申請兼実績報告（２次）",T$26=0),0,
IF(AND(テーブル!$B$3="交付申請兼実績報告（２次）",T$26&gt;=1),T84,
IF(AND(テーブル!$B$3="実績報告（２次）",T$26=0),0,
IF(AND(テーブル!$B$3="実績報告（２次）",T$26&gt;=1),T84)))))))))),0)</f>
        <v>0</v>
      </c>
      <c r="U42" s="2010">
        <f>IFERROR(
IF(テーブル!$B$3="交付申請",U84,
IF(AND(テーブル!$B$3="変更申請",U$26=0),0,
IF(AND(テーブル!$B$3="変更申請",U$26&gt;=1),U84,
IF(テーブル!$B$3="実績報告（１次）",U84,
IF(AND(テーブル!$B$3="交付申請（２次）",U$26=0),0,
IF(AND(テーブル!$B$3="交付申請（２次）",U$26&gt;=1),U84,
IF(AND(テーブル!$B$3="交付申請兼実績報告（２次）",U$26=0),0,
IF(AND(テーブル!$B$3="交付申請兼実績報告（２次）",U$26&gt;=1),U84,
IF(AND(テーブル!$B$3="実績報告（２次）",U$26=0),0,
IF(AND(テーブル!$B$3="実績報告（２次）",U$26&gt;=1),U84)))))))))),0)</f>
        <v>0</v>
      </c>
      <c r="V42" s="2010">
        <f>IFERROR(
IF(テーブル!$B$3="交付申請",V84,
IF(AND(テーブル!$B$3="変更申請",V$26=0),0,
IF(AND(テーブル!$B$3="変更申請",V$26&gt;=1),V84,
IF(テーブル!$B$3="実績報告（１次）",V84,
IF(AND(テーブル!$B$3="交付申請（２次）",V$26=0),0,
IF(AND(テーブル!$B$3="交付申請（２次）",V$26&gt;=1),V84,
IF(AND(テーブル!$B$3="交付申請兼実績報告（２次）",V$26=0),0,
IF(AND(テーブル!$B$3="交付申請兼実績報告（２次）",V$26&gt;=1),V84,
IF(AND(テーブル!$B$3="実績報告（２次）",V$26=0),0,
IF(AND(テーブル!$B$3="実績報告（２次）",V$26&gt;=1),V84)))))))))),0)</f>
        <v>0</v>
      </c>
      <c r="W42" s="2010">
        <f>IFERROR(
IF(テーブル!$B$3="交付申請",W84,
IF(AND(テーブル!$B$3="変更申請",W$26=0),0,
IF(AND(テーブル!$B$3="変更申請",W$26&gt;=1),W84,
IF(テーブル!$B$3="実績報告（１次）",W84,
IF(AND(テーブル!$B$3="交付申請（２次）",W$26=0),0,
IF(AND(テーブル!$B$3="交付申請（２次）",W$26&gt;=1),W84,
IF(AND(テーブル!$B$3="交付申請兼実績報告（２次）",W$26=0),0,
IF(AND(テーブル!$B$3="交付申請兼実績報告（２次）",W$26&gt;=1),W84,
IF(AND(テーブル!$B$3="実績報告（２次）",W$26=0),0,
IF(AND(テーブル!$B$3="実績報告（２次）",W$26&gt;=1),W84)))))))))),0)</f>
        <v>0</v>
      </c>
      <c r="X42" s="2010">
        <f>IFERROR(
IF(テーブル!$B$3="交付申請",X84,
IF(AND(テーブル!$B$3="変更申請",X$26=0),0,
IF(AND(テーブル!$B$3="変更申請",X$26&gt;=1),X84,
IF(テーブル!$B$3="実績報告（１次）",X84,
IF(AND(テーブル!$B$3="交付申請（２次）",X$26=0),0,
IF(AND(テーブル!$B$3="交付申請（２次）",X$26&gt;=1),X84,
IF(AND(テーブル!$B$3="交付申請兼実績報告（２次）",X$26=0),0,
IF(AND(テーブル!$B$3="交付申請兼実績報告（２次）",X$26&gt;=1),X84,
IF(AND(テーブル!$B$3="実績報告（２次）",X$26=0),0,
IF(AND(テーブル!$B$3="実績報告（２次）",X$26&gt;=1),X84)))))))))),0)</f>
        <v>0</v>
      </c>
      <c r="Y42" s="2010">
        <f>IFERROR(
IF(テーブル!$B$3="交付申請",Y84,
IF(AND(テーブル!$B$3="変更申請",Y$26=0),0,
IF(AND(テーブル!$B$3="変更申請",Y$26&gt;=1),Y84,
IF(テーブル!$B$3="実績報告（１次）",Y84,
IF(AND(テーブル!$B$3="交付申請（２次）",Y$26=0),0,
IF(AND(テーブル!$B$3="交付申請（２次）",Y$26&gt;=1),Y84,
IF(AND(テーブル!$B$3="交付申請兼実績報告（２次）",Y$26=0),0,
IF(AND(テーブル!$B$3="交付申請兼実績報告（２次）",Y$26&gt;=1),Y84,
IF(AND(テーブル!$B$3="実績報告（２次）",Y$26=0),0,
IF(AND(テーブル!$B$3="実績報告（２次）",Y$26&gt;=1),Y84)))))))))),0)</f>
        <v>0</v>
      </c>
      <c r="Z42" s="2010">
        <f>IFERROR(
IF(テーブル!$B$3="交付申請",Z84,
IF(AND(テーブル!$B$3="変更申請",Z$26=0),0,
IF(AND(テーブル!$B$3="変更申請",Z$26&gt;=1),Z84,
IF(テーブル!$B$3="実績報告（１次）",Z84,
IF(AND(テーブル!$B$3="交付申請（２次）",Z$26=0),0,
IF(AND(テーブル!$B$3="交付申請（２次）",Z$26&gt;=1),Z84,
IF(AND(テーブル!$B$3="交付申請兼実績報告（２次）",Z$26=0),0,
IF(AND(テーブル!$B$3="交付申請兼実績報告（２次）",Z$26&gt;=1),Z84,
IF(AND(テーブル!$B$3="実績報告（２次）",Z$26=0),0,
IF(AND(テーブル!$B$3="実績報告（２次）",Z$26&gt;=1),Z84)))))))))),0)</f>
        <v>0</v>
      </c>
      <c r="AA42" s="2010">
        <f>IFERROR(
IF(テーブル!$B$3="交付申請",AA84,
IF(AND(テーブル!$B$3="変更申請",AA$26=0),0,
IF(AND(テーブル!$B$3="変更申請",AA$26&gt;=1),AA84,
IF(テーブル!$B$3="実績報告（１次）",AA84,
IF(AND(テーブル!$B$3="交付申請（２次）",AA$26=0),0,
IF(AND(テーブル!$B$3="交付申請（２次）",AA$26&gt;=1),AA84,
IF(AND(テーブル!$B$3="交付申請兼実績報告（２次）",AA$26=0),0,
IF(AND(テーブル!$B$3="交付申請兼実績報告（２次）",AA$26&gt;=1),AA84,
IF(AND(テーブル!$B$3="実績報告（２次）",AA$26=0),0,
IF(AND(テーブル!$B$3="実績報告（２次）",AA$26&gt;=1),AA84)))))))))),0)</f>
        <v>0</v>
      </c>
      <c r="AB42" s="2010">
        <f>IFERROR(
IF(テーブル!$B$3="交付申請",AB84,
IF(AND(テーブル!$B$3="変更申請",AB$26=0),0,
IF(AND(テーブル!$B$3="変更申請",AB$26&gt;=1),AB84,
IF(テーブル!$B$3="実績報告（１次）",AB84,
IF(AND(テーブル!$B$3="交付申請（２次）",AB$26=0),0,
IF(AND(テーブル!$B$3="交付申請（２次）",AB$26&gt;=1),AB84,
IF(AND(テーブル!$B$3="交付申請兼実績報告（２次）",AB$26=0),0,
IF(AND(テーブル!$B$3="交付申請兼実績報告（２次）",AB$26&gt;=1),AB84,
IF(AND(テーブル!$B$3="実績報告（２次）",AB$26=0),0,
IF(AND(テーブル!$B$3="実績報告（２次）",AB$26&gt;=1),AB84)))))))))),0)</f>
        <v>0</v>
      </c>
      <c r="AC42" s="2010">
        <f>IFERROR(
IF(テーブル!$B$3="交付申請",AC84,
IF(AND(テーブル!$B$3="変更申請",AC$26=0),0,
IF(AND(テーブル!$B$3="変更申請",AC$26&gt;=1),AC84,
IF(テーブル!$B$3="実績報告（１次）",AC84,
IF(AND(テーブル!$B$3="交付申請（２次）",AC$26=0),0,
IF(AND(テーブル!$B$3="交付申請（２次）",AC$26&gt;=1),AC84,
IF(AND(テーブル!$B$3="交付申請兼実績報告（２次）",AC$26=0),0,
IF(AND(テーブル!$B$3="交付申請兼実績報告（２次）",AC$26&gt;=1),AC84,
IF(AND(テーブル!$B$3="実績報告（２次）",AC$26=0),0,
IF(AND(テーブル!$B$3="実績報告（２次）",AC$26&gt;=1),AC84)))))))))),0)</f>
        <v>0</v>
      </c>
      <c r="AD42" s="2010">
        <f>IFERROR(
IF(テーブル!$B$3="交付申請",AD84,
IF(AND(テーブル!$B$3="変更申請",AD$26=0),0,
IF(AND(テーブル!$B$3="変更申請",AD$26&gt;=1),AD84,
IF(テーブル!$B$3="実績報告（１次）",AD84,
IF(AND(テーブル!$B$3="交付申請（２次）",AD$26=0),0,
IF(AND(テーブル!$B$3="交付申請（２次）",AD$26&gt;=1),AD84,
IF(AND(テーブル!$B$3="交付申請兼実績報告（２次）",AD$26=0),0,
IF(AND(テーブル!$B$3="交付申請兼実績報告（２次）",AD$26&gt;=1),AD84,
IF(AND(テーブル!$B$3="実績報告（２次）",AD$26=0),0,
IF(AND(テーブル!$B$3="実績報告（２次）",AD$26&gt;=1),AD84)))))))))),0)</f>
        <v>0</v>
      </c>
      <c r="AE42" s="2010">
        <f>IFERROR(
IF(テーブル!$B$3="交付申請",AE84,
IF(AND(テーブル!$B$3="変更申請",AE$26=0),0,
IF(AND(テーブル!$B$3="変更申請",AE$26&gt;=1),AE84,
IF(テーブル!$B$3="実績報告（１次）",AE84,
IF(AND(テーブル!$B$3="交付申請（２次）",AE$26=0),0,
IF(AND(テーブル!$B$3="交付申請（２次）",AE$26&gt;=1),AE84,
IF(AND(テーブル!$B$3="交付申請兼実績報告（２次）",AE$26=0),0,
IF(AND(テーブル!$B$3="交付申請兼実績報告（２次）",AE$26&gt;=1),AE84,
IF(AND(テーブル!$B$3="実績報告（２次）",AE$26=0),0,
IF(AND(テーブル!$B$3="実績報告（２次）",AE$26&gt;=1),AE84)))))))))),0)</f>
        <v>0</v>
      </c>
      <c r="AF42" s="2010">
        <f>IFERROR(
IF(テーブル!$B$3="交付申請",AF84,
IF(AND(テーブル!$B$3="変更申請",AF$26=0),0,
IF(AND(テーブル!$B$3="変更申請",AF$26&gt;=1),AF84,
IF(テーブル!$B$3="実績報告（１次）",AF84,
IF(AND(テーブル!$B$3="交付申請（２次）",AF$26=0),0,
IF(AND(テーブル!$B$3="交付申請（２次）",AF$26&gt;=1),AF84,
IF(AND(テーブル!$B$3="交付申請兼実績報告（２次）",AF$26=0),0,
IF(AND(テーブル!$B$3="交付申請兼実績報告（２次）",AF$26&gt;=1),AF84,
IF(AND(テーブル!$B$3="実績報告（２次）",AF$26=0),0,
IF(AND(テーブル!$B$3="実績報告（２次）",AF$26&gt;=1),AF84)))))))))),0)</f>
        <v>0</v>
      </c>
      <c r="AG42" s="2010">
        <f>IFERROR(
IF(テーブル!$B$3="交付申請",AG84,
IF(AND(テーブル!$B$3="変更申請",AG$26=0),0,
IF(AND(テーブル!$B$3="変更申請",AG$26&gt;=1),AG84,
IF(テーブル!$B$3="実績報告（１次）",AG84,
IF(AND(テーブル!$B$3="交付申請（２次）",AG$26=0),0,
IF(AND(テーブル!$B$3="交付申請（２次）",AG$26&gt;=1),AG84,
IF(AND(テーブル!$B$3="交付申請兼実績報告（２次）",AG$26=0),0,
IF(AND(テーブル!$B$3="交付申請兼実績報告（２次）",AG$26&gt;=1),AG84,
IF(AND(テーブル!$B$3="実績報告（２次）",AG$26=0),0,
IF(AND(テーブル!$B$3="実績報告（２次）",AG$26&gt;=1),AG84)))))))))),0)</f>
        <v>0</v>
      </c>
      <c r="AH42" s="2010">
        <f>IFERROR(
IF(テーブル!$B$3="交付申請",AH84,
IF(AND(テーブル!$B$3="変更申請",AH$26=0),0,
IF(AND(テーブル!$B$3="変更申請",AH$26&gt;=1),AH84,
IF(テーブル!$B$3="実績報告（１次）",AH84,
IF(AND(テーブル!$B$3="交付申請（２次）",AH$26=0),0,
IF(AND(テーブル!$B$3="交付申請（２次）",AH$26&gt;=1),AH84,
IF(AND(テーブル!$B$3="交付申請兼実績報告（２次）",AH$26=0),0,
IF(AND(テーブル!$B$3="交付申請兼実績報告（２次）",AH$26&gt;=1),AH84,
IF(AND(テーブル!$B$3="実績報告（２次）",AH$26=0),0,
IF(AND(テーブル!$B$3="実績報告（２次）",AH$26&gt;=1),AH84)))))))))),0)</f>
        <v>0</v>
      </c>
      <c r="AI42" s="2010">
        <f>IFERROR(
IF(テーブル!$B$3="交付申請",AI84,
IF(AND(テーブル!$B$3="変更申請",AI$26=0),0,
IF(AND(テーブル!$B$3="変更申請",AI$26&gt;=1),AI84,
IF(テーブル!$B$3="実績報告（１次）",AI84,
IF(AND(テーブル!$B$3="交付申請（２次）",AI$26=0),0,
IF(AND(テーブル!$B$3="交付申請（２次）",AI$26&gt;=1),AI84,
IF(AND(テーブル!$B$3="交付申請兼実績報告（２次）",AI$26=0),0,
IF(AND(テーブル!$B$3="交付申請兼実績報告（２次）",AI$26&gt;=1),AI84,
IF(AND(テーブル!$B$3="実績報告（２次）",AI$26=0),0,
IF(AND(テーブル!$B$3="実績報告（２次）",AI$26&gt;=1),AI84)))))))))),0)</f>
        <v>0</v>
      </c>
      <c r="AJ42" s="2010">
        <f>IFERROR(
IF(テーブル!$B$3="交付申請",AJ84,
IF(AND(テーブル!$B$3="変更申請",AJ$26=0),0,
IF(AND(テーブル!$B$3="変更申請",AJ$26&gt;=1),AJ84,
IF(テーブル!$B$3="実績報告（１次）",AJ84,
IF(AND(テーブル!$B$3="交付申請（２次）",AJ$26=0),0,
IF(AND(テーブル!$B$3="交付申請（２次）",AJ$26&gt;=1),AJ84,
IF(AND(テーブル!$B$3="交付申請兼実績報告（２次）",AJ$26=0),0,
IF(AND(テーブル!$B$3="交付申請兼実績報告（２次）",AJ$26&gt;=1),AJ84,
IF(AND(テーブル!$B$3="実績報告（２次）",AJ$26=0),0,
IF(AND(テーブル!$B$3="実績報告（２次）",AJ$26&gt;=1),AJ84)))))))))),0)</f>
        <v>0</v>
      </c>
      <c r="AK42" s="2010">
        <f>IFERROR(
IF(テーブル!$B$3="交付申請",AK84,
IF(AND(テーブル!$B$3="変更申請",AK$26=0),0,
IF(AND(テーブル!$B$3="変更申請",AK$26&gt;=1),AK84,
IF(テーブル!$B$3="実績報告（１次）",AK84,
IF(AND(テーブル!$B$3="交付申請（２次）",AK$26=0),0,
IF(AND(テーブル!$B$3="交付申請（２次）",AK$26&gt;=1),AK84,
IF(AND(テーブル!$B$3="交付申請兼実績報告（２次）",AK$26=0),0,
IF(AND(テーブル!$B$3="交付申請兼実績報告（２次）",AK$26&gt;=1),AK84,
IF(AND(テーブル!$B$3="実績報告（２次）",AK$26=0),0,
IF(AND(テーブル!$B$3="実績報告（２次）",AK$26&gt;=1),AK84)))))))))),0)</f>
        <v>0</v>
      </c>
      <c r="AL42" s="2010">
        <f>IFERROR(
IF(テーブル!$B$3="交付申請",AL84,
IF(AND(テーブル!$B$3="変更申請",AL$26=0),0,
IF(AND(テーブル!$B$3="変更申請",AL$26&gt;=1),AL84,
IF(テーブル!$B$3="実績報告（１次）",AL84,
IF(AND(テーブル!$B$3="交付申請（２次）",AL$26=0),0,
IF(AND(テーブル!$B$3="交付申請（２次）",AL$26&gt;=1),AL84,
IF(AND(テーブル!$B$3="交付申請兼実績報告（２次）",AL$26=0),0,
IF(AND(テーブル!$B$3="交付申請兼実績報告（２次）",AL$26&gt;=1),AL84,
IF(AND(テーブル!$B$3="実績報告（２次）",AL$26=0),0,
IF(AND(テーブル!$B$3="実績報告（２次）",AL$26&gt;=1),AL84)))))))))),0)</f>
        <v>0</v>
      </c>
      <c r="AM42" s="2010">
        <f>IFERROR(
IF(テーブル!$B$3="交付申請",AM84,
IF(AND(テーブル!$B$3="変更申請",AM$26=0),0,
IF(AND(テーブル!$B$3="変更申請",AM$26&gt;=1),AM84,
IF(テーブル!$B$3="実績報告（１次）",AM84,
IF(AND(テーブル!$B$3="交付申請（２次）",AM$26=0),0,
IF(AND(テーブル!$B$3="交付申請（２次）",AM$26&gt;=1),AM84,
IF(AND(テーブル!$B$3="交付申請兼実績報告（２次）",AM$26=0),0,
IF(AND(テーブル!$B$3="交付申請兼実績報告（２次）",AM$26&gt;=1),AM84,
IF(AND(テーブル!$B$3="実績報告（２次）",AM$26=0),0,
IF(AND(テーブル!$B$3="実績報告（２次）",AM$26&gt;=1),AM84)))))))))),0)</f>
        <v>0</v>
      </c>
      <c r="AN42" s="2010">
        <f>IFERROR(
IF(テーブル!$B$3="交付申請",AN84,
IF(AND(テーブル!$B$3="変更申請",AN$26=0),0,
IF(AND(テーブル!$B$3="変更申請",AN$26&gt;=1),AN84,
IF(テーブル!$B$3="実績報告（１次）",AN84,
IF(AND(テーブル!$B$3="交付申請（２次）",AN$26=0),0,
IF(AND(テーブル!$B$3="交付申請（２次）",AN$26&gt;=1),AN84,
IF(AND(テーブル!$B$3="交付申請兼実績報告（２次）",AN$26=0),0,
IF(AND(テーブル!$B$3="交付申請兼実績報告（２次）",AN$26&gt;=1),AN84,
IF(AND(テーブル!$B$3="実績報告（２次）",AN$26=0),0,
IF(AND(テーブル!$B$3="実績報告（２次）",AN$26&gt;=1),AN84)))))))))),0)</f>
        <v>0</v>
      </c>
      <c r="AO42" s="2010">
        <f>IFERROR(
IF(テーブル!$B$3="交付申請",AO84,
IF(AND(テーブル!$B$3="変更申請",AO$26=0),0,
IF(AND(テーブル!$B$3="変更申請",AO$26&gt;=1),AO84,
IF(テーブル!$B$3="実績報告（１次）",AO84,
IF(AND(テーブル!$B$3="交付申請（２次）",AO$26=0),0,
IF(AND(テーブル!$B$3="交付申請（２次）",AO$26&gt;=1),AO84,
IF(AND(テーブル!$B$3="交付申請兼実績報告（２次）",AO$26=0),0,
IF(AND(テーブル!$B$3="交付申請兼実績報告（２次）",AO$26&gt;=1),AO84,
IF(AND(テーブル!$B$3="実績報告（２次）",AO$26=0),0,
IF(AND(テーブル!$B$3="実績報告（２次）",AO$26&gt;=1),AO84)))))))))),0)</f>
        <v>0</v>
      </c>
      <c r="AP42" s="2010">
        <f>IFERROR(
IF(テーブル!$B$3="交付申請",AP84,
IF(AND(テーブル!$B$3="変更申請",AP$26=0),0,
IF(AND(テーブル!$B$3="変更申請",AP$26&gt;=1),AP84,
IF(テーブル!$B$3="実績報告（１次）",AP84,
IF(AND(テーブル!$B$3="交付申請（２次）",AP$26=0),0,
IF(AND(テーブル!$B$3="交付申請（２次）",AP$26&gt;=1),AP84,
IF(AND(テーブル!$B$3="交付申請兼実績報告（２次）",AP$26=0),0,
IF(AND(テーブル!$B$3="交付申請兼実績報告（２次）",AP$26&gt;=1),AP84,
IF(AND(テーブル!$B$3="実績報告（２次）",AP$26=0),0,
IF(AND(テーブル!$B$3="実績報告（２次）",AP$26&gt;=1),AP84)))))))))),0)</f>
        <v>0</v>
      </c>
      <c r="AQ42" s="2010">
        <f>IFERROR(
IF(テーブル!$B$3="交付申請",AQ84,
IF(AND(テーブル!$B$3="変更申請",AQ$26=0),0,
IF(AND(テーブル!$B$3="変更申請",AQ$26&gt;=1),AQ84,
IF(テーブル!$B$3="実績報告（１次）",AQ84,
IF(AND(テーブル!$B$3="交付申請（２次）",AQ$26=0),0,
IF(AND(テーブル!$B$3="交付申請（２次）",AQ$26&gt;=1),AQ84,
IF(AND(テーブル!$B$3="交付申請兼実績報告（２次）",AQ$26=0),0,
IF(AND(テーブル!$B$3="交付申請兼実績報告（２次）",AQ$26&gt;=1),AQ84,
IF(AND(テーブル!$B$3="実績報告（２次）",AQ$26=0),0,
IF(AND(テーブル!$B$3="実績報告（２次）",AQ$26&gt;=1),AQ84)))))))))),0)</f>
        <v>0</v>
      </c>
      <c r="AR42" s="2010">
        <f>IFERROR(
IF(テーブル!$B$3="交付申請",AR84,
IF(AND(テーブル!$B$3="変更申請",AR$26=0),0,
IF(AND(テーブル!$B$3="変更申請",AR$26&gt;=1),AR84,
IF(テーブル!$B$3="実績報告（１次）",AR84,
IF(AND(テーブル!$B$3="交付申請（２次）",AR$26=0),0,
IF(AND(テーブル!$B$3="交付申請（２次）",AR$26&gt;=1),AR84,
IF(AND(テーブル!$B$3="交付申請兼実績報告（２次）",AR$26=0),0,
IF(AND(テーブル!$B$3="交付申請兼実績報告（２次）",AR$26&gt;=1),AR84,
IF(AND(テーブル!$B$3="実績報告（２次）",AR$26=0),0,
IF(AND(テーブル!$B$3="実績報告（２次）",AR$26&gt;=1),AR84)))))))))),0)</f>
        <v>0</v>
      </c>
      <c r="AS42" s="2010">
        <f>IFERROR(
IF(テーブル!$B$3="交付申請",AS84,
IF(AND(テーブル!$B$3="変更申請",AS$26=0),0,
IF(AND(テーブル!$B$3="変更申請",AS$26&gt;=1),AS84,
IF(テーブル!$B$3="実績報告（１次）",AS84,
IF(AND(テーブル!$B$3="交付申請（２次）",AS$26=0),0,
IF(AND(テーブル!$B$3="交付申請（２次）",AS$26&gt;=1),AS84,
IF(AND(テーブル!$B$3="交付申請兼実績報告（２次）",AS$26=0),0,
IF(AND(テーブル!$B$3="交付申請兼実績報告（２次）",AS$26&gt;=1),AS84,
IF(AND(テーブル!$B$3="実績報告（２次）",AS$26=0),0,
IF(AND(テーブル!$B$3="実績報告（２次）",AS$26&gt;=1),AS84)))))))))),0)</f>
        <v>0</v>
      </c>
      <c r="AT42" s="2010">
        <f>IFERROR(
IF(テーブル!$B$3="交付申請",AT84,
IF(AND(テーブル!$B$3="変更申請",AT$26=0),0,
IF(AND(テーブル!$B$3="変更申請",AT$26&gt;=1),AT84,
IF(テーブル!$B$3="実績報告（１次）",AT84,
IF(AND(テーブル!$B$3="交付申請（２次）",AT$26=0),0,
IF(AND(テーブル!$B$3="交付申請（２次）",AT$26&gt;=1),AT84,
IF(AND(テーブル!$B$3="交付申請兼実績報告（２次）",AT$26=0),0,
IF(AND(テーブル!$B$3="交付申請兼実績報告（２次）",AT$26&gt;=1),AT84,
IF(AND(テーブル!$B$3="実績報告（２次）",AT$26=0),0,
IF(AND(テーブル!$B$3="実績報告（２次）",AT$26&gt;=1),AT84)))))))))),0)</f>
        <v>0</v>
      </c>
      <c r="AU42" s="2010">
        <f>IFERROR(
IF(テーブル!$B$3="交付申請",AU84,
IF(AND(テーブル!$B$3="変更申請",AU$26=0),0,
IF(AND(テーブル!$B$3="変更申請",AU$26&gt;=1),AU84,
IF(テーブル!$B$3="実績報告（１次）",AU84,
IF(AND(テーブル!$B$3="交付申請（２次）",AU$26=0),0,
IF(AND(テーブル!$B$3="交付申請（２次）",AU$26&gt;=1),AU84,
IF(AND(テーブル!$B$3="交付申請兼実績報告（２次）",AU$26=0),0,
IF(AND(テーブル!$B$3="交付申請兼実績報告（２次）",AU$26&gt;=1),AU84,
IF(AND(テーブル!$B$3="実績報告（２次）",AU$26=0),0,
IF(AND(テーブル!$B$3="実績報告（２次）",AU$26&gt;=1),AU84)))))))))),0)</f>
        <v>0</v>
      </c>
      <c r="AV42" s="2010">
        <f>IFERROR(
IF(テーブル!$B$3="交付申請",AV84,
IF(AND(テーブル!$B$3="変更申請",AV$26=0),0,
IF(AND(テーブル!$B$3="変更申請",AV$26&gt;=1),AV84,
IF(テーブル!$B$3="実績報告（１次）",AV84,
IF(AND(テーブル!$B$3="交付申請（２次）",AV$26=0),0,
IF(AND(テーブル!$B$3="交付申請（２次）",AV$26&gt;=1),AV84,
IF(AND(テーブル!$B$3="交付申請兼実績報告（２次）",AV$26=0),0,
IF(AND(テーブル!$B$3="交付申請兼実績報告（２次）",AV$26&gt;=1),AV84,
IF(AND(テーブル!$B$3="実績報告（２次）",AV$26=0),0,
IF(AND(テーブル!$B$3="実績報告（２次）",AV$26&gt;=1),AV84)))))))))),0)</f>
        <v>0</v>
      </c>
      <c r="AW42" s="2010">
        <f>IFERROR(
IF(テーブル!$B$3="交付申請",AW84,
IF(AND(テーブル!$B$3="変更申請",AW$26=0),0,
IF(AND(テーブル!$B$3="変更申請",AW$26&gt;=1),AW84,
IF(テーブル!$B$3="実績報告（１次）",AW84,
IF(AND(テーブル!$B$3="交付申請（２次）",AW$26=0),0,
IF(AND(テーブル!$B$3="交付申請（２次）",AW$26&gt;=1),AW84,
IF(AND(テーブル!$B$3="交付申請兼実績報告（２次）",AW$26=0),0,
IF(AND(テーブル!$B$3="交付申請兼実績報告（２次）",AW$26&gt;=1),AW84,
IF(AND(テーブル!$B$3="実績報告（２次）",AW$26=0),0,
IF(AND(テーブル!$B$3="実績報告（２次）",AW$26&gt;=1),AW84)))))))))),0)</f>
        <v>0</v>
      </c>
      <c r="AX42" s="2010">
        <f>IFERROR(
IF(テーブル!$B$3="交付申請",AX84,
IF(AND(テーブル!$B$3="変更申請",AX$26=0),0,
IF(AND(テーブル!$B$3="変更申請",AX$26&gt;=1),AX84,
IF(テーブル!$B$3="実績報告（１次）",AX84,
IF(AND(テーブル!$B$3="交付申請（２次）",AX$26=0),0,
IF(AND(テーブル!$B$3="交付申請（２次）",AX$26&gt;=1),AX84,
IF(AND(テーブル!$B$3="交付申請兼実績報告（２次）",AX$26=0),0,
IF(AND(テーブル!$B$3="交付申請兼実績報告（２次）",AX$26&gt;=1),AX84,
IF(AND(テーブル!$B$3="実績報告（２次）",AX$26=0),0,
IF(AND(テーブル!$B$3="実績報告（２次）",AX$26&gt;=1),AX84)))))))))),0)</f>
        <v>0</v>
      </c>
      <c r="AY42" s="2010">
        <f>IFERROR(
IF(テーブル!$B$3="交付申請",AY84,
IF(AND(テーブル!$B$3="変更申請",AY$26=0),0,
IF(AND(テーブル!$B$3="変更申請",AY$26&gt;=1),AY84,
IF(テーブル!$B$3="実績報告（１次）",AY84,
IF(AND(テーブル!$B$3="交付申請（２次）",AY$26=0),0,
IF(AND(テーブル!$B$3="交付申請（２次）",AY$26&gt;=1),AY84,
IF(AND(テーブル!$B$3="交付申請兼実績報告（２次）",AY$26=0),0,
IF(AND(テーブル!$B$3="交付申請兼実績報告（２次）",AY$26&gt;=1),AY84,
IF(AND(テーブル!$B$3="実績報告（２次）",AY$26=0),0,
IF(AND(テーブル!$B$3="実績報告（２次）",AY$26&gt;=1),AY84)))))))))),0)</f>
        <v>0</v>
      </c>
      <c r="AZ42" s="2010">
        <f>IFERROR(
IF(テーブル!$B$3="交付申請",AZ84,
IF(AND(テーブル!$B$3="変更申請",AZ$26=0),0,
IF(AND(テーブル!$B$3="変更申請",AZ$26&gt;=1),AZ84,
IF(テーブル!$B$3="実績報告（１次）",AZ84,
IF(AND(テーブル!$B$3="交付申請（２次）",AZ$26=0),0,
IF(AND(テーブル!$B$3="交付申請（２次）",AZ$26&gt;=1),AZ84,
IF(AND(テーブル!$B$3="交付申請兼実績報告（２次）",AZ$26=0),0,
IF(AND(テーブル!$B$3="交付申請兼実績報告（２次）",AZ$26&gt;=1),AZ84,
IF(AND(テーブル!$B$3="実績報告（２次）",AZ$26=0),0,
IF(AND(テーブル!$B$3="実績報告（２次）",AZ$26&gt;=1),AZ84)))))))))),0)</f>
        <v>0</v>
      </c>
      <c r="BA42" s="2010">
        <f>IFERROR(
IF(テーブル!$B$3="交付申請",BA84,
IF(AND(テーブル!$B$3="変更申請",BA$26=0),0,
IF(AND(テーブル!$B$3="変更申請",BA$26&gt;=1),BA84,
IF(テーブル!$B$3="実績報告（１次）",BA84,
IF(AND(テーブル!$B$3="交付申請（２次）",BA$26=0),0,
IF(AND(テーブル!$B$3="交付申請（２次）",BA$26&gt;=1),BA84,
IF(AND(テーブル!$B$3="交付申請兼実績報告（２次）",BA$26=0),0,
IF(AND(テーブル!$B$3="交付申請兼実績報告（２次）",BA$26&gt;=1),BA84,
IF(AND(テーブル!$B$3="実績報告（２次）",BA$26=0),0,
IF(AND(テーブル!$B$3="実績報告（２次）",BA$26&gt;=1),BA84)))))))))),0)</f>
        <v>0</v>
      </c>
      <c r="BB42" s="2010">
        <f>IFERROR(
IF(テーブル!$B$3="交付申請",BB84,
IF(AND(テーブル!$B$3="変更申請",BB$26=0),0,
IF(AND(テーブル!$B$3="変更申請",BB$26&gt;=1),BB84,
IF(テーブル!$B$3="実績報告（１次）",BB84,
IF(AND(テーブル!$B$3="交付申請（２次）",BB$26=0),0,
IF(AND(テーブル!$B$3="交付申請（２次）",BB$26&gt;=1),BB84,
IF(AND(テーブル!$B$3="交付申請兼実績報告（２次）",BB$26=0),0,
IF(AND(テーブル!$B$3="交付申請兼実績報告（２次）",BB$26&gt;=1),BB84,
IF(AND(テーブル!$B$3="実績報告（２次）",BB$26=0),0,
IF(AND(テーブル!$B$3="実績報告（２次）",BB$26&gt;=1),BB84)))))))))),0)</f>
        <v>0</v>
      </c>
      <c r="BC42" s="2010">
        <f>IFERROR(
IF(テーブル!$B$3="交付申請",BC84,
IF(AND(テーブル!$B$3="変更申請",BC$26=0),0,
IF(AND(テーブル!$B$3="変更申請",BC$26&gt;=1),BC84,
IF(テーブル!$B$3="実績報告（１次）",BC84,
IF(AND(テーブル!$B$3="交付申請（２次）",BC$26=0),0,
IF(AND(テーブル!$B$3="交付申請（２次）",BC$26&gt;=1),BC84,
IF(AND(テーブル!$B$3="交付申請兼実績報告（２次）",BC$26=0),0,
IF(AND(テーブル!$B$3="交付申請兼実績報告（２次）",BC$26&gt;=1),BC84,
IF(AND(テーブル!$B$3="実績報告（２次）",BC$26=0),0,
IF(AND(テーブル!$B$3="実績報告（２次）",BC$26&gt;=1),BC84)))))))))),0)</f>
        <v>0</v>
      </c>
      <c r="BD42" s="2010">
        <f>IFERROR(
IF(テーブル!$B$3="交付申請",BD84,
IF(AND(テーブル!$B$3="変更申請",BD$26=0),0,
IF(AND(テーブル!$B$3="変更申請",BD$26&gt;=1),BD84,
IF(テーブル!$B$3="実績報告（１次）",BD84,
IF(AND(テーブル!$B$3="交付申請（２次）",BD$26=0),0,
IF(AND(テーブル!$B$3="交付申請（２次）",BD$26&gt;=1),BD84,
IF(AND(テーブル!$B$3="交付申請兼実績報告（２次）",BD$26=0),0,
IF(AND(テーブル!$B$3="交付申請兼実績報告（２次）",BD$26&gt;=1),BD84,
IF(AND(テーブル!$B$3="実績報告（２次）",BD$26=0),0,
IF(AND(テーブル!$B$3="実績報告（２次）",BD$26&gt;=1),BD84)))))))))),0)</f>
        <v>0</v>
      </c>
      <c r="BE42" s="2010">
        <f>IFERROR(
IF(テーブル!$B$3="交付申請",BE84,
IF(AND(テーブル!$B$3="変更申請",BE$26=0),0,
IF(AND(テーブル!$B$3="変更申請",BE$26&gt;=1),BE84,
IF(テーブル!$B$3="実績報告（１次）",BE84,
IF(AND(テーブル!$B$3="交付申請（２次）",BE$26=0),0,
IF(AND(テーブル!$B$3="交付申請（２次）",BE$26&gt;=1),BE84,
IF(AND(テーブル!$B$3="交付申請兼実績報告（２次）",BE$26=0),0,
IF(AND(テーブル!$B$3="交付申請兼実績報告（２次）",BE$26&gt;=1),BE84,
IF(AND(テーブル!$B$3="実績報告（２次）",BE$26=0),0,
IF(AND(テーブル!$B$3="実績報告（２次）",BE$26&gt;=1),BE84)))))))))),0)</f>
        <v>0</v>
      </c>
      <c r="BF42" s="2010">
        <f>IFERROR(
IF(テーブル!$B$3="交付申請",BF84,
IF(AND(テーブル!$B$3="変更申請",BF$26=0),0,
IF(AND(テーブル!$B$3="変更申請",BF$26&gt;=1),BF84,
IF(テーブル!$B$3="実績報告（１次）",BF84,
IF(AND(テーブル!$B$3="交付申請（２次）",BF$26=0),0,
IF(AND(テーブル!$B$3="交付申請（２次）",BF$26&gt;=1),BF84,
IF(AND(テーブル!$B$3="交付申請兼実績報告（２次）",BF$26=0),0,
IF(AND(テーブル!$B$3="交付申請兼実績報告（２次）",BF$26&gt;=1),BF84,
IF(AND(テーブル!$B$3="実績報告（２次）",BF$26=0),0,
IF(AND(テーブル!$B$3="実績報告（２次）",BF$26&gt;=1),BF84)))))))))),0)</f>
        <v>0</v>
      </c>
      <c r="BG42" s="2010">
        <f>IFERROR(
IF(テーブル!$B$3="交付申請",BG84,
IF(AND(テーブル!$B$3="変更申請",BG$26=0),0,
IF(AND(テーブル!$B$3="変更申請",BG$26&gt;=1),BG84,
IF(テーブル!$B$3="実績報告（１次）",BG84,
IF(AND(テーブル!$B$3="交付申請（２次）",BG$26=0),0,
IF(AND(テーブル!$B$3="交付申請（２次）",BG$26&gt;=1),BG84,
IF(AND(テーブル!$B$3="交付申請兼実績報告（２次）",BG$26=0),0,
IF(AND(テーブル!$B$3="交付申請兼実績報告（２次）",BG$26&gt;=1),BG84,
IF(AND(テーブル!$B$3="実績報告（２次）",BG$26=0),0,
IF(AND(テーブル!$B$3="実績報告（２次）",BG$26&gt;=1),BG84)))))))))),0)</f>
        <v>0</v>
      </c>
      <c r="BH42" s="2010">
        <f>IFERROR(
IF(テーブル!$B$3="交付申請",BH84,
IF(AND(テーブル!$B$3="変更申請",BH$26=0),0,
IF(AND(テーブル!$B$3="変更申請",BH$26&gt;=1),BH84,
IF(テーブル!$B$3="実績報告（１次）",BH84,
IF(AND(テーブル!$B$3="交付申請（２次）",BH$26=0),0,
IF(AND(テーブル!$B$3="交付申請（２次）",BH$26&gt;=1),BH84,
IF(AND(テーブル!$B$3="交付申請兼実績報告（２次）",BH$26=0),0,
IF(AND(テーブル!$B$3="交付申請兼実績報告（２次）",BH$26&gt;=1),BH84,
IF(AND(テーブル!$B$3="実績報告（２次）",BH$26=0),0,
IF(AND(テーブル!$B$3="実績報告（２次）",BH$26&gt;=1),BH84)))))))))),0)</f>
        <v>0</v>
      </c>
      <c r="BI42" s="2010">
        <f>IFERROR(
IF(テーブル!$B$3="交付申請",BI84,
IF(AND(テーブル!$B$3="変更申請",BI$26=0),0,
IF(AND(テーブル!$B$3="変更申請",BI$26&gt;=1),BI84,
IF(テーブル!$B$3="実績報告（１次）",BI84,
IF(AND(テーブル!$B$3="交付申請（２次）",BI$26=0),0,
IF(AND(テーブル!$B$3="交付申請（２次）",BI$26&gt;=1),BI84,
IF(AND(テーブル!$B$3="交付申請兼実績報告（２次）",BI$26=0),0,
IF(AND(テーブル!$B$3="交付申請兼実績報告（２次）",BI$26&gt;=1),BI84,
IF(AND(テーブル!$B$3="実績報告（２次）",BI$26=0),0,
IF(AND(テーブル!$B$3="実績報告（２次）",BI$26&gt;=1),BI84)))))))))),0)</f>
        <v>0</v>
      </c>
      <c r="BJ42" s="2010">
        <f>IFERROR(
IF(テーブル!$B$3="交付申請",BJ84,
IF(AND(テーブル!$B$3="変更申請",BJ$26=0),0,
IF(AND(テーブル!$B$3="変更申請",BJ$26&gt;=1),BJ84,
IF(テーブル!$B$3="実績報告（１次）",BJ84,
IF(AND(テーブル!$B$3="交付申請（２次）",BJ$26=0),0,
IF(AND(テーブル!$B$3="交付申請（２次）",BJ$26&gt;=1),BJ84,
IF(AND(テーブル!$B$3="交付申請兼実績報告（２次）",BJ$26=0),0,
IF(AND(テーブル!$B$3="交付申請兼実績報告（２次）",BJ$26&gt;=1),BJ84,
IF(AND(テーブル!$B$3="実績報告（２次）",BJ$26=0),0,
IF(AND(テーブル!$B$3="実績報告（２次）",BJ$26&gt;=1),BJ84)))))))))),0)</f>
        <v>0</v>
      </c>
      <c r="BK42" s="2010">
        <f>IFERROR(
IF(テーブル!$B$3="交付申請",BK84,
IF(AND(テーブル!$B$3="変更申請",BK$26=0),0,
IF(AND(テーブル!$B$3="変更申請",BK$26&gt;=1),BK84,
IF(テーブル!$B$3="実績報告（１次）",BK84,
IF(AND(テーブル!$B$3="交付申請（２次）",BK$26=0),0,
IF(AND(テーブル!$B$3="交付申請（２次）",BK$26&gt;=1),BK84,
IF(AND(テーブル!$B$3="交付申請兼実績報告（２次）",BK$26=0),0,
IF(AND(テーブル!$B$3="交付申請兼実績報告（２次）",BK$26&gt;=1),BK84,
IF(AND(テーブル!$B$3="実績報告（２次）",BK$26=0),0,
IF(AND(テーブル!$B$3="実績報告（２次）",BK$26&gt;=1),BK84)))))))))),0)</f>
        <v>0</v>
      </c>
      <c r="BL42" s="2010">
        <f>IFERROR(
IF(テーブル!$B$3="交付申請",BL84,
IF(AND(テーブル!$B$3="変更申請",BL$26=0),0,
IF(AND(テーブル!$B$3="変更申請",BL$26&gt;=1),BL84,
IF(テーブル!$B$3="実績報告（１次）",BL84,
IF(AND(テーブル!$B$3="交付申請（２次）",BL$26=0),0,
IF(AND(テーブル!$B$3="交付申請（２次）",BL$26&gt;=1),BL84,
IF(AND(テーブル!$B$3="交付申請兼実績報告（２次）",BL$26=0),0,
IF(AND(テーブル!$B$3="交付申請兼実績報告（２次）",BL$26&gt;=1),BL84,
IF(AND(テーブル!$B$3="実績報告（２次）",BL$26=0),0,
IF(AND(テーブル!$B$3="実績報告（２次）",BL$26&gt;=1),BL84)))))))))),0)</f>
        <v>0</v>
      </c>
      <c r="BM42" s="2010">
        <f>IFERROR(
IF(テーブル!$B$3="交付申請",BM84,
IF(AND(テーブル!$B$3="変更申請",BM$26=0),0,
IF(AND(テーブル!$B$3="変更申請",BM$26&gt;=1),BM84,
IF(テーブル!$B$3="実績報告（１次）",BM84,
IF(AND(テーブル!$B$3="交付申請（２次）",BM$26=0),0,
IF(AND(テーブル!$B$3="交付申請（２次）",BM$26&gt;=1),BM84,
IF(AND(テーブル!$B$3="交付申請兼実績報告（２次）",BM$26=0),0,
IF(AND(テーブル!$B$3="交付申請兼実績報告（２次）",BM$26&gt;=1),BM84,
IF(AND(テーブル!$B$3="実績報告（２次）",BM$26=0),0,
IF(AND(テーブル!$B$3="実績報告（２次）",BM$26&gt;=1),BM84)))))))))),0)</f>
        <v>0</v>
      </c>
      <c r="BN42" s="2010">
        <f>IFERROR(
IF(テーブル!$B$3="交付申請",BN84,
IF(AND(テーブル!$B$3="変更申請",BN$26=0),0,
IF(AND(テーブル!$B$3="変更申請",BN$26&gt;=1),BN84,
IF(テーブル!$B$3="実績報告（１次）",BN84,
IF(AND(テーブル!$B$3="交付申請（２次）",BN$26=0),0,
IF(AND(テーブル!$B$3="交付申請（２次）",BN$26&gt;=1),BN84,
IF(AND(テーブル!$B$3="交付申請兼実績報告（２次）",BN$26=0),0,
IF(AND(テーブル!$B$3="交付申請兼実績報告（２次）",BN$26&gt;=1),BN84,
IF(AND(テーブル!$B$3="実績報告（２次）",BN$26=0),0,
IF(AND(テーブル!$B$3="実績報告（２次）",BN$26&gt;=1),BN84)))))))))),0)</f>
        <v>0</v>
      </c>
      <c r="BO42" s="2010">
        <f>IFERROR(
IF(テーブル!$B$3="交付申請",BO84,
IF(AND(テーブル!$B$3="変更申請",BO$26=0),0,
IF(AND(テーブル!$B$3="変更申請",BO$26&gt;=1),BO84,
IF(テーブル!$B$3="実績報告（１次）",BO84,
IF(AND(テーブル!$B$3="交付申請（２次）",BO$26=0),0,
IF(AND(テーブル!$B$3="交付申請（２次）",BO$26&gt;=1),BO84,
IF(AND(テーブル!$B$3="交付申請兼実績報告（２次）",BO$26=0),0,
IF(AND(テーブル!$B$3="交付申請兼実績報告（２次）",BO$26&gt;=1),BO84,
IF(AND(テーブル!$B$3="実績報告（２次）",BO$26=0),0,
IF(AND(テーブル!$B$3="実績報告（２次）",BO$26&gt;=1),BO84)))))))))),0)</f>
        <v>0</v>
      </c>
      <c r="BP42" s="2010">
        <f>IFERROR(
IF(テーブル!$B$3="交付申請",BP84,
IF(AND(テーブル!$B$3="変更申請",BP$26=0),0,
IF(AND(テーブル!$B$3="変更申請",BP$26&gt;=1),BP84,
IF(テーブル!$B$3="実績報告（１次）",BP84,
IF(AND(テーブル!$B$3="交付申請（２次）",BP$26=0),0,
IF(AND(テーブル!$B$3="交付申請（２次）",BP$26&gt;=1),BP84,
IF(AND(テーブル!$B$3="交付申請兼実績報告（２次）",BP$26=0),0,
IF(AND(テーブル!$B$3="交付申請兼実績報告（２次）",BP$26&gt;=1),BP84,
IF(AND(テーブル!$B$3="実績報告（２次）",BP$26=0),0,
IF(AND(テーブル!$B$3="実績報告（２次）",BP$26&gt;=1),BP84)))))))))),0)</f>
        <v>0</v>
      </c>
      <c r="BQ42" s="2010">
        <f>IFERROR(
IF(テーブル!$B$3="交付申請",BQ84,
IF(AND(テーブル!$B$3="変更申請",BQ$26=0),0,
IF(AND(テーブル!$B$3="変更申請",BQ$26&gt;=1),BQ84,
IF(テーブル!$B$3="実績報告（１次）",BQ84,
IF(AND(テーブル!$B$3="交付申請（２次）",BQ$26=0),0,
IF(AND(テーブル!$B$3="交付申請（２次）",BQ$26&gt;=1),BQ84,
IF(AND(テーブル!$B$3="交付申請兼実績報告（２次）",BQ$26=0),0,
IF(AND(テーブル!$B$3="交付申請兼実績報告（２次）",BQ$26&gt;=1),BQ84,
IF(AND(テーブル!$B$3="実績報告（２次）",BQ$26=0),0,
IF(AND(テーブル!$B$3="実績報告（２次）",BQ$26&gt;=1),BQ84)))))))))),0)</f>
        <v>0</v>
      </c>
      <c r="BR42" s="2010">
        <f>IFERROR(
IF(テーブル!$B$3="交付申請",BR84,
IF(AND(テーブル!$B$3="変更申請",BR$26=0),0,
IF(AND(テーブル!$B$3="変更申請",BR$26&gt;=1),BR84,
IF(テーブル!$B$3="実績報告（１次）",BR84,
IF(AND(テーブル!$B$3="交付申請（２次）",BR$26=0),0,
IF(AND(テーブル!$B$3="交付申請（２次）",BR$26&gt;=1),BR84,
IF(AND(テーブル!$B$3="交付申請兼実績報告（２次）",BR$26=0),0,
IF(AND(テーブル!$B$3="交付申請兼実績報告（２次）",BR$26&gt;=1),BR84,
IF(AND(テーブル!$B$3="実績報告（２次）",BR$26=0),0,
IF(AND(テーブル!$B$3="実績報告（２次）",BR$26&gt;=1),BR84)))))))))),0)</f>
        <v>0</v>
      </c>
      <c r="BS42" s="2010">
        <f>IFERROR(
IF(テーブル!$B$3="交付申請",BS84,
IF(AND(テーブル!$B$3="変更申請",BS$26=0),0,
IF(AND(テーブル!$B$3="変更申請",BS$26&gt;=1),BS84,
IF(テーブル!$B$3="実績報告（１次）",BS84,
IF(AND(テーブル!$B$3="交付申請（２次）",BS$26=0),0,
IF(AND(テーブル!$B$3="交付申請（２次）",BS$26&gt;=1),BS84,
IF(AND(テーブル!$B$3="交付申請兼実績報告（２次）",BS$26=0),0,
IF(AND(テーブル!$B$3="交付申請兼実績報告（２次）",BS$26&gt;=1),BS84,
IF(AND(テーブル!$B$3="実績報告（２次）",BS$26=0),0,
IF(AND(テーブル!$B$3="実績報告（２次）",BS$26&gt;=1),BS84)))))))))),0)</f>
        <v>0</v>
      </c>
      <c r="BT42" s="2010">
        <f>IFERROR(
IF(テーブル!$B$3="交付申請",BT84,
IF(AND(テーブル!$B$3="変更申請",BT$26=0),0,
IF(AND(テーブル!$B$3="変更申請",BT$26&gt;=1),BT84,
IF(テーブル!$B$3="実績報告（１次）",BT84,
IF(AND(テーブル!$B$3="交付申請（２次）",BT$26=0),0,
IF(AND(テーブル!$B$3="交付申請（２次）",BT$26&gt;=1),BT84,
IF(AND(テーブル!$B$3="交付申請兼実績報告（２次）",BT$26=0),0,
IF(AND(テーブル!$B$3="交付申請兼実績報告（２次）",BT$26&gt;=1),BT84,
IF(AND(テーブル!$B$3="実績報告（２次）",BT$26=0),0,
IF(AND(テーブル!$B$3="実績報告（２次）",BT$26&gt;=1),BT84)))))))))),0)</f>
        <v>0</v>
      </c>
      <c r="BU42" s="2010">
        <f>IFERROR(
IF(テーブル!$B$3="交付申請",BU84,
IF(AND(テーブル!$B$3="変更申請",BU$26=0),0,
IF(AND(テーブル!$B$3="変更申請",BU$26&gt;=1),BU84,
IF(テーブル!$B$3="実績報告（１次）",BU84,
IF(AND(テーブル!$B$3="交付申請（２次）",BU$26=0),0,
IF(AND(テーブル!$B$3="交付申請（２次）",BU$26&gt;=1),BU84,
IF(AND(テーブル!$B$3="交付申請兼実績報告（２次）",BU$26=0),0,
IF(AND(テーブル!$B$3="交付申請兼実績報告（２次）",BU$26&gt;=1),BU84,
IF(AND(テーブル!$B$3="実績報告（２次）",BU$26=0),0,
IF(AND(テーブル!$B$3="実績報告（２次）",BU$26&gt;=1),BU84)))))))))),0)</f>
        <v>0</v>
      </c>
      <c r="BV42" s="2010">
        <f>IFERROR(
IF(テーブル!$B$3="交付申請",BV84,
IF(AND(テーブル!$B$3="変更申請",BV$26=0),0,
IF(AND(テーブル!$B$3="変更申請",BV$26&gt;=1),BV84,
IF(テーブル!$B$3="実績報告（１次）",BV84,
IF(AND(テーブル!$B$3="交付申請（２次）",BV$26=0),0,
IF(AND(テーブル!$B$3="交付申請（２次）",BV$26&gt;=1),BV84,
IF(AND(テーブル!$B$3="交付申請兼実績報告（２次）",BV$26=0),0,
IF(AND(テーブル!$B$3="交付申請兼実績報告（２次）",BV$26&gt;=1),BV84,
IF(AND(テーブル!$B$3="実績報告（２次）",BV$26=0),0,
IF(AND(テーブル!$B$3="実績報告（２次）",BV$26&gt;=1),BV84)))))))))),0)</f>
        <v>0</v>
      </c>
      <c r="BW42" s="2010">
        <f>IFERROR(
IF(テーブル!$B$3="交付申請",BW84,
IF(AND(テーブル!$B$3="変更申請",BW$26=0),0,
IF(AND(テーブル!$B$3="変更申請",BW$26&gt;=1),BW84,
IF(テーブル!$B$3="実績報告（１次）",BW84,
IF(AND(テーブル!$B$3="交付申請（２次）",BW$26=0),0,
IF(AND(テーブル!$B$3="交付申請（２次）",BW$26&gt;=1),BW84,
IF(AND(テーブル!$B$3="交付申請兼実績報告（２次）",BW$26=0),0,
IF(AND(テーブル!$B$3="交付申請兼実績報告（２次）",BW$26&gt;=1),BW84,
IF(AND(テーブル!$B$3="実績報告（２次）",BW$26=0),0,
IF(AND(テーブル!$B$3="実績報告（２次）",BW$26&gt;=1),BW84)))))))))),0)</f>
        <v>0</v>
      </c>
      <c r="BX42" s="2010">
        <f>IFERROR(
IF(テーブル!$B$3="交付申請",BX84,
IF(AND(テーブル!$B$3="変更申請",BX$26=0),0,
IF(AND(テーブル!$B$3="変更申請",BX$26&gt;=1),BX84,
IF(テーブル!$B$3="実績報告（１次）",BX84,
IF(AND(テーブル!$B$3="交付申請（２次）",BX$26=0),0,
IF(AND(テーブル!$B$3="交付申請（２次）",BX$26&gt;=1),BX84,
IF(AND(テーブル!$B$3="交付申請兼実績報告（２次）",BX$26=0),0,
IF(AND(テーブル!$B$3="交付申請兼実績報告（２次）",BX$26&gt;=1),BX84,
IF(AND(テーブル!$B$3="実績報告（２次）",BX$26=0),0,
IF(AND(テーブル!$B$3="実績報告（２次）",BX$26&gt;=1),BX84)))))))))),0)</f>
        <v>0</v>
      </c>
      <c r="BY42" s="2010">
        <f>IFERROR(
IF(テーブル!$B$3="交付申請",BY84,
IF(AND(テーブル!$B$3="変更申請",BY$26=0),0,
IF(AND(テーブル!$B$3="変更申請",BY$26&gt;=1),BY84,
IF(テーブル!$B$3="実績報告（１次）",BY84,
IF(AND(テーブル!$B$3="交付申請（２次）",BY$26=0),0,
IF(AND(テーブル!$B$3="交付申請（２次）",BY$26&gt;=1),BY84,
IF(AND(テーブル!$B$3="交付申請兼実績報告（２次）",BY$26=0),0,
IF(AND(テーブル!$B$3="交付申請兼実績報告（２次）",BY$26&gt;=1),BY84,
IF(AND(テーブル!$B$3="実績報告（２次）",BY$26=0),0,
IF(AND(テーブル!$B$3="実績報告（２次）",BY$26&gt;=1),BY84)))))))))),0)</f>
        <v>0</v>
      </c>
      <c r="BZ42" s="2010">
        <f>IFERROR(
IF(テーブル!$B$3="交付申請",BZ84,
IF(AND(テーブル!$B$3="変更申請",BZ$26=0),0,
IF(AND(テーブル!$B$3="変更申請",BZ$26&gt;=1),BZ84,
IF(テーブル!$B$3="実績報告（１次）",BZ84,
IF(AND(テーブル!$B$3="交付申請（２次）",BZ$26=0),0,
IF(AND(テーブル!$B$3="交付申請（２次）",BZ$26&gt;=1),BZ84,
IF(AND(テーブル!$B$3="交付申請兼実績報告（２次）",BZ$26=0),0,
IF(AND(テーブル!$B$3="交付申請兼実績報告（２次）",BZ$26&gt;=1),BZ84,
IF(AND(テーブル!$B$3="実績報告（２次）",BZ$26=0),0,
IF(AND(テーブル!$B$3="実績報告（２次）",BZ$26&gt;=1),BZ84)))))))))),0)</f>
        <v>0</v>
      </c>
      <c r="CA42" s="2010">
        <f>IFERROR(
IF(テーブル!$B$3="交付申請",CA84,
IF(AND(テーブル!$B$3="変更申請",CA$26=0),0,
IF(AND(テーブル!$B$3="変更申請",CA$26&gt;=1),CA84,
IF(テーブル!$B$3="実績報告（１次）",CA84,
IF(AND(テーブル!$B$3="交付申請（２次）",CA$26=0),0,
IF(AND(テーブル!$B$3="交付申請（２次）",CA$26&gt;=1),CA84,
IF(AND(テーブル!$B$3="交付申請兼実績報告（２次）",CA$26=0),0,
IF(AND(テーブル!$B$3="交付申請兼実績報告（２次）",CA$26&gt;=1),CA84,
IF(AND(テーブル!$B$3="実績報告（２次）",CA$26=0),0,
IF(AND(テーブル!$B$3="実績報告（２次）",CA$26&gt;=1),CA84)))))))))),0)</f>
        <v>0</v>
      </c>
      <c r="CB42" s="2010">
        <f>IFERROR(
IF(テーブル!$B$3="交付申請",CB84,
IF(AND(テーブル!$B$3="変更申請",CB$26=0),0,
IF(AND(テーブル!$B$3="変更申請",CB$26&gt;=1),CB84,
IF(テーブル!$B$3="実績報告（１次）",CB84,
IF(AND(テーブル!$B$3="交付申請（２次）",CB$26=0),0,
IF(AND(テーブル!$B$3="交付申請（２次）",CB$26&gt;=1),CB84,
IF(AND(テーブル!$B$3="交付申請兼実績報告（２次）",CB$26=0),0,
IF(AND(テーブル!$B$3="交付申請兼実績報告（２次）",CB$26&gt;=1),CB84,
IF(AND(テーブル!$B$3="実績報告（２次）",CB$26=0),0,
IF(AND(テーブル!$B$3="実績報告（２次）",CB$26&gt;=1),CB84)))))))))),0)</f>
        <v>0</v>
      </c>
      <c r="CC42" s="2010">
        <f>IFERROR(
IF(テーブル!$B$3="交付申請",CC84,
IF(AND(テーブル!$B$3="変更申請",CC$26=0),0,
IF(AND(テーブル!$B$3="変更申請",CC$26&gt;=1),CC84,
IF(テーブル!$B$3="実績報告（１次）",CC84,
IF(AND(テーブル!$B$3="交付申請（２次）",CC$26=0),0,
IF(AND(テーブル!$B$3="交付申請（２次）",CC$26&gt;=1),CC84,
IF(AND(テーブル!$B$3="交付申請兼実績報告（２次）",CC$26=0),0,
IF(AND(テーブル!$B$3="交付申請兼実績報告（２次）",CC$26&gt;=1),CC84,
IF(AND(テーブル!$B$3="実績報告（２次）",CC$26=0),0,
IF(AND(テーブル!$B$3="実績報告（２次）",CC$26&gt;=1),CC84)))))))))),0)</f>
        <v>0</v>
      </c>
      <c r="CD42" s="2010">
        <f>IFERROR(
IF(テーブル!$B$3="交付申請",CD84,
IF(AND(テーブル!$B$3="変更申請",CD$26=0),0,
IF(AND(テーブル!$B$3="変更申請",CD$26&gt;=1),CD84,
IF(テーブル!$B$3="実績報告（１次）",CD84,
IF(AND(テーブル!$B$3="交付申請（２次）",CD$26=0),0,
IF(AND(テーブル!$B$3="交付申請（２次）",CD$26&gt;=1),CD84,
IF(AND(テーブル!$B$3="交付申請兼実績報告（２次）",CD$26=0),0,
IF(AND(テーブル!$B$3="交付申請兼実績報告（２次）",CD$26&gt;=1),CD84,
IF(AND(テーブル!$B$3="実績報告（２次）",CD$26=0),0,
IF(AND(テーブル!$B$3="実績報告（２次）",CD$26&gt;=1),CD84)))))))))),0)</f>
        <v>0</v>
      </c>
      <c r="CE42" s="2010">
        <f>IFERROR(
IF(テーブル!$B$3="交付申請",CE84,
IF(AND(テーブル!$B$3="変更申請",CE$26=0),0,
IF(AND(テーブル!$B$3="変更申請",CE$26&gt;=1),CE84,
IF(テーブル!$B$3="実績報告（１次）",CE84,
IF(AND(テーブル!$B$3="交付申請（２次）",CE$26=0),0,
IF(AND(テーブル!$B$3="交付申請（２次）",CE$26&gt;=1),CE84,
IF(AND(テーブル!$B$3="交付申請兼実績報告（２次）",CE$26=0),0,
IF(AND(テーブル!$B$3="交付申請兼実績報告（２次）",CE$26&gt;=1),CE84,
IF(AND(テーブル!$B$3="実績報告（２次）",CE$26=0),0,
IF(AND(テーブル!$B$3="実績報告（２次）",CE$26&gt;=1),CE84)))))))))),0)</f>
        <v>0</v>
      </c>
      <c r="CF42" s="2010">
        <f>IFERROR(
IF(テーブル!$B$3="交付申請",CF84,
IF(AND(テーブル!$B$3="変更申請",CF$26=0),0,
IF(AND(テーブル!$B$3="変更申請",CF$26&gt;=1),CF84,
IF(テーブル!$B$3="実績報告（１次）",CF84,
IF(AND(テーブル!$B$3="交付申請（２次）",CF$26=0),0,
IF(AND(テーブル!$B$3="交付申請（２次）",CF$26&gt;=1),CF84,
IF(AND(テーブル!$B$3="交付申請兼実績報告（２次）",CF$26=0),0,
IF(AND(テーブル!$B$3="交付申請兼実績報告（２次）",CF$26&gt;=1),CF84,
IF(AND(テーブル!$B$3="実績報告（２次）",CF$26=0),0,
IF(AND(テーブル!$B$3="実績報告（２次）",CF$26&gt;=1),CF84)))))))))),0)</f>
        <v>0</v>
      </c>
      <c r="CG42" s="2010">
        <f>IFERROR(
IF(テーブル!$B$3="交付申請",CG84,
IF(AND(テーブル!$B$3="変更申請",CG$26=0),0,
IF(AND(テーブル!$B$3="変更申請",CG$26&gt;=1),CG84,
IF(テーブル!$B$3="実績報告（１次）",CG84,
IF(AND(テーブル!$B$3="交付申請（２次）",CG$26=0),0,
IF(AND(テーブル!$B$3="交付申請（２次）",CG$26&gt;=1),CG84,
IF(AND(テーブル!$B$3="交付申請兼実績報告（２次）",CG$26=0),0,
IF(AND(テーブル!$B$3="交付申請兼実績報告（２次）",CG$26&gt;=1),CG84,
IF(AND(テーブル!$B$3="実績報告（２次）",CG$26=0),0,
IF(AND(テーブル!$B$3="実績報告（２次）",CG$26&gt;=1),CG84)))))))))),0)</f>
        <v>0</v>
      </c>
      <c r="CH42" s="2010">
        <f>IFERROR(
IF(テーブル!$B$3="交付申請",CH84,
IF(AND(テーブル!$B$3="変更申請",CH$26=0),0,
IF(AND(テーブル!$B$3="変更申請",CH$26&gt;=1),CH84,
IF(テーブル!$B$3="実績報告（１次）",CH84,
IF(AND(テーブル!$B$3="交付申請（２次）",CH$26=0),0,
IF(AND(テーブル!$B$3="交付申請（２次）",CH$26&gt;=1),CH84,
IF(AND(テーブル!$B$3="交付申請兼実績報告（２次）",CH$26=0),0,
IF(AND(テーブル!$B$3="交付申請兼実績報告（２次）",CH$26&gt;=1),CH84,
IF(AND(テーブル!$B$3="実績報告（２次）",CH$26=0),0,
IF(AND(テーブル!$B$3="実績報告（２次）",CH$26&gt;=1),CH84)))))))))),0)</f>
        <v>0</v>
      </c>
      <c r="CI42" s="2010">
        <f>IFERROR(
IF(テーブル!$B$3="交付申請",CI84,
IF(AND(テーブル!$B$3="変更申請",CI$26=0),0,
IF(AND(テーブル!$B$3="変更申請",CI$26&gt;=1),CI84,
IF(テーブル!$B$3="実績報告（１次）",CI84,
IF(AND(テーブル!$B$3="交付申請（２次）",CI$26=0),0,
IF(AND(テーブル!$B$3="交付申請（２次）",CI$26&gt;=1),CI84,
IF(AND(テーブル!$B$3="交付申請兼実績報告（２次）",CI$26=0),0,
IF(AND(テーブル!$B$3="交付申請兼実績報告（２次）",CI$26&gt;=1),CI84,
IF(AND(テーブル!$B$3="実績報告（２次）",CI$26=0),0,
IF(AND(テーブル!$B$3="実績報告（２次）",CI$26&gt;=1),CI84)))))))))),0)</f>
        <v>0</v>
      </c>
      <c r="CJ42" s="2010">
        <f>IFERROR(
IF(テーブル!$B$3="交付申請",CJ84,
IF(AND(テーブル!$B$3="変更申請",CJ$26=0),0,
IF(AND(テーブル!$B$3="変更申請",CJ$26&gt;=1),CJ84,
IF(テーブル!$B$3="実績報告（１次）",CJ84,
IF(AND(テーブル!$B$3="交付申請（２次）",CJ$26=0),0,
IF(AND(テーブル!$B$3="交付申請（２次）",CJ$26&gt;=1),CJ84,
IF(AND(テーブル!$B$3="交付申請兼実績報告（２次）",CJ$26=0),0,
IF(AND(テーブル!$B$3="交付申請兼実績報告（２次）",CJ$26&gt;=1),CJ84,
IF(AND(テーブル!$B$3="実績報告（２次）",CJ$26=0),0,
IF(AND(テーブル!$B$3="実績報告（２次）",CJ$26&gt;=1),CJ84)))))))))),0)</f>
        <v>0</v>
      </c>
      <c r="CK42" s="2010">
        <f>IFERROR(
IF(テーブル!$B$3="交付申請",CK84,
IF(AND(テーブル!$B$3="変更申請",CK$26=0),0,
IF(AND(テーブル!$B$3="変更申請",CK$26&gt;=1),CK84,
IF(テーブル!$B$3="実績報告（１次）",CK84,
IF(AND(テーブル!$B$3="交付申請（２次）",CK$26=0),0,
IF(AND(テーブル!$B$3="交付申請（２次）",CK$26&gt;=1),CK84,
IF(AND(テーブル!$B$3="交付申請兼実績報告（２次）",CK$26=0),0,
IF(AND(テーブル!$B$3="交付申請兼実績報告（２次）",CK$26&gt;=1),CK84,
IF(AND(テーブル!$B$3="実績報告（２次）",CK$26=0),0,
IF(AND(テーブル!$B$3="実績報告（２次）",CK$26&gt;=1),CK84)))))))))),0)</f>
        <v>0</v>
      </c>
      <c r="CL42" s="2010">
        <f>IFERROR(
IF(テーブル!$B$3="交付申請",CL84,
IF(AND(テーブル!$B$3="変更申請",CL$26=0),0,
IF(AND(テーブル!$B$3="変更申請",CL$26&gt;=1),CL84,
IF(テーブル!$B$3="実績報告（１次）",CL84,
IF(AND(テーブル!$B$3="交付申請（２次）",CL$26=0),0,
IF(AND(テーブル!$B$3="交付申請（２次）",CL$26&gt;=1),CL84,
IF(AND(テーブル!$B$3="交付申請兼実績報告（２次）",CL$26=0),0,
IF(AND(テーブル!$B$3="交付申請兼実績報告（２次）",CL$26&gt;=1),CL84,
IF(AND(テーブル!$B$3="実績報告（２次）",CL$26=0),0,
IF(AND(テーブル!$B$3="実績報告（２次）",CL$26&gt;=1),CL84)))))))))),0)</f>
        <v>0</v>
      </c>
      <c r="CM42" s="2010">
        <f>IFERROR(
IF(テーブル!$B$3="交付申請",CM84,
IF(AND(テーブル!$B$3="変更申請",CM$26=0),0,
IF(AND(テーブル!$B$3="変更申請",CM$26&gt;=1),CM84,
IF(テーブル!$B$3="実績報告（１次）",CM84,
IF(AND(テーブル!$B$3="交付申請（２次）",CM$26=0),0,
IF(AND(テーブル!$B$3="交付申請（２次）",CM$26&gt;=1),CM84,
IF(AND(テーブル!$B$3="交付申請兼実績報告（２次）",CM$26=0),0,
IF(AND(テーブル!$B$3="交付申請兼実績報告（２次）",CM$26&gt;=1),CM84,
IF(AND(テーブル!$B$3="実績報告（２次）",CM$26=0),0,
IF(AND(テーブル!$B$3="実績報告（２次）",CM$26&gt;=1),CM84)))))))))),0)</f>
        <v>0</v>
      </c>
      <c r="CN42" s="2010">
        <f>IFERROR(
IF(テーブル!$B$3="交付申請",CN84,
IF(AND(テーブル!$B$3="変更申請",CN$26=0),0,
IF(AND(テーブル!$B$3="変更申請",CN$26&gt;=1),CN84,
IF(テーブル!$B$3="実績報告（１次）",CN84,
IF(AND(テーブル!$B$3="交付申請（２次）",CN$26=0),0,
IF(AND(テーブル!$B$3="交付申請（２次）",CN$26&gt;=1),CN84,
IF(AND(テーブル!$B$3="交付申請兼実績報告（２次）",CN$26=0),0,
IF(AND(テーブル!$B$3="交付申請兼実績報告（２次）",CN$26&gt;=1),CN84,
IF(AND(テーブル!$B$3="実績報告（２次）",CN$26=0),0,
IF(AND(テーブル!$B$3="実績報告（２次）",CN$26&gt;=1),CN84)))))))))),0)</f>
        <v>0</v>
      </c>
      <c r="CO42" s="2010">
        <f>IFERROR(
IF(テーブル!$B$3="交付申請",CO84,
IF(AND(テーブル!$B$3="変更申請",CO$26=0),0,
IF(AND(テーブル!$B$3="変更申請",CO$26&gt;=1),CO84,
IF(テーブル!$B$3="実績報告（１次）",CO84,
IF(AND(テーブル!$B$3="交付申請（２次）",CO$26=0),0,
IF(AND(テーブル!$B$3="交付申請（２次）",CO$26&gt;=1),CO84,
IF(AND(テーブル!$B$3="交付申請兼実績報告（２次）",CO$26=0),0,
IF(AND(テーブル!$B$3="交付申請兼実績報告（２次）",CO$26&gt;=1),CO84,
IF(AND(テーブル!$B$3="実績報告（２次）",CO$26=0),0,
IF(AND(テーブル!$B$3="実績報告（２次）",CO$26&gt;=1),CO84)))))))))),0)</f>
        <v>0</v>
      </c>
      <c r="CP42" s="2010">
        <f>IFERROR(
IF(テーブル!$B$3="交付申請",CP84,
IF(AND(テーブル!$B$3="変更申請",CP$26=0),0,
IF(AND(テーブル!$B$3="変更申請",CP$26&gt;=1),CP84,
IF(テーブル!$B$3="実績報告（１次）",CP84,
IF(AND(テーブル!$B$3="交付申請（２次）",CP$26=0),0,
IF(AND(テーブル!$B$3="交付申請（２次）",CP$26&gt;=1),CP84,
IF(AND(テーブル!$B$3="交付申請兼実績報告（２次）",CP$26=0),0,
IF(AND(テーブル!$B$3="交付申請兼実績報告（２次）",CP$26&gt;=1),CP84,
IF(AND(テーブル!$B$3="実績報告（２次）",CP$26=0),0,
IF(AND(テーブル!$B$3="実績報告（２次）",CP$26&gt;=1),CP84)))))))))),0)</f>
        <v>0</v>
      </c>
      <c r="CQ42" s="2010">
        <f>IFERROR(
IF(テーブル!$B$3="交付申請",CQ84,
IF(AND(テーブル!$B$3="変更申請",CQ$26=0),0,
IF(AND(テーブル!$B$3="変更申請",CQ$26&gt;=1),CQ84,
IF(テーブル!$B$3="実績報告（１次）",CQ84,
IF(AND(テーブル!$B$3="交付申請（２次）",CQ$26=0),0,
IF(AND(テーブル!$B$3="交付申請（２次）",CQ$26&gt;=1),CQ84,
IF(AND(テーブル!$B$3="交付申請兼実績報告（２次）",CQ$26=0),0,
IF(AND(テーブル!$B$3="交付申請兼実績報告（２次）",CQ$26&gt;=1),CQ84,
IF(AND(テーブル!$B$3="実績報告（２次）",CQ$26=0),0,
IF(AND(テーブル!$B$3="実績報告（２次）",CQ$26&gt;=1),CQ84)))))))))),0)</f>
        <v>0</v>
      </c>
      <c r="CR42" s="2010">
        <f>IFERROR(
IF(テーブル!$B$3="交付申請",CR84,
IF(AND(テーブル!$B$3="変更申請",CR$26=0),0,
IF(AND(テーブル!$B$3="変更申請",CR$26&gt;=1),CR84,
IF(テーブル!$B$3="実績報告（１次）",CR84,
IF(AND(テーブル!$B$3="交付申請（２次）",CR$26=0),0,
IF(AND(テーブル!$B$3="交付申請（２次）",CR$26&gt;=1),CR84,
IF(AND(テーブル!$B$3="交付申請兼実績報告（２次）",CR$26=0),0,
IF(AND(テーブル!$B$3="交付申請兼実績報告（２次）",CR$26&gt;=1),CR84,
IF(AND(テーブル!$B$3="実績報告（２次）",CR$26=0),0,
IF(AND(テーブル!$B$3="実績報告（２次）",CR$26&gt;=1),CR84)))))))))),0)</f>
        <v>0</v>
      </c>
      <c r="CS42" s="2010">
        <f>IFERROR(
IF(テーブル!$B$3="交付申請",CS84,
IF(AND(テーブル!$B$3="変更申請",CS$26=0),0,
IF(AND(テーブル!$B$3="変更申請",CS$26&gt;=1),CS84,
IF(テーブル!$B$3="実績報告（１次）",CS84,
IF(AND(テーブル!$B$3="交付申請（２次）",CS$26=0),0,
IF(AND(テーブル!$B$3="交付申請（２次）",CS$26&gt;=1),CS84,
IF(AND(テーブル!$B$3="交付申請兼実績報告（２次）",CS$26=0),0,
IF(AND(テーブル!$B$3="交付申請兼実績報告（２次）",CS$26&gt;=1),CS84,
IF(AND(テーブル!$B$3="実績報告（２次）",CS$26=0),0,
IF(AND(テーブル!$B$3="実績報告（２次）",CS$26&gt;=1),CS84)))))))))),0)</f>
        <v>0</v>
      </c>
      <c r="CT42" s="2010">
        <f>IFERROR(
IF(テーブル!$B$3="交付申請",CT84,
IF(AND(テーブル!$B$3="変更申請",CT$26=0),0,
IF(AND(テーブル!$B$3="変更申請",CT$26&gt;=1),CT84,
IF(テーブル!$B$3="実績報告（１次）",CT84,
IF(AND(テーブル!$B$3="交付申請（２次）",CT$26=0),0,
IF(AND(テーブル!$B$3="交付申請（２次）",CT$26&gt;=1),CT84,
IF(AND(テーブル!$B$3="交付申請兼実績報告（２次）",CT$26=0),0,
IF(AND(テーブル!$B$3="交付申請兼実績報告（２次）",CT$26&gt;=1),CT84,
IF(AND(テーブル!$B$3="実績報告（２次）",CT$26=0),0,
IF(AND(テーブル!$B$3="実績報告（２次）",CT$26&gt;=1),CT84)))))))))),0)</f>
        <v>0</v>
      </c>
      <c r="CU42" s="2010">
        <f>IFERROR(
IF(テーブル!$B$3="交付申請",CU84,
IF(AND(テーブル!$B$3="変更申請",CU$26=0),0,
IF(AND(テーブル!$B$3="変更申請",CU$26&gt;=1),CU84,
IF(テーブル!$B$3="実績報告（１次）",CU84,
IF(AND(テーブル!$B$3="交付申請（２次）",CU$26=0),0,
IF(AND(テーブル!$B$3="交付申請（２次）",CU$26&gt;=1),CU84,
IF(AND(テーブル!$B$3="交付申請兼実績報告（２次）",CU$26=0),0,
IF(AND(テーブル!$B$3="交付申請兼実績報告（２次）",CU$26&gt;=1),CU84,
IF(AND(テーブル!$B$3="実績報告（２次）",CU$26=0),0,
IF(AND(テーブル!$B$3="実績報告（２次）",CU$26&gt;=1),CU84)))))))))),0)</f>
        <v>0</v>
      </c>
      <c r="CV42" s="2010">
        <f>IFERROR(
IF(テーブル!$B$3="交付申請",CV84,
IF(AND(テーブル!$B$3="変更申請",CV$26=0),0,
IF(AND(テーブル!$B$3="変更申請",CV$26&gt;=1),CV84,
IF(テーブル!$B$3="実績報告（１次）",CV84,
IF(AND(テーブル!$B$3="交付申請（２次）",CV$26=0),0,
IF(AND(テーブル!$B$3="交付申請（２次）",CV$26&gt;=1),CV84,
IF(AND(テーブル!$B$3="交付申請兼実績報告（２次）",CV$26=0),0,
IF(AND(テーブル!$B$3="交付申請兼実績報告（２次）",CV$26&gt;=1),CV84,
IF(AND(テーブル!$B$3="実績報告（２次）",CV$26=0),0,
IF(AND(テーブル!$B$3="実績報告（２次）",CV$26&gt;=1),CV84)))))))))),0)</f>
        <v>0</v>
      </c>
      <c r="CW42" s="2010">
        <f>IFERROR(
IF(テーブル!$B$3="交付申請",CW84,
IF(AND(テーブル!$B$3="変更申請",CW$26=0),0,
IF(AND(テーブル!$B$3="変更申請",CW$26&gt;=1),CW84,
IF(テーブル!$B$3="実績報告（１次）",CW84,
IF(AND(テーブル!$B$3="交付申請（２次）",CW$26=0),0,
IF(AND(テーブル!$B$3="交付申請（２次）",CW$26&gt;=1),CW84,
IF(AND(テーブル!$B$3="交付申請兼実績報告（２次）",CW$26=0),0,
IF(AND(テーブル!$B$3="交付申請兼実績報告（２次）",CW$26&gt;=1),CW84,
IF(AND(テーブル!$B$3="実績報告（２次）",CW$26=0),0,
IF(AND(テーブル!$B$3="実績報告（２次）",CW$26&gt;=1),CW84)))))))))),0)</f>
        <v>0</v>
      </c>
      <c r="CX42" s="2010">
        <f>IFERROR(
IF(テーブル!$B$3="交付申請",CX84,
IF(AND(テーブル!$B$3="変更申請",CX$26=0),0,
IF(AND(テーブル!$B$3="変更申請",CX$26&gt;=1),CX84,
IF(テーブル!$B$3="実績報告（１次）",CX84,
IF(AND(テーブル!$B$3="交付申請（２次）",CX$26=0),0,
IF(AND(テーブル!$B$3="交付申請（２次）",CX$26&gt;=1),CX84,
IF(AND(テーブル!$B$3="交付申請兼実績報告（２次）",CX$26=0),0,
IF(AND(テーブル!$B$3="交付申請兼実績報告（２次）",CX$26&gt;=1),CX84,
IF(AND(テーブル!$B$3="実績報告（２次）",CX$26=0),0,
IF(AND(テーブル!$B$3="実績報告（２次）",CX$26&gt;=1),CX84)))))))))),0)</f>
        <v>0</v>
      </c>
      <c r="CY42" s="2010">
        <f>IFERROR(
IF(テーブル!$B$3="交付申請",CY84,
IF(AND(テーブル!$B$3="変更申請",CY$26=0),0,
IF(AND(テーブル!$B$3="変更申請",CY$26&gt;=1),CY84,
IF(テーブル!$B$3="実績報告（１次）",CY84,
IF(AND(テーブル!$B$3="交付申請（２次）",CY$26=0),0,
IF(AND(テーブル!$B$3="交付申請（２次）",CY$26&gt;=1),CY84,
IF(AND(テーブル!$B$3="交付申請兼実績報告（２次）",CY$26=0),0,
IF(AND(テーブル!$B$3="交付申請兼実績報告（２次）",CY$26&gt;=1),CY84,
IF(AND(テーブル!$B$3="実績報告（２次）",CY$26=0),0,
IF(AND(テーブル!$B$3="実績報告（２次）",CY$26&gt;=1),CY84)))))))))),0)</f>
        <v>0</v>
      </c>
      <c r="CZ42" s="2010">
        <f>IFERROR(
IF(テーブル!$B$3="交付申請",CZ84,
IF(AND(テーブル!$B$3="変更申請",CZ$26=0),0,
IF(AND(テーブル!$B$3="変更申請",CZ$26&gt;=1),CZ84,
IF(テーブル!$B$3="実績報告（１次）",CZ84,
IF(AND(テーブル!$B$3="交付申請（２次）",CZ$26=0),0,
IF(AND(テーブル!$B$3="交付申請（２次）",CZ$26&gt;=1),CZ84,
IF(AND(テーブル!$B$3="交付申請兼実績報告（２次）",CZ$26=0),0,
IF(AND(テーブル!$B$3="交付申請兼実績報告（２次）",CZ$26&gt;=1),CZ84,
IF(AND(テーブル!$B$3="実績報告（２次）",CZ$26=0),0,
IF(AND(テーブル!$B$3="実績報告（２次）",CZ$26&gt;=1),CZ84)))))))))),0)</f>
        <v>0</v>
      </c>
      <c r="DA42" s="2010">
        <f>IFERROR(
IF(テーブル!$B$3="交付申請",DA84,
IF(AND(テーブル!$B$3="変更申請",DA$26=0),0,
IF(AND(テーブル!$B$3="変更申請",DA$26&gt;=1),DA84,
IF(テーブル!$B$3="実績報告（１次）",DA84,
IF(AND(テーブル!$B$3="交付申請（２次）",DA$26=0),0,
IF(AND(テーブル!$B$3="交付申請（２次）",DA$26&gt;=1),DA84,
IF(AND(テーブル!$B$3="交付申請兼実績報告（２次）",DA$26=0),0,
IF(AND(テーブル!$B$3="交付申請兼実績報告（２次）",DA$26&gt;=1),DA84,
IF(AND(テーブル!$B$3="実績報告（２次）",DA$26=0),0,
IF(AND(テーブル!$B$3="実績報告（２次）",DA$26&gt;=1),DA84)))))))))),0)</f>
        <v>0</v>
      </c>
      <c r="DB42" s="2010">
        <f>IFERROR(
IF(テーブル!$B$3="交付申請",DB84,
IF(AND(テーブル!$B$3="変更申請",DB$26=0),0,
IF(AND(テーブル!$B$3="変更申請",DB$26&gt;=1),DB84,
IF(テーブル!$B$3="実績報告（１次）",DB84,
IF(AND(テーブル!$B$3="交付申請（２次）",DB$26=0),0,
IF(AND(テーブル!$B$3="交付申請（２次）",DB$26&gt;=1),DB84,
IF(AND(テーブル!$B$3="交付申請兼実績報告（２次）",DB$26=0),0,
IF(AND(テーブル!$B$3="交付申請兼実績報告（２次）",DB$26&gt;=1),DB84,
IF(AND(テーブル!$B$3="実績報告（２次）",DB$26=0),0,
IF(AND(テーブル!$B$3="実績報告（２次）",DB$26&gt;=1),DB84)))))))))),0)</f>
        <v>0</v>
      </c>
      <c r="DC42" s="2010">
        <f>IFERROR(
IF(テーブル!$B$3="交付申請",DC84,
IF(AND(テーブル!$B$3="変更申請",DC$26=0),0,
IF(AND(テーブル!$B$3="変更申請",DC$26&gt;=1),DC84,
IF(テーブル!$B$3="実績報告（１次）",DC84,
IF(AND(テーブル!$B$3="交付申請（２次）",DC$26=0),0,
IF(AND(テーブル!$B$3="交付申請（２次）",DC$26&gt;=1),DC84,
IF(AND(テーブル!$B$3="交付申請兼実績報告（２次）",DC$26=0),0,
IF(AND(テーブル!$B$3="交付申請兼実績報告（２次）",DC$26&gt;=1),DC84,
IF(AND(テーブル!$B$3="実績報告（２次）",DC$26=0),0,
IF(AND(テーブル!$B$3="実績報告（２次）",DC$26&gt;=1),DC84)))))))))),0)</f>
        <v>0</v>
      </c>
      <c r="DD42" s="2010">
        <f>IFERROR(
IF(テーブル!$B$3="交付申請",DD84,
IF(AND(テーブル!$B$3="変更申請",DD$26=0),0,
IF(AND(テーブル!$B$3="変更申請",DD$26&gt;=1),DD84,
IF(テーブル!$B$3="実績報告（１次）",DD84,
IF(AND(テーブル!$B$3="交付申請（２次）",DD$26=0),0,
IF(AND(テーブル!$B$3="交付申請（２次）",DD$26&gt;=1),DD84,
IF(AND(テーブル!$B$3="交付申請兼実績報告（２次）",DD$26=0),0,
IF(AND(テーブル!$B$3="交付申請兼実績報告（２次）",DD$26&gt;=1),DD84,
IF(AND(テーブル!$B$3="実績報告（２次）",DD$26=0),0,
IF(AND(テーブル!$B$3="実績報告（２次）",DD$26&gt;=1),DD84)))))))))),0)</f>
        <v>0</v>
      </c>
      <c r="DE42" s="2010">
        <f>IFERROR(
IF(テーブル!$B$3="交付申請",DE84,
IF(AND(テーブル!$B$3="変更申請",DE$26=0),0,
IF(AND(テーブル!$B$3="変更申請",DE$26&gt;=1),DE84,
IF(テーブル!$B$3="実績報告（１次）",DE84,
IF(AND(テーブル!$B$3="交付申請（２次）",DE$26=0),0,
IF(AND(テーブル!$B$3="交付申請（２次）",DE$26&gt;=1),DE84,
IF(AND(テーブル!$B$3="交付申請兼実績報告（２次）",DE$26=0),0,
IF(AND(テーブル!$B$3="交付申請兼実績報告（２次）",DE$26&gt;=1),DE84,
IF(AND(テーブル!$B$3="実績報告（２次）",DE$26=0),0,
IF(AND(テーブル!$B$3="実績報告（２次）",DE$26&gt;=1),DE84)))))))))),0)</f>
        <v>0</v>
      </c>
      <c r="DF42" s="2010">
        <f>IFERROR(
IF(テーブル!$B$3="交付申請",DF84,
IF(AND(テーブル!$B$3="変更申請",DF$26=0),0,
IF(AND(テーブル!$B$3="変更申請",DF$26&gt;=1),DF84,
IF(テーブル!$B$3="実績報告（１次）",DF84,
IF(AND(テーブル!$B$3="交付申請（２次）",DF$26=0),0,
IF(AND(テーブル!$B$3="交付申請（２次）",DF$26&gt;=1),DF84,
IF(AND(テーブル!$B$3="交付申請兼実績報告（２次）",DF$26=0),0,
IF(AND(テーブル!$B$3="交付申請兼実績報告（２次）",DF$26&gt;=1),DF84,
IF(AND(テーブル!$B$3="実績報告（２次）",DF$26=0),0,
IF(AND(テーブル!$B$3="実績報告（２次）",DF$26&gt;=1),DF84)))))))))),0)</f>
        <v>0</v>
      </c>
      <c r="DG42" s="2010">
        <f>IFERROR(
IF(テーブル!$B$3="交付申請",DG84,
IF(AND(テーブル!$B$3="変更申請",DG$26=0),0,
IF(AND(テーブル!$B$3="変更申請",DG$26&gt;=1),DG84,
IF(テーブル!$B$3="実績報告（１次）",DG84,
IF(AND(テーブル!$B$3="交付申請（２次）",DG$26=0),0,
IF(AND(テーブル!$B$3="交付申請（２次）",DG$26&gt;=1),DG84,
IF(AND(テーブル!$B$3="交付申請兼実績報告（２次）",DG$26=0),0,
IF(AND(テーブル!$B$3="交付申請兼実績報告（２次）",DG$26&gt;=1),DG84,
IF(AND(テーブル!$B$3="実績報告（２次）",DG$26=0),0,
IF(AND(テーブル!$B$3="実績報告（２次）",DG$26&gt;=1),DG84)))))))))),0)</f>
        <v>0</v>
      </c>
      <c r="DH42" s="2010">
        <f>IFERROR(
IF(テーブル!$B$3="交付申請",DH84,
IF(AND(テーブル!$B$3="変更申請",DH$26=0),0,
IF(AND(テーブル!$B$3="変更申請",DH$26&gt;=1),DH84,
IF(テーブル!$B$3="実績報告（１次）",DH84,
IF(AND(テーブル!$B$3="交付申請（２次）",DH$26=0),0,
IF(AND(テーブル!$B$3="交付申請（２次）",DH$26&gt;=1),DH84,
IF(AND(テーブル!$B$3="交付申請兼実績報告（２次）",DH$26=0),0,
IF(AND(テーブル!$B$3="交付申請兼実績報告（２次）",DH$26&gt;=1),DH84,
IF(AND(テーブル!$B$3="実績報告（２次）",DH$26=0),0,
IF(AND(テーブル!$B$3="実績報告（２次）",DH$26&gt;=1),DH84)))))))))),0)</f>
        <v>0</v>
      </c>
      <c r="DI42" s="2010">
        <f>IFERROR(
IF(テーブル!$B$3="交付申請",DI84,
IF(AND(テーブル!$B$3="変更申請",DI$26=0),0,
IF(AND(テーブル!$B$3="変更申請",DI$26&gt;=1),DI84,
IF(テーブル!$B$3="実績報告（１次）",DI84,
IF(AND(テーブル!$B$3="交付申請（２次）",DI$26=0),0,
IF(AND(テーブル!$B$3="交付申請（２次）",DI$26&gt;=1),DI84,
IF(AND(テーブル!$B$3="交付申請兼実績報告（２次）",DI$26=0),0,
IF(AND(テーブル!$B$3="交付申請兼実績報告（２次）",DI$26&gt;=1),DI84,
IF(AND(テーブル!$B$3="実績報告（２次）",DI$26=0),0,
IF(AND(テーブル!$B$3="実績報告（２次）",DI$26&gt;=1),DI84)))))))))),0)</f>
        <v>0</v>
      </c>
      <c r="DJ42" s="2010">
        <f>IFERROR(
IF(テーブル!$B$3="交付申請",DJ84,
IF(AND(テーブル!$B$3="変更申請",DJ$26=0),0,
IF(AND(テーブル!$B$3="変更申請",DJ$26&gt;=1),DJ84,
IF(テーブル!$B$3="実績報告（１次）",DJ84,
IF(AND(テーブル!$B$3="交付申請（２次）",DJ$26=0),0,
IF(AND(テーブル!$B$3="交付申請（２次）",DJ$26&gt;=1),DJ84,
IF(AND(テーブル!$B$3="交付申請兼実績報告（２次）",DJ$26=0),0,
IF(AND(テーブル!$B$3="交付申請兼実績報告（２次）",DJ$26&gt;=1),DJ84,
IF(AND(テーブル!$B$3="実績報告（２次）",DJ$26=0),0,
IF(AND(テーブル!$B$3="実績報告（２次）",DJ$26&gt;=1),DJ84)))))))))),0)</f>
        <v>0</v>
      </c>
      <c r="DK42" s="2010">
        <f>IFERROR(
IF(テーブル!$B$3="交付申請",DK84,
IF(AND(テーブル!$B$3="変更申請",DK$26=0),0,
IF(AND(テーブル!$B$3="変更申請",DK$26&gt;=1),DK84,
IF(テーブル!$B$3="実績報告（１次）",DK84,
IF(AND(テーブル!$B$3="交付申請（２次）",DK$26=0),0,
IF(AND(テーブル!$B$3="交付申請（２次）",DK$26&gt;=1),DK84,
IF(AND(テーブル!$B$3="交付申請兼実績報告（２次）",DK$26=0),0,
IF(AND(テーブル!$B$3="交付申請兼実績報告（２次）",DK$26&gt;=1),DK84,
IF(AND(テーブル!$B$3="実績報告（２次）",DK$26=0),0,
IF(AND(テーブル!$B$3="実績報告（２次）",DK$26&gt;=1),DK84)))))))))),0)</f>
        <v>0</v>
      </c>
      <c r="DL42" s="2010">
        <f>IFERROR(
IF(テーブル!$B$3="交付申請",DL84,
IF(AND(テーブル!$B$3="変更申請",DL$26=0),0,
IF(AND(テーブル!$B$3="変更申請",DL$26&gt;=1),DL84,
IF(テーブル!$B$3="実績報告（１次）",DL84,
IF(AND(テーブル!$B$3="交付申請（２次）",DL$26=0),0,
IF(AND(テーブル!$B$3="交付申請（２次）",DL$26&gt;=1),DL84,
IF(AND(テーブル!$B$3="交付申請兼実績報告（２次）",DL$26=0),0,
IF(AND(テーブル!$B$3="交付申請兼実績報告（２次）",DL$26&gt;=1),DL84,
IF(AND(テーブル!$B$3="実績報告（２次）",DL$26=0),0,
IF(AND(テーブル!$B$3="実績報告（２次）",DL$26&gt;=1),DL84)))))))))),0)</f>
        <v>0</v>
      </c>
      <c r="DM42" s="2010">
        <f>IFERROR(
IF(テーブル!$B$3="交付申請",DM84,
IF(AND(テーブル!$B$3="変更申請",DM$26=0),0,
IF(AND(テーブル!$B$3="変更申請",DM$26&gt;=1),DM84,
IF(テーブル!$B$3="実績報告（１次）",DM84,
IF(AND(テーブル!$B$3="交付申請（２次）",DM$26=0),0,
IF(AND(テーブル!$B$3="交付申請（２次）",DM$26&gt;=1),DM84,
IF(AND(テーブル!$B$3="交付申請兼実績報告（２次）",DM$26=0),0,
IF(AND(テーブル!$B$3="交付申請兼実績報告（２次）",DM$26&gt;=1),DM84,
IF(AND(テーブル!$B$3="実績報告（２次）",DM$26=0),0,
IF(AND(テーブル!$B$3="実績報告（２次）",DM$26&gt;=1),DM84)))))))))),0)</f>
        <v>0</v>
      </c>
      <c r="DN42" s="2010">
        <f>IFERROR(
IF(テーブル!$B$3="交付申請",DN84,
IF(AND(テーブル!$B$3="変更申請",DN$26=0),0,
IF(AND(テーブル!$B$3="変更申請",DN$26&gt;=1),DN84,
IF(テーブル!$B$3="実績報告（１次）",DN84,
IF(AND(テーブル!$B$3="交付申請（２次）",DN$26=0),0,
IF(AND(テーブル!$B$3="交付申請（２次）",DN$26&gt;=1),DN84,
IF(AND(テーブル!$B$3="交付申請兼実績報告（２次）",DN$26=0),0,
IF(AND(テーブル!$B$3="交付申請兼実績報告（２次）",DN$26&gt;=1),DN84,
IF(AND(テーブル!$B$3="実績報告（２次）",DN$26=0),0,
IF(AND(テーブル!$B$3="実績報告（２次）",DN$26&gt;=1),DN84)))))))))),0)</f>
        <v>0</v>
      </c>
      <c r="DO42" s="2010">
        <f>IFERROR(
IF(テーブル!$B$3="交付申請",DO84,
IF(AND(テーブル!$B$3="変更申請",DO$26=0),0,
IF(AND(テーブル!$B$3="変更申請",DO$26&gt;=1),DO84,
IF(テーブル!$B$3="実績報告（１次）",DO84,
IF(AND(テーブル!$B$3="交付申請（２次）",DO$26=0),0,
IF(AND(テーブル!$B$3="交付申請（２次）",DO$26&gt;=1),DO84,
IF(AND(テーブル!$B$3="交付申請兼実績報告（２次）",DO$26=0),0,
IF(AND(テーブル!$B$3="交付申請兼実績報告（２次）",DO$26&gt;=1),DO84,
IF(AND(テーブル!$B$3="実績報告（２次）",DO$26=0),0,
IF(AND(テーブル!$B$3="実績報告（２次）",DO$26&gt;=1),DO84)))))))))),0)</f>
        <v>0</v>
      </c>
      <c r="DP42" s="2010">
        <f>IFERROR(
IF(テーブル!$B$3="交付申請",DP84,
IF(AND(テーブル!$B$3="変更申請",DP$26=0),0,
IF(AND(テーブル!$B$3="変更申請",DP$26&gt;=1),DP84,
IF(テーブル!$B$3="実績報告（１次）",DP84,
IF(AND(テーブル!$B$3="交付申請（２次）",DP$26=0),0,
IF(AND(テーブル!$B$3="交付申請（２次）",DP$26&gt;=1),DP84,
IF(AND(テーブル!$B$3="交付申請兼実績報告（２次）",DP$26=0),0,
IF(AND(テーブル!$B$3="交付申請兼実績報告（２次）",DP$26&gt;=1),DP84,
IF(AND(テーブル!$B$3="実績報告（２次）",DP$26=0),0,
IF(AND(テーブル!$B$3="実績報告（２次）",DP$26&gt;=1),DP84)))))))))),0)</f>
        <v>0</v>
      </c>
      <c r="DQ42" s="2010">
        <f>IFERROR(
IF(テーブル!$B$3="交付申請",DQ84,
IF(AND(テーブル!$B$3="変更申請",DQ$26=0),0,
IF(AND(テーブル!$B$3="変更申請",DQ$26&gt;=1),DQ84,
IF(テーブル!$B$3="実績報告（１次）",DQ84,
IF(AND(テーブル!$B$3="交付申請（２次）",DQ$26=0),0,
IF(AND(テーブル!$B$3="交付申請（２次）",DQ$26&gt;=1),DQ84,
IF(AND(テーブル!$B$3="交付申請兼実績報告（２次）",DQ$26=0),0,
IF(AND(テーブル!$B$3="交付申請兼実績報告（２次）",DQ$26&gt;=1),DQ84,
IF(AND(テーブル!$B$3="実績報告（２次）",DQ$26=0),0,
IF(AND(テーブル!$B$3="実績報告（２次）",DQ$26&gt;=1),DQ84)))))))))),0)</f>
        <v>0</v>
      </c>
      <c r="DR42" s="2010">
        <f>IFERROR(
IF(テーブル!$B$3="交付申請",DR84,
IF(AND(テーブル!$B$3="変更申請",DR$26=0),0,
IF(AND(テーブル!$B$3="変更申請",DR$26&gt;=1),DR84,
IF(テーブル!$B$3="実績報告（１次）",DR84,
IF(AND(テーブル!$B$3="交付申請（２次）",DR$26=0),0,
IF(AND(テーブル!$B$3="交付申請（２次）",DR$26&gt;=1),DR84,
IF(AND(テーブル!$B$3="交付申請兼実績報告（２次）",DR$26=0),0,
IF(AND(テーブル!$B$3="交付申請兼実績報告（２次）",DR$26&gt;=1),DR84,
IF(AND(テーブル!$B$3="実績報告（２次）",DR$26=0),0,
IF(AND(テーブル!$B$3="実績報告（２次）",DR$26&gt;=1),DR84)))))))))),0)</f>
        <v>0</v>
      </c>
      <c r="DS42" s="2010">
        <f>IFERROR(
IF(テーブル!$B$3="交付申請",DS84,
IF(AND(テーブル!$B$3="変更申請",DS$26=0),0,
IF(AND(テーブル!$B$3="変更申請",DS$26&gt;=1),DS84,
IF(テーブル!$B$3="実績報告（１次）",DS84,
IF(AND(テーブル!$B$3="交付申請（２次）",DS$26=0),0,
IF(AND(テーブル!$B$3="交付申請（２次）",DS$26&gt;=1),DS84,
IF(AND(テーブル!$B$3="交付申請兼実績報告（２次）",DS$26=0),0,
IF(AND(テーブル!$B$3="交付申請兼実績報告（２次）",DS$26&gt;=1),DS84,
IF(AND(テーブル!$B$3="実績報告（２次）",DS$26=0),0,
IF(AND(テーブル!$B$3="実績報告（２次）",DS$26&gt;=1),DS84)))))))))),0)</f>
        <v>0</v>
      </c>
      <c r="DT42" s="2010">
        <f>IFERROR(
IF(テーブル!$B$3="交付申請",DT84,
IF(AND(テーブル!$B$3="変更申請",DT$26=0),0,
IF(AND(テーブル!$B$3="変更申請",DT$26&gt;=1),DT84,
IF(テーブル!$B$3="実績報告（１次）",DT84,
IF(AND(テーブル!$B$3="交付申請（２次）",DT$26=0),0,
IF(AND(テーブル!$B$3="交付申請（２次）",DT$26&gt;=1),DT84,
IF(AND(テーブル!$B$3="交付申請兼実績報告（２次）",DT$26=0),0,
IF(AND(テーブル!$B$3="交付申請兼実績報告（２次）",DT$26&gt;=1),DT84,
IF(AND(テーブル!$B$3="実績報告（２次）",DT$26=0),0,
IF(AND(テーブル!$B$3="実績報告（２次）",DT$26&gt;=1),DT84)))))))))),0)</f>
        <v>0</v>
      </c>
      <c r="DU42" s="2010">
        <f>IFERROR(
IF(テーブル!$B$3="交付申請",DU84,
IF(AND(テーブル!$B$3="変更申請",DU$26=0),0,
IF(AND(テーブル!$B$3="変更申請",DU$26&gt;=1),DU84,
IF(テーブル!$B$3="実績報告（１次）",DU84,
IF(AND(テーブル!$B$3="交付申請（２次）",DU$26=0),0,
IF(AND(テーブル!$B$3="交付申請（２次）",DU$26&gt;=1),DU84,
IF(AND(テーブル!$B$3="交付申請兼実績報告（２次）",DU$26=0),0,
IF(AND(テーブル!$B$3="交付申請兼実績報告（２次）",DU$26&gt;=1),DU84,
IF(AND(テーブル!$B$3="実績報告（２次）",DU$26=0),0,
IF(AND(テーブル!$B$3="実績報告（２次）",DU$26&gt;=1),DU84)))))))))),0)</f>
        <v>0</v>
      </c>
      <c r="DV42" s="2010">
        <f>IFERROR(
IF(テーブル!$B$3="交付申請",DV84,
IF(AND(テーブル!$B$3="変更申請",DV$26=0),0,
IF(AND(テーブル!$B$3="変更申請",DV$26&gt;=1),DV84,
IF(テーブル!$B$3="実績報告（１次）",DV84,
IF(AND(テーブル!$B$3="交付申請（２次）",DV$26=0),0,
IF(AND(テーブル!$B$3="交付申請（２次）",DV$26&gt;=1),DV84,
IF(AND(テーブル!$B$3="交付申請兼実績報告（２次）",DV$26=0),0,
IF(AND(テーブル!$B$3="交付申請兼実績報告（２次）",DV$26&gt;=1),DV84,
IF(AND(テーブル!$B$3="実績報告（２次）",DV$26=0),0,
IF(AND(テーブル!$B$3="実績報告（２次）",DV$26&gt;=1),DV84)))))))))),0)</f>
        <v>0</v>
      </c>
      <c r="DW42" s="2010">
        <f>IFERROR(
IF(テーブル!$B$3="交付申請",DW84,
IF(AND(テーブル!$B$3="変更申請",DW$26=0),0,
IF(AND(テーブル!$B$3="変更申請",DW$26&gt;=1),DW84,
IF(テーブル!$B$3="実績報告（１次）",DW84,
IF(AND(テーブル!$B$3="交付申請（２次）",DW$26=0),0,
IF(AND(テーブル!$B$3="交付申請（２次）",DW$26&gt;=1),DW84,
IF(AND(テーブル!$B$3="交付申請兼実績報告（２次）",DW$26=0),0,
IF(AND(テーブル!$B$3="交付申請兼実績報告（２次）",DW$26&gt;=1),DW84,
IF(AND(テーブル!$B$3="実績報告（２次）",DW$26=0),0,
IF(AND(テーブル!$B$3="実績報告（２次）",DW$26&gt;=1),DW84)))))))))),0)</f>
        <v>0</v>
      </c>
      <c r="DX42" s="2010">
        <f>IFERROR(
IF(テーブル!$B$3="交付申請",DX84,
IF(AND(テーブル!$B$3="変更申請",DX$26=0),0,
IF(AND(テーブル!$B$3="変更申請",DX$26&gt;=1),DX84,
IF(テーブル!$B$3="実績報告（１次）",DX84,
IF(AND(テーブル!$B$3="交付申請（２次）",DX$26=0),0,
IF(AND(テーブル!$B$3="交付申請（２次）",DX$26&gt;=1),DX84,
IF(AND(テーブル!$B$3="交付申請兼実績報告（２次）",DX$26=0),0,
IF(AND(テーブル!$B$3="交付申請兼実績報告（２次）",DX$26&gt;=1),DX84,
IF(AND(テーブル!$B$3="実績報告（２次）",DX$26=0),0,
IF(AND(テーブル!$B$3="実績報告（２次）",DX$26&gt;=1),DX84)))))))))),0)</f>
        <v>0</v>
      </c>
      <c r="DY42" s="2010">
        <f>IFERROR(
IF(テーブル!$B$3="交付申請",DY84,
IF(AND(テーブル!$B$3="変更申請",DY$26=0),0,
IF(AND(テーブル!$B$3="変更申請",DY$26&gt;=1),DY84,
IF(テーブル!$B$3="実績報告（１次）",DY84,
IF(AND(テーブル!$B$3="交付申請（２次）",DY$26=0),0,
IF(AND(テーブル!$B$3="交付申請（２次）",DY$26&gt;=1),DY84,
IF(AND(テーブル!$B$3="交付申請兼実績報告（２次）",DY$26=0),0,
IF(AND(テーブル!$B$3="交付申請兼実績報告（２次）",DY$26&gt;=1),DY84,
IF(AND(テーブル!$B$3="実績報告（２次）",DY$26=0),0,
IF(AND(テーブル!$B$3="実績報告（２次）",DY$26&gt;=1),DY84)))))))))),0)</f>
        <v>0</v>
      </c>
      <c r="DZ42" s="2010">
        <f>IFERROR(
IF(テーブル!$B$3="交付申請",DZ84,
IF(AND(テーブル!$B$3="変更申請",DZ$26=0),0,
IF(AND(テーブル!$B$3="変更申請",DZ$26&gt;=1),DZ84,
IF(テーブル!$B$3="実績報告（１次）",DZ84,
IF(AND(テーブル!$B$3="交付申請（２次）",DZ$26=0),0,
IF(AND(テーブル!$B$3="交付申請（２次）",DZ$26&gt;=1),DZ84,
IF(AND(テーブル!$B$3="交付申請兼実績報告（２次）",DZ$26=0),0,
IF(AND(テーブル!$B$3="交付申請兼実績報告（２次）",DZ$26&gt;=1),DZ84,
IF(AND(テーブル!$B$3="実績報告（２次）",DZ$26=0),0,
IF(AND(テーブル!$B$3="実績報告（２次）",DZ$26&gt;=1),DZ84)))))))))),0)</f>
        <v>0</v>
      </c>
      <c r="EA42" s="2010">
        <f>IFERROR(
IF(テーブル!$B$3="交付申請",EA84,
IF(AND(テーブル!$B$3="変更申請",EA$26=0),0,
IF(AND(テーブル!$B$3="変更申請",EA$26&gt;=1),EA84,
IF(テーブル!$B$3="実績報告（１次）",EA84,
IF(AND(テーブル!$B$3="交付申請（２次）",EA$26=0),0,
IF(AND(テーブル!$B$3="交付申請（２次）",EA$26&gt;=1),EA84,
IF(AND(テーブル!$B$3="交付申請兼実績報告（２次）",EA$26=0),0,
IF(AND(テーブル!$B$3="交付申請兼実績報告（２次）",EA$26&gt;=1),EA84,
IF(AND(テーブル!$B$3="実績報告（２次）",EA$26=0),0,
IF(AND(テーブル!$B$3="実績報告（２次）",EA$26&gt;=1),EA84)))))))))),0)</f>
        <v>0</v>
      </c>
      <c r="EB42" s="2010">
        <f>IFERROR(
IF(テーブル!$B$3="交付申請",EB84,
IF(AND(テーブル!$B$3="変更申請",EB$26=0),0,
IF(AND(テーブル!$B$3="変更申請",EB$26&gt;=1),EB84,
IF(テーブル!$B$3="実績報告（１次）",EB84,
IF(AND(テーブル!$B$3="交付申請（２次）",EB$26=0),0,
IF(AND(テーブル!$B$3="交付申請（２次）",EB$26&gt;=1),EB84,
IF(AND(テーブル!$B$3="交付申請兼実績報告（２次）",EB$26=0),0,
IF(AND(テーブル!$B$3="交付申請兼実績報告（２次）",EB$26&gt;=1),EB84,
IF(AND(テーブル!$B$3="実績報告（２次）",EB$26=0),0,
IF(AND(テーブル!$B$3="実績報告（２次）",EB$26&gt;=1),EB84)))))))))),0)</f>
        <v>0</v>
      </c>
      <c r="EC42" s="2010">
        <f>IFERROR(
IF(テーブル!$B$3="交付申請",EC84,
IF(AND(テーブル!$B$3="変更申請",EC$26=0),0,
IF(AND(テーブル!$B$3="変更申請",EC$26&gt;=1),EC84,
IF(テーブル!$B$3="実績報告（１次）",EC84,
IF(AND(テーブル!$B$3="交付申請（２次）",EC$26=0),0,
IF(AND(テーブル!$B$3="交付申請（２次）",EC$26&gt;=1),EC84,
IF(AND(テーブル!$B$3="交付申請兼実績報告（２次）",EC$26=0),0,
IF(AND(テーブル!$B$3="交付申請兼実績報告（２次）",EC$26&gt;=1),EC84,
IF(AND(テーブル!$B$3="実績報告（２次）",EC$26=0),0,
IF(AND(テーブル!$B$3="実績報告（２次）",EC$26&gt;=1),EC84)))))))))),0)</f>
        <v>0</v>
      </c>
      <c r="ED42" s="2010">
        <f>IFERROR(
IF(テーブル!$B$3="交付申請",ED84,
IF(AND(テーブル!$B$3="変更申請",ED$26=0),0,
IF(AND(テーブル!$B$3="変更申請",ED$26&gt;=1),ED84,
IF(テーブル!$B$3="実績報告（１次）",ED84,
IF(AND(テーブル!$B$3="交付申請（２次）",ED$26=0),0,
IF(AND(テーブル!$B$3="交付申請（２次）",ED$26&gt;=1),ED84,
IF(AND(テーブル!$B$3="交付申請兼実績報告（２次）",ED$26=0),0,
IF(AND(テーブル!$B$3="交付申請兼実績報告（２次）",ED$26&gt;=1),ED84,
IF(AND(テーブル!$B$3="実績報告（２次）",ED$26=0),0,
IF(AND(テーブル!$B$3="実績報告（２次）",ED$26&gt;=1),ED84)))))))))),0)</f>
        <v>0</v>
      </c>
      <c r="EE42" s="2010">
        <f>IFERROR(
IF(テーブル!$B$3="交付申請",EE84,
IF(AND(テーブル!$B$3="変更申請",EE$26=0),0,
IF(AND(テーブル!$B$3="変更申請",EE$26&gt;=1),EE84,
IF(テーブル!$B$3="実績報告（１次）",EE84,
IF(AND(テーブル!$B$3="交付申請（２次）",EE$26=0),0,
IF(AND(テーブル!$B$3="交付申請（２次）",EE$26&gt;=1),EE84,
IF(AND(テーブル!$B$3="交付申請兼実績報告（２次）",EE$26=0),0,
IF(AND(テーブル!$B$3="交付申請兼実績報告（２次）",EE$26&gt;=1),EE84,
IF(AND(テーブル!$B$3="実績報告（２次）",EE$26=0),0,
IF(AND(テーブル!$B$3="実績報告（２次）",EE$26&gt;=1),EE84)))))))))),0)</f>
        <v>0</v>
      </c>
      <c r="EF42" s="2010">
        <f>IFERROR(
IF(テーブル!$B$3="交付申請",EF84,
IF(AND(テーブル!$B$3="変更申請",EF$26=0),0,
IF(AND(テーブル!$B$3="変更申請",EF$26&gt;=1),EF84,
IF(テーブル!$B$3="実績報告（１次）",EF84,
IF(AND(テーブル!$B$3="交付申請（２次）",EF$26=0),0,
IF(AND(テーブル!$B$3="交付申請（２次）",EF$26&gt;=1),EF84,
IF(AND(テーブル!$B$3="交付申請兼実績報告（２次）",EF$26=0),0,
IF(AND(テーブル!$B$3="交付申請兼実績報告（２次）",EF$26&gt;=1),EF84,
IF(AND(テーブル!$B$3="実績報告（２次）",EF$26=0),0,
IF(AND(テーブル!$B$3="実績報告（２次）",EF$26&gt;=1),EF84)))))))))),0)</f>
        <v>0</v>
      </c>
      <c r="EG42" s="2010">
        <f>IFERROR(
IF(テーブル!$B$3="交付申請",EG84,
IF(AND(テーブル!$B$3="変更申請",EG$26=0),0,
IF(AND(テーブル!$B$3="変更申請",EG$26&gt;=1),EG84,
IF(テーブル!$B$3="実績報告（１次）",EG84,
IF(AND(テーブル!$B$3="交付申請（２次）",EG$26=0),0,
IF(AND(テーブル!$B$3="交付申請（２次）",EG$26&gt;=1),EG84,
IF(AND(テーブル!$B$3="交付申請兼実績報告（２次）",EG$26=0),0,
IF(AND(テーブル!$B$3="交付申請兼実績報告（２次）",EG$26&gt;=1),EG84,
IF(AND(テーブル!$B$3="実績報告（２次）",EG$26=0),0,
IF(AND(テーブル!$B$3="実績報告（２次）",EG$26&gt;=1),EG84)))))))))),0)</f>
        <v>0</v>
      </c>
      <c r="EH42" s="2010">
        <f>IFERROR(
IF(テーブル!$B$3="交付申請",EH84,
IF(AND(テーブル!$B$3="変更申請",EH$26=0),0,
IF(AND(テーブル!$B$3="変更申請",EH$26&gt;=1),EH84,
IF(テーブル!$B$3="実績報告（１次）",EH84,
IF(AND(テーブル!$B$3="交付申請（２次）",EH$26=0),0,
IF(AND(テーブル!$B$3="交付申請（２次）",EH$26&gt;=1),EH84,
IF(AND(テーブル!$B$3="交付申請兼実績報告（２次）",EH$26=0),0,
IF(AND(テーブル!$B$3="交付申請兼実績報告（２次）",EH$26&gt;=1),EH84,
IF(AND(テーブル!$B$3="実績報告（２次）",EH$26=0),0,
IF(AND(テーブル!$B$3="実績報告（２次）",EH$26&gt;=1),EH84)))))))))),0)</f>
        <v>0</v>
      </c>
      <c r="EI42" s="2010">
        <f>IFERROR(
IF(テーブル!$B$3="交付申請",EI84,
IF(AND(テーブル!$B$3="変更申請",EI$26=0),0,
IF(AND(テーブル!$B$3="変更申請",EI$26&gt;=1),EI84,
IF(テーブル!$B$3="実績報告（１次）",EI84,
IF(AND(テーブル!$B$3="交付申請（２次）",EI$26=0),0,
IF(AND(テーブル!$B$3="交付申請（２次）",EI$26&gt;=1),EI84,
IF(AND(テーブル!$B$3="交付申請兼実績報告（２次）",EI$26=0),0,
IF(AND(テーブル!$B$3="交付申請兼実績報告（２次）",EI$26&gt;=1),EI84,
IF(AND(テーブル!$B$3="実績報告（２次）",EI$26=0),0,
IF(AND(テーブル!$B$3="実績報告（２次）",EI$26&gt;=1),EI84)))))))))),0)</f>
        <v>0</v>
      </c>
      <c r="EJ42" s="2010">
        <f>IFERROR(
IF(テーブル!$B$3="交付申請",EJ84,
IF(AND(テーブル!$B$3="変更申請",EJ$26=0),0,
IF(AND(テーブル!$B$3="変更申請",EJ$26&gt;=1),EJ84,
IF(テーブル!$B$3="実績報告（１次）",EJ84,
IF(AND(テーブル!$B$3="交付申請（２次）",EJ$26=0),0,
IF(AND(テーブル!$B$3="交付申請（２次）",EJ$26&gt;=1),EJ84,
IF(AND(テーブル!$B$3="交付申請兼実績報告（２次）",EJ$26=0),0,
IF(AND(テーブル!$B$3="交付申請兼実績報告（２次）",EJ$26&gt;=1),EJ84,
IF(AND(テーブル!$B$3="実績報告（２次）",EJ$26=0),0,
IF(AND(テーブル!$B$3="実績報告（２次）",EJ$26&gt;=1),EJ84)))))))))),0)</f>
        <v>0</v>
      </c>
      <c r="EK42" s="2010">
        <f>IFERROR(
IF(テーブル!$B$3="交付申請",EK84,
IF(AND(テーブル!$B$3="変更申請",EK$26=0),0,
IF(AND(テーブル!$B$3="変更申請",EK$26&gt;=1),EK84,
IF(テーブル!$B$3="実績報告（１次）",EK84,
IF(AND(テーブル!$B$3="交付申請（２次）",EK$26=0),0,
IF(AND(テーブル!$B$3="交付申請（２次）",EK$26&gt;=1),EK84,
IF(AND(テーブル!$B$3="交付申請兼実績報告（２次）",EK$26=0),0,
IF(AND(テーブル!$B$3="交付申請兼実績報告（２次）",EK$26&gt;=1),EK84,
IF(AND(テーブル!$B$3="実績報告（２次）",EK$26=0),0,
IF(AND(テーブル!$B$3="実績報告（２次）",EK$26&gt;=1),EK84)))))))))),0)</f>
        <v>0</v>
      </c>
      <c r="EL42" s="2010">
        <f>IFERROR(
IF(テーブル!$B$3="交付申請",EL84,
IF(AND(テーブル!$B$3="変更申請",EL$26=0),0,
IF(AND(テーブル!$B$3="変更申請",EL$26&gt;=1),EL84,
IF(テーブル!$B$3="実績報告（１次）",EL84,
IF(AND(テーブル!$B$3="交付申請（２次）",EL$26=0),0,
IF(AND(テーブル!$B$3="交付申請（２次）",EL$26&gt;=1),EL84,
IF(AND(テーブル!$B$3="交付申請兼実績報告（２次）",EL$26=0),0,
IF(AND(テーブル!$B$3="交付申請兼実績報告（２次）",EL$26&gt;=1),EL84,
IF(AND(テーブル!$B$3="実績報告（２次）",EL$26=0),0,
IF(AND(テーブル!$B$3="実績報告（２次）",EL$26&gt;=1),EL84)))))))))),0)</f>
        <v>0</v>
      </c>
      <c r="EM42" s="2010">
        <f>IFERROR(
IF(テーブル!$B$3="交付申請",EM84,
IF(AND(テーブル!$B$3="変更申請",EM$26=0),0,
IF(AND(テーブル!$B$3="変更申請",EM$26&gt;=1),EM84,
IF(テーブル!$B$3="実績報告（１次）",EM84,
IF(AND(テーブル!$B$3="交付申請（２次）",EM$26=0),0,
IF(AND(テーブル!$B$3="交付申請（２次）",EM$26&gt;=1),EM84,
IF(AND(テーブル!$B$3="交付申請兼実績報告（２次）",EM$26=0),0,
IF(AND(テーブル!$B$3="交付申請兼実績報告（２次）",EM$26&gt;=1),EM84,
IF(AND(テーブル!$B$3="実績報告（２次）",EM$26=0),0,
IF(AND(テーブル!$B$3="実績報告（２次）",EM$26&gt;=1),EM84)))))))))),0)</f>
        <v>0</v>
      </c>
      <c r="EN42" s="2010">
        <f>IFERROR(
IF(テーブル!$B$3="交付申請",EN84,
IF(AND(テーブル!$B$3="変更申請",EN$26=0),0,
IF(AND(テーブル!$B$3="変更申請",EN$26&gt;=1),EN84,
IF(テーブル!$B$3="実績報告（１次）",EN84,
IF(AND(テーブル!$B$3="交付申請（２次）",EN$26=0),0,
IF(AND(テーブル!$B$3="交付申請（２次）",EN$26&gt;=1),EN84,
IF(AND(テーブル!$B$3="交付申請兼実績報告（２次）",EN$26=0),0,
IF(AND(テーブル!$B$3="交付申請兼実績報告（２次）",EN$26&gt;=1),EN84,
IF(AND(テーブル!$B$3="実績報告（２次）",EN$26=0),0,
IF(AND(テーブル!$B$3="実績報告（２次）",EN$26&gt;=1),EN84)))))))))),0)</f>
        <v>0</v>
      </c>
      <c r="EO42" s="2010">
        <f>IFERROR(
IF(テーブル!$B$3="交付申請",EO84,
IF(AND(テーブル!$B$3="変更申請",EO$26=0),0,
IF(AND(テーブル!$B$3="変更申請",EO$26&gt;=1),EO84,
IF(テーブル!$B$3="実績報告（１次）",EO84,
IF(AND(テーブル!$B$3="交付申請（２次）",EO$26=0),0,
IF(AND(テーブル!$B$3="交付申請（２次）",EO$26&gt;=1),EO84,
IF(AND(テーブル!$B$3="交付申請兼実績報告（２次）",EO$26=0),0,
IF(AND(テーブル!$B$3="交付申請兼実績報告（２次）",EO$26&gt;=1),EO84,
IF(AND(テーブル!$B$3="実績報告（２次）",EO$26=0),0,
IF(AND(テーブル!$B$3="実績報告（２次）",EO$26&gt;=1),EO84)))))))))),0)</f>
        <v>0</v>
      </c>
      <c r="EP42" s="2010">
        <f>IFERROR(
IF(テーブル!$B$3="交付申請",EP84,
IF(AND(テーブル!$B$3="変更申請",EP$26=0),0,
IF(AND(テーブル!$B$3="変更申請",EP$26&gt;=1),EP84,
IF(テーブル!$B$3="実績報告（１次）",EP84,
IF(AND(テーブル!$B$3="交付申請（２次）",EP$26=0),0,
IF(AND(テーブル!$B$3="交付申請（２次）",EP$26&gt;=1),EP84,
IF(AND(テーブル!$B$3="交付申請兼実績報告（２次）",EP$26=0),0,
IF(AND(テーブル!$B$3="交付申請兼実績報告（２次）",EP$26&gt;=1),EP84,
IF(AND(テーブル!$B$3="実績報告（２次）",EP$26=0),0,
IF(AND(テーブル!$B$3="実績報告（２次）",EP$26&gt;=1),EP84)))))))))),0)</f>
        <v>0</v>
      </c>
      <c r="EQ42" s="2010">
        <f>IFERROR(
IF(テーブル!$B$3="交付申請",EQ84,
IF(AND(テーブル!$B$3="変更申請",EQ$26=0),0,
IF(AND(テーブル!$B$3="変更申請",EQ$26&gt;=1),EQ84,
IF(テーブル!$B$3="実績報告（１次）",EQ84,
IF(AND(テーブル!$B$3="交付申請（２次）",EQ$26=0),0,
IF(AND(テーブル!$B$3="交付申請（２次）",EQ$26&gt;=1),EQ84,
IF(AND(テーブル!$B$3="交付申請兼実績報告（２次）",EQ$26=0),0,
IF(AND(テーブル!$B$3="交付申請兼実績報告（２次）",EQ$26&gt;=1),EQ84,
IF(AND(テーブル!$B$3="実績報告（２次）",EQ$26=0),0,
IF(AND(テーブル!$B$3="実績報告（２次）",EQ$26&gt;=1),EQ84)))))))))),0)</f>
        <v>0</v>
      </c>
      <c r="ER42" s="2010">
        <f>IFERROR(
IF(テーブル!$B$3="交付申請",ER84,
IF(AND(テーブル!$B$3="変更申請",ER$26=0),0,
IF(AND(テーブル!$B$3="変更申請",ER$26&gt;=1),ER84,
IF(テーブル!$B$3="実績報告（１次）",ER84,
IF(AND(テーブル!$B$3="交付申請（２次）",ER$26=0),0,
IF(AND(テーブル!$B$3="交付申請（２次）",ER$26&gt;=1),ER84,
IF(AND(テーブル!$B$3="交付申請兼実績報告（２次）",ER$26=0),0,
IF(AND(テーブル!$B$3="交付申請兼実績報告（２次）",ER$26&gt;=1),ER84,
IF(AND(テーブル!$B$3="実績報告（２次）",ER$26=0),0,
IF(AND(テーブル!$B$3="実績報告（２次）",ER$26&gt;=1),ER84)))))))))),0)</f>
        <v>0</v>
      </c>
      <c r="ES42" s="2010">
        <f>IFERROR(
IF(テーブル!$B$3="交付申請",ES84,
IF(AND(テーブル!$B$3="変更申請",ES$26=0),0,
IF(AND(テーブル!$B$3="変更申請",ES$26&gt;=1),ES84,
IF(テーブル!$B$3="実績報告（１次）",ES84,
IF(AND(テーブル!$B$3="交付申請（２次）",ES$26=0),0,
IF(AND(テーブル!$B$3="交付申請（２次）",ES$26&gt;=1),ES84,
IF(AND(テーブル!$B$3="交付申請兼実績報告（２次）",ES$26=0),0,
IF(AND(テーブル!$B$3="交付申請兼実績報告（２次）",ES$26&gt;=1),ES84,
IF(AND(テーブル!$B$3="実績報告（２次）",ES$26=0),0,
IF(AND(テーブル!$B$3="実績報告（２次）",ES$26&gt;=1),ES84)))))))))),0)</f>
        <v>0</v>
      </c>
      <c r="ET42" s="2010">
        <f>IFERROR(
IF(テーブル!$B$3="交付申請",ET84,
IF(AND(テーブル!$B$3="変更申請",ET$26=0),0,
IF(AND(テーブル!$B$3="変更申請",ET$26&gt;=1),ET84,
IF(テーブル!$B$3="実績報告（１次）",ET84,
IF(AND(テーブル!$B$3="交付申請（２次）",ET$26=0),0,
IF(AND(テーブル!$B$3="交付申請（２次）",ET$26&gt;=1),ET84,
IF(AND(テーブル!$B$3="交付申請兼実績報告（２次）",ET$26=0),0,
IF(AND(テーブル!$B$3="交付申請兼実績報告（２次）",ET$26&gt;=1),ET84,
IF(AND(テーブル!$B$3="実績報告（２次）",ET$26=0),0,
IF(AND(テーブル!$B$3="実績報告（２次）",ET$26&gt;=1),ET84)))))))))),0)</f>
        <v>0</v>
      </c>
      <c r="EU42" s="2010">
        <f>IFERROR(
IF(テーブル!$B$3="交付申請",EU84,
IF(AND(テーブル!$B$3="変更申請",EU$26=0),0,
IF(AND(テーブル!$B$3="変更申請",EU$26&gt;=1),EU84,
IF(テーブル!$B$3="実績報告（１次）",EU84,
IF(AND(テーブル!$B$3="交付申請（２次）",EU$26=0),0,
IF(AND(テーブル!$B$3="交付申請（２次）",EU$26&gt;=1),EU84,
IF(AND(テーブル!$B$3="交付申請兼実績報告（２次）",EU$26=0),0,
IF(AND(テーブル!$B$3="交付申請兼実績報告（２次）",EU$26&gt;=1),EU84,
IF(AND(テーブル!$B$3="実績報告（２次）",EU$26=0),0,
IF(AND(テーブル!$B$3="実績報告（２次）",EU$26&gt;=1),EU84)))))))))),0)</f>
        <v>0</v>
      </c>
      <c r="EV42" s="2010">
        <f>IFERROR(
IF(テーブル!$B$3="交付申請",EV84,
IF(AND(テーブル!$B$3="変更申請",EV$26=0),0,
IF(AND(テーブル!$B$3="変更申請",EV$26&gt;=1),EV84,
IF(テーブル!$B$3="実績報告（１次）",EV84,
IF(AND(テーブル!$B$3="交付申請（２次）",EV$26=0),0,
IF(AND(テーブル!$B$3="交付申請（２次）",EV$26&gt;=1),EV84,
IF(AND(テーブル!$B$3="交付申請兼実績報告（２次）",EV$26=0),0,
IF(AND(テーブル!$B$3="交付申請兼実績報告（２次）",EV$26&gt;=1),EV84,
IF(AND(テーブル!$B$3="実績報告（２次）",EV$26=0),0,
IF(AND(テーブル!$B$3="実績報告（２次）",EV$26&gt;=1),EV84)))))))))),0)</f>
        <v>0</v>
      </c>
      <c r="EW42" s="2010">
        <f>IFERROR(
IF(テーブル!$B$3="交付申請",EW84,
IF(AND(テーブル!$B$3="変更申請",EW$26=0),0,
IF(AND(テーブル!$B$3="変更申請",EW$26&gt;=1),EW84,
IF(テーブル!$B$3="実績報告（１次）",EW84,
IF(AND(テーブル!$B$3="交付申請（２次）",EW$26=0),0,
IF(AND(テーブル!$B$3="交付申請（２次）",EW$26&gt;=1),EW84,
IF(AND(テーブル!$B$3="交付申請兼実績報告（２次）",EW$26=0),0,
IF(AND(テーブル!$B$3="交付申請兼実績報告（２次）",EW$26&gt;=1),EW84,
IF(AND(テーブル!$B$3="実績報告（２次）",EW$26=0),0,
IF(AND(テーブル!$B$3="実績報告（２次）",EW$26&gt;=1),EW84)))))))))),0)</f>
        <v>0</v>
      </c>
      <c r="EX42" s="2010">
        <f>IFERROR(
IF(テーブル!$B$3="交付申請",EX84,
IF(AND(テーブル!$B$3="変更申請",EX$26=0),0,
IF(AND(テーブル!$B$3="変更申請",EX$26&gt;=1),EX84,
IF(テーブル!$B$3="実績報告（１次）",EX84,
IF(AND(テーブル!$B$3="交付申請（２次）",EX$26=0),0,
IF(AND(テーブル!$B$3="交付申請（２次）",EX$26&gt;=1),EX84,
IF(AND(テーブル!$B$3="交付申請兼実績報告（２次）",EX$26=0),0,
IF(AND(テーブル!$B$3="交付申請兼実績報告（２次）",EX$26&gt;=1),EX84,
IF(AND(テーブル!$B$3="実績報告（２次）",EX$26=0),0,
IF(AND(テーブル!$B$3="実績報告（２次）",EX$26&gt;=1),EX84)))))))))),0)</f>
        <v>0</v>
      </c>
      <c r="EY42" s="2010">
        <f>IFERROR(
IF(テーブル!$B$3="交付申請",EY84,
IF(AND(テーブル!$B$3="変更申請",EY$26=0),0,
IF(AND(テーブル!$B$3="変更申請",EY$26&gt;=1),EY84,
IF(テーブル!$B$3="実績報告（１次）",EY84,
IF(AND(テーブル!$B$3="交付申請（２次）",EY$26=0),0,
IF(AND(テーブル!$B$3="交付申請（２次）",EY$26&gt;=1),EY84,
IF(AND(テーブル!$B$3="交付申請兼実績報告（２次）",EY$26=0),0,
IF(AND(テーブル!$B$3="交付申請兼実績報告（２次）",EY$26&gt;=1),EY84,
IF(AND(テーブル!$B$3="実績報告（２次）",EY$26=0),0,
IF(AND(テーブル!$B$3="実績報告（２次）",EY$26&gt;=1),EY84)))))))))),0)</f>
        <v>0</v>
      </c>
      <c r="EZ42" s="2010">
        <f>IFERROR(
IF(テーブル!$B$3="交付申請",EZ84,
IF(AND(テーブル!$B$3="変更申請",EZ$26=0),0,
IF(AND(テーブル!$B$3="変更申請",EZ$26&gt;=1),EZ84,
IF(テーブル!$B$3="実績報告（１次）",EZ84,
IF(AND(テーブル!$B$3="交付申請（２次）",EZ$26=0),0,
IF(AND(テーブル!$B$3="交付申請（２次）",EZ$26&gt;=1),EZ84,
IF(AND(テーブル!$B$3="交付申請兼実績報告（２次）",EZ$26=0),0,
IF(AND(テーブル!$B$3="交付申請兼実績報告（２次）",EZ$26&gt;=1),EZ84,
IF(AND(テーブル!$B$3="実績報告（２次）",EZ$26=0),0,
IF(AND(テーブル!$B$3="実績報告（２次）",EZ$26&gt;=1),EZ84)))))))))),0)</f>
        <v>0</v>
      </c>
      <c r="FA42" s="2010">
        <f>IFERROR(
IF(テーブル!$B$3="交付申請",FA84,
IF(AND(テーブル!$B$3="変更申請",FA$26=0),0,
IF(AND(テーブル!$B$3="変更申請",FA$26&gt;=1),FA84,
IF(テーブル!$B$3="実績報告（１次）",FA84,
IF(AND(テーブル!$B$3="交付申請（２次）",FA$26=0),0,
IF(AND(テーブル!$B$3="交付申請（２次）",FA$26&gt;=1),FA84,
IF(AND(テーブル!$B$3="交付申請兼実績報告（２次）",FA$26=0),0,
IF(AND(テーブル!$B$3="交付申請兼実績報告（２次）",FA$26&gt;=1),FA84,
IF(AND(テーブル!$B$3="実績報告（２次）",FA$26=0),0,
IF(AND(テーブル!$B$3="実績報告（２次）",FA$26&gt;=1),FA84)))))))))),0)</f>
        <v>0</v>
      </c>
      <c r="FB42" s="2010">
        <f>IFERROR(
IF(テーブル!$B$3="交付申請",FB84,
IF(AND(テーブル!$B$3="変更申請",FB$26=0),0,
IF(AND(テーブル!$B$3="変更申請",FB$26&gt;=1),FB84,
IF(テーブル!$B$3="実績報告（１次）",FB84,
IF(AND(テーブル!$B$3="交付申請（２次）",FB$26=0),0,
IF(AND(テーブル!$B$3="交付申請（２次）",FB$26&gt;=1),FB84,
IF(AND(テーブル!$B$3="交付申請兼実績報告（２次）",FB$26=0),0,
IF(AND(テーブル!$B$3="交付申請兼実績報告（２次）",FB$26&gt;=1),FB84,
IF(AND(テーブル!$B$3="実績報告（２次）",FB$26=0),0,
IF(AND(テーブル!$B$3="実績報告（２次）",FB$26&gt;=1),FB84)))))))))),0)</f>
        <v>0</v>
      </c>
      <c r="FC42" s="2010">
        <f>IFERROR(
IF(テーブル!$B$3="交付申請",FC84,
IF(AND(テーブル!$B$3="変更申請",FC$26=0),0,
IF(AND(テーブル!$B$3="変更申請",FC$26&gt;=1),FC84,
IF(テーブル!$B$3="実績報告（１次）",FC84,
IF(AND(テーブル!$B$3="交付申請（２次）",FC$26=0),0,
IF(AND(テーブル!$B$3="交付申請（２次）",FC$26&gt;=1),FC84,
IF(AND(テーブル!$B$3="交付申請兼実績報告（２次）",FC$26=0),0,
IF(AND(テーブル!$B$3="交付申請兼実績報告（２次）",FC$26&gt;=1),FC84,
IF(AND(テーブル!$B$3="実績報告（２次）",FC$26=0),0,
IF(AND(テーブル!$B$3="実績報告（２次）",FC$26&gt;=1),FC84)))))))))),0)</f>
        <v>0</v>
      </c>
      <c r="FD42" s="2010">
        <f>IFERROR(
IF(テーブル!$B$3="交付申請",FD84,
IF(AND(テーブル!$B$3="変更申請",FD$26=0),0,
IF(AND(テーブル!$B$3="変更申請",FD$26&gt;=1),FD84,
IF(テーブル!$B$3="実績報告（１次）",FD84,
IF(AND(テーブル!$B$3="交付申請（２次）",FD$26=0),0,
IF(AND(テーブル!$B$3="交付申請（２次）",FD$26&gt;=1),FD84,
IF(AND(テーブル!$B$3="交付申請兼実績報告（２次）",FD$26=0),0,
IF(AND(テーブル!$B$3="交付申請兼実績報告（２次）",FD$26&gt;=1),FD84,
IF(AND(テーブル!$B$3="実績報告（２次）",FD$26=0),0,
IF(AND(テーブル!$B$3="実績報告（２次）",FD$26&gt;=1),FD84)))))))))),0)</f>
        <v>0</v>
      </c>
      <c r="FE42" s="2010">
        <f>IFERROR(
IF(テーブル!$B$3="交付申請",FE84,
IF(AND(テーブル!$B$3="変更申請",FE$26=0),0,
IF(AND(テーブル!$B$3="変更申請",FE$26&gt;=1),FE84,
IF(テーブル!$B$3="実績報告（１次）",FE84,
IF(AND(テーブル!$B$3="交付申請（２次）",FE$26=0),0,
IF(AND(テーブル!$B$3="交付申請（２次）",FE$26&gt;=1),FE84,
IF(AND(テーブル!$B$3="交付申請兼実績報告（２次）",FE$26=0),0,
IF(AND(テーブル!$B$3="交付申請兼実績報告（２次）",FE$26&gt;=1),FE84,
IF(AND(テーブル!$B$3="実績報告（２次）",FE$26=0),0,
IF(AND(テーブル!$B$3="実績報告（２次）",FE$26&gt;=1),FE84)))))))))),0)</f>
        <v>0</v>
      </c>
      <c r="FF42" s="2010">
        <f>IFERROR(
IF(テーブル!$B$3="交付申請",FF84,
IF(AND(テーブル!$B$3="変更申請",FF$26=0),0,
IF(AND(テーブル!$B$3="変更申請",FF$26&gt;=1),FF84,
IF(テーブル!$B$3="実績報告（１次）",FF84,
IF(AND(テーブル!$B$3="交付申請（２次）",FF$26=0),0,
IF(AND(テーブル!$B$3="交付申請（２次）",FF$26&gt;=1),FF84,
IF(AND(テーブル!$B$3="交付申請兼実績報告（２次）",FF$26=0),0,
IF(AND(テーブル!$B$3="交付申請兼実績報告（２次）",FF$26&gt;=1),FF84,
IF(AND(テーブル!$B$3="実績報告（２次）",FF$26=0),0,
IF(AND(テーブル!$B$3="実績報告（２次）",FF$26&gt;=1),FF84)))))))))),0)</f>
        <v>0</v>
      </c>
      <c r="FG42" s="2010">
        <f>IFERROR(
IF(テーブル!$B$3="交付申請",FG84,
IF(AND(テーブル!$B$3="変更申請",FG$26=0),0,
IF(AND(テーブル!$B$3="変更申請",FG$26&gt;=1),FG84,
IF(テーブル!$B$3="実績報告（１次）",FG84,
IF(AND(テーブル!$B$3="交付申請（２次）",FG$26=0),0,
IF(AND(テーブル!$B$3="交付申請（２次）",FG$26&gt;=1),FG84,
IF(AND(テーブル!$B$3="交付申請兼実績報告（２次）",FG$26=0),0,
IF(AND(テーブル!$B$3="交付申請兼実績報告（２次）",FG$26&gt;=1),FG84,
IF(AND(テーブル!$B$3="実績報告（２次）",FG$26=0),0,
IF(AND(テーブル!$B$3="実績報告（２次）",FG$26&gt;=1),FG84)))))))))),0)</f>
        <v>0</v>
      </c>
      <c r="FH42" s="2010">
        <f>IFERROR(
IF(テーブル!$B$3="交付申請",FH84,
IF(AND(テーブル!$B$3="変更申請",FH$26=0),0,
IF(AND(テーブル!$B$3="変更申請",FH$26&gt;=1),FH84,
IF(テーブル!$B$3="実績報告（１次）",FH84,
IF(AND(テーブル!$B$3="交付申請（２次）",FH$26=0),0,
IF(AND(テーブル!$B$3="交付申請（２次）",FH$26&gt;=1),FH84,
IF(AND(テーブル!$B$3="交付申請兼実績報告（２次）",FH$26=0),0,
IF(AND(テーブル!$B$3="交付申請兼実績報告（２次）",FH$26&gt;=1),FH84,
IF(AND(テーブル!$B$3="実績報告（２次）",FH$26=0),0,
IF(AND(テーブル!$B$3="実績報告（２次）",FH$26&gt;=1),FH84)))))))))),0)</f>
        <v>0</v>
      </c>
      <c r="FI42" s="2010">
        <f>IFERROR(
IF(テーブル!$B$3="交付申請",FI84,
IF(AND(テーブル!$B$3="変更申請",FI$26=0),0,
IF(AND(テーブル!$B$3="変更申請",FI$26&gt;=1),FI84,
IF(テーブル!$B$3="実績報告（１次）",FI84,
IF(AND(テーブル!$B$3="交付申請（２次）",FI$26=0),0,
IF(AND(テーブル!$B$3="交付申請（２次）",FI$26&gt;=1),FI84,
IF(AND(テーブル!$B$3="交付申請兼実績報告（２次）",FI$26=0),0,
IF(AND(テーブル!$B$3="交付申請兼実績報告（２次）",FI$26&gt;=1),FI84,
IF(AND(テーブル!$B$3="実績報告（２次）",FI$26=0),0,
IF(AND(テーブル!$B$3="実績報告（２次）",FI$26&gt;=1),FI84)))))))))),0)</f>
        <v>0</v>
      </c>
      <c r="FJ42" s="2010">
        <f>IFERROR(
IF(テーブル!$B$3="交付申請",FJ84,
IF(AND(テーブル!$B$3="変更申請",FJ$26=0),0,
IF(AND(テーブル!$B$3="変更申請",FJ$26&gt;=1),FJ84,
IF(テーブル!$B$3="実績報告（１次）",FJ84,
IF(AND(テーブル!$B$3="交付申請（２次）",FJ$26=0),0,
IF(AND(テーブル!$B$3="交付申請（２次）",FJ$26&gt;=1),FJ84,
IF(AND(テーブル!$B$3="交付申請兼実績報告（２次）",FJ$26=0),0,
IF(AND(テーブル!$B$3="交付申請兼実績報告（２次）",FJ$26&gt;=1),FJ84,
IF(AND(テーブル!$B$3="実績報告（２次）",FJ$26=0),0,
IF(AND(テーブル!$B$3="実績報告（２次）",FJ$26&gt;=1),FJ84)))))))))),0)</f>
        <v>0</v>
      </c>
      <c r="FK42" s="2010">
        <f>IFERROR(
IF(テーブル!$B$3="交付申請",FK84,
IF(AND(テーブル!$B$3="変更申請",FK$26=0),0,
IF(AND(テーブル!$B$3="変更申請",FK$26&gt;=1),FK84,
IF(テーブル!$B$3="実績報告（１次）",FK84,
IF(AND(テーブル!$B$3="交付申請（２次）",FK$26=0),0,
IF(AND(テーブル!$B$3="交付申請（２次）",FK$26&gt;=1),FK84,
IF(AND(テーブル!$B$3="交付申請兼実績報告（２次）",FK$26=0),0,
IF(AND(テーブル!$B$3="交付申請兼実績報告（２次）",FK$26&gt;=1),FK84,
IF(AND(テーブル!$B$3="実績報告（２次）",FK$26=0),0,
IF(AND(テーブル!$B$3="実績報告（２次）",FK$26&gt;=1),FK84)))))))))),0)</f>
        <v>0</v>
      </c>
      <c r="FL42" s="2010">
        <f>IFERROR(
IF(テーブル!$B$3="交付申請",FL84,
IF(AND(テーブル!$B$3="変更申請",FL$26=0),0,
IF(AND(テーブル!$B$3="変更申請",FL$26&gt;=1),FL84,
IF(テーブル!$B$3="実績報告（１次）",FL84,
IF(AND(テーブル!$B$3="交付申請（２次）",FL$26=0),0,
IF(AND(テーブル!$B$3="交付申請（２次）",FL$26&gt;=1),FL84,
IF(AND(テーブル!$B$3="交付申請兼実績報告（２次）",FL$26=0),0,
IF(AND(テーブル!$B$3="交付申請兼実績報告（２次）",FL$26&gt;=1),FL84,
IF(AND(テーブル!$B$3="実績報告（２次）",FL$26=0),0,
IF(AND(テーブル!$B$3="実績報告（２次）",FL$26&gt;=1),FL84)))))))))),0)</f>
        <v>0</v>
      </c>
      <c r="FM42" s="2010">
        <f>IFERROR(
IF(テーブル!$B$3="交付申請",FM84,
IF(AND(テーブル!$B$3="変更申請",FM$26=0),0,
IF(AND(テーブル!$B$3="変更申請",FM$26&gt;=1),FM84,
IF(テーブル!$B$3="実績報告（１次）",FM84,
IF(AND(テーブル!$B$3="交付申請（２次）",FM$26=0),0,
IF(AND(テーブル!$B$3="交付申請（２次）",FM$26&gt;=1),FM84,
IF(AND(テーブル!$B$3="交付申請兼実績報告（２次）",FM$26=0),0,
IF(AND(テーブル!$B$3="交付申請兼実績報告（２次）",FM$26&gt;=1),FM84,
IF(AND(テーブル!$B$3="実績報告（２次）",FM$26=0),0,
IF(AND(テーブル!$B$3="実績報告（２次）",FM$26&gt;=1),FM84)))))))))),0)</f>
        <v>0</v>
      </c>
      <c r="FN42" s="2010">
        <f>IFERROR(
IF(テーブル!$B$3="交付申請",FN84,
IF(AND(テーブル!$B$3="変更申請",FN$26=0),0,
IF(AND(テーブル!$B$3="変更申請",FN$26&gt;=1),FN84,
IF(テーブル!$B$3="実績報告（１次）",FN84,
IF(AND(テーブル!$B$3="交付申請（２次）",FN$26=0),0,
IF(AND(テーブル!$B$3="交付申請（２次）",FN$26&gt;=1),FN84,
IF(AND(テーブル!$B$3="交付申請兼実績報告（２次）",FN$26=0),0,
IF(AND(テーブル!$B$3="交付申請兼実績報告（２次）",FN$26&gt;=1),FN84,
IF(AND(テーブル!$B$3="実績報告（２次）",FN$26=0),0,
IF(AND(テーブル!$B$3="実績報告（２次）",FN$26&gt;=1),FN84)))))))))),0)</f>
        <v>0</v>
      </c>
      <c r="FO42" s="2010">
        <f>IFERROR(
IF(テーブル!$B$3="交付申請",FO84,
IF(AND(テーブル!$B$3="変更申請",FO$26=0),0,
IF(AND(テーブル!$B$3="変更申請",FO$26&gt;=1),FO84,
IF(テーブル!$B$3="実績報告（１次）",FO84,
IF(AND(テーブル!$B$3="交付申請（２次）",FO$26=0),0,
IF(AND(テーブル!$B$3="交付申請（２次）",FO$26&gt;=1),FO84,
IF(AND(テーブル!$B$3="交付申請兼実績報告（２次）",FO$26=0),0,
IF(AND(テーブル!$B$3="交付申請兼実績報告（２次）",FO$26&gt;=1),FO84,
IF(AND(テーブル!$B$3="実績報告（２次）",FO$26=0),0,
IF(AND(テーブル!$B$3="実績報告（２次）",FO$26&gt;=1),FO84)))))))))),0)</f>
        <v>0</v>
      </c>
      <c r="FP42" s="2010">
        <f>IFERROR(
IF(テーブル!$B$3="交付申請",FP84,
IF(AND(テーブル!$B$3="変更申請",FP$26=0),0,
IF(AND(テーブル!$B$3="変更申請",FP$26&gt;=1),FP84,
IF(テーブル!$B$3="実績報告（１次）",FP84,
IF(AND(テーブル!$B$3="交付申請（２次）",FP$26=0),0,
IF(AND(テーブル!$B$3="交付申請（２次）",FP$26&gt;=1),FP84,
IF(AND(テーブル!$B$3="交付申請兼実績報告（２次）",FP$26=0),0,
IF(AND(テーブル!$B$3="交付申請兼実績報告（２次）",FP$26&gt;=1),FP84,
IF(AND(テーブル!$B$3="実績報告（２次）",FP$26=0),0,
IF(AND(テーブル!$B$3="実績報告（２次）",FP$26&gt;=1),FP84)))))))))),0)</f>
        <v>0</v>
      </c>
      <c r="FQ42" s="2010">
        <f>IFERROR(
IF(テーブル!$B$3="交付申請",FQ84,
IF(AND(テーブル!$B$3="変更申請",FQ$26=0),0,
IF(AND(テーブル!$B$3="変更申請",FQ$26&gt;=1),FQ84,
IF(テーブル!$B$3="実績報告（１次）",FQ84,
IF(AND(テーブル!$B$3="交付申請（２次）",FQ$26=0),0,
IF(AND(テーブル!$B$3="交付申請（２次）",FQ$26&gt;=1),FQ84,
IF(AND(テーブル!$B$3="交付申請兼実績報告（２次）",FQ$26=0),0,
IF(AND(テーブル!$B$3="交付申請兼実績報告（２次）",FQ$26&gt;=1),FQ84,
IF(AND(テーブル!$B$3="実績報告（２次）",FQ$26=0),0,
IF(AND(テーブル!$B$3="実績報告（２次）",FQ$26&gt;=1),FQ84)))))))))),0)</f>
        <v>0</v>
      </c>
      <c r="FR42" s="2010">
        <f>IFERROR(
IF(テーブル!$B$3="交付申請",FR84,
IF(AND(テーブル!$B$3="変更申請",FR$26=0),0,
IF(AND(テーブル!$B$3="変更申請",FR$26&gt;=1),FR84,
IF(テーブル!$B$3="実績報告（１次）",FR84,
IF(AND(テーブル!$B$3="交付申請（２次）",FR$26=0),0,
IF(AND(テーブル!$B$3="交付申請（２次）",FR$26&gt;=1),FR84,
IF(AND(テーブル!$B$3="交付申請兼実績報告（２次）",FR$26=0),0,
IF(AND(テーブル!$B$3="交付申請兼実績報告（２次）",FR$26&gt;=1),FR84,
IF(AND(テーブル!$B$3="実績報告（２次）",FR$26=0),0,
IF(AND(テーブル!$B$3="実績報告（２次）",FR$26&gt;=1),FR84)))))))))),0)</f>
        <v>0</v>
      </c>
      <c r="FS42" s="2010">
        <f>IFERROR(
IF(テーブル!$B$3="交付申請",FS84,
IF(AND(テーブル!$B$3="変更申請",FS$26=0),0,
IF(AND(テーブル!$B$3="変更申請",FS$26&gt;=1),FS84,
IF(テーブル!$B$3="実績報告（１次）",FS84,
IF(AND(テーブル!$B$3="交付申請（２次）",FS$26=0),0,
IF(AND(テーブル!$B$3="交付申請（２次）",FS$26&gt;=1),FS84,
IF(AND(テーブル!$B$3="交付申請兼実績報告（２次）",FS$26=0),0,
IF(AND(テーブル!$B$3="交付申請兼実績報告（２次）",FS$26&gt;=1),FS84,
IF(AND(テーブル!$B$3="実績報告（２次）",FS$26=0),0,
IF(AND(テーブル!$B$3="実績報告（２次）",FS$26&gt;=1),FS84)))))))))),0)</f>
        <v>0</v>
      </c>
      <c r="FT42" s="2010">
        <f>IFERROR(
IF(テーブル!$B$3="交付申請",FT84,
IF(AND(テーブル!$B$3="変更申請",FT$26=0),0,
IF(AND(テーブル!$B$3="変更申請",FT$26&gt;=1),FT84,
IF(テーブル!$B$3="実績報告（１次）",FT84,
IF(AND(テーブル!$B$3="交付申請（２次）",FT$26=0),0,
IF(AND(テーブル!$B$3="交付申請（２次）",FT$26&gt;=1),FT84,
IF(AND(テーブル!$B$3="交付申請兼実績報告（２次）",FT$26=0),0,
IF(AND(テーブル!$B$3="交付申請兼実績報告（２次）",FT$26&gt;=1),FT84,
IF(AND(テーブル!$B$3="実績報告（２次）",FT$26=0),0,
IF(AND(テーブル!$B$3="実績報告（２次）",FT$26&gt;=1),FT84)))))))))),0)</f>
        <v>0</v>
      </c>
      <c r="FU42" s="2010">
        <f>IFERROR(
IF(テーブル!$B$3="交付申請",FU84,
IF(AND(テーブル!$B$3="変更申請",FU$26=0),0,
IF(AND(テーブル!$B$3="変更申請",FU$26&gt;=1),FU84,
IF(テーブル!$B$3="実績報告（１次）",FU84,
IF(AND(テーブル!$B$3="交付申請（２次）",FU$26=0),0,
IF(AND(テーブル!$B$3="交付申請（２次）",FU$26&gt;=1),FU84,
IF(AND(テーブル!$B$3="交付申請兼実績報告（２次）",FU$26=0),0,
IF(AND(テーブル!$B$3="交付申請兼実績報告（２次）",FU$26&gt;=1),FU84,
IF(AND(テーブル!$B$3="実績報告（２次）",FU$26=0),0,
IF(AND(テーブル!$B$3="実績報告（２次）",FU$26&gt;=1),FU84)))))))))),0)</f>
        <v>0</v>
      </c>
      <c r="FV42" s="2010">
        <f>IFERROR(
IF(テーブル!$B$3="交付申請",FV84,
IF(AND(テーブル!$B$3="変更申請",FV$26=0),0,
IF(AND(テーブル!$B$3="変更申請",FV$26&gt;=1),FV84,
IF(テーブル!$B$3="実績報告（１次）",FV84,
IF(AND(テーブル!$B$3="交付申請（２次）",FV$26=0),0,
IF(AND(テーブル!$B$3="交付申請（２次）",FV$26&gt;=1),FV84,
IF(AND(テーブル!$B$3="交付申請兼実績報告（２次）",FV$26=0),0,
IF(AND(テーブル!$B$3="交付申請兼実績報告（２次）",FV$26&gt;=1),FV84,
IF(AND(テーブル!$B$3="実績報告（２次）",FV$26=0),0,
IF(AND(テーブル!$B$3="実績報告（２次）",FV$26&gt;=1),FV84)))))))))),0)</f>
        <v>0</v>
      </c>
      <c r="FW42" s="2010">
        <f>IFERROR(
IF(テーブル!$B$3="交付申請",FW84,
IF(AND(テーブル!$B$3="変更申請",FW$26=0),0,
IF(AND(テーブル!$B$3="変更申請",FW$26&gt;=1),FW84,
IF(テーブル!$B$3="実績報告（１次）",FW84,
IF(AND(テーブル!$B$3="交付申請（２次）",FW$26=0),0,
IF(AND(テーブル!$B$3="交付申請（２次）",FW$26&gt;=1),FW84,
IF(AND(テーブル!$B$3="交付申請兼実績報告（２次）",FW$26=0),0,
IF(AND(テーブル!$B$3="交付申請兼実績報告（２次）",FW$26&gt;=1),FW84,
IF(AND(テーブル!$B$3="実績報告（２次）",FW$26=0),0,
IF(AND(テーブル!$B$3="実績報告（２次）",FW$26&gt;=1),FW84)))))))))),0)</f>
        <v>0</v>
      </c>
      <c r="FX42" s="2010">
        <f>IFERROR(
IF(テーブル!$B$3="交付申請",FX84,
IF(AND(テーブル!$B$3="変更申請",FX$26=0),0,
IF(AND(テーブル!$B$3="変更申請",FX$26&gt;=1),FX84,
IF(テーブル!$B$3="実績報告（１次）",FX84,
IF(AND(テーブル!$B$3="交付申請（２次）",FX$26=0),0,
IF(AND(テーブル!$B$3="交付申請（２次）",FX$26&gt;=1),FX84,
IF(AND(テーブル!$B$3="交付申請兼実績報告（２次）",FX$26=0),0,
IF(AND(テーブル!$B$3="交付申請兼実績報告（２次）",FX$26&gt;=1),FX84,
IF(AND(テーブル!$B$3="実績報告（２次）",FX$26=0),0,
IF(AND(テーブル!$B$3="実績報告（２次）",FX$26&gt;=1),FX84)))))))))),0)</f>
        <v>0</v>
      </c>
      <c r="FY42" s="2010">
        <f>IFERROR(
IF(テーブル!$B$3="交付申請",FY84,
IF(AND(テーブル!$B$3="変更申請",FY$26=0),0,
IF(AND(テーブル!$B$3="変更申請",FY$26&gt;=1),FY84,
IF(テーブル!$B$3="実績報告（１次）",FY84,
IF(AND(テーブル!$B$3="交付申請（２次）",FY$26=0),0,
IF(AND(テーブル!$B$3="交付申請（２次）",FY$26&gt;=1),FY84,
IF(AND(テーブル!$B$3="交付申請兼実績報告（２次）",FY$26=0),0,
IF(AND(テーブル!$B$3="交付申請兼実績報告（２次）",FY$26&gt;=1),FY84,
IF(AND(テーブル!$B$3="実績報告（２次）",FY$26=0),0,
IF(AND(テーブル!$B$3="実績報告（２次）",FY$26&gt;=1),FY84)))))))))),0)</f>
        <v>0</v>
      </c>
      <c r="FZ42" s="2010">
        <f>IFERROR(
IF(テーブル!$B$3="交付申請",FZ84,
IF(AND(テーブル!$B$3="変更申請",FZ$26=0),0,
IF(AND(テーブル!$B$3="変更申請",FZ$26&gt;=1),FZ84,
IF(テーブル!$B$3="実績報告（１次）",FZ84,
IF(AND(テーブル!$B$3="交付申請（２次）",FZ$26=0),0,
IF(AND(テーブル!$B$3="交付申請（２次）",FZ$26&gt;=1),FZ84,
IF(AND(テーブル!$B$3="交付申請兼実績報告（２次）",FZ$26=0),0,
IF(AND(テーブル!$B$3="交付申請兼実績報告（２次）",FZ$26&gt;=1),FZ84,
IF(AND(テーブル!$B$3="実績報告（２次）",FZ$26=0),0,
IF(AND(テーブル!$B$3="実績報告（２次）",FZ$26&gt;=1),FZ84)))))))))),0)</f>
        <v>0</v>
      </c>
      <c r="GA42" s="2010">
        <f>IFERROR(
IF(テーブル!$B$3="交付申請",GA84,
IF(AND(テーブル!$B$3="変更申請",GA$26=0),0,
IF(AND(テーブル!$B$3="変更申請",GA$26&gt;=1),GA84,
IF(テーブル!$B$3="実績報告（１次）",GA84,
IF(AND(テーブル!$B$3="交付申請（２次）",GA$26=0),0,
IF(AND(テーブル!$B$3="交付申請（２次）",GA$26&gt;=1),GA84,
IF(AND(テーブル!$B$3="交付申請兼実績報告（２次）",GA$26=0),0,
IF(AND(テーブル!$B$3="交付申請兼実績報告（２次）",GA$26&gt;=1),GA84,
IF(AND(テーブル!$B$3="実績報告（２次）",GA$26=0),0,
IF(AND(テーブル!$B$3="実績報告（２次）",GA$26&gt;=1),GA84)))))))))),0)</f>
        <v>0</v>
      </c>
      <c r="GB42" s="2010">
        <f>IFERROR(
IF(テーブル!$B$3="交付申請",GB84,
IF(AND(テーブル!$B$3="変更申請",GB$26=0),0,
IF(AND(テーブル!$B$3="変更申請",GB$26&gt;=1),GB84,
IF(テーブル!$B$3="実績報告（１次）",GB84,
IF(AND(テーブル!$B$3="交付申請（２次）",GB$26=0),0,
IF(AND(テーブル!$B$3="交付申請（２次）",GB$26&gt;=1),GB84,
IF(AND(テーブル!$B$3="交付申請兼実績報告（２次）",GB$26=0),0,
IF(AND(テーブル!$B$3="交付申請兼実績報告（２次）",GB$26&gt;=1),GB84,
IF(AND(テーブル!$B$3="実績報告（２次）",GB$26=0),0,
IF(AND(テーブル!$B$3="実績報告（２次）",GB$26&gt;=1),GB84)))))))))),0)</f>
        <v>0</v>
      </c>
      <c r="GC42" s="2010">
        <f>IFERROR(
IF(テーブル!$B$3="交付申請",GC84,
IF(AND(テーブル!$B$3="変更申請",GC$26=0),0,
IF(AND(テーブル!$B$3="変更申請",GC$26&gt;=1),GC84,
IF(テーブル!$B$3="実績報告（１次）",GC84,
IF(AND(テーブル!$B$3="交付申請（２次）",GC$26=0),0,
IF(AND(テーブル!$B$3="交付申請（２次）",GC$26&gt;=1),GC84,
IF(AND(テーブル!$B$3="交付申請兼実績報告（２次）",GC$26=0),0,
IF(AND(テーブル!$B$3="交付申請兼実績報告（２次）",GC$26&gt;=1),GC84,
IF(AND(テーブル!$B$3="実績報告（２次）",GC$26=0),0,
IF(AND(テーブル!$B$3="実績報告（２次）",GC$26&gt;=1),GC84)))))))))),0)</f>
        <v>0</v>
      </c>
      <c r="GD42" s="2010">
        <f>IFERROR(
IF(テーブル!$B$3="交付申請",GD84,
IF(AND(テーブル!$B$3="変更申請",GD$26=0),0,
IF(AND(テーブル!$B$3="変更申請",GD$26&gt;=1),GD84,
IF(テーブル!$B$3="実績報告（１次）",GD84,
IF(AND(テーブル!$B$3="交付申請（２次）",GD$26=0),0,
IF(AND(テーブル!$B$3="交付申請（２次）",GD$26&gt;=1),GD84,
IF(AND(テーブル!$B$3="交付申請兼実績報告（２次）",GD$26=0),0,
IF(AND(テーブル!$B$3="交付申請兼実績報告（２次）",GD$26&gt;=1),GD84,
IF(AND(テーブル!$B$3="実績報告（２次）",GD$26=0),0,
IF(AND(テーブル!$B$3="実績報告（２次）",GD$26&gt;=1),GD84)))))))))),0)</f>
        <v>0</v>
      </c>
      <c r="GE42" s="2010">
        <f>IFERROR(
IF(テーブル!$B$3="交付申請",GE84,
IF(AND(テーブル!$B$3="変更申請",GE$26=0),0,
IF(AND(テーブル!$B$3="変更申請",GE$26&gt;=1),GE84,
IF(テーブル!$B$3="実績報告（１次）",GE84,
IF(AND(テーブル!$B$3="交付申請（２次）",GE$26=0),0,
IF(AND(テーブル!$B$3="交付申請（２次）",GE$26&gt;=1),GE84,
IF(AND(テーブル!$B$3="交付申請兼実績報告（２次）",GE$26=0),0,
IF(AND(テーブル!$B$3="交付申請兼実績報告（２次）",GE$26&gt;=1),GE84,
IF(AND(テーブル!$B$3="実績報告（２次）",GE$26=0),0,
IF(AND(テーブル!$B$3="実績報告（２次）",GE$26&gt;=1),GE84)))))))))),0)</f>
        <v>0</v>
      </c>
      <c r="GF42" s="2010">
        <f>IFERROR(
IF(テーブル!$B$3="交付申請",GF84,
IF(AND(テーブル!$B$3="変更申請",GF$26=0),0,
IF(AND(テーブル!$B$3="変更申請",GF$26&gt;=1),GF84,
IF(テーブル!$B$3="実績報告（１次）",GF84,
IF(AND(テーブル!$B$3="交付申請（２次）",GF$26=0),0,
IF(AND(テーブル!$B$3="交付申請（２次）",GF$26&gt;=1),GF84,
IF(AND(テーブル!$B$3="交付申請兼実績報告（２次）",GF$26=0),0,
IF(AND(テーブル!$B$3="交付申請兼実績報告（２次）",GF$26&gt;=1),GF84,
IF(AND(テーブル!$B$3="実績報告（２次）",GF$26=0),0,
IF(AND(テーブル!$B$3="実績報告（２次）",GF$26&gt;=1),GF84)))))))))),0)</f>
        <v>0</v>
      </c>
    </row>
    <row r="43" spans="1:189" s="638" customFormat="1" ht="18.75" hidden="1" x14ac:dyDescent="0.4">
      <c r="A43" s="635"/>
      <c r="B43" s="636" t="s">
        <v>1336</v>
      </c>
      <c r="C43" s="1690">
        <f t="shared" si="21"/>
        <v>0</v>
      </c>
      <c r="D43" s="1691"/>
      <c r="E43" s="637"/>
      <c r="F43" s="1997">
        <f>IFERROR(
IF(テーブル!$B$3="交付申請",F87,
IF(AND(テーブル!$B$3="変更申請",F$26=0),0,
IF(AND(テーブル!$B$3="変更申請",F$26&gt;=1),F87,
IF(テーブル!$B$3="実績報告（１次）",F87,
IF(AND(テーブル!$B$3="交付申請（２次）",F$26=0),0,
IF(AND(テーブル!$B$3="交付申請（２次）",F$26&gt;=1),F87,
IF(AND(テーブル!$B$3="交付申請兼実績報告（２次）",F$26=0),0,
IF(AND(テーブル!$B$3="交付申請兼実績報告（２次）",F$26&gt;=1),F87,
IF(AND(テーブル!$B$3="実績報告（２次）",F$26=0),0,
IF(AND(テーブル!$B$3="実績報告（２次）",F$26&gt;=1),F87)))))))))),0)</f>
        <v>0</v>
      </c>
      <c r="G43" s="1997">
        <f>IFERROR(
IF(テーブル!$B$3="交付申請",G87,
IF(AND(テーブル!$B$3="変更申請",G$26=0),0,
IF(AND(テーブル!$B$3="変更申請",G$26&gt;=1),G87,
IF(テーブル!$B$3="実績報告（１次）",G87,
IF(AND(テーブル!$B$3="交付申請（２次）",G$26=0),0,
IF(AND(テーブル!$B$3="交付申請（２次）",G$26&gt;=1),G87,
IF(AND(テーブル!$B$3="交付申請兼実績報告（２次）",G$26=0),0,
IF(AND(テーブル!$B$3="交付申請兼実績報告（２次）",G$26&gt;=1),G87,
IF(AND(テーブル!$B$3="実績報告（２次）",G$26=0),0,
IF(AND(テーブル!$B$3="実績報告（２次）",G$26&gt;=1),G87)))))))))),0)</f>
        <v>0</v>
      </c>
      <c r="H43" s="1997">
        <f>IFERROR(
IF(テーブル!$B$3="交付申請",H87,
IF(AND(テーブル!$B$3="変更申請",H$26=0),0,
IF(AND(テーブル!$B$3="変更申請",H$26&gt;=1),H87,
IF(テーブル!$B$3="実績報告（１次）",H87,
IF(AND(テーブル!$B$3="交付申請（２次）",H$26=0),0,
IF(AND(テーブル!$B$3="交付申請（２次）",H$26&gt;=1),H87,
IF(AND(テーブル!$B$3="交付申請兼実績報告（２次）",H$26=0),0,
IF(AND(テーブル!$B$3="交付申請兼実績報告（２次）",H$26&gt;=1),H87,
IF(AND(テーブル!$B$3="実績報告（２次）",H$26=0),0,
IF(AND(テーブル!$B$3="実績報告（２次）",H$26&gt;=1),H87)))))))))),0)</f>
        <v>0</v>
      </c>
      <c r="I43" s="1997">
        <f>IFERROR(
IF(テーブル!$B$3="交付申請",I87,
IF(AND(テーブル!$B$3="変更申請",I$26=0),0,
IF(AND(テーブル!$B$3="変更申請",I$26&gt;=1),I87,
IF(テーブル!$B$3="実績報告（１次）",I87,
IF(AND(テーブル!$B$3="交付申請（２次）",I$26=0),0,
IF(AND(テーブル!$B$3="交付申請（２次）",I$26&gt;=1),I87,
IF(AND(テーブル!$B$3="交付申請兼実績報告（２次）",I$26=0),0,
IF(AND(テーブル!$B$3="交付申請兼実績報告（２次）",I$26&gt;=1),I87,
IF(AND(テーブル!$B$3="実績報告（２次）",I$26=0),0,
IF(AND(テーブル!$B$3="実績報告（２次）",I$26&gt;=1),I87)))))))))),0)</f>
        <v>0</v>
      </c>
      <c r="J43" s="1997">
        <f>IFERROR(
IF(テーブル!$B$3="交付申請",J87,
IF(AND(テーブル!$B$3="変更申請",J$26=0),0,
IF(AND(テーブル!$B$3="変更申請",J$26&gt;=1),J87,
IF(テーブル!$B$3="実績報告（１次）",J87,
IF(AND(テーブル!$B$3="交付申請（２次）",J$26=0),0,
IF(AND(テーブル!$B$3="交付申請（２次）",J$26&gt;=1),J87,
IF(AND(テーブル!$B$3="交付申請兼実績報告（２次）",J$26=0),0,
IF(AND(テーブル!$B$3="交付申請兼実績報告（２次）",J$26&gt;=1),J87,
IF(AND(テーブル!$B$3="実績報告（２次）",J$26=0),0,
IF(AND(テーブル!$B$3="実績報告（２次）",J$26&gt;=1),J87)))))))))),0)</f>
        <v>0</v>
      </c>
      <c r="K43" s="1997">
        <f>IFERROR(
IF(テーブル!$B$3="交付申請",K87,
IF(AND(テーブル!$B$3="変更申請",K$26=0),0,
IF(AND(テーブル!$B$3="変更申請",K$26&gt;=1),K87,
IF(テーブル!$B$3="実績報告（１次）",K87,
IF(AND(テーブル!$B$3="交付申請（２次）",K$26=0),0,
IF(AND(テーブル!$B$3="交付申請（２次）",K$26&gt;=1),K87,
IF(AND(テーブル!$B$3="交付申請兼実績報告（２次）",K$26=0),0,
IF(AND(テーブル!$B$3="交付申請兼実績報告（２次）",K$26&gt;=1),K87,
IF(AND(テーブル!$B$3="実績報告（２次）",K$26=0),0,
IF(AND(テーブル!$B$3="実績報告（２次）",K$26&gt;=1),K87)))))))))),0)</f>
        <v>0</v>
      </c>
      <c r="L43" s="1997">
        <f>IFERROR(
IF(テーブル!$B$3="交付申請",L87,
IF(AND(テーブル!$B$3="変更申請",L$26=0),0,
IF(AND(テーブル!$B$3="変更申請",L$26&gt;=1),L87,
IF(テーブル!$B$3="実績報告（１次）",L87,
IF(AND(テーブル!$B$3="交付申請（２次）",L$26=0),0,
IF(AND(テーブル!$B$3="交付申請（２次）",L$26&gt;=1),L87,
IF(AND(テーブル!$B$3="交付申請兼実績報告（２次）",L$26=0),0,
IF(AND(テーブル!$B$3="交付申請兼実績報告（２次）",L$26&gt;=1),L87,
IF(AND(テーブル!$B$3="実績報告（２次）",L$26=0),0,
IF(AND(テーブル!$B$3="実績報告（２次）",L$26&gt;=1),L87)))))))))),0)</f>
        <v>0</v>
      </c>
      <c r="M43" s="1997">
        <f>IFERROR(
IF(テーブル!$B$3="交付申請",M87,
IF(AND(テーブル!$B$3="変更申請",M$26=0),0,
IF(AND(テーブル!$B$3="変更申請",M$26&gt;=1),M87,
IF(テーブル!$B$3="実績報告（１次）",M87,
IF(AND(テーブル!$B$3="交付申請（２次）",M$26=0),0,
IF(AND(テーブル!$B$3="交付申請（２次）",M$26&gt;=1),M87,
IF(AND(テーブル!$B$3="交付申請兼実績報告（２次）",M$26=0),0,
IF(AND(テーブル!$B$3="交付申請兼実績報告（２次）",M$26&gt;=1),M87,
IF(AND(テーブル!$B$3="実績報告（２次）",M$26=0),0,
IF(AND(テーブル!$B$3="実績報告（２次）",M$26&gt;=1),M87)))))))))),0)</f>
        <v>0</v>
      </c>
      <c r="N43" s="1997">
        <f>IFERROR(
IF(テーブル!$B$3="交付申請",N87,
IF(AND(テーブル!$B$3="変更申請",N$26=0),0,
IF(AND(テーブル!$B$3="変更申請",N$26&gt;=1),N87,
IF(テーブル!$B$3="実績報告（１次）",N87,
IF(AND(テーブル!$B$3="交付申請（２次）",N$26=0),0,
IF(AND(テーブル!$B$3="交付申請（２次）",N$26&gt;=1),N87,
IF(AND(テーブル!$B$3="交付申請兼実績報告（２次）",N$26=0),0,
IF(AND(テーブル!$B$3="交付申請兼実績報告（２次）",N$26&gt;=1),N87,
IF(AND(テーブル!$B$3="実績報告（２次）",N$26=0),0,
IF(AND(テーブル!$B$3="実績報告（２次）",N$26&gt;=1),N87)))))))))),0)</f>
        <v>0</v>
      </c>
      <c r="O43" s="1997">
        <f>IFERROR(
IF(テーブル!$B$3="交付申請",O87,
IF(AND(テーブル!$B$3="変更申請",O$26=0),0,
IF(AND(テーブル!$B$3="変更申請",O$26&gt;=1),O87,
IF(テーブル!$B$3="実績報告（１次）",O87,
IF(AND(テーブル!$B$3="交付申請（２次）",O$26=0),0,
IF(AND(テーブル!$B$3="交付申請（２次）",O$26&gt;=1),O87,
IF(AND(テーブル!$B$3="交付申請兼実績報告（２次）",O$26=0),0,
IF(AND(テーブル!$B$3="交付申請兼実績報告（２次）",O$26&gt;=1),O87,
IF(AND(テーブル!$B$3="実績報告（２次）",O$26=0),0,
IF(AND(テーブル!$B$3="実績報告（２次）",O$26&gt;=1),O87)))))))))),0)</f>
        <v>0</v>
      </c>
      <c r="P43" s="1997">
        <f>IFERROR(
IF(テーブル!$B$3="交付申請",P87,
IF(AND(テーブル!$B$3="変更申請",P$26=0),0,
IF(AND(テーブル!$B$3="変更申請",P$26&gt;=1),P87,
IF(テーブル!$B$3="実績報告（１次）",P87,
IF(AND(テーブル!$B$3="交付申請（２次）",P$26=0),0,
IF(AND(テーブル!$B$3="交付申請（２次）",P$26&gt;=1),P87,
IF(AND(テーブル!$B$3="交付申請兼実績報告（２次）",P$26=0),0,
IF(AND(テーブル!$B$3="交付申請兼実績報告（２次）",P$26&gt;=1),P87,
IF(AND(テーブル!$B$3="実績報告（２次）",P$26=0),0,
IF(AND(テーブル!$B$3="実績報告（２次）",P$26&gt;=1),P87)))))))))),0)</f>
        <v>0</v>
      </c>
      <c r="Q43" s="1997">
        <f>IFERROR(
IF(テーブル!$B$3="交付申請",Q87,
IF(AND(テーブル!$B$3="変更申請",Q$26=0),0,
IF(AND(テーブル!$B$3="変更申請",Q$26&gt;=1),Q87,
IF(テーブル!$B$3="実績報告（１次）",Q87,
IF(AND(テーブル!$B$3="交付申請（２次）",Q$26=0),0,
IF(AND(テーブル!$B$3="交付申請（２次）",Q$26&gt;=1),Q87,
IF(AND(テーブル!$B$3="交付申請兼実績報告（２次）",Q$26=0),0,
IF(AND(テーブル!$B$3="交付申請兼実績報告（２次）",Q$26&gt;=1),Q87,
IF(AND(テーブル!$B$3="実績報告（２次）",Q$26=0),0,
IF(AND(テーブル!$B$3="実績報告（２次）",Q$26&gt;=1),Q87)))))))))),0)</f>
        <v>0</v>
      </c>
      <c r="R43" s="1997">
        <f>IFERROR(
IF(テーブル!$B$3="交付申請",R87,
IF(AND(テーブル!$B$3="変更申請",R$26=0),0,
IF(AND(テーブル!$B$3="変更申請",R$26&gt;=1),R87,
IF(テーブル!$B$3="実績報告（１次）",R87,
IF(AND(テーブル!$B$3="交付申請（２次）",R$26=0),0,
IF(AND(テーブル!$B$3="交付申請（２次）",R$26&gt;=1),R87,
IF(AND(テーブル!$B$3="交付申請兼実績報告（２次）",R$26=0),0,
IF(AND(テーブル!$B$3="交付申請兼実績報告（２次）",R$26&gt;=1),R87,
IF(AND(テーブル!$B$3="実績報告（２次）",R$26=0),0,
IF(AND(テーブル!$B$3="実績報告（２次）",R$26&gt;=1),R87)))))))))),0)</f>
        <v>0</v>
      </c>
      <c r="S43" s="1997">
        <f>IFERROR(
IF(テーブル!$B$3="交付申請",S87,
IF(AND(テーブル!$B$3="変更申請",S$26=0),0,
IF(AND(テーブル!$B$3="変更申請",S$26&gt;=1),S87,
IF(テーブル!$B$3="実績報告（１次）",S87,
IF(AND(テーブル!$B$3="交付申請（２次）",S$26=0),0,
IF(AND(テーブル!$B$3="交付申請（２次）",S$26&gt;=1),S87,
IF(AND(テーブル!$B$3="交付申請兼実績報告（２次）",S$26=0),0,
IF(AND(テーブル!$B$3="交付申請兼実績報告（２次）",S$26&gt;=1),S87,
IF(AND(テーブル!$B$3="実績報告（２次）",S$26=0),0,
IF(AND(テーブル!$B$3="実績報告（２次）",S$26&gt;=1),S87)))))))))),0)</f>
        <v>0</v>
      </c>
      <c r="T43" s="1997">
        <f>IFERROR(
IF(テーブル!$B$3="交付申請",T87,
IF(AND(テーブル!$B$3="変更申請",T$26=0),0,
IF(AND(テーブル!$B$3="変更申請",T$26&gt;=1),T87,
IF(テーブル!$B$3="実績報告（１次）",T87,
IF(AND(テーブル!$B$3="交付申請（２次）",T$26=0),0,
IF(AND(テーブル!$B$3="交付申請（２次）",T$26&gt;=1),T87,
IF(AND(テーブル!$B$3="交付申請兼実績報告（２次）",T$26=0),0,
IF(AND(テーブル!$B$3="交付申請兼実績報告（２次）",T$26&gt;=1),T87,
IF(AND(テーブル!$B$3="実績報告（２次）",T$26=0),0,
IF(AND(テーブル!$B$3="実績報告（２次）",T$26&gt;=1),T87)))))))))),0)</f>
        <v>0</v>
      </c>
      <c r="U43" s="1997">
        <f>IFERROR(
IF(テーブル!$B$3="交付申請",U87,
IF(AND(テーブル!$B$3="変更申請",U$26=0),0,
IF(AND(テーブル!$B$3="変更申請",U$26&gt;=1),U87,
IF(テーブル!$B$3="実績報告（１次）",U87,
IF(AND(テーブル!$B$3="交付申請（２次）",U$26=0),0,
IF(AND(テーブル!$B$3="交付申請（２次）",U$26&gt;=1),U87,
IF(AND(テーブル!$B$3="交付申請兼実績報告（２次）",U$26=0),0,
IF(AND(テーブル!$B$3="交付申請兼実績報告（２次）",U$26&gt;=1),U87,
IF(AND(テーブル!$B$3="実績報告（２次）",U$26=0),0,
IF(AND(テーブル!$B$3="実績報告（２次）",U$26&gt;=1),U87)))))))))),0)</f>
        <v>0</v>
      </c>
      <c r="V43" s="1997">
        <f>IFERROR(
IF(テーブル!$B$3="交付申請",V87,
IF(AND(テーブル!$B$3="変更申請",V$26=0),0,
IF(AND(テーブル!$B$3="変更申請",V$26&gt;=1),V87,
IF(テーブル!$B$3="実績報告（１次）",V87,
IF(AND(テーブル!$B$3="交付申請（２次）",V$26=0),0,
IF(AND(テーブル!$B$3="交付申請（２次）",V$26&gt;=1),V87,
IF(AND(テーブル!$B$3="交付申請兼実績報告（２次）",V$26=0),0,
IF(AND(テーブル!$B$3="交付申請兼実績報告（２次）",V$26&gt;=1),V87,
IF(AND(テーブル!$B$3="実績報告（２次）",V$26=0),0,
IF(AND(テーブル!$B$3="実績報告（２次）",V$26&gt;=1),V87)))))))))),0)</f>
        <v>0</v>
      </c>
      <c r="W43" s="1997">
        <f>IFERROR(
IF(テーブル!$B$3="交付申請",W87,
IF(AND(テーブル!$B$3="変更申請",W$26=0),0,
IF(AND(テーブル!$B$3="変更申請",W$26&gt;=1),W87,
IF(テーブル!$B$3="実績報告（１次）",W87,
IF(AND(テーブル!$B$3="交付申請（２次）",W$26=0),0,
IF(AND(テーブル!$B$3="交付申請（２次）",W$26&gt;=1),W87,
IF(AND(テーブル!$B$3="交付申請兼実績報告（２次）",W$26=0),0,
IF(AND(テーブル!$B$3="交付申請兼実績報告（２次）",W$26&gt;=1),W87,
IF(AND(テーブル!$B$3="実績報告（２次）",W$26=0),0,
IF(AND(テーブル!$B$3="実績報告（２次）",W$26&gt;=1),W87)))))))))),0)</f>
        <v>0</v>
      </c>
      <c r="X43" s="1997">
        <f>IFERROR(
IF(テーブル!$B$3="交付申請",X87,
IF(AND(テーブル!$B$3="変更申請",X$26=0),0,
IF(AND(テーブル!$B$3="変更申請",X$26&gt;=1),X87,
IF(テーブル!$B$3="実績報告（１次）",X87,
IF(AND(テーブル!$B$3="交付申請（２次）",X$26=0),0,
IF(AND(テーブル!$B$3="交付申請（２次）",X$26&gt;=1),X87,
IF(AND(テーブル!$B$3="交付申請兼実績報告（２次）",X$26=0),0,
IF(AND(テーブル!$B$3="交付申請兼実績報告（２次）",X$26&gt;=1),X87,
IF(AND(テーブル!$B$3="実績報告（２次）",X$26=0),0,
IF(AND(テーブル!$B$3="実績報告（２次）",X$26&gt;=1),X87)))))))))),0)</f>
        <v>0</v>
      </c>
      <c r="Y43" s="1997">
        <f>IFERROR(
IF(テーブル!$B$3="交付申請",Y87,
IF(AND(テーブル!$B$3="変更申請",Y$26=0),0,
IF(AND(テーブル!$B$3="変更申請",Y$26&gt;=1),Y87,
IF(テーブル!$B$3="実績報告（１次）",Y87,
IF(AND(テーブル!$B$3="交付申請（２次）",Y$26=0),0,
IF(AND(テーブル!$B$3="交付申請（２次）",Y$26&gt;=1),Y87,
IF(AND(テーブル!$B$3="交付申請兼実績報告（２次）",Y$26=0),0,
IF(AND(テーブル!$B$3="交付申請兼実績報告（２次）",Y$26&gt;=1),Y87,
IF(AND(テーブル!$B$3="実績報告（２次）",Y$26=0),0,
IF(AND(テーブル!$B$3="実績報告（２次）",Y$26&gt;=1),Y87)))))))))),0)</f>
        <v>0</v>
      </c>
      <c r="Z43" s="1997">
        <f>IFERROR(
IF(テーブル!$B$3="交付申請",Z87,
IF(AND(テーブル!$B$3="変更申請",Z$26=0),0,
IF(AND(テーブル!$B$3="変更申請",Z$26&gt;=1),Z87,
IF(テーブル!$B$3="実績報告（１次）",Z87,
IF(AND(テーブル!$B$3="交付申請（２次）",Z$26=0),0,
IF(AND(テーブル!$B$3="交付申請（２次）",Z$26&gt;=1),Z87,
IF(AND(テーブル!$B$3="交付申請兼実績報告（２次）",Z$26=0),0,
IF(AND(テーブル!$B$3="交付申請兼実績報告（２次）",Z$26&gt;=1),Z87,
IF(AND(テーブル!$B$3="実績報告（２次）",Z$26=0),0,
IF(AND(テーブル!$B$3="実績報告（２次）",Z$26&gt;=1),Z87)))))))))),0)</f>
        <v>0</v>
      </c>
      <c r="AA43" s="1997">
        <f>IFERROR(
IF(テーブル!$B$3="交付申請",AA87,
IF(AND(テーブル!$B$3="変更申請",AA$26=0),0,
IF(AND(テーブル!$B$3="変更申請",AA$26&gt;=1),AA87,
IF(テーブル!$B$3="実績報告（１次）",AA87,
IF(AND(テーブル!$B$3="交付申請（２次）",AA$26=0),0,
IF(AND(テーブル!$B$3="交付申請（２次）",AA$26&gt;=1),AA87,
IF(AND(テーブル!$B$3="交付申請兼実績報告（２次）",AA$26=0),0,
IF(AND(テーブル!$B$3="交付申請兼実績報告（２次）",AA$26&gt;=1),AA87,
IF(AND(テーブル!$B$3="実績報告（２次）",AA$26=0),0,
IF(AND(テーブル!$B$3="実績報告（２次）",AA$26&gt;=1),AA87)))))))))),0)</f>
        <v>0</v>
      </c>
      <c r="AB43" s="1997">
        <f>IFERROR(
IF(テーブル!$B$3="交付申請",AB87,
IF(AND(テーブル!$B$3="変更申請",AB$26=0),0,
IF(AND(テーブル!$B$3="変更申請",AB$26&gt;=1),AB87,
IF(テーブル!$B$3="実績報告（１次）",AB87,
IF(AND(テーブル!$B$3="交付申請（２次）",AB$26=0),0,
IF(AND(テーブル!$B$3="交付申請（２次）",AB$26&gt;=1),AB87,
IF(AND(テーブル!$B$3="交付申請兼実績報告（２次）",AB$26=0),0,
IF(AND(テーブル!$B$3="交付申請兼実績報告（２次）",AB$26&gt;=1),AB87,
IF(AND(テーブル!$B$3="実績報告（２次）",AB$26=0),0,
IF(AND(テーブル!$B$3="実績報告（２次）",AB$26&gt;=1),AB87)))))))))),0)</f>
        <v>0</v>
      </c>
      <c r="AC43" s="1997">
        <f>IFERROR(
IF(テーブル!$B$3="交付申請",AC87,
IF(AND(テーブル!$B$3="変更申請",AC$26=0),0,
IF(AND(テーブル!$B$3="変更申請",AC$26&gt;=1),AC87,
IF(テーブル!$B$3="実績報告（１次）",AC87,
IF(AND(テーブル!$B$3="交付申請（２次）",AC$26=0),0,
IF(AND(テーブル!$B$3="交付申請（２次）",AC$26&gt;=1),AC87,
IF(AND(テーブル!$B$3="交付申請兼実績報告（２次）",AC$26=0),0,
IF(AND(テーブル!$B$3="交付申請兼実績報告（２次）",AC$26&gt;=1),AC87,
IF(AND(テーブル!$B$3="実績報告（２次）",AC$26=0),0,
IF(AND(テーブル!$B$3="実績報告（２次）",AC$26&gt;=1),AC87)))))))))),0)</f>
        <v>0</v>
      </c>
      <c r="AD43" s="1997">
        <f>IFERROR(
IF(テーブル!$B$3="交付申請",AD87,
IF(AND(テーブル!$B$3="変更申請",AD$26=0),0,
IF(AND(テーブル!$B$3="変更申請",AD$26&gt;=1),AD87,
IF(テーブル!$B$3="実績報告（１次）",AD87,
IF(AND(テーブル!$B$3="交付申請（２次）",AD$26=0),0,
IF(AND(テーブル!$B$3="交付申請（２次）",AD$26&gt;=1),AD87,
IF(AND(テーブル!$B$3="交付申請兼実績報告（２次）",AD$26=0),0,
IF(AND(テーブル!$B$3="交付申請兼実績報告（２次）",AD$26&gt;=1),AD87,
IF(AND(テーブル!$B$3="実績報告（２次）",AD$26=0),0,
IF(AND(テーブル!$B$3="実績報告（２次）",AD$26&gt;=1),AD87)))))))))),0)</f>
        <v>0</v>
      </c>
      <c r="AE43" s="1997">
        <f>IFERROR(
IF(テーブル!$B$3="交付申請",AE87,
IF(AND(テーブル!$B$3="変更申請",AE$26=0),0,
IF(AND(テーブル!$B$3="変更申請",AE$26&gt;=1),AE87,
IF(テーブル!$B$3="実績報告（１次）",AE87,
IF(AND(テーブル!$B$3="交付申請（２次）",AE$26=0),0,
IF(AND(テーブル!$B$3="交付申請（２次）",AE$26&gt;=1),AE87,
IF(AND(テーブル!$B$3="交付申請兼実績報告（２次）",AE$26=0),0,
IF(AND(テーブル!$B$3="交付申請兼実績報告（２次）",AE$26&gt;=1),AE87,
IF(AND(テーブル!$B$3="実績報告（２次）",AE$26=0),0,
IF(AND(テーブル!$B$3="実績報告（２次）",AE$26&gt;=1),AE87)))))))))),0)</f>
        <v>0</v>
      </c>
      <c r="AF43" s="1997">
        <f>IFERROR(
IF(テーブル!$B$3="交付申請",AF87,
IF(AND(テーブル!$B$3="変更申請",AF$26=0),0,
IF(AND(テーブル!$B$3="変更申請",AF$26&gt;=1),AF87,
IF(テーブル!$B$3="実績報告（１次）",AF87,
IF(AND(テーブル!$B$3="交付申請（２次）",AF$26=0),0,
IF(AND(テーブル!$B$3="交付申請（２次）",AF$26&gt;=1),AF87,
IF(AND(テーブル!$B$3="交付申請兼実績報告（２次）",AF$26=0),0,
IF(AND(テーブル!$B$3="交付申請兼実績報告（２次）",AF$26&gt;=1),AF87,
IF(AND(テーブル!$B$3="実績報告（２次）",AF$26=0),0,
IF(AND(テーブル!$B$3="実績報告（２次）",AF$26&gt;=1),AF87)))))))))),0)</f>
        <v>0</v>
      </c>
      <c r="AG43" s="1997">
        <f>IFERROR(
IF(テーブル!$B$3="交付申請",AG87,
IF(AND(テーブル!$B$3="変更申請",AG$26=0),0,
IF(AND(テーブル!$B$3="変更申請",AG$26&gt;=1),AG87,
IF(テーブル!$B$3="実績報告（１次）",AG87,
IF(AND(テーブル!$B$3="交付申請（２次）",AG$26=0),0,
IF(AND(テーブル!$B$3="交付申請（２次）",AG$26&gt;=1),AG87,
IF(AND(テーブル!$B$3="交付申請兼実績報告（２次）",AG$26=0),0,
IF(AND(テーブル!$B$3="交付申請兼実績報告（２次）",AG$26&gt;=1),AG87,
IF(AND(テーブル!$B$3="実績報告（２次）",AG$26=0),0,
IF(AND(テーブル!$B$3="実績報告（２次）",AG$26&gt;=1),AG87)))))))))),0)</f>
        <v>0</v>
      </c>
      <c r="AH43" s="1997">
        <f>IFERROR(
IF(テーブル!$B$3="交付申請",AH87,
IF(AND(テーブル!$B$3="変更申請",AH$26=0),0,
IF(AND(テーブル!$B$3="変更申請",AH$26&gt;=1),AH87,
IF(テーブル!$B$3="実績報告（１次）",AH87,
IF(AND(テーブル!$B$3="交付申請（２次）",AH$26=0),0,
IF(AND(テーブル!$B$3="交付申請（２次）",AH$26&gt;=1),AH87,
IF(AND(テーブル!$B$3="交付申請兼実績報告（２次）",AH$26=0),0,
IF(AND(テーブル!$B$3="交付申請兼実績報告（２次）",AH$26&gt;=1),AH87,
IF(AND(テーブル!$B$3="実績報告（２次）",AH$26=0),0,
IF(AND(テーブル!$B$3="実績報告（２次）",AH$26&gt;=1),AH87)))))))))),0)</f>
        <v>0</v>
      </c>
      <c r="AI43" s="1997">
        <f>IFERROR(
IF(テーブル!$B$3="交付申請",AI87,
IF(AND(テーブル!$B$3="変更申請",AI$26=0),0,
IF(AND(テーブル!$B$3="変更申請",AI$26&gt;=1),AI87,
IF(テーブル!$B$3="実績報告（１次）",AI87,
IF(AND(テーブル!$B$3="交付申請（２次）",AI$26=0),0,
IF(AND(テーブル!$B$3="交付申請（２次）",AI$26&gt;=1),AI87,
IF(AND(テーブル!$B$3="交付申請兼実績報告（２次）",AI$26=0),0,
IF(AND(テーブル!$B$3="交付申請兼実績報告（２次）",AI$26&gt;=1),AI87,
IF(AND(テーブル!$B$3="実績報告（２次）",AI$26=0),0,
IF(AND(テーブル!$B$3="実績報告（２次）",AI$26&gt;=1),AI87)))))))))),0)</f>
        <v>0</v>
      </c>
      <c r="AJ43" s="1997">
        <f>IFERROR(
IF(テーブル!$B$3="交付申請",AJ87,
IF(AND(テーブル!$B$3="変更申請",AJ$26=0),0,
IF(AND(テーブル!$B$3="変更申請",AJ$26&gt;=1),AJ87,
IF(テーブル!$B$3="実績報告（１次）",AJ87,
IF(AND(テーブル!$B$3="交付申請（２次）",AJ$26=0),0,
IF(AND(テーブル!$B$3="交付申請（２次）",AJ$26&gt;=1),AJ87,
IF(AND(テーブル!$B$3="交付申請兼実績報告（２次）",AJ$26=0),0,
IF(AND(テーブル!$B$3="交付申請兼実績報告（２次）",AJ$26&gt;=1),AJ87,
IF(AND(テーブル!$B$3="実績報告（２次）",AJ$26=0),0,
IF(AND(テーブル!$B$3="実績報告（２次）",AJ$26&gt;=1),AJ87)))))))))),0)</f>
        <v>0</v>
      </c>
      <c r="AK43" s="1997">
        <f>IFERROR(
IF(テーブル!$B$3="交付申請",AK87,
IF(AND(テーブル!$B$3="変更申請",AK$26=0),0,
IF(AND(テーブル!$B$3="変更申請",AK$26&gt;=1),AK87,
IF(テーブル!$B$3="実績報告（１次）",AK87,
IF(AND(テーブル!$B$3="交付申請（２次）",AK$26=0),0,
IF(AND(テーブル!$B$3="交付申請（２次）",AK$26&gt;=1),AK87,
IF(AND(テーブル!$B$3="交付申請兼実績報告（２次）",AK$26=0),0,
IF(AND(テーブル!$B$3="交付申請兼実績報告（２次）",AK$26&gt;=1),AK87,
IF(AND(テーブル!$B$3="実績報告（２次）",AK$26=0),0,
IF(AND(テーブル!$B$3="実績報告（２次）",AK$26&gt;=1),AK87)))))))))),0)</f>
        <v>0</v>
      </c>
      <c r="AL43" s="1997">
        <f>IFERROR(
IF(テーブル!$B$3="交付申請",AL87,
IF(AND(テーブル!$B$3="変更申請",AL$26=0),0,
IF(AND(テーブル!$B$3="変更申請",AL$26&gt;=1),AL87,
IF(テーブル!$B$3="実績報告（１次）",AL87,
IF(AND(テーブル!$B$3="交付申請（２次）",AL$26=0),0,
IF(AND(テーブル!$B$3="交付申請（２次）",AL$26&gt;=1),AL87,
IF(AND(テーブル!$B$3="交付申請兼実績報告（２次）",AL$26=0),0,
IF(AND(テーブル!$B$3="交付申請兼実績報告（２次）",AL$26&gt;=1),AL87,
IF(AND(テーブル!$B$3="実績報告（２次）",AL$26=0),0,
IF(AND(テーブル!$B$3="実績報告（２次）",AL$26&gt;=1),AL87)))))))))),0)</f>
        <v>0</v>
      </c>
      <c r="AM43" s="1997">
        <f>IFERROR(
IF(テーブル!$B$3="交付申請",AM87,
IF(AND(テーブル!$B$3="変更申請",AM$26=0),0,
IF(AND(テーブル!$B$3="変更申請",AM$26&gt;=1),AM87,
IF(テーブル!$B$3="実績報告（１次）",AM87,
IF(AND(テーブル!$B$3="交付申請（２次）",AM$26=0),0,
IF(AND(テーブル!$B$3="交付申請（２次）",AM$26&gt;=1),AM87,
IF(AND(テーブル!$B$3="交付申請兼実績報告（２次）",AM$26=0),0,
IF(AND(テーブル!$B$3="交付申請兼実績報告（２次）",AM$26&gt;=1),AM87,
IF(AND(テーブル!$B$3="実績報告（２次）",AM$26=0),0,
IF(AND(テーブル!$B$3="実績報告（２次）",AM$26&gt;=1),AM87)))))))))),0)</f>
        <v>0</v>
      </c>
      <c r="AN43" s="1997">
        <f>IFERROR(
IF(テーブル!$B$3="交付申請",AN87,
IF(AND(テーブル!$B$3="変更申請",AN$26=0),0,
IF(AND(テーブル!$B$3="変更申請",AN$26&gt;=1),AN87,
IF(テーブル!$B$3="実績報告（１次）",AN87,
IF(AND(テーブル!$B$3="交付申請（２次）",AN$26=0),0,
IF(AND(テーブル!$B$3="交付申請（２次）",AN$26&gt;=1),AN87,
IF(AND(テーブル!$B$3="交付申請兼実績報告（２次）",AN$26=0),0,
IF(AND(テーブル!$B$3="交付申請兼実績報告（２次）",AN$26&gt;=1),AN87,
IF(AND(テーブル!$B$3="実績報告（２次）",AN$26=0),0,
IF(AND(テーブル!$B$3="実績報告（２次）",AN$26&gt;=1),AN87)))))))))),0)</f>
        <v>0</v>
      </c>
      <c r="AO43" s="1997">
        <f>IFERROR(
IF(テーブル!$B$3="交付申請",AO87,
IF(AND(テーブル!$B$3="変更申請",AO$26=0),0,
IF(AND(テーブル!$B$3="変更申請",AO$26&gt;=1),AO87,
IF(テーブル!$B$3="実績報告（１次）",AO87,
IF(AND(テーブル!$B$3="交付申請（２次）",AO$26=0),0,
IF(AND(テーブル!$B$3="交付申請（２次）",AO$26&gt;=1),AO87,
IF(AND(テーブル!$B$3="交付申請兼実績報告（２次）",AO$26=0),0,
IF(AND(テーブル!$B$3="交付申請兼実績報告（２次）",AO$26&gt;=1),AO87,
IF(AND(テーブル!$B$3="実績報告（２次）",AO$26=0),0,
IF(AND(テーブル!$B$3="実績報告（２次）",AO$26&gt;=1),AO87)))))))))),0)</f>
        <v>0</v>
      </c>
      <c r="AP43" s="1997">
        <f>IFERROR(
IF(テーブル!$B$3="交付申請",AP87,
IF(AND(テーブル!$B$3="変更申請",AP$26=0),0,
IF(AND(テーブル!$B$3="変更申請",AP$26&gt;=1),AP87,
IF(テーブル!$B$3="実績報告（１次）",AP87,
IF(AND(テーブル!$B$3="交付申請（２次）",AP$26=0),0,
IF(AND(テーブル!$B$3="交付申請（２次）",AP$26&gt;=1),AP87,
IF(AND(テーブル!$B$3="交付申請兼実績報告（２次）",AP$26=0),0,
IF(AND(テーブル!$B$3="交付申請兼実績報告（２次）",AP$26&gt;=1),AP87,
IF(AND(テーブル!$B$3="実績報告（２次）",AP$26=0),0,
IF(AND(テーブル!$B$3="実績報告（２次）",AP$26&gt;=1),AP87)))))))))),0)</f>
        <v>0</v>
      </c>
      <c r="AQ43" s="1997">
        <f>IFERROR(
IF(テーブル!$B$3="交付申請",AQ87,
IF(AND(テーブル!$B$3="変更申請",AQ$26=0),0,
IF(AND(テーブル!$B$3="変更申請",AQ$26&gt;=1),AQ87,
IF(テーブル!$B$3="実績報告（１次）",AQ87,
IF(AND(テーブル!$B$3="交付申請（２次）",AQ$26=0),0,
IF(AND(テーブル!$B$3="交付申請（２次）",AQ$26&gt;=1),AQ87,
IF(AND(テーブル!$B$3="交付申請兼実績報告（２次）",AQ$26=0),0,
IF(AND(テーブル!$B$3="交付申請兼実績報告（２次）",AQ$26&gt;=1),AQ87,
IF(AND(テーブル!$B$3="実績報告（２次）",AQ$26=0),0,
IF(AND(テーブル!$B$3="実績報告（２次）",AQ$26&gt;=1),AQ87)))))))))),0)</f>
        <v>0</v>
      </c>
      <c r="AR43" s="1997">
        <f>IFERROR(
IF(テーブル!$B$3="交付申請",AR87,
IF(AND(テーブル!$B$3="変更申請",AR$26=0),0,
IF(AND(テーブル!$B$3="変更申請",AR$26&gt;=1),AR87,
IF(テーブル!$B$3="実績報告（１次）",AR87,
IF(AND(テーブル!$B$3="交付申請（２次）",AR$26=0),0,
IF(AND(テーブル!$B$3="交付申請（２次）",AR$26&gt;=1),AR87,
IF(AND(テーブル!$B$3="交付申請兼実績報告（２次）",AR$26=0),0,
IF(AND(テーブル!$B$3="交付申請兼実績報告（２次）",AR$26&gt;=1),AR87,
IF(AND(テーブル!$B$3="実績報告（２次）",AR$26=0),0,
IF(AND(テーブル!$B$3="実績報告（２次）",AR$26&gt;=1),AR87)))))))))),0)</f>
        <v>0</v>
      </c>
      <c r="AS43" s="1997">
        <f>IFERROR(
IF(テーブル!$B$3="交付申請",AS87,
IF(AND(テーブル!$B$3="変更申請",AS$26=0),0,
IF(AND(テーブル!$B$3="変更申請",AS$26&gt;=1),AS87,
IF(テーブル!$B$3="実績報告（１次）",AS87,
IF(AND(テーブル!$B$3="交付申請（２次）",AS$26=0),0,
IF(AND(テーブル!$B$3="交付申請（２次）",AS$26&gt;=1),AS87,
IF(AND(テーブル!$B$3="交付申請兼実績報告（２次）",AS$26=0),0,
IF(AND(テーブル!$B$3="交付申請兼実績報告（２次）",AS$26&gt;=1),AS87,
IF(AND(テーブル!$B$3="実績報告（２次）",AS$26=0),0,
IF(AND(テーブル!$B$3="実績報告（２次）",AS$26&gt;=1),AS87)))))))))),0)</f>
        <v>0</v>
      </c>
      <c r="AT43" s="1997">
        <f>IFERROR(
IF(テーブル!$B$3="交付申請",AT87,
IF(AND(テーブル!$B$3="変更申請",AT$26=0),0,
IF(AND(テーブル!$B$3="変更申請",AT$26&gt;=1),AT87,
IF(テーブル!$B$3="実績報告（１次）",AT87,
IF(AND(テーブル!$B$3="交付申請（２次）",AT$26=0),0,
IF(AND(テーブル!$B$3="交付申請（２次）",AT$26&gt;=1),AT87,
IF(AND(テーブル!$B$3="交付申請兼実績報告（２次）",AT$26=0),0,
IF(AND(テーブル!$B$3="交付申請兼実績報告（２次）",AT$26&gt;=1),AT87,
IF(AND(テーブル!$B$3="実績報告（２次）",AT$26=0),0,
IF(AND(テーブル!$B$3="実績報告（２次）",AT$26&gt;=1),AT87)))))))))),0)</f>
        <v>0</v>
      </c>
      <c r="AU43" s="1997">
        <f>IFERROR(
IF(テーブル!$B$3="交付申請",AU87,
IF(AND(テーブル!$B$3="変更申請",AU$26=0),0,
IF(AND(テーブル!$B$3="変更申請",AU$26&gt;=1),AU87,
IF(テーブル!$B$3="実績報告（１次）",AU87,
IF(AND(テーブル!$B$3="交付申請（２次）",AU$26=0),0,
IF(AND(テーブル!$B$3="交付申請（２次）",AU$26&gt;=1),AU87,
IF(AND(テーブル!$B$3="交付申請兼実績報告（２次）",AU$26=0),0,
IF(AND(テーブル!$B$3="交付申請兼実績報告（２次）",AU$26&gt;=1),AU87,
IF(AND(テーブル!$B$3="実績報告（２次）",AU$26=0),0,
IF(AND(テーブル!$B$3="実績報告（２次）",AU$26&gt;=1),AU87)))))))))),0)</f>
        <v>0</v>
      </c>
      <c r="AV43" s="1997">
        <f>IFERROR(
IF(テーブル!$B$3="交付申請",AV87,
IF(AND(テーブル!$B$3="変更申請",AV$26=0),0,
IF(AND(テーブル!$B$3="変更申請",AV$26&gt;=1),AV87,
IF(テーブル!$B$3="実績報告（１次）",AV87,
IF(AND(テーブル!$B$3="交付申請（２次）",AV$26=0),0,
IF(AND(テーブル!$B$3="交付申請（２次）",AV$26&gt;=1),AV87,
IF(AND(テーブル!$B$3="交付申請兼実績報告（２次）",AV$26=0),0,
IF(AND(テーブル!$B$3="交付申請兼実績報告（２次）",AV$26&gt;=1),AV87,
IF(AND(テーブル!$B$3="実績報告（２次）",AV$26=0),0,
IF(AND(テーブル!$B$3="実績報告（２次）",AV$26&gt;=1),AV87)))))))))),0)</f>
        <v>0</v>
      </c>
      <c r="AW43" s="1997">
        <f>IFERROR(
IF(テーブル!$B$3="交付申請",AW87,
IF(AND(テーブル!$B$3="変更申請",AW$26=0),0,
IF(AND(テーブル!$B$3="変更申請",AW$26&gt;=1),AW87,
IF(テーブル!$B$3="実績報告（１次）",AW87,
IF(AND(テーブル!$B$3="交付申請（２次）",AW$26=0),0,
IF(AND(テーブル!$B$3="交付申請（２次）",AW$26&gt;=1),AW87,
IF(AND(テーブル!$B$3="交付申請兼実績報告（２次）",AW$26=0),0,
IF(AND(テーブル!$B$3="交付申請兼実績報告（２次）",AW$26&gt;=1),AW87,
IF(AND(テーブル!$B$3="実績報告（２次）",AW$26=0),0,
IF(AND(テーブル!$B$3="実績報告（２次）",AW$26&gt;=1),AW87)))))))))),0)</f>
        <v>0</v>
      </c>
      <c r="AX43" s="1997">
        <f>IFERROR(
IF(テーブル!$B$3="交付申請",AX87,
IF(AND(テーブル!$B$3="変更申請",AX$26=0),0,
IF(AND(テーブル!$B$3="変更申請",AX$26&gt;=1),AX87,
IF(テーブル!$B$3="実績報告（１次）",AX87,
IF(AND(テーブル!$B$3="交付申請（２次）",AX$26=0),0,
IF(AND(テーブル!$B$3="交付申請（２次）",AX$26&gt;=1),AX87,
IF(AND(テーブル!$B$3="交付申請兼実績報告（２次）",AX$26=0),0,
IF(AND(テーブル!$B$3="交付申請兼実績報告（２次）",AX$26&gt;=1),AX87,
IF(AND(テーブル!$B$3="実績報告（２次）",AX$26=0),0,
IF(AND(テーブル!$B$3="実績報告（２次）",AX$26&gt;=1),AX87)))))))))),0)</f>
        <v>0</v>
      </c>
      <c r="AY43" s="1997">
        <f>IFERROR(
IF(テーブル!$B$3="交付申請",AY87,
IF(AND(テーブル!$B$3="変更申請",AY$26=0),0,
IF(AND(テーブル!$B$3="変更申請",AY$26&gt;=1),AY87,
IF(テーブル!$B$3="実績報告（１次）",AY87,
IF(AND(テーブル!$B$3="交付申請（２次）",AY$26=0),0,
IF(AND(テーブル!$B$3="交付申請（２次）",AY$26&gt;=1),AY87,
IF(AND(テーブル!$B$3="交付申請兼実績報告（２次）",AY$26=0),0,
IF(AND(テーブル!$B$3="交付申請兼実績報告（２次）",AY$26&gt;=1),AY87,
IF(AND(テーブル!$B$3="実績報告（２次）",AY$26=0),0,
IF(AND(テーブル!$B$3="実績報告（２次）",AY$26&gt;=1),AY87)))))))))),0)</f>
        <v>0</v>
      </c>
      <c r="AZ43" s="1997">
        <f>IFERROR(
IF(テーブル!$B$3="交付申請",AZ87,
IF(AND(テーブル!$B$3="変更申請",AZ$26=0),0,
IF(AND(テーブル!$B$3="変更申請",AZ$26&gt;=1),AZ87,
IF(テーブル!$B$3="実績報告（１次）",AZ87,
IF(AND(テーブル!$B$3="交付申請（２次）",AZ$26=0),0,
IF(AND(テーブル!$B$3="交付申請（２次）",AZ$26&gt;=1),AZ87,
IF(AND(テーブル!$B$3="交付申請兼実績報告（２次）",AZ$26=0),0,
IF(AND(テーブル!$B$3="交付申請兼実績報告（２次）",AZ$26&gt;=1),AZ87,
IF(AND(テーブル!$B$3="実績報告（２次）",AZ$26=0),0,
IF(AND(テーブル!$B$3="実績報告（２次）",AZ$26&gt;=1),AZ87)))))))))),0)</f>
        <v>0</v>
      </c>
      <c r="BA43" s="1997">
        <f>IFERROR(
IF(テーブル!$B$3="交付申請",BA87,
IF(AND(テーブル!$B$3="変更申請",BA$26=0),0,
IF(AND(テーブル!$B$3="変更申請",BA$26&gt;=1),BA87,
IF(テーブル!$B$3="実績報告（１次）",BA87,
IF(AND(テーブル!$B$3="交付申請（２次）",BA$26=0),0,
IF(AND(テーブル!$B$3="交付申請（２次）",BA$26&gt;=1),BA87,
IF(AND(テーブル!$B$3="交付申請兼実績報告（２次）",BA$26=0),0,
IF(AND(テーブル!$B$3="交付申請兼実績報告（２次）",BA$26&gt;=1),BA87,
IF(AND(テーブル!$B$3="実績報告（２次）",BA$26=0),0,
IF(AND(テーブル!$B$3="実績報告（２次）",BA$26&gt;=1),BA87)))))))))),0)</f>
        <v>0</v>
      </c>
      <c r="BB43" s="1997">
        <f>IFERROR(
IF(テーブル!$B$3="交付申請",BB87,
IF(AND(テーブル!$B$3="変更申請",BB$26=0),0,
IF(AND(テーブル!$B$3="変更申請",BB$26&gt;=1),BB87,
IF(テーブル!$B$3="実績報告（１次）",BB87,
IF(AND(テーブル!$B$3="交付申請（２次）",BB$26=0),0,
IF(AND(テーブル!$B$3="交付申請（２次）",BB$26&gt;=1),BB87,
IF(AND(テーブル!$B$3="交付申請兼実績報告（２次）",BB$26=0),0,
IF(AND(テーブル!$B$3="交付申請兼実績報告（２次）",BB$26&gt;=1),BB87,
IF(AND(テーブル!$B$3="実績報告（２次）",BB$26=0),0,
IF(AND(テーブル!$B$3="実績報告（２次）",BB$26&gt;=1),BB87)))))))))),0)</f>
        <v>0</v>
      </c>
      <c r="BC43" s="1997">
        <f>IFERROR(
IF(テーブル!$B$3="交付申請",BC87,
IF(AND(テーブル!$B$3="変更申請",BC$26=0),0,
IF(AND(テーブル!$B$3="変更申請",BC$26&gt;=1),BC87,
IF(テーブル!$B$3="実績報告（１次）",BC87,
IF(AND(テーブル!$B$3="交付申請（２次）",BC$26=0),0,
IF(AND(テーブル!$B$3="交付申請（２次）",BC$26&gt;=1),BC87,
IF(AND(テーブル!$B$3="交付申請兼実績報告（２次）",BC$26=0),0,
IF(AND(テーブル!$B$3="交付申請兼実績報告（２次）",BC$26&gt;=1),BC87,
IF(AND(テーブル!$B$3="実績報告（２次）",BC$26=0),0,
IF(AND(テーブル!$B$3="実績報告（２次）",BC$26&gt;=1),BC87)))))))))),0)</f>
        <v>0</v>
      </c>
      <c r="BD43" s="1997">
        <f>IFERROR(
IF(テーブル!$B$3="交付申請",BD87,
IF(AND(テーブル!$B$3="変更申請",BD$26=0),0,
IF(AND(テーブル!$B$3="変更申請",BD$26&gt;=1),BD87,
IF(テーブル!$B$3="実績報告（１次）",BD87,
IF(AND(テーブル!$B$3="交付申請（２次）",BD$26=0),0,
IF(AND(テーブル!$B$3="交付申請（２次）",BD$26&gt;=1),BD87,
IF(AND(テーブル!$B$3="交付申請兼実績報告（２次）",BD$26=0),0,
IF(AND(テーブル!$B$3="交付申請兼実績報告（２次）",BD$26&gt;=1),BD87,
IF(AND(テーブル!$B$3="実績報告（２次）",BD$26=0),0,
IF(AND(テーブル!$B$3="実績報告（２次）",BD$26&gt;=1),BD87)))))))))),0)</f>
        <v>0</v>
      </c>
      <c r="BE43" s="1997">
        <f>IFERROR(
IF(テーブル!$B$3="交付申請",BE87,
IF(AND(テーブル!$B$3="変更申請",BE$26=0),0,
IF(AND(テーブル!$B$3="変更申請",BE$26&gt;=1),BE87,
IF(テーブル!$B$3="実績報告（１次）",BE87,
IF(AND(テーブル!$B$3="交付申請（２次）",BE$26=0),0,
IF(AND(テーブル!$B$3="交付申請（２次）",BE$26&gt;=1),BE87,
IF(AND(テーブル!$B$3="交付申請兼実績報告（２次）",BE$26=0),0,
IF(AND(テーブル!$B$3="交付申請兼実績報告（２次）",BE$26&gt;=1),BE87,
IF(AND(テーブル!$B$3="実績報告（２次）",BE$26=0),0,
IF(AND(テーブル!$B$3="実績報告（２次）",BE$26&gt;=1),BE87)))))))))),0)</f>
        <v>0</v>
      </c>
      <c r="BF43" s="1997">
        <f>IFERROR(
IF(テーブル!$B$3="交付申請",BF87,
IF(AND(テーブル!$B$3="変更申請",BF$26=0),0,
IF(AND(テーブル!$B$3="変更申請",BF$26&gt;=1),BF87,
IF(テーブル!$B$3="実績報告（１次）",BF87,
IF(AND(テーブル!$B$3="交付申請（２次）",BF$26=0),0,
IF(AND(テーブル!$B$3="交付申請（２次）",BF$26&gt;=1),BF87,
IF(AND(テーブル!$B$3="交付申請兼実績報告（２次）",BF$26=0),0,
IF(AND(テーブル!$B$3="交付申請兼実績報告（２次）",BF$26&gt;=1),BF87,
IF(AND(テーブル!$B$3="実績報告（２次）",BF$26=0),0,
IF(AND(テーブル!$B$3="実績報告（２次）",BF$26&gt;=1),BF87)))))))))),0)</f>
        <v>0</v>
      </c>
      <c r="BG43" s="1997">
        <f>IFERROR(
IF(テーブル!$B$3="交付申請",BG87,
IF(AND(テーブル!$B$3="変更申請",BG$26=0),0,
IF(AND(テーブル!$B$3="変更申請",BG$26&gt;=1),BG87,
IF(テーブル!$B$3="実績報告（１次）",BG87,
IF(AND(テーブル!$B$3="交付申請（２次）",BG$26=0),0,
IF(AND(テーブル!$B$3="交付申請（２次）",BG$26&gt;=1),BG87,
IF(AND(テーブル!$B$3="交付申請兼実績報告（２次）",BG$26=0),0,
IF(AND(テーブル!$B$3="交付申請兼実績報告（２次）",BG$26&gt;=1),BG87,
IF(AND(テーブル!$B$3="実績報告（２次）",BG$26=0),0,
IF(AND(テーブル!$B$3="実績報告（２次）",BG$26&gt;=1),BG87)))))))))),0)</f>
        <v>0</v>
      </c>
      <c r="BH43" s="1997">
        <f>IFERROR(
IF(テーブル!$B$3="交付申請",BH87,
IF(AND(テーブル!$B$3="変更申請",BH$26=0),0,
IF(AND(テーブル!$B$3="変更申請",BH$26&gt;=1),BH87,
IF(テーブル!$B$3="実績報告（１次）",BH87,
IF(AND(テーブル!$B$3="交付申請（２次）",BH$26=0),0,
IF(AND(テーブル!$B$3="交付申請（２次）",BH$26&gt;=1),BH87,
IF(AND(テーブル!$B$3="交付申請兼実績報告（２次）",BH$26=0),0,
IF(AND(テーブル!$B$3="交付申請兼実績報告（２次）",BH$26&gt;=1),BH87,
IF(AND(テーブル!$B$3="実績報告（２次）",BH$26=0),0,
IF(AND(テーブル!$B$3="実績報告（２次）",BH$26&gt;=1),BH87)))))))))),0)</f>
        <v>0</v>
      </c>
      <c r="BI43" s="1997">
        <f>IFERROR(
IF(テーブル!$B$3="交付申請",BI87,
IF(AND(テーブル!$B$3="変更申請",BI$26=0),0,
IF(AND(テーブル!$B$3="変更申請",BI$26&gt;=1),BI87,
IF(テーブル!$B$3="実績報告（１次）",BI87,
IF(AND(テーブル!$B$3="交付申請（２次）",BI$26=0),0,
IF(AND(テーブル!$B$3="交付申請（２次）",BI$26&gt;=1),BI87,
IF(AND(テーブル!$B$3="交付申請兼実績報告（２次）",BI$26=0),0,
IF(AND(テーブル!$B$3="交付申請兼実績報告（２次）",BI$26&gt;=1),BI87,
IF(AND(テーブル!$B$3="実績報告（２次）",BI$26=0),0,
IF(AND(テーブル!$B$3="実績報告（２次）",BI$26&gt;=1),BI87)))))))))),0)</f>
        <v>0</v>
      </c>
      <c r="BJ43" s="1997">
        <f>IFERROR(
IF(テーブル!$B$3="交付申請",BJ87,
IF(AND(テーブル!$B$3="変更申請",BJ$26=0),0,
IF(AND(テーブル!$B$3="変更申請",BJ$26&gt;=1),BJ87,
IF(テーブル!$B$3="実績報告（１次）",BJ87,
IF(AND(テーブル!$B$3="交付申請（２次）",BJ$26=0),0,
IF(AND(テーブル!$B$3="交付申請（２次）",BJ$26&gt;=1),BJ87,
IF(AND(テーブル!$B$3="交付申請兼実績報告（２次）",BJ$26=0),0,
IF(AND(テーブル!$B$3="交付申請兼実績報告（２次）",BJ$26&gt;=1),BJ87,
IF(AND(テーブル!$B$3="実績報告（２次）",BJ$26=0),0,
IF(AND(テーブル!$B$3="実績報告（２次）",BJ$26&gt;=1),BJ87)))))))))),0)</f>
        <v>0</v>
      </c>
      <c r="BK43" s="1997">
        <f>IFERROR(
IF(テーブル!$B$3="交付申請",BK87,
IF(AND(テーブル!$B$3="変更申請",BK$26=0),0,
IF(AND(テーブル!$B$3="変更申請",BK$26&gt;=1),BK87,
IF(テーブル!$B$3="実績報告（１次）",BK87,
IF(AND(テーブル!$B$3="交付申請（２次）",BK$26=0),0,
IF(AND(テーブル!$B$3="交付申請（２次）",BK$26&gt;=1),BK87,
IF(AND(テーブル!$B$3="交付申請兼実績報告（２次）",BK$26=0),0,
IF(AND(テーブル!$B$3="交付申請兼実績報告（２次）",BK$26&gt;=1),BK87,
IF(AND(テーブル!$B$3="実績報告（２次）",BK$26=0),0,
IF(AND(テーブル!$B$3="実績報告（２次）",BK$26&gt;=1),BK87)))))))))),0)</f>
        <v>0</v>
      </c>
      <c r="BL43" s="1997">
        <f>IFERROR(
IF(テーブル!$B$3="交付申請",BL87,
IF(AND(テーブル!$B$3="変更申請",BL$26=0),0,
IF(AND(テーブル!$B$3="変更申請",BL$26&gt;=1),BL87,
IF(テーブル!$B$3="実績報告（１次）",BL87,
IF(AND(テーブル!$B$3="交付申請（２次）",BL$26=0),0,
IF(AND(テーブル!$B$3="交付申請（２次）",BL$26&gt;=1),BL87,
IF(AND(テーブル!$B$3="交付申請兼実績報告（２次）",BL$26=0),0,
IF(AND(テーブル!$B$3="交付申請兼実績報告（２次）",BL$26&gt;=1),BL87,
IF(AND(テーブル!$B$3="実績報告（２次）",BL$26=0),0,
IF(AND(テーブル!$B$3="実績報告（２次）",BL$26&gt;=1),BL87)))))))))),0)</f>
        <v>0</v>
      </c>
      <c r="BM43" s="1997">
        <f>IFERROR(
IF(テーブル!$B$3="交付申請",BM87,
IF(AND(テーブル!$B$3="変更申請",BM$26=0),0,
IF(AND(テーブル!$B$3="変更申請",BM$26&gt;=1),BM87,
IF(テーブル!$B$3="実績報告（１次）",BM87,
IF(AND(テーブル!$B$3="交付申請（２次）",BM$26=0),0,
IF(AND(テーブル!$B$3="交付申請（２次）",BM$26&gt;=1),BM87,
IF(AND(テーブル!$B$3="交付申請兼実績報告（２次）",BM$26=0),0,
IF(AND(テーブル!$B$3="交付申請兼実績報告（２次）",BM$26&gt;=1),BM87,
IF(AND(テーブル!$B$3="実績報告（２次）",BM$26=0),0,
IF(AND(テーブル!$B$3="実績報告（２次）",BM$26&gt;=1),BM87)))))))))),0)</f>
        <v>0</v>
      </c>
      <c r="BN43" s="1997">
        <f>IFERROR(
IF(テーブル!$B$3="交付申請",BN87,
IF(AND(テーブル!$B$3="変更申請",BN$26=0),0,
IF(AND(テーブル!$B$3="変更申請",BN$26&gt;=1),BN87,
IF(テーブル!$B$3="実績報告（１次）",BN87,
IF(AND(テーブル!$B$3="交付申請（２次）",BN$26=0),0,
IF(AND(テーブル!$B$3="交付申請（２次）",BN$26&gt;=1),BN87,
IF(AND(テーブル!$B$3="交付申請兼実績報告（２次）",BN$26=0),0,
IF(AND(テーブル!$B$3="交付申請兼実績報告（２次）",BN$26&gt;=1),BN87,
IF(AND(テーブル!$B$3="実績報告（２次）",BN$26=0),0,
IF(AND(テーブル!$B$3="実績報告（２次）",BN$26&gt;=1),BN87)))))))))),0)</f>
        <v>0</v>
      </c>
      <c r="BO43" s="1997">
        <f>IFERROR(
IF(テーブル!$B$3="交付申請",BO87,
IF(AND(テーブル!$B$3="変更申請",BO$26=0),0,
IF(AND(テーブル!$B$3="変更申請",BO$26&gt;=1),BO87,
IF(テーブル!$B$3="実績報告（１次）",BO87,
IF(AND(テーブル!$B$3="交付申請（２次）",BO$26=0),0,
IF(AND(テーブル!$B$3="交付申請（２次）",BO$26&gt;=1),BO87,
IF(AND(テーブル!$B$3="交付申請兼実績報告（２次）",BO$26=0),0,
IF(AND(テーブル!$B$3="交付申請兼実績報告（２次）",BO$26&gt;=1),BO87,
IF(AND(テーブル!$B$3="実績報告（２次）",BO$26=0),0,
IF(AND(テーブル!$B$3="実績報告（２次）",BO$26&gt;=1),BO87)))))))))),0)</f>
        <v>0</v>
      </c>
      <c r="BP43" s="1997">
        <f>IFERROR(
IF(テーブル!$B$3="交付申請",BP87,
IF(AND(テーブル!$B$3="変更申請",BP$26=0),0,
IF(AND(テーブル!$B$3="変更申請",BP$26&gt;=1),BP87,
IF(テーブル!$B$3="実績報告（１次）",BP87,
IF(AND(テーブル!$B$3="交付申請（２次）",BP$26=0),0,
IF(AND(テーブル!$B$3="交付申請（２次）",BP$26&gt;=1),BP87,
IF(AND(テーブル!$B$3="交付申請兼実績報告（２次）",BP$26=0),0,
IF(AND(テーブル!$B$3="交付申請兼実績報告（２次）",BP$26&gt;=1),BP87,
IF(AND(テーブル!$B$3="実績報告（２次）",BP$26=0),0,
IF(AND(テーブル!$B$3="実績報告（２次）",BP$26&gt;=1),BP87)))))))))),0)</f>
        <v>0</v>
      </c>
      <c r="BQ43" s="1997">
        <f>IFERROR(
IF(テーブル!$B$3="交付申請",BQ87,
IF(AND(テーブル!$B$3="変更申請",BQ$26=0),0,
IF(AND(テーブル!$B$3="変更申請",BQ$26&gt;=1),BQ87,
IF(テーブル!$B$3="実績報告（１次）",BQ87,
IF(AND(テーブル!$B$3="交付申請（２次）",BQ$26=0),0,
IF(AND(テーブル!$B$3="交付申請（２次）",BQ$26&gt;=1),BQ87,
IF(AND(テーブル!$B$3="交付申請兼実績報告（２次）",BQ$26=0),0,
IF(AND(テーブル!$B$3="交付申請兼実績報告（２次）",BQ$26&gt;=1),BQ87,
IF(AND(テーブル!$B$3="実績報告（２次）",BQ$26=0),0,
IF(AND(テーブル!$B$3="実績報告（２次）",BQ$26&gt;=1),BQ87)))))))))),0)</f>
        <v>0</v>
      </c>
      <c r="BR43" s="1997">
        <f>IFERROR(
IF(テーブル!$B$3="交付申請",BR87,
IF(AND(テーブル!$B$3="変更申請",BR$26=0),0,
IF(AND(テーブル!$B$3="変更申請",BR$26&gt;=1),BR87,
IF(テーブル!$B$3="実績報告（１次）",BR87,
IF(AND(テーブル!$B$3="交付申請（２次）",BR$26=0),0,
IF(AND(テーブル!$B$3="交付申請（２次）",BR$26&gt;=1),BR87,
IF(AND(テーブル!$B$3="交付申請兼実績報告（２次）",BR$26=0),0,
IF(AND(テーブル!$B$3="交付申請兼実績報告（２次）",BR$26&gt;=1),BR87,
IF(AND(テーブル!$B$3="実績報告（２次）",BR$26=0),0,
IF(AND(テーブル!$B$3="実績報告（２次）",BR$26&gt;=1),BR87)))))))))),0)</f>
        <v>0</v>
      </c>
      <c r="BS43" s="1997">
        <f>IFERROR(
IF(テーブル!$B$3="交付申請",BS87,
IF(AND(テーブル!$B$3="変更申請",BS$26=0),0,
IF(AND(テーブル!$B$3="変更申請",BS$26&gt;=1),BS87,
IF(テーブル!$B$3="実績報告（１次）",BS87,
IF(AND(テーブル!$B$3="交付申請（２次）",BS$26=0),0,
IF(AND(テーブル!$B$3="交付申請（２次）",BS$26&gt;=1),BS87,
IF(AND(テーブル!$B$3="交付申請兼実績報告（２次）",BS$26=0),0,
IF(AND(テーブル!$B$3="交付申請兼実績報告（２次）",BS$26&gt;=1),BS87,
IF(AND(テーブル!$B$3="実績報告（２次）",BS$26=0),0,
IF(AND(テーブル!$B$3="実績報告（２次）",BS$26&gt;=1),BS87)))))))))),0)</f>
        <v>0</v>
      </c>
      <c r="BT43" s="1997">
        <f>IFERROR(
IF(テーブル!$B$3="交付申請",BT87,
IF(AND(テーブル!$B$3="変更申請",BT$26=0),0,
IF(AND(テーブル!$B$3="変更申請",BT$26&gt;=1),BT87,
IF(テーブル!$B$3="実績報告（１次）",BT87,
IF(AND(テーブル!$B$3="交付申請（２次）",BT$26=0),0,
IF(AND(テーブル!$B$3="交付申請（２次）",BT$26&gt;=1),BT87,
IF(AND(テーブル!$B$3="交付申請兼実績報告（２次）",BT$26=0),0,
IF(AND(テーブル!$B$3="交付申請兼実績報告（２次）",BT$26&gt;=1),BT87,
IF(AND(テーブル!$B$3="実績報告（２次）",BT$26=0),0,
IF(AND(テーブル!$B$3="実績報告（２次）",BT$26&gt;=1),BT87)))))))))),0)</f>
        <v>0</v>
      </c>
      <c r="BU43" s="1997">
        <f>IFERROR(
IF(テーブル!$B$3="交付申請",BU87,
IF(AND(テーブル!$B$3="変更申請",BU$26=0),0,
IF(AND(テーブル!$B$3="変更申請",BU$26&gt;=1),BU87,
IF(テーブル!$B$3="実績報告（１次）",BU87,
IF(AND(テーブル!$B$3="交付申請（２次）",BU$26=0),0,
IF(AND(テーブル!$B$3="交付申請（２次）",BU$26&gt;=1),BU87,
IF(AND(テーブル!$B$3="交付申請兼実績報告（２次）",BU$26=0),0,
IF(AND(テーブル!$B$3="交付申請兼実績報告（２次）",BU$26&gt;=1),BU87,
IF(AND(テーブル!$B$3="実績報告（２次）",BU$26=0),0,
IF(AND(テーブル!$B$3="実績報告（２次）",BU$26&gt;=1),BU87)))))))))),0)</f>
        <v>0</v>
      </c>
      <c r="BV43" s="1997">
        <f>IFERROR(
IF(テーブル!$B$3="交付申請",BV87,
IF(AND(テーブル!$B$3="変更申請",BV$26=0),0,
IF(AND(テーブル!$B$3="変更申請",BV$26&gt;=1),BV87,
IF(テーブル!$B$3="実績報告（１次）",BV87,
IF(AND(テーブル!$B$3="交付申請（２次）",BV$26=0),0,
IF(AND(テーブル!$B$3="交付申請（２次）",BV$26&gt;=1),BV87,
IF(AND(テーブル!$B$3="交付申請兼実績報告（２次）",BV$26=0),0,
IF(AND(テーブル!$B$3="交付申請兼実績報告（２次）",BV$26&gt;=1),BV87,
IF(AND(テーブル!$B$3="実績報告（２次）",BV$26=0),0,
IF(AND(テーブル!$B$3="実績報告（２次）",BV$26&gt;=1),BV87)))))))))),0)</f>
        <v>0</v>
      </c>
      <c r="BW43" s="1997">
        <f>IFERROR(
IF(テーブル!$B$3="交付申請",BW87,
IF(AND(テーブル!$B$3="変更申請",BW$26=0),0,
IF(AND(テーブル!$B$3="変更申請",BW$26&gt;=1),BW87,
IF(テーブル!$B$3="実績報告（１次）",BW87,
IF(AND(テーブル!$B$3="交付申請（２次）",BW$26=0),0,
IF(AND(テーブル!$B$3="交付申請（２次）",BW$26&gt;=1),BW87,
IF(AND(テーブル!$B$3="交付申請兼実績報告（２次）",BW$26=0),0,
IF(AND(テーブル!$B$3="交付申請兼実績報告（２次）",BW$26&gt;=1),BW87,
IF(AND(テーブル!$B$3="実績報告（２次）",BW$26=0),0,
IF(AND(テーブル!$B$3="実績報告（２次）",BW$26&gt;=1),BW87)))))))))),0)</f>
        <v>0</v>
      </c>
      <c r="BX43" s="1997">
        <f>IFERROR(
IF(テーブル!$B$3="交付申請",BX87,
IF(AND(テーブル!$B$3="変更申請",BX$26=0),0,
IF(AND(テーブル!$B$3="変更申請",BX$26&gt;=1),BX87,
IF(テーブル!$B$3="実績報告（１次）",BX87,
IF(AND(テーブル!$B$3="交付申請（２次）",BX$26=0),0,
IF(AND(テーブル!$B$3="交付申請（２次）",BX$26&gt;=1),BX87,
IF(AND(テーブル!$B$3="交付申請兼実績報告（２次）",BX$26=0),0,
IF(AND(テーブル!$B$3="交付申請兼実績報告（２次）",BX$26&gt;=1),BX87,
IF(AND(テーブル!$B$3="実績報告（２次）",BX$26=0),0,
IF(AND(テーブル!$B$3="実績報告（２次）",BX$26&gt;=1),BX87)))))))))),0)</f>
        <v>0</v>
      </c>
      <c r="BY43" s="1997">
        <f>IFERROR(
IF(テーブル!$B$3="交付申請",BY87,
IF(AND(テーブル!$B$3="変更申請",BY$26=0),0,
IF(AND(テーブル!$B$3="変更申請",BY$26&gt;=1),BY87,
IF(テーブル!$B$3="実績報告（１次）",BY87,
IF(AND(テーブル!$B$3="交付申請（２次）",BY$26=0),0,
IF(AND(テーブル!$B$3="交付申請（２次）",BY$26&gt;=1),BY87,
IF(AND(テーブル!$B$3="交付申請兼実績報告（２次）",BY$26=0),0,
IF(AND(テーブル!$B$3="交付申請兼実績報告（２次）",BY$26&gt;=1),BY87,
IF(AND(テーブル!$B$3="実績報告（２次）",BY$26=0),0,
IF(AND(テーブル!$B$3="実績報告（２次）",BY$26&gt;=1),BY87)))))))))),0)</f>
        <v>0</v>
      </c>
      <c r="BZ43" s="1997">
        <f>IFERROR(
IF(テーブル!$B$3="交付申請",BZ87,
IF(AND(テーブル!$B$3="変更申請",BZ$26=0),0,
IF(AND(テーブル!$B$3="変更申請",BZ$26&gt;=1),BZ87,
IF(テーブル!$B$3="実績報告（１次）",BZ87,
IF(AND(テーブル!$B$3="交付申請（２次）",BZ$26=0),0,
IF(AND(テーブル!$B$3="交付申請（２次）",BZ$26&gt;=1),BZ87,
IF(AND(テーブル!$B$3="交付申請兼実績報告（２次）",BZ$26=0),0,
IF(AND(テーブル!$B$3="交付申請兼実績報告（２次）",BZ$26&gt;=1),BZ87,
IF(AND(テーブル!$B$3="実績報告（２次）",BZ$26=0),0,
IF(AND(テーブル!$B$3="実績報告（２次）",BZ$26&gt;=1),BZ87)))))))))),0)</f>
        <v>0</v>
      </c>
      <c r="CA43" s="1997">
        <f>IFERROR(
IF(テーブル!$B$3="交付申請",CA87,
IF(AND(テーブル!$B$3="変更申請",CA$26=0),0,
IF(AND(テーブル!$B$3="変更申請",CA$26&gt;=1),CA87,
IF(テーブル!$B$3="実績報告（１次）",CA87,
IF(AND(テーブル!$B$3="交付申請（２次）",CA$26=0),0,
IF(AND(テーブル!$B$3="交付申請（２次）",CA$26&gt;=1),CA87,
IF(AND(テーブル!$B$3="交付申請兼実績報告（２次）",CA$26=0),0,
IF(AND(テーブル!$B$3="交付申請兼実績報告（２次）",CA$26&gt;=1),CA87,
IF(AND(テーブル!$B$3="実績報告（２次）",CA$26=0),0,
IF(AND(テーブル!$B$3="実績報告（２次）",CA$26&gt;=1),CA87)))))))))),0)</f>
        <v>0</v>
      </c>
      <c r="CB43" s="1997">
        <f>IFERROR(
IF(テーブル!$B$3="交付申請",CB87,
IF(AND(テーブル!$B$3="変更申請",CB$26=0),0,
IF(AND(テーブル!$B$3="変更申請",CB$26&gt;=1),CB87,
IF(テーブル!$B$3="実績報告（１次）",CB87,
IF(AND(テーブル!$B$3="交付申請（２次）",CB$26=0),0,
IF(AND(テーブル!$B$3="交付申請（２次）",CB$26&gt;=1),CB87,
IF(AND(テーブル!$B$3="交付申請兼実績報告（２次）",CB$26=0),0,
IF(AND(テーブル!$B$3="交付申請兼実績報告（２次）",CB$26&gt;=1),CB87,
IF(AND(テーブル!$B$3="実績報告（２次）",CB$26=0),0,
IF(AND(テーブル!$B$3="実績報告（２次）",CB$26&gt;=1),CB87)))))))))),0)</f>
        <v>0</v>
      </c>
      <c r="CC43" s="1997">
        <f>IFERROR(
IF(テーブル!$B$3="交付申請",CC87,
IF(AND(テーブル!$B$3="変更申請",CC$26=0),0,
IF(AND(テーブル!$B$3="変更申請",CC$26&gt;=1),CC87,
IF(テーブル!$B$3="実績報告（１次）",CC87,
IF(AND(テーブル!$B$3="交付申請（２次）",CC$26=0),0,
IF(AND(テーブル!$B$3="交付申請（２次）",CC$26&gt;=1),CC87,
IF(AND(テーブル!$B$3="交付申請兼実績報告（２次）",CC$26=0),0,
IF(AND(テーブル!$B$3="交付申請兼実績報告（２次）",CC$26&gt;=1),CC87,
IF(AND(テーブル!$B$3="実績報告（２次）",CC$26=0),0,
IF(AND(テーブル!$B$3="実績報告（２次）",CC$26&gt;=1),CC87)))))))))),0)</f>
        <v>0</v>
      </c>
      <c r="CD43" s="1997">
        <f>IFERROR(
IF(テーブル!$B$3="交付申請",CD87,
IF(AND(テーブル!$B$3="変更申請",CD$26=0),0,
IF(AND(テーブル!$B$3="変更申請",CD$26&gt;=1),CD87,
IF(テーブル!$B$3="実績報告（１次）",CD87,
IF(AND(テーブル!$B$3="交付申請（２次）",CD$26=0),0,
IF(AND(テーブル!$B$3="交付申請（２次）",CD$26&gt;=1),CD87,
IF(AND(テーブル!$B$3="交付申請兼実績報告（２次）",CD$26=0),0,
IF(AND(テーブル!$B$3="交付申請兼実績報告（２次）",CD$26&gt;=1),CD87,
IF(AND(テーブル!$B$3="実績報告（２次）",CD$26=0),0,
IF(AND(テーブル!$B$3="実績報告（２次）",CD$26&gt;=1),CD87)))))))))),0)</f>
        <v>0</v>
      </c>
      <c r="CE43" s="1997">
        <f>IFERROR(
IF(テーブル!$B$3="交付申請",CE87,
IF(AND(テーブル!$B$3="変更申請",CE$26=0),0,
IF(AND(テーブル!$B$3="変更申請",CE$26&gt;=1),CE87,
IF(テーブル!$B$3="実績報告（１次）",CE87,
IF(AND(テーブル!$B$3="交付申請（２次）",CE$26=0),0,
IF(AND(テーブル!$B$3="交付申請（２次）",CE$26&gt;=1),CE87,
IF(AND(テーブル!$B$3="交付申請兼実績報告（２次）",CE$26=0),0,
IF(AND(テーブル!$B$3="交付申請兼実績報告（２次）",CE$26&gt;=1),CE87,
IF(AND(テーブル!$B$3="実績報告（２次）",CE$26=0),0,
IF(AND(テーブル!$B$3="実績報告（２次）",CE$26&gt;=1),CE87)))))))))),0)</f>
        <v>0</v>
      </c>
      <c r="CF43" s="1997">
        <f>IFERROR(
IF(テーブル!$B$3="交付申請",CF87,
IF(AND(テーブル!$B$3="変更申請",CF$26=0),0,
IF(AND(テーブル!$B$3="変更申請",CF$26&gt;=1),CF87,
IF(テーブル!$B$3="実績報告（１次）",CF87,
IF(AND(テーブル!$B$3="交付申請（２次）",CF$26=0),0,
IF(AND(テーブル!$B$3="交付申請（２次）",CF$26&gt;=1),CF87,
IF(AND(テーブル!$B$3="交付申請兼実績報告（２次）",CF$26=0),0,
IF(AND(テーブル!$B$3="交付申請兼実績報告（２次）",CF$26&gt;=1),CF87,
IF(AND(テーブル!$B$3="実績報告（２次）",CF$26=0),0,
IF(AND(テーブル!$B$3="実績報告（２次）",CF$26&gt;=1),CF87)))))))))),0)</f>
        <v>0</v>
      </c>
      <c r="CG43" s="1997">
        <f>IFERROR(
IF(テーブル!$B$3="交付申請",CG87,
IF(AND(テーブル!$B$3="変更申請",CG$26=0),0,
IF(AND(テーブル!$B$3="変更申請",CG$26&gt;=1),CG87,
IF(テーブル!$B$3="実績報告（１次）",CG87,
IF(AND(テーブル!$B$3="交付申請（２次）",CG$26=0),0,
IF(AND(テーブル!$B$3="交付申請（２次）",CG$26&gt;=1),CG87,
IF(AND(テーブル!$B$3="交付申請兼実績報告（２次）",CG$26=0),0,
IF(AND(テーブル!$B$3="交付申請兼実績報告（２次）",CG$26&gt;=1),CG87,
IF(AND(テーブル!$B$3="実績報告（２次）",CG$26=0),0,
IF(AND(テーブル!$B$3="実績報告（２次）",CG$26&gt;=1),CG87)))))))))),0)</f>
        <v>0</v>
      </c>
      <c r="CH43" s="1997">
        <f>IFERROR(
IF(テーブル!$B$3="交付申請",CH87,
IF(AND(テーブル!$B$3="変更申請",CH$26=0),0,
IF(AND(テーブル!$B$3="変更申請",CH$26&gt;=1),CH87,
IF(テーブル!$B$3="実績報告（１次）",CH87,
IF(AND(テーブル!$B$3="交付申請（２次）",CH$26=0),0,
IF(AND(テーブル!$B$3="交付申請（２次）",CH$26&gt;=1),CH87,
IF(AND(テーブル!$B$3="交付申請兼実績報告（２次）",CH$26=0),0,
IF(AND(テーブル!$B$3="交付申請兼実績報告（２次）",CH$26&gt;=1),CH87,
IF(AND(テーブル!$B$3="実績報告（２次）",CH$26=0),0,
IF(AND(テーブル!$B$3="実績報告（２次）",CH$26&gt;=1),CH87)))))))))),0)</f>
        <v>0</v>
      </c>
      <c r="CI43" s="1997">
        <f>IFERROR(
IF(テーブル!$B$3="交付申請",CI87,
IF(AND(テーブル!$B$3="変更申請",CI$26=0),0,
IF(AND(テーブル!$B$3="変更申請",CI$26&gt;=1),CI87,
IF(テーブル!$B$3="実績報告（１次）",CI87,
IF(AND(テーブル!$B$3="交付申請（２次）",CI$26=0),0,
IF(AND(テーブル!$B$3="交付申請（２次）",CI$26&gt;=1),CI87,
IF(AND(テーブル!$B$3="交付申請兼実績報告（２次）",CI$26=0),0,
IF(AND(テーブル!$B$3="交付申請兼実績報告（２次）",CI$26&gt;=1),CI87,
IF(AND(テーブル!$B$3="実績報告（２次）",CI$26=0),0,
IF(AND(テーブル!$B$3="実績報告（２次）",CI$26&gt;=1),CI87)))))))))),0)</f>
        <v>0</v>
      </c>
      <c r="CJ43" s="1997">
        <f>IFERROR(
IF(テーブル!$B$3="交付申請",CJ87,
IF(AND(テーブル!$B$3="変更申請",CJ$26=0),0,
IF(AND(テーブル!$B$3="変更申請",CJ$26&gt;=1),CJ87,
IF(テーブル!$B$3="実績報告（１次）",CJ87,
IF(AND(テーブル!$B$3="交付申請（２次）",CJ$26=0),0,
IF(AND(テーブル!$B$3="交付申請（２次）",CJ$26&gt;=1),CJ87,
IF(AND(テーブル!$B$3="交付申請兼実績報告（２次）",CJ$26=0),0,
IF(AND(テーブル!$B$3="交付申請兼実績報告（２次）",CJ$26&gt;=1),CJ87,
IF(AND(テーブル!$B$3="実績報告（２次）",CJ$26=0),0,
IF(AND(テーブル!$B$3="実績報告（２次）",CJ$26&gt;=1),CJ87)))))))))),0)</f>
        <v>0</v>
      </c>
      <c r="CK43" s="1997">
        <f>IFERROR(
IF(テーブル!$B$3="交付申請",CK87,
IF(AND(テーブル!$B$3="変更申請",CK$26=0),0,
IF(AND(テーブル!$B$3="変更申請",CK$26&gt;=1),CK87,
IF(テーブル!$B$3="実績報告（１次）",CK87,
IF(AND(テーブル!$B$3="交付申請（２次）",CK$26=0),0,
IF(AND(テーブル!$B$3="交付申請（２次）",CK$26&gt;=1),CK87,
IF(AND(テーブル!$B$3="交付申請兼実績報告（２次）",CK$26=0),0,
IF(AND(テーブル!$B$3="交付申請兼実績報告（２次）",CK$26&gt;=1),CK87,
IF(AND(テーブル!$B$3="実績報告（２次）",CK$26=0),0,
IF(AND(テーブル!$B$3="実績報告（２次）",CK$26&gt;=1),CK87)))))))))),0)</f>
        <v>0</v>
      </c>
      <c r="CL43" s="1997">
        <f>IFERROR(
IF(テーブル!$B$3="交付申請",CL87,
IF(AND(テーブル!$B$3="変更申請",CL$26=0),0,
IF(AND(テーブル!$B$3="変更申請",CL$26&gt;=1),CL87,
IF(テーブル!$B$3="実績報告（１次）",CL87,
IF(AND(テーブル!$B$3="交付申請（２次）",CL$26=0),0,
IF(AND(テーブル!$B$3="交付申請（２次）",CL$26&gt;=1),CL87,
IF(AND(テーブル!$B$3="交付申請兼実績報告（２次）",CL$26=0),0,
IF(AND(テーブル!$B$3="交付申請兼実績報告（２次）",CL$26&gt;=1),CL87,
IF(AND(テーブル!$B$3="実績報告（２次）",CL$26=0),0,
IF(AND(テーブル!$B$3="実績報告（２次）",CL$26&gt;=1),CL87)))))))))),0)</f>
        <v>0</v>
      </c>
      <c r="CM43" s="1997">
        <f>IFERROR(
IF(テーブル!$B$3="交付申請",CM87,
IF(AND(テーブル!$B$3="変更申請",CM$26=0),0,
IF(AND(テーブル!$B$3="変更申請",CM$26&gt;=1),CM87,
IF(テーブル!$B$3="実績報告（１次）",CM87,
IF(AND(テーブル!$B$3="交付申請（２次）",CM$26=0),0,
IF(AND(テーブル!$B$3="交付申請（２次）",CM$26&gt;=1),CM87,
IF(AND(テーブル!$B$3="交付申請兼実績報告（２次）",CM$26=0),0,
IF(AND(テーブル!$B$3="交付申請兼実績報告（２次）",CM$26&gt;=1),CM87,
IF(AND(テーブル!$B$3="実績報告（２次）",CM$26=0),0,
IF(AND(テーブル!$B$3="実績報告（２次）",CM$26&gt;=1),CM87)))))))))),0)</f>
        <v>0</v>
      </c>
      <c r="CN43" s="1997">
        <f>IFERROR(
IF(テーブル!$B$3="交付申請",CN87,
IF(AND(テーブル!$B$3="変更申請",CN$26=0),0,
IF(AND(テーブル!$B$3="変更申請",CN$26&gt;=1),CN87,
IF(テーブル!$B$3="実績報告（１次）",CN87,
IF(AND(テーブル!$B$3="交付申請（２次）",CN$26=0),0,
IF(AND(テーブル!$B$3="交付申請（２次）",CN$26&gt;=1),CN87,
IF(AND(テーブル!$B$3="交付申請兼実績報告（２次）",CN$26=0),0,
IF(AND(テーブル!$B$3="交付申請兼実績報告（２次）",CN$26&gt;=1),CN87,
IF(AND(テーブル!$B$3="実績報告（２次）",CN$26=0),0,
IF(AND(テーブル!$B$3="実績報告（２次）",CN$26&gt;=1),CN87)))))))))),0)</f>
        <v>0</v>
      </c>
      <c r="CO43" s="1997">
        <f>IFERROR(
IF(テーブル!$B$3="交付申請",CO87,
IF(AND(テーブル!$B$3="変更申請",CO$26=0),0,
IF(AND(テーブル!$B$3="変更申請",CO$26&gt;=1),CO87,
IF(テーブル!$B$3="実績報告（１次）",CO87,
IF(AND(テーブル!$B$3="交付申請（２次）",CO$26=0),0,
IF(AND(テーブル!$B$3="交付申請（２次）",CO$26&gt;=1),CO87,
IF(AND(テーブル!$B$3="交付申請兼実績報告（２次）",CO$26=0),0,
IF(AND(テーブル!$B$3="交付申請兼実績報告（２次）",CO$26&gt;=1),CO87,
IF(AND(テーブル!$B$3="実績報告（２次）",CO$26=0),0,
IF(AND(テーブル!$B$3="実績報告（２次）",CO$26&gt;=1),CO87)))))))))),0)</f>
        <v>0</v>
      </c>
      <c r="CP43" s="1997">
        <f>IFERROR(
IF(テーブル!$B$3="交付申請",CP87,
IF(AND(テーブル!$B$3="変更申請",CP$26=0),0,
IF(AND(テーブル!$B$3="変更申請",CP$26&gt;=1),CP87,
IF(テーブル!$B$3="実績報告（１次）",CP87,
IF(AND(テーブル!$B$3="交付申請（２次）",CP$26=0),0,
IF(AND(テーブル!$B$3="交付申請（２次）",CP$26&gt;=1),CP87,
IF(AND(テーブル!$B$3="交付申請兼実績報告（２次）",CP$26=0),0,
IF(AND(テーブル!$B$3="交付申請兼実績報告（２次）",CP$26&gt;=1),CP87,
IF(AND(テーブル!$B$3="実績報告（２次）",CP$26=0),0,
IF(AND(テーブル!$B$3="実績報告（２次）",CP$26&gt;=1),CP87)))))))))),0)</f>
        <v>0</v>
      </c>
      <c r="CQ43" s="1997">
        <f>IFERROR(
IF(テーブル!$B$3="交付申請",CQ87,
IF(AND(テーブル!$B$3="変更申請",CQ$26=0),0,
IF(AND(テーブル!$B$3="変更申請",CQ$26&gt;=1),CQ87,
IF(テーブル!$B$3="実績報告（１次）",CQ87,
IF(AND(テーブル!$B$3="交付申請（２次）",CQ$26=0),0,
IF(AND(テーブル!$B$3="交付申請（２次）",CQ$26&gt;=1),CQ87,
IF(AND(テーブル!$B$3="交付申請兼実績報告（２次）",CQ$26=0),0,
IF(AND(テーブル!$B$3="交付申請兼実績報告（２次）",CQ$26&gt;=1),CQ87,
IF(AND(テーブル!$B$3="実績報告（２次）",CQ$26=0),0,
IF(AND(テーブル!$B$3="実績報告（２次）",CQ$26&gt;=1),CQ87)))))))))),0)</f>
        <v>0</v>
      </c>
      <c r="CR43" s="1997">
        <f>IFERROR(
IF(テーブル!$B$3="交付申請",CR87,
IF(AND(テーブル!$B$3="変更申請",CR$26=0),0,
IF(AND(テーブル!$B$3="変更申請",CR$26&gt;=1),CR87,
IF(テーブル!$B$3="実績報告（１次）",CR87,
IF(AND(テーブル!$B$3="交付申請（２次）",CR$26=0),0,
IF(AND(テーブル!$B$3="交付申請（２次）",CR$26&gt;=1),CR87,
IF(AND(テーブル!$B$3="交付申請兼実績報告（２次）",CR$26=0),0,
IF(AND(テーブル!$B$3="交付申請兼実績報告（２次）",CR$26&gt;=1),CR87,
IF(AND(テーブル!$B$3="実績報告（２次）",CR$26=0),0,
IF(AND(テーブル!$B$3="実績報告（２次）",CR$26&gt;=1),CR87)))))))))),0)</f>
        <v>0</v>
      </c>
      <c r="CS43" s="1997">
        <f>IFERROR(
IF(テーブル!$B$3="交付申請",CS87,
IF(AND(テーブル!$B$3="変更申請",CS$26=0),0,
IF(AND(テーブル!$B$3="変更申請",CS$26&gt;=1),CS87,
IF(テーブル!$B$3="実績報告（１次）",CS87,
IF(AND(テーブル!$B$3="交付申請（２次）",CS$26=0),0,
IF(AND(テーブル!$B$3="交付申請（２次）",CS$26&gt;=1),CS87,
IF(AND(テーブル!$B$3="交付申請兼実績報告（２次）",CS$26=0),0,
IF(AND(テーブル!$B$3="交付申請兼実績報告（２次）",CS$26&gt;=1),CS87,
IF(AND(テーブル!$B$3="実績報告（２次）",CS$26=0),0,
IF(AND(テーブル!$B$3="実績報告（２次）",CS$26&gt;=1),CS87)))))))))),0)</f>
        <v>0</v>
      </c>
      <c r="CT43" s="1997">
        <f>IFERROR(
IF(テーブル!$B$3="交付申請",CT87,
IF(AND(テーブル!$B$3="変更申請",CT$26=0),0,
IF(AND(テーブル!$B$3="変更申請",CT$26&gt;=1),CT87,
IF(テーブル!$B$3="実績報告（１次）",CT87,
IF(AND(テーブル!$B$3="交付申請（２次）",CT$26=0),0,
IF(AND(テーブル!$B$3="交付申請（２次）",CT$26&gt;=1),CT87,
IF(AND(テーブル!$B$3="交付申請兼実績報告（２次）",CT$26=0),0,
IF(AND(テーブル!$B$3="交付申請兼実績報告（２次）",CT$26&gt;=1),CT87,
IF(AND(テーブル!$B$3="実績報告（２次）",CT$26=0),0,
IF(AND(テーブル!$B$3="実績報告（２次）",CT$26&gt;=1),CT87)))))))))),0)</f>
        <v>0</v>
      </c>
      <c r="CU43" s="1997">
        <f>IFERROR(
IF(テーブル!$B$3="交付申請",CU87,
IF(AND(テーブル!$B$3="変更申請",CU$26=0),0,
IF(AND(テーブル!$B$3="変更申請",CU$26&gt;=1),CU87,
IF(テーブル!$B$3="実績報告（１次）",CU87,
IF(AND(テーブル!$B$3="交付申請（２次）",CU$26=0),0,
IF(AND(テーブル!$B$3="交付申請（２次）",CU$26&gt;=1),CU87,
IF(AND(テーブル!$B$3="交付申請兼実績報告（２次）",CU$26=0),0,
IF(AND(テーブル!$B$3="交付申請兼実績報告（２次）",CU$26&gt;=1),CU87,
IF(AND(テーブル!$B$3="実績報告（２次）",CU$26=0),0,
IF(AND(テーブル!$B$3="実績報告（２次）",CU$26&gt;=1),CU87)))))))))),0)</f>
        <v>0</v>
      </c>
      <c r="CV43" s="1997">
        <f>IFERROR(
IF(テーブル!$B$3="交付申請",CV87,
IF(AND(テーブル!$B$3="変更申請",CV$26=0),0,
IF(AND(テーブル!$B$3="変更申請",CV$26&gt;=1),CV87,
IF(テーブル!$B$3="実績報告（１次）",CV87,
IF(AND(テーブル!$B$3="交付申請（２次）",CV$26=0),0,
IF(AND(テーブル!$B$3="交付申請（２次）",CV$26&gt;=1),CV87,
IF(AND(テーブル!$B$3="交付申請兼実績報告（２次）",CV$26=0),0,
IF(AND(テーブル!$B$3="交付申請兼実績報告（２次）",CV$26&gt;=1),CV87,
IF(AND(テーブル!$B$3="実績報告（２次）",CV$26=0),0,
IF(AND(テーブル!$B$3="実績報告（２次）",CV$26&gt;=1),CV87)))))))))),0)</f>
        <v>0</v>
      </c>
      <c r="CW43" s="1997">
        <f>IFERROR(
IF(テーブル!$B$3="交付申請",CW87,
IF(AND(テーブル!$B$3="変更申請",CW$26=0),0,
IF(AND(テーブル!$B$3="変更申請",CW$26&gt;=1),CW87,
IF(テーブル!$B$3="実績報告（１次）",CW87,
IF(AND(テーブル!$B$3="交付申請（２次）",CW$26=0),0,
IF(AND(テーブル!$B$3="交付申請（２次）",CW$26&gt;=1),CW87,
IF(AND(テーブル!$B$3="交付申請兼実績報告（２次）",CW$26=0),0,
IF(AND(テーブル!$B$3="交付申請兼実績報告（２次）",CW$26&gt;=1),CW87,
IF(AND(テーブル!$B$3="実績報告（２次）",CW$26=0),0,
IF(AND(テーブル!$B$3="実績報告（２次）",CW$26&gt;=1),CW87)))))))))),0)</f>
        <v>0</v>
      </c>
      <c r="CX43" s="1997">
        <f>IFERROR(
IF(テーブル!$B$3="交付申請",CX87,
IF(AND(テーブル!$B$3="変更申請",CX$26=0),0,
IF(AND(テーブル!$B$3="変更申請",CX$26&gt;=1),CX87,
IF(テーブル!$B$3="実績報告（１次）",CX87,
IF(AND(テーブル!$B$3="交付申請（２次）",CX$26=0),0,
IF(AND(テーブル!$B$3="交付申請（２次）",CX$26&gt;=1),CX87,
IF(AND(テーブル!$B$3="交付申請兼実績報告（２次）",CX$26=0),0,
IF(AND(テーブル!$B$3="交付申請兼実績報告（２次）",CX$26&gt;=1),CX87,
IF(AND(テーブル!$B$3="実績報告（２次）",CX$26=0),0,
IF(AND(テーブル!$B$3="実績報告（２次）",CX$26&gt;=1),CX87)))))))))),0)</f>
        <v>0</v>
      </c>
      <c r="CY43" s="1997">
        <f>IFERROR(
IF(テーブル!$B$3="交付申請",CY87,
IF(AND(テーブル!$B$3="変更申請",CY$26=0),0,
IF(AND(テーブル!$B$3="変更申請",CY$26&gt;=1),CY87,
IF(テーブル!$B$3="実績報告（１次）",CY87,
IF(AND(テーブル!$B$3="交付申請（２次）",CY$26=0),0,
IF(AND(テーブル!$B$3="交付申請（２次）",CY$26&gt;=1),CY87,
IF(AND(テーブル!$B$3="交付申請兼実績報告（２次）",CY$26=0),0,
IF(AND(テーブル!$B$3="交付申請兼実績報告（２次）",CY$26&gt;=1),CY87,
IF(AND(テーブル!$B$3="実績報告（２次）",CY$26=0),0,
IF(AND(テーブル!$B$3="実績報告（２次）",CY$26&gt;=1),CY87)))))))))),0)</f>
        <v>0</v>
      </c>
      <c r="CZ43" s="1997">
        <f>IFERROR(
IF(テーブル!$B$3="交付申請",CZ87,
IF(AND(テーブル!$B$3="変更申請",CZ$26=0),0,
IF(AND(テーブル!$B$3="変更申請",CZ$26&gt;=1),CZ87,
IF(テーブル!$B$3="実績報告（１次）",CZ87,
IF(AND(テーブル!$B$3="交付申請（２次）",CZ$26=0),0,
IF(AND(テーブル!$B$3="交付申請（２次）",CZ$26&gt;=1),CZ87,
IF(AND(テーブル!$B$3="交付申請兼実績報告（２次）",CZ$26=0),0,
IF(AND(テーブル!$B$3="交付申請兼実績報告（２次）",CZ$26&gt;=1),CZ87,
IF(AND(テーブル!$B$3="実績報告（２次）",CZ$26=0),0,
IF(AND(テーブル!$B$3="実績報告（２次）",CZ$26&gt;=1),CZ87)))))))))),0)</f>
        <v>0</v>
      </c>
      <c r="DA43" s="1997">
        <f>IFERROR(
IF(テーブル!$B$3="交付申請",DA87,
IF(AND(テーブル!$B$3="変更申請",DA$26=0),0,
IF(AND(テーブル!$B$3="変更申請",DA$26&gt;=1),DA87,
IF(テーブル!$B$3="実績報告（１次）",DA87,
IF(AND(テーブル!$B$3="交付申請（２次）",DA$26=0),0,
IF(AND(テーブル!$B$3="交付申請（２次）",DA$26&gt;=1),DA87,
IF(AND(テーブル!$B$3="交付申請兼実績報告（２次）",DA$26=0),0,
IF(AND(テーブル!$B$3="交付申請兼実績報告（２次）",DA$26&gt;=1),DA87,
IF(AND(テーブル!$B$3="実績報告（２次）",DA$26=0),0,
IF(AND(テーブル!$B$3="実績報告（２次）",DA$26&gt;=1),DA87)))))))))),0)</f>
        <v>0</v>
      </c>
      <c r="DB43" s="1997">
        <f>IFERROR(
IF(テーブル!$B$3="交付申請",DB87,
IF(AND(テーブル!$B$3="変更申請",DB$26=0),0,
IF(AND(テーブル!$B$3="変更申請",DB$26&gt;=1),DB87,
IF(テーブル!$B$3="実績報告（１次）",DB87,
IF(AND(テーブル!$B$3="交付申請（２次）",DB$26=0),0,
IF(AND(テーブル!$B$3="交付申請（２次）",DB$26&gt;=1),DB87,
IF(AND(テーブル!$B$3="交付申請兼実績報告（２次）",DB$26=0),0,
IF(AND(テーブル!$B$3="交付申請兼実績報告（２次）",DB$26&gt;=1),DB87,
IF(AND(テーブル!$B$3="実績報告（２次）",DB$26=0),0,
IF(AND(テーブル!$B$3="実績報告（２次）",DB$26&gt;=1),DB87)))))))))),0)</f>
        <v>0</v>
      </c>
      <c r="DC43" s="1997">
        <f>IFERROR(
IF(テーブル!$B$3="交付申請",DC87,
IF(AND(テーブル!$B$3="変更申請",DC$26=0),0,
IF(AND(テーブル!$B$3="変更申請",DC$26&gt;=1),DC87,
IF(テーブル!$B$3="実績報告（１次）",DC87,
IF(AND(テーブル!$B$3="交付申請（２次）",DC$26=0),0,
IF(AND(テーブル!$B$3="交付申請（２次）",DC$26&gt;=1),DC87,
IF(AND(テーブル!$B$3="交付申請兼実績報告（２次）",DC$26=0),0,
IF(AND(テーブル!$B$3="交付申請兼実績報告（２次）",DC$26&gt;=1),DC87,
IF(AND(テーブル!$B$3="実績報告（２次）",DC$26=0),0,
IF(AND(テーブル!$B$3="実績報告（２次）",DC$26&gt;=1),DC87)))))))))),0)</f>
        <v>0</v>
      </c>
      <c r="DD43" s="1997">
        <f>IFERROR(
IF(テーブル!$B$3="交付申請",DD87,
IF(AND(テーブル!$B$3="変更申請",DD$26=0),0,
IF(AND(テーブル!$B$3="変更申請",DD$26&gt;=1),DD87,
IF(テーブル!$B$3="実績報告（１次）",DD87,
IF(AND(テーブル!$B$3="交付申請（２次）",DD$26=0),0,
IF(AND(テーブル!$B$3="交付申請（２次）",DD$26&gt;=1),DD87,
IF(AND(テーブル!$B$3="交付申請兼実績報告（２次）",DD$26=0),0,
IF(AND(テーブル!$B$3="交付申請兼実績報告（２次）",DD$26&gt;=1),DD87,
IF(AND(テーブル!$B$3="実績報告（２次）",DD$26=0),0,
IF(AND(テーブル!$B$3="実績報告（２次）",DD$26&gt;=1),DD87)))))))))),0)</f>
        <v>0</v>
      </c>
      <c r="DE43" s="1997">
        <f>IFERROR(
IF(テーブル!$B$3="交付申請",DE87,
IF(AND(テーブル!$B$3="変更申請",DE$26=0),0,
IF(AND(テーブル!$B$3="変更申請",DE$26&gt;=1),DE87,
IF(テーブル!$B$3="実績報告（１次）",DE87,
IF(AND(テーブル!$B$3="交付申請（２次）",DE$26=0),0,
IF(AND(テーブル!$B$3="交付申請（２次）",DE$26&gt;=1),DE87,
IF(AND(テーブル!$B$3="交付申請兼実績報告（２次）",DE$26=0),0,
IF(AND(テーブル!$B$3="交付申請兼実績報告（２次）",DE$26&gt;=1),DE87,
IF(AND(テーブル!$B$3="実績報告（２次）",DE$26=0),0,
IF(AND(テーブル!$B$3="実績報告（２次）",DE$26&gt;=1),DE87)))))))))),0)</f>
        <v>0</v>
      </c>
      <c r="DF43" s="1997">
        <f>IFERROR(
IF(テーブル!$B$3="交付申請",DF87,
IF(AND(テーブル!$B$3="変更申請",DF$26=0),0,
IF(AND(テーブル!$B$3="変更申請",DF$26&gt;=1),DF87,
IF(テーブル!$B$3="実績報告（１次）",DF87,
IF(AND(テーブル!$B$3="交付申請（２次）",DF$26=0),0,
IF(AND(テーブル!$B$3="交付申請（２次）",DF$26&gt;=1),DF87,
IF(AND(テーブル!$B$3="交付申請兼実績報告（２次）",DF$26=0),0,
IF(AND(テーブル!$B$3="交付申請兼実績報告（２次）",DF$26&gt;=1),DF87,
IF(AND(テーブル!$B$3="実績報告（２次）",DF$26=0),0,
IF(AND(テーブル!$B$3="実績報告（２次）",DF$26&gt;=1),DF87)))))))))),0)</f>
        <v>0</v>
      </c>
      <c r="DG43" s="1997">
        <f>IFERROR(
IF(テーブル!$B$3="交付申請",DG87,
IF(AND(テーブル!$B$3="変更申請",DG$26=0),0,
IF(AND(テーブル!$B$3="変更申請",DG$26&gt;=1),DG87,
IF(テーブル!$B$3="実績報告（１次）",DG87,
IF(AND(テーブル!$B$3="交付申請（２次）",DG$26=0),0,
IF(AND(テーブル!$B$3="交付申請（２次）",DG$26&gt;=1),DG87,
IF(AND(テーブル!$B$3="交付申請兼実績報告（２次）",DG$26=0),0,
IF(AND(テーブル!$B$3="交付申請兼実績報告（２次）",DG$26&gt;=1),DG87,
IF(AND(テーブル!$B$3="実績報告（２次）",DG$26=0),0,
IF(AND(テーブル!$B$3="実績報告（２次）",DG$26&gt;=1),DG87)))))))))),0)</f>
        <v>0</v>
      </c>
      <c r="DH43" s="1997">
        <f>IFERROR(
IF(テーブル!$B$3="交付申請",DH87,
IF(AND(テーブル!$B$3="変更申請",DH$26=0),0,
IF(AND(テーブル!$B$3="変更申請",DH$26&gt;=1),DH87,
IF(テーブル!$B$3="実績報告（１次）",DH87,
IF(AND(テーブル!$B$3="交付申請（２次）",DH$26=0),0,
IF(AND(テーブル!$B$3="交付申請（２次）",DH$26&gt;=1),DH87,
IF(AND(テーブル!$B$3="交付申請兼実績報告（２次）",DH$26=0),0,
IF(AND(テーブル!$B$3="交付申請兼実績報告（２次）",DH$26&gt;=1),DH87,
IF(AND(テーブル!$B$3="実績報告（２次）",DH$26=0),0,
IF(AND(テーブル!$B$3="実績報告（２次）",DH$26&gt;=1),DH87)))))))))),0)</f>
        <v>0</v>
      </c>
      <c r="DI43" s="1997">
        <f>IFERROR(
IF(テーブル!$B$3="交付申請",DI87,
IF(AND(テーブル!$B$3="変更申請",DI$26=0),0,
IF(AND(テーブル!$B$3="変更申請",DI$26&gt;=1),DI87,
IF(テーブル!$B$3="実績報告（１次）",DI87,
IF(AND(テーブル!$B$3="交付申請（２次）",DI$26=0),0,
IF(AND(テーブル!$B$3="交付申請（２次）",DI$26&gt;=1),DI87,
IF(AND(テーブル!$B$3="交付申請兼実績報告（２次）",DI$26=0),0,
IF(AND(テーブル!$B$3="交付申請兼実績報告（２次）",DI$26&gt;=1),DI87,
IF(AND(テーブル!$B$3="実績報告（２次）",DI$26=0),0,
IF(AND(テーブル!$B$3="実績報告（２次）",DI$26&gt;=1),DI87)))))))))),0)</f>
        <v>0</v>
      </c>
      <c r="DJ43" s="1997">
        <f>IFERROR(
IF(テーブル!$B$3="交付申請",DJ87,
IF(AND(テーブル!$B$3="変更申請",DJ$26=0),0,
IF(AND(テーブル!$B$3="変更申請",DJ$26&gt;=1),DJ87,
IF(テーブル!$B$3="実績報告（１次）",DJ87,
IF(AND(テーブル!$B$3="交付申請（２次）",DJ$26=0),0,
IF(AND(テーブル!$B$3="交付申請（２次）",DJ$26&gt;=1),DJ87,
IF(AND(テーブル!$B$3="交付申請兼実績報告（２次）",DJ$26=0),0,
IF(AND(テーブル!$B$3="交付申請兼実績報告（２次）",DJ$26&gt;=1),DJ87,
IF(AND(テーブル!$B$3="実績報告（２次）",DJ$26=0),0,
IF(AND(テーブル!$B$3="実績報告（２次）",DJ$26&gt;=1),DJ87)))))))))),0)</f>
        <v>0</v>
      </c>
      <c r="DK43" s="1997">
        <f>IFERROR(
IF(テーブル!$B$3="交付申請",DK87,
IF(AND(テーブル!$B$3="変更申請",DK$26=0),0,
IF(AND(テーブル!$B$3="変更申請",DK$26&gt;=1),DK87,
IF(テーブル!$B$3="実績報告（１次）",DK87,
IF(AND(テーブル!$B$3="交付申請（２次）",DK$26=0),0,
IF(AND(テーブル!$B$3="交付申請（２次）",DK$26&gt;=1),DK87,
IF(AND(テーブル!$B$3="交付申請兼実績報告（２次）",DK$26=0),0,
IF(AND(テーブル!$B$3="交付申請兼実績報告（２次）",DK$26&gt;=1),DK87,
IF(AND(テーブル!$B$3="実績報告（２次）",DK$26=0),0,
IF(AND(テーブル!$B$3="実績報告（２次）",DK$26&gt;=1),DK87)))))))))),0)</f>
        <v>0</v>
      </c>
      <c r="DL43" s="1997">
        <f>IFERROR(
IF(テーブル!$B$3="交付申請",DL87,
IF(AND(テーブル!$B$3="変更申請",DL$26=0),0,
IF(AND(テーブル!$B$3="変更申請",DL$26&gt;=1),DL87,
IF(テーブル!$B$3="実績報告（１次）",DL87,
IF(AND(テーブル!$B$3="交付申請（２次）",DL$26=0),0,
IF(AND(テーブル!$B$3="交付申請（２次）",DL$26&gt;=1),DL87,
IF(AND(テーブル!$B$3="交付申請兼実績報告（２次）",DL$26=0),0,
IF(AND(テーブル!$B$3="交付申請兼実績報告（２次）",DL$26&gt;=1),DL87,
IF(AND(テーブル!$B$3="実績報告（２次）",DL$26=0),0,
IF(AND(テーブル!$B$3="実績報告（２次）",DL$26&gt;=1),DL87)))))))))),0)</f>
        <v>0</v>
      </c>
      <c r="DM43" s="1997">
        <f>IFERROR(
IF(テーブル!$B$3="交付申請",DM87,
IF(AND(テーブル!$B$3="変更申請",DM$26=0),0,
IF(AND(テーブル!$B$3="変更申請",DM$26&gt;=1),DM87,
IF(テーブル!$B$3="実績報告（１次）",DM87,
IF(AND(テーブル!$B$3="交付申請（２次）",DM$26=0),0,
IF(AND(テーブル!$B$3="交付申請（２次）",DM$26&gt;=1),DM87,
IF(AND(テーブル!$B$3="交付申請兼実績報告（２次）",DM$26=0),0,
IF(AND(テーブル!$B$3="交付申請兼実績報告（２次）",DM$26&gt;=1),DM87,
IF(AND(テーブル!$B$3="実績報告（２次）",DM$26=0),0,
IF(AND(テーブル!$B$3="実績報告（２次）",DM$26&gt;=1),DM87)))))))))),0)</f>
        <v>0</v>
      </c>
      <c r="DN43" s="1997">
        <f>IFERROR(
IF(テーブル!$B$3="交付申請",DN87,
IF(AND(テーブル!$B$3="変更申請",DN$26=0),0,
IF(AND(テーブル!$B$3="変更申請",DN$26&gt;=1),DN87,
IF(テーブル!$B$3="実績報告（１次）",DN87,
IF(AND(テーブル!$B$3="交付申請（２次）",DN$26=0),0,
IF(AND(テーブル!$B$3="交付申請（２次）",DN$26&gt;=1),DN87,
IF(AND(テーブル!$B$3="交付申請兼実績報告（２次）",DN$26=0),0,
IF(AND(テーブル!$B$3="交付申請兼実績報告（２次）",DN$26&gt;=1),DN87,
IF(AND(テーブル!$B$3="実績報告（２次）",DN$26=0),0,
IF(AND(テーブル!$B$3="実績報告（２次）",DN$26&gt;=1),DN87)))))))))),0)</f>
        <v>0</v>
      </c>
      <c r="DO43" s="1997">
        <f>IFERROR(
IF(テーブル!$B$3="交付申請",DO87,
IF(AND(テーブル!$B$3="変更申請",DO$26=0),0,
IF(AND(テーブル!$B$3="変更申請",DO$26&gt;=1),DO87,
IF(テーブル!$B$3="実績報告（１次）",DO87,
IF(AND(テーブル!$B$3="交付申請（２次）",DO$26=0),0,
IF(AND(テーブル!$B$3="交付申請（２次）",DO$26&gt;=1),DO87,
IF(AND(テーブル!$B$3="交付申請兼実績報告（２次）",DO$26=0),0,
IF(AND(テーブル!$B$3="交付申請兼実績報告（２次）",DO$26&gt;=1),DO87,
IF(AND(テーブル!$B$3="実績報告（２次）",DO$26=0),0,
IF(AND(テーブル!$B$3="実績報告（２次）",DO$26&gt;=1),DO87)))))))))),0)</f>
        <v>0</v>
      </c>
      <c r="DP43" s="1997">
        <f>IFERROR(
IF(テーブル!$B$3="交付申請",DP87,
IF(AND(テーブル!$B$3="変更申請",DP$26=0),0,
IF(AND(テーブル!$B$3="変更申請",DP$26&gt;=1),DP87,
IF(テーブル!$B$3="実績報告（１次）",DP87,
IF(AND(テーブル!$B$3="交付申請（２次）",DP$26=0),0,
IF(AND(テーブル!$B$3="交付申請（２次）",DP$26&gt;=1),DP87,
IF(AND(テーブル!$B$3="交付申請兼実績報告（２次）",DP$26=0),0,
IF(AND(テーブル!$B$3="交付申請兼実績報告（２次）",DP$26&gt;=1),DP87,
IF(AND(テーブル!$B$3="実績報告（２次）",DP$26=0),0,
IF(AND(テーブル!$B$3="実績報告（２次）",DP$26&gt;=1),DP87)))))))))),0)</f>
        <v>0</v>
      </c>
      <c r="DQ43" s="1997">
        <f>IFERROR(
IF(テーブル!$B$3="交付申請",DQ87,
IF(AND(テーブル!$B$3="変更申請",DQ$26=0),0,
IF(AND(テーブル!$B$3="変更申請",DQ$26&gt;=1),DQ87,
IF(テーブル!$B$3="実績報告（１次）",DQ87,
IF(AND(テーブル!$B$3="交付申請（２次）",DQ$26=0),0,
IF(AND(テーブル!$B$3="交付申請（２次）",DQ$26&gt;=1),DQ87,
IF(AND(テーブル!$B$3="交付申請兼実績報告（２次）",DQ$26=0),0,
IF(AND(テーブル!$B$3="交付申請兼実績報告（２次）",DQ$26&gt;=1),DQ87,
IF(AND(テーブル!$B$3="実績報告（２次）",DQ$26=0),0,
IF(AND(テーブル!$B$3="実績報告（２次）",DQ$26&gt;=1),DQ87)))))))))),0)</f>
        <v>0</v>
      </c>
      <c r="DR43" s="1997">
        <f>IFERROR(
IF(テーブル!$B$3="交付申請",DR87,
IF(AND(テーブル!$B$3="変更申請",DR$26=0),0,
IF(AND(テーブル!$B$3="変更申請",DR$26&gt;=1),DR87,
IF(テーブル!$B$3="実績報告（１次）",DR87,
IF(AND(テーブル!$B$3="交付申請（２次）",DR$26=0),0,
IF(AND(テーブル!$B$3="交付申請（２次）",DR$26&gt;=1),DR87,
IF(AND(テーブル!$B$3="交付申請兼実績報告（２次）",DR$26=0),0,
IF(AND(テーブル!$B$3="交付申請兼実績報告（２次）",DR$26&gt;=1),DR87,
IF(AND(テーブル!$B$3="実績報告（２次）",DR$26=0),0,
IF(AND(テーブル!$B$3="実績報告（２次）",DR$26&gt;=1),DR87)))))))))),0)</f>
        <v>0</v>
      </c>
      <c r="DS43" s="1997">
        <f>IFERROR(
IF(テーブル!$B$3="交付申請",DS87,
IF(AND(テーブル!$B$3="変更申請",DS$26=0),0,
IF(AND(テーブル!$B$3="変更申請",DS$26&gt;=1),DS87,
IF(テーブル!$B$3="実績報告（１次）",DS87,
IF(AND(テーブル!$B$3="交付申請（２次）",DS$26=0),0,
IF(AND(テーブル!$B$3="交付申請（２次）",DS$26&gt;=1),DS87,
IF(AND(テーブル!$B$3="交付申請兼実績報告（２次）",DS$26=0),0,
IF(AND(テーブル!$B$3="交付申請兼実績報告（２次）",DS$26&gt;=1),DS87,
IF(AND(テーブル!$B$3="実績報告（２次）",DS$26=0),0,
IF(AND(テーブル!$B$3="実績報告（２次）",DS$26&gt;=1),DS87)))))))))),0)</f>
        <v>0</v>
      </c>
      <c r="DT43" s="1997">
        <f>IFERROR(
IF(テーブル!$B$3="交付申請",DT87,
IF(AND(テーブル!$B$3="変更申請",DT$26=0),0,
IF(AND(テーブル!$B$3="変更申請",DT$26&gt;=1),DT87,
IF(テーブル!$B$3="実績報告（１次）",DT87,
IF(AND(テーブル!$B$3="交付申請（２次）",DT$26=0),0,
IF(AND(テーブル!$B$3="交付申請（２次）",DT$26&gt;=1),DT87,
IF(AND(テーブル!$B$3="交付申請兼実績報告（２次）",DT$26=0),0,
IF(AND(テーブル!$B$3="交付申請兼実績報告（２次）",DT$26&gt;=1),DT87,
IF(AND(テーブル!$B$3="実績報告（２次）",DT$26=0),0,
IF(AND(テーブル!$B$3="実績報告（２次）",DT$26&gt;=1),DT87)))))))))),0)</f>
        <v>0</v>
      </c>
      <c r="DU43" s="1997">
        <f>IFERROR(
IF(テーブル!$B$3="交付申請",DU87,
IF(AND(テーブル!$B$3="変更申請",DU$26=0),0,
IF(AND(テーブル!$B$3="変更申請",DU$26&gt;=1),DU87,
IF(テーブル!$B$3="実績報告（１次）",DU87,
IF(AND(テーブル!$B$3="交付申請（２次）",DU$26=0),0,
IF(AND(テーブル!$B$3="交付申請（２次）",DU$26&gt;=1),DU87,
IF(AND(テーブル!$B$3="交付申請兼実績報告（２次）",DU$26=0),0,
IF(AND(テーブル!$B$3="交付申請兼実績報告（２次）",DU$26&gt;=1),DU87,
IF(AND(テーブル!$B$3="実績報告（２次）",DU$26=0),0,
IF(AND(テーブル!$B$3="実績報告（２次）",DU$26&gt;=1),DU87)))))))))),0)</f>
        <v>0</v>
      </c>
      <c r="DV43" s="1997">
        <f>IFERROR(
IF(テーブル!$B$3="交付申請",DV87,
IF(AND(テーブル!$B$3="変更申請",DV$26=0),0,
IF(AND(テーブル!$B$3="変更申請",DV$26&gt;=1),DV87,
IF(テーブル!$B$3="実績報告（１次）",DV87,
IF(AND(テーブル!$B$3="交付申請（２次）",DV$26=0),0,
IF(AND(テーブル!$B$3="交付申請（２次）",DV$26&gt;=1),DV87,
IF(AND(テーブル!$B$3="交付申請兼実績報告（２次）",DV$26=0),0,
IF(AND(テーブル!$B$3="交付申請兼実績報告（２次）",DV$26&gt;=1),DV87,
IF(AND(テーブル!$B$3="実績報告（２次）",DV$26=0),0,
IF(AND(テーブル!$B$3="実績報告（２次）",DV$26&gt;=1),DV87)))))))))),0)</f>
        <v>0</v>
      </c>
      <c r="DW43" s="1997">
        <f>IFERROR(
IF(テーブル!$B$3="交付申請",DW87,
IF(AND(テーブル!$B$3="変更申請",DW$26=0),0,
IF(AND(テーブル!$B$3="変更申請",DW$26&gt;=1),DW87,
IF(テーブル!$B$3="実績報告（１次）",DW87,
IF(AND(テーブル!$B$3="交付申請（２次）",DW$26=0),0,
IF(AND(テーブル!$B$3="交付申請（２次）",DW$26&gt;=1),DW87,
IF(AND(テーブル!$B$3="交付申請兼実績報告（２次）",DW$26=0),0,
IF(AND(テーブル!$B$3="交付申請兼実績報告（２次）",DW$26&gt;=1),DW87,
IF(AND(テーブル!$B$3="実績報告（２次）",DW$26=0),0,
IF(AND(テーブル!$B$3="実績報告（２次）",DW$26&gt;=1),DW87)))))))))),0)</f>
        <v>0</v>
      </c>
      <c r="DX43" s="1997">
        <f>IFERROR(
IF(テーブル!$B$3="交付申請",DX87,
IF(AND(テーブル!$B$3="変更申請",DX$26=0),0,
IF(AND(テーブル!$B$3="変更申請",DX$26&gt;=1),DX87,
IF(テーブル!$B$3="実績報告（１次）",DX87,
IF(AND(テーブル!$B$3="交付申請（２次）",DX$26=0),0,
IF(AND(テーブル!$B$3="交付申請（２次）",DX$26&gt;=1),DX87,
IF(AND(テーブル!$B$3="交付申請兼実績報告（２次）",DX$26=0),0,
IF(AND(テーブル!$B$3="交付申請兼実績報告（２次）",DX$26&gt;=1),DX87,
IF(AND(テーブル!$B$3="実績報告（２次）",DX$26=0),0,
IF(AND(テーブル!$B$3="実績報告（２次）",DX$26&gt;=1),DX87)))))))))),0)</f>
        <v>0</v>
      </c>
      <c r="DY43" s="1997">
        <f>IFERROR(
IF(テーブル!$B$3="交付申請",DY87,
IF(AND(テーブル!$B$3="変更申請",DY$26=0),0,
IF(AND(テーブル!$B$3="変更申請",DY$26&gt;=1),DY87,
IF(テーブル!$B$3="実績報告（１次）",DY87,
IF(AND(テーブル!$B$3="交付申請（２次）",DY$26=0),0,
IF(AND(テーブル!$B$3="交付申請（２次）",DY$26&gt;=1),DY87,
IF(AND(テーブル!$B$3="交付申請兼実績報告（２次）",DY$26=0),0,
IF(AND(テーブル!$B$3="交付申請兼実績報告（２次）",DY$26&gt;=1),DY87,
IF(AND(テーブル!$B$3="実績報告（２次）",DY$26=0),0,
IF(AND(テーブル!$B$3="実績報告（２次）",DY$26&gt;=1),DY87)))))))))),0)</f>
        <v>0</v>
      </c>
      <c r="DZ43" s="1997">
        <f>IFERROR(
IF(テーブル!$B$3="交付申請",DZ87,
IF(AND(テーブル!$B$3="変更申請",DZ$26=0),0,
IF(AND(テーブル!$B$3="変更申請",DZ$26&gt;=1),DZ87,
IF(テーブル!$B$3="実績報告（１次）",DZ87,
IF(AND(テーブル!$B$3="交付申請（２次）",DZ$26=0),0,
IF(AND(テーブル!$B$3="交付申請（２次）",DZ$26&gt;=1),DZ87,
IF(AND(テーブル!$B$3="交付申請兼実績報告（２次）",DZ$26=0),0,
IF(AND(テーブル!$B$3="交付申請兼実績報告（２次）",DZ$26&gt;=1),DZ87,
IF(AND(テーブル!$B$3="実績報告（２次）",DZ$26=0),0,
IF(AND(テーブル!$B$3="実績報告（２次）",DZ$26&gt;=1),DZ87)))))))))),0)</f>
        <v>0</v>
      </c>
      <c r="EA43" s="1997">
        <f>IFERROR(
IF(テーブル!$B$3="交付申請",EA87,
IF(AND(テーブル!$B$3="変更申請",EA$26=0),0,
IF(AND(テーブル!$B$3="変更申請",EA$26&gt;=1),EA87,
IF(テーブル!$B$3="実績報告（１次）",EA87,
IF(AND(テーブル!$B$3="交付申請（２次）",EA$26=0),0,
IF(AND(テーブル!$B$3="交付申請（２次）",EA$26&gt;=1),EA87,
IF(AND(テーブル!$B$3="交付申請兼実績報告（２次）",EA$26=0),0,
IF(AND(テーブル!$B$3="交付申請兼実績報告（２次）",EA$26&gt;=1),EA87,
IF(AND(テーブル!$B$3="実績報告（２次）",EA$26=0),0,
IF(AND(テーブル!$B$3="実績報告（２次）",EA$26&gt;=1),EA87)))))))))),0)</f>
        <v>0</v>
      </c>
      <c r="EB43" s="1997">
        <f>IFERROR(
IF(テーブル!$B$3="交付申請",EB87,
IF(AND(テーブル!$B$3="変更申請",EB$26=0),0,
IF(AND(テーブル!$B$3="変更申請",EB$26&gt;=1),EB87,
IF(テーブル!$B$3="実績報告（１次）",EB87,
IF(AND(テーブル!$B$3="交付申請（２次）",EB$26=0),0,
IF(AND(テーブル!$B$3="交付申請（２次）",EB$26&gt;=1),EB87,
IF(AND(テーブル!$B$3="交付申請兼実績報告（２次）",EB$26=0),0,
IF(AND(テーブル!$B$3="交付申請兼実績報告（２次）",EB$26&gt;=1),EB87,
IF(AND(テーブル!$B$3="実績報告（２次）",EB$26=0),0,
IF(AND(テーブル!$B$3="実績報告（２次）",EB$26&gt;=1),EB87)))))))))),0)</f>
        <v>0</v>
      </c>
      <c r="EC43" s="1997">
        <f>IFERROR(
IF(テーブル!$B$3="交付申請",EC87,
IF(AND(テーブル!$B$3="変更申請",EC$26=0),0,
IF(AND(テーブル!$B$3="変更申請",EC$26&gt;=1),EC87,
IF(テーブル!$B$3="実績報告（１次）",EC87,
IF(AND(テーブル!$B$3="交付申請（２次）",EC$26=0),0,
IF(AND(テーブル!$B$3="交付申請（２次）",EC$26&gt;=1),EC87,
IF(AND(テーブル!$B$3="交付申請兼実績報告（２次）",EC$26=0),0,
IF(AND(テーブル!$B$3="交付申請兼実績報告（２次）",EC$26&gt;=1),EC87,
IF(AND(テーブル!$B$3="実績報告（２次）",EC$26=0),0,
IF(AND(テーブル!$B$3="実績報告（２次）",EC$26&gt;=1),EC87)))))))))),0)</f>
        <v>0</v>
      </c>
      <c r="ED43" s="1997">
        <f>IFERROR(
IF(テーブル!$B$3="交付申請",ED87,
IF(AND(テーブル!$B$3="変更申請",ED$26=0),0,
IF(AND(テーブル!$B$3="変更申請",ED$26&gt;=1),ED87,
IF(テーブル!$B$3="実績報告（１次）",ED87,
IF(AND(テーブル!$B$3="交付申請（２次）",ED$26=0),0,
IF(AND(テーブル!$B$3="交付申請（２次）",ED$26&gt;=1),ED87,
IF(AND(テーブル!$B$3="交付申請兼実績報告（２次）",ED$26=0),0,
IF(AND(テーブル!$B$3="交付申請兼実績報告（２次）",ED$26&gt;=1),ED87,
IF(AND(テーブル!$B$3="実績報告（２次）",ED$26=0),0,
IF(AND(テーブル!$B$3="実績報告（２次）",ED$26&gt;=1),ED87)))))))))),0)</f>
        <v>0</v>
      </c>
      <c r="EE43" s="1997">
        <f>IFERROR(
IF(テーブル!$B$3="交付申請",EE87,
IF(AND(テーブル!$B$3="変更申請",EE$26=0),0,
IF(AND(テーブル!$B$3="変更申請",EE$26&gt;=1),EE87,
IF(テーブル!$B$3="実績報告（１次）",EE87,
IF(AND(テーブル!$B$3="交付申請（２次）",EE$26=0),0,
IF(AND(テーブル!$B$3="交付申請（２次）",EE$26&gt;=1),EE87,
IF(AND(テーブル!$B$3="交付申請兼実績報告（２次）",EE$26=0),0,
IF(AND(テーブル!$B$3="交付申請兼実績報告（２次）",EE$26&gt;=1),EE87,
IF(AND(テーブル!$B$3="実績報告（２次）",EE$26=0),0,
IF(AND(テーブル!$B$3="実績報告（２次）",EE$26&gt;=1),EE87)))))))))),0)</f>
        <v>0</v>
      </c>
      <c r="EF43" s="1997">
        <f>IFERROR(
IF(テーブル!$B$3="交付申請",EF87,
IF(AND(テーブル!$B$3="変更申請",EF$26=0),0,
IF(AND(テーブル!$B$3="変更申請",EF$26&gt;=1),EF87,
IF(テーブル!$B$3="実績報告（１次）",EF87,
IF(AND(テーブル!$B$3="交付申請（２次）",EF$26=0),0,
IF(AND(テーブル!$B$3="交付申請（２次）",EF$26&gt;=1),EF87,
IF(AND(テーブル!$B$3="交付申請兼実績報告（２次）",EF$26=0),0,
IF(AND(テーブル!$B$3="交付申請兼実績報告（２次）",EF$26&gt;=1),EF87,
IF(AND(テーブル!$B$3="実績報告（２次）",EF$26=0),0,
IF(AND(テーブル!$B$3="実績報告（２次）",EF$26&gt;=1),EF87)))))))))),0)</f>
        <v>0</v>
      </c>
      <c r="EG43" s="1997">
        <f>IFERROR(
IF(テーブル!$B$3="交付申請",EG87,
IF(AND(テーブル!$B$3="変更申請",EG$26=0),0,
IF(AND(テーブル!$B$3="変更申請",EG$26&gt;=1),EG87,
IF(テーブル!$B$3="実績報告（１次）",EG87,
IF(AND(テーブル!$B$3="交付申請（２次）",EG$26=0),0,
IF(AND(テーブル!$B$3="交付申請（２次）",EG$26&gt;=1),EG87,
IF(AND(テーブル!$B$3="交付申請兼実績報告（２次）",EG$26=0),0,
IF(AND(テーブル!$B$3="交付申請兼実績報告（２次）",EG$26&gt;=1),EG87,
IF(AND(テーブル!$B$3="実績報告（２次）",EG$26=0),0,
IF(AND(テーブル!$B$3="実績報告（２次）",EG$26&gt;=1),EG87)))))))))),0)</f>
        <v>0</v>
      </c>
      <c r="EH43" s="1997">
        <f>IFERROR(
IF(テーブル!$B$3="交付申請",EH87,
IF(AND(テーブル!$B$3="変更申請",EH$26=0),0,
IF(AND(テーブル!$B$3="変更申請",EH$26&gt;=1),EH87,
IF(テーブル!$B$3="実績報告（１次）",EH87,
IF(AND(テーブル!$B$3="交付申請（２次）",EH$26=0),0,
IF(AND(テーブル!$B$3="交付申請（２次）",EH$26&gt;=1),EH87,
IF(AND(テーブル!$B$3="交付申請兼実績報告（２次）",EH$26=0),0,
IF(AND(テーブル!$B$3="交付申請兼実績報告（２次）",EH$26&gt;=1),EH87,
IF(AND(テーブル!$B$3="実績報告（２次）",EH$26=0),0,
IF(AND(テーブル!$B$3="実績報告（２次）",EH$26&gt;=1),EH87)))))))))),0)</f>
        <v>0</v>
      </c>
      <c r="EI43" s="1997">
        <f>IFERROR(
IF(テーブル!$B$3="交付申請",EI87,
IF(AND(テーブル!$B$3="変更申請",EI$26=0),0,
IF(AND(テーブル!$B$3="変更申請",EI$26&gt;=1),EI87,
IF(テーブル!$B$3="実績報告（１次）",EI87,
IF(AND(テーブル!$B$3="交付申請（２次）",EI$26=0),0,
IF(AND(テーブル!$B$3="交付申請（２次）",EI$26&gt;=1),EI87,
IF(AND(テーブル!$B$3="交付申請兼実績報告（２次）",EI$26=0),0,
IF(AND(テーブル!$B$3="交付申請兼実績報告（２次）",EI$26&gt;=1),EI87,
IF(AND(テーブル!$B$3="実績報告（２次）",EI$26=0),0,
IF(AND(テーブル!$B$3="実績報告（２次）",EI$26&gt;=1),EI87)))))))))),0)</f>
        <v>0</v>
      </c>
      <c r="EJ43" s="1997">
        <f>IFERROR(
IF(テーブル!$B$3="交付申請",EJ87,
IF(AND(テーブル!$B$3="変更申請",EJ$26=0),0,
IF(AND(テーブル!$B$3="変更申請",EJ$26&gt;=1),EJ87,
IF(テーブル!$B$3="実績報告（１次）",EJ87,
IF(AND(テーブル!$B$3="交付申請（２次）",EJ$26=0),0,
IF(AND(テーブル!$B$3="交付申請（２次）",EJ$26&gt;=1),EJ87,
IF(AND(テーブル!$B$3="交付申請兼実績報告（２次）",EJ$26=0),0,
IF(AND(テーブル!$B$3="交付申請兼実績報告（２次）",EJ$26&gt;=1),EJ87,
IF(AND(テーブル!$B$3="実績報告（２次）",EJ$26=0),0,
IF(AND(テーブル!$B$3="実績報告（２次）",EJ$26&gt;=1),EJ87)))))))))),0)</f>
        <v>0</v>
      </c>
      <c r="EK43" s="1997">
        <f>IFERROR(
IF(テーブル!$B$3="交付申請",EK87,
IF(AND(テーブル!$B$3="変更申請",EK$26=0),0,
IF(AND(テーブル!$B$3="変更申請",EK$26&gt;=1),EK87,
IF(テーブル!$B$3="実績報告（１次）",EK87,
IF(AND(テーブル!$B$3="交付申請（２次）",EK$26=0),0,
IF(AND(テーブル!$B$3="交付申請（２次）",EK$26&gt;=1),EK87,
IF(AND(テーブル!$B$3="交付申請兼実績報告（２次）",EK$26=0),0,
IF(AND(テーブル!$B$3="交付申請兼実績報告（２次）",EK$26&gt;=1),EK87,
IF(AND(テーブル!$B$3="実績報告（２次）",EK$26=0),0,
IF(AND(テーブル!$B$3="実績報告（２次）",EK$26&gt;=1),EK87)))))))))),0)</f>
        <v>0</v>
      </c>
      <c r="EL43" s="1997">
        <f>IFERROR(
IF(テーブル!$B$3="交付申請",EL87,
IF(AND(テーブル!$B$3="変更申請",EL$26=0),0,
IF(AND(テーブル!$B$3="変更申請",EL$26&gt;=1),EL87,
IF(テーブル!$B$3="実績報告（１次）",EL87,
IF(AND(テーブル!$B$3="交付申請（２次）",EL$26=0),0,
IF(AND(テーブル!$B$3="交付申請（２次）",EL$26&gt;=1),EL87,
IF(AND(テーブル!$B$3="交付申請兼実績報告（２次）",EL$26=0),0,
IF(AND(テーブル!$B$3="交付申請兼実績報告（２次）",EL$26&gt;=1),EL87,
IF(AND(テーブル!$B$3="実績報告（２次）",EL$26=0),0,
IF(AND(テーブル!$B$3="実績報告（２次）",EL$26&gt;=1),EL87)))))))))),0)</f>
        <v>0</v>
      </c>
      <c r="EM43" s="1997">
        <f>IFERROR(
IF(テーブル!$B$3="交付申請",EM87,
IF(AND(テーブル!$B$3="変更申請",EM$26=0),0,
IF(AND(テーブル!$B$3="変更申請",EM$26&gt;=1),EM87,
IF(テーブル!$B$3="実績報告（１次）",EM87,
IF(AND(テーブル!$B$3="交付申請（２次）",EM$26=0),0,
IF(AND(テーブル!$B$3="交付申請（２次）",EM$26&gt;=1),EM87,
IF(AND(テーブル!$B$3="交付申請兼実績報告（２次）",EM$26=0),0,
IF(AND(テーブル!$B$3="交付申請兼実績報告（２次）",EM$26&gt;=1),EM87,
IF(AND(テーブル!$B$3="実績報告（２次）",EM$26=0),0,
IF(AND(テーブル!$B$3="実績報告（２次）",EM$26&gt;=1),EM87)))))))))),0)</f>
        <v>0</v>
      </c>
      <c r="EN43" s="1997">
        <f>IFERROR(
IF(テーブル!$B$3="交付申請",EN87,
IF(AND(テーブル!$B$3="変更申請",EN$26=0),0,
IF(AND(テーブル!$B$3="変更申請",EN$26&gt;=1),EN87,
IF(テーブル!$B$3="実績報告（１次）",EN87,
IF(AND(テーブル!$B$3="交付申請（２次）",EN$26=0),0,
IF(AND(テーブル!$B$3="交付申請（２次）",EN$26&gt;=1),EN87,
IF(AND(テーブル!$B$3="交付申請兼実績報告（２次）",EN$26=0),0,
IF(AND(テーブル!$B$3="交付申請兼実績報告（２次）",EN$26&gt;=1),EN87,
IF(AND(テーブル!$B$3="実績報告（２次）",EN$26=0),0,
IF(AND(テーブル!$B$3="実績報告（２次）",EN$26&gt;=1),EN87)))))))))),0)</f>
        <v>0</v>
      </c>
      <c r="EO43" s="1997">
        <f>IFERROR(
IF(テーブル!$B$3="交付申請",EO87,
IF(AND(テーブル!$B$3="変更申請",EO$26=0),0,
IF(AND(テーブル!$B$3="変更申請",EO$26&gt;=1),EO87,
IF(テーブル!$B$3="実績報告（１次）",EO87,
IF(AND(テーブル!$B$3="交付申請（２次）",EO$26=0),0,
IF(AND(テーブル!$B$3="交付申請（２次）",EO$26&gt;=1),EO87,
IF(AND(テーブル!$B$3="交付申請兼実績報告（２次）",EO$26=0),0,
IF(AND(テーブル!$B$3="交付申請兼実績報告（２次）",EO$26&gt;=1),EO87,
IF(AND(テーブル!$B$3="実績報告（２次）",EO$26=0),0,
IF(AND(テーブル!$B$3="実績報告（２次）",EO$26&gt;=1),EO87)))))))))),0)</f>
        <v>0</v>
      </c>
      <c r="EP43" s="1997">
        <f>IFERROR(
IF(テーブル!$B$3="交付申請",EP87,
IF(AND(テーブル!$B$3="変更申請",EP$26=0),0,
IF(AND(テーブル!$B$3="変更申請",EP$26&gt;=1),EP87,
IF(テーブル!$B$3="実績報告（１次）",EP87,
IF(AND(テーブル!$B$3="交付申請（２次）",EP$26=0),0,
IF(AND(テーブル!$B$3="交付申請（２次）",EP$26&gt;=1),EP87,
IF(AND(テーブル!$B$3="交付申請兼実績報告（２次）",EP$26=0),0,
IF(AND(テーブル!$B$3="交付申請兼実績報告（２次）",EP$26&gt;=1),EP87,
IF(AND(テーブル!$B$3="実績報告（２次）",EP$26=0),0,
IF(AND(テーブル!$B$3="実績報告（２次）",EP$26&gt;=1),EP87)))))))))),0)</f>
        <v>0</v>
      </c>
      <c r="EQ43" s="1997">
        <f>IFERROR(
IF(テーブル!$B$3="交付申請",EQ87,
IF(AND(テーブル!$B$3="変更申請",EQ$26=0),0,
IF(AND(テーブル!$B$3="変更申請",EQ$26&gt;=1),EQ87,
IF(テーブル!$B$3="実績報告（１次）",EQ87,
IF(AND(テーブル!$B$3="交付申請（２次）",EQ$26=0),0,
IF(AND(テーブル!$B$3="交付申請（２次）",EQ$26&gt;=1),EQ87,
IF(AND(テーブル!$B$3="交付申請兼実績報告（２次）",EQ$26=0),0,
IF(AND(テーブル!$B$3="交付申請兼実績報告（２次）",EQ$26&gt;=1),EQ87,
IF(AND(テーブル!$B$3="実績報告（２次）",EQ$26=0),0,
IF(AND(テーブル!$B$3="実績報告（２次）",EQ$26&gt;=1),EQ87)))))))))),0)</f>
        <v>0</v>
      </c>
      <c r="ER43" s="1997">
        <f>IFERROR(
IF(テーブル!$B$3="交付申請",ER87,
IF(AND(テーブル!$B$3="変更申請",ER$26=0),0,
IF(AND(テーブル!$B$3="変更申請",ER$26&gt;=1),ER87,
IF(テーブル!$B$3="実績報告（１次）",ER87,
IF(AND(テーブル!$B$3="交付申請（２次）",ER$26=0),0,
IF(AND(テーブル!$B$3="交付申請（２次）",ER$26&gt;=1),ER87,
IF(AND(テーブル!$B$3="交付申請兼実績報告（２次）",ER$26=0),0,
IF(AND(テーブル!$B$3="交付申請兼実績報告（２次）",ER$26&gt;=1),ER87,
IF(AND(テーブル!$B$3="実績報告（２次）",ER$26=0),0,
IF(AND(テーブル!$B$3="実績報告（２次）",ER$26&gt;=1),ER87)))))))))),0)</f>
        <v>0</v>
      </c>
      <c r="ES43" s="1997">
        <f>IFERROR(
IF(テーブル!$B$3="交付申請",ES87,
IF(AND(テーブル!$B$3="変更申請",ES$26=0),0,
IF(AND(テーブル!$B$3="変更申請",ES$26&gt;=1),ES87,
IF(テーブル!$B$3="実績報告（１次）",ES87,
IF(AND(テーブル!$B$3="交付申請（２次）",ES$26=0),0,
IF(AND(テーブル!$B$3="交付申請（２次）",ES$26&gt;=1),ES87,
IF(AND(テーブル!$B$3="交付申請兼実績報告（２次）",ES$26=0),0,
IF(AND(テーブル!$B$3="交付申請兼実績報告（２次）",ES$26&gt;=1),ES87,
IF(AND(テーブル!$B$3="実績報告（２次）",ES$26=0),0,
IF(AND(テーブル!$B$3="実績報告（２次）",ES$26&gt;=1),ES87)))))))))),0)</f>
        <v>0</v>
      </c>
      <c r="ET43" s="1997">
        <f>IFERROR(
IF(テーブル!$B$3="交付申請",ET87,
IF(AND(テーブル!$B$3="変更申請",ET$26=0),0,
IF(AND(テーブル!$B$3="変更申請",ET$26&gt;=1),ET87,
IF(テーブル!$B$3="実績報告（１次）",ET87,
IF(AND(テーブル!$B$3="交付申請（２次）",ET$26=0),0,
IF(AND(テーブル!$B$3="交付申請（２次）",ET$26&gt;=1),ET87,
IF(AND(テーブル!$B$3="交付申請兼実績報告（２次）",ET$26=0),0,
IF(AND(テーブル!$B$3="交付申請兼実績報告（２次）",ET$26&gt;=1),ET87,
IF(AND(テーブル!$B$3="実績報告（２次）",ET$26=0),0,
IF(AND(テーブル!$B$3="実績報告（２次）",ET$26&gt;=1),ET87)))))))))),0)</f>
        <v>0</v>
      </c>
      <c r="EU43" s="1997">
        <f>IFERROR(
IF(テーブル!$B$3="交付申請",EU87,
IF(AND(テーブル!$B$3="変更申請",EU$26=0),0,
IF(AND(テーブル!$B$3="変更申請",EU$26&gt;=1),EU87,
IF(テーブル!$B$3="実績報告（１次）",EU87,
IF(AND(テーブル!$B$3="交付申請（２次）",EU$26=0),0,
IF(AND(テーブル!$B$3="交付申請（２次）",EU$26&gt;=1),EU87,
IF(AND(テーブル!$B$3="交付申請兼実績報告（２次）",EU$26=0),0,
IF(AND(テーブル!$B$3="交付申請兼実績報告（２次）",EU$26&gt;=1),EU87,
IF(AND(テーブル!$B$3="実績報告（２次）",EU$26=0),0,
IF(AND(テーブル!$B$3="実績報告（２次）",EU$26&gt;=1),EU87)))))))))),0)</f>
        <v>0</v>
      </c>
      <c r="EV43" s="1997">
        <f>IFERROR(
IF(テーブル!$B$3="交付申請",EV87,
IF(AND(テーブル!$B$3="変更申請",EV$26=0),0,
IF(AND(テーブル!$B$3="変更申請",EV$26&gt;=1),EV87,
IF(テーブル!$B$3="実績報告（１次）",EV87,
IF(AND(テーブル!$B$3="交付申請（２次）",EV$26=0),0,
IF(AND(テーブル!$B$3="交付申請（２次）",EV$26&gt;=1),EV87,
IF(AND(テーブル!$B$3="交付申請兼実績報告（２次）",EV$26=0),0,
IF(AND(テーブル!$B$3="交付申請兼実績報告（２次）",EV$26&gt;=1),EV87,
IF(AND(テーブル!$B$3="実績報告（２次）",EV$26=0),0,
IF(AND(テーブル!$B$3="実績報告（２次）",EV$26&gt;=1),EV87)))))))))),0)</f>
        <v>0</v>
      </c>
      <c r="EW43" s="1997">
        <f>IFERROR(
IF(テーブル!$B$3="交付申請",EW87,
IF(AND(テーブル!$B$3="変更申請",EW$26=0),0,
IF(AND(テーブル!$B$3="変更申請",EW$26&gt;=1),EW87,
IF(テーブル!$B$3="実績報告（１次）",EW87,
IF(AND(テーブル!$B$3="交付申請（２次）",EW$26=0),0,
IF(AND(テーブル!$B$3="交付申請（２次）",EW$26&gt;=1),EW87,
IF(AND(テーブル!$B$3="交付申請兼実績報告（２次）",EW$26=0),0,
IF(AND(テーブル!$B$3="交付申請兼実績報告（２次）",EW$26&gt;=1),EW87,
IF(AND(テーブル!$B$3="実績報告（２次）",EW$26=0),0,
IF(AND(テーブル!$B$3="実績報告（２次）",EW$26&gt;=1),EW87)))))))))),0)</f>
        <v>0</v>
      </c>
      <c r="EX43" s="1997">
        <f>IFERROR(
IF(テーブル!$B$3="交付申請",EX87,
IF(AND(テーブル!$B$3="変更申請",EX$26=0),0,
IF(AND(テーブル!$B$3="変更申請",EX$26&gt;=1),EX87,
IF(テーブル!$B$3="実績報告（１次）",EX87,
IF(AND(テーブル!$B$3="交付申請（２次）",EX$26=0),0,
IF(AND(テーブル!$B$3="交付申請（２次）",EX$26&gt;=1),EX87,
IF(AND(テーブル!$B$3="交付申請兼実績報告（２次）",EX$26=0),0,
IF(AND(テーブル!$B$3="交付申請兼実績報告（２次）",EX$26&gt;=1),EX87,
IF(AND(テーブル!$B$3="実績報告（２次）",EX$26=0),0,
IF(AND(テーブル!$B$3="実績報告（２次）",EX$26&gt;=1),EX87)))))))))),0)</f>
        <v>0</v>
      </c>
      <c r="EY43" s="1997">
        <f>IFERROR(
IF(テーブル!$B$3="交付申請",EY87,
IF(AND(テーブル!$B$3="変更申請",EY$26=0),0,
IF(AND(テーブル!$B$3="変更申請",EY$26&gt;=1),EY87,
IF(テーブル!$B$3="実績報告（１次）",EY87,
IF(AND(テーブル!$B$3="交付申請（２次）",EY$26=0),0,
IF(AND(テーブル!$B$3="交付申請（２次）",EY$26&gt;=1),EY87,
IF(AND(テーブル!$B$3="交付申請兼実績報告（２次）",EY$26=0),0,
IF(AND(テーブル!$B$3="交付申請兼実績報告（２次）",EY$26&gt;=1),EY87,
IF(AND(テーブル!$B$3="実績報告（２次）",EY$26=0),0,
IF(AND(テーブル!$B$3="実績報告（２次）",EY$26&gt;=1),EY87)))))))))),0)</f>
        <v>0</v>
      </c>
      <c r="EZ43" s="1997">
        <f>IFERROR(
IF(テーブル!$B$3="交付申請",EZ87,
IF(AND(テーブル!$B$3="変更申請",EZ$26=0),0,
IF(AND(テーブル!$B$3="変更申請",EZ$26&gt;=1),EZ87,
IF(テーブル!$B$3="実績報告（１次）",EZ87,
IF(AND(テーブル!$B$3="交付申請（２次）",EZ$26=0),0,
IF(AND(テーブル!$B$3="交付申請（２次）",EZ$26&gt;=1),EZ87,
IF(AND(テーブル!$B$3="交付申請兼実績報告（２次）",EZ$26=0),0,
IF(AND(テーブル!$B$3="交付申請兼実績報告（２次）",EZ$26&gt;=1),EZ87,
IF(AND(テーブル!$B$3="実績報告（２次）",EZ$26=0),0,
IF(AND(テーブル!$B$3="実績報告（２次）",EZ$26&gt;=1),EZ87)))))))))),0)</f>
        <v>0</v>
      </c>
      <c r="FA43" s="1997">
        <f>IFERROR(
IF(テーブル!$B$3="交付申請",FA87,
IF(AND(テーブル!$B$3="変更申請",FA$26=0),0,
IF(AND(テーブル!$B$3="変更申請",FA$26&gt;=1),FA87,
IF(テーブル!$B$3="実績報告（１次）",FA87,
IF(AND(テーブル!$B$3="交付申請（２次）",FA$26=0),0,
IF(AND(テーブル!$B$3="交付申請（２次）",FA$26&gt;=1),FA87,
IF(AND(テーブル!$B$3="交付申請兼実績報告（２次）",FA$26=0),0,
IF(AND(テーブル!$B$3="交付申請兼実績報告（２次）",FA$26&gt;=1),FA87,
IF(AND(テーブル!$B$3="実績報告（２次）",FA$26=0),0,
IF(AND(テーブル!$B$3="実績報告（２次）",FA$26&gt;=1),FA87)))))))))),0)</f>
        <v>0</v>
      </c>
      <c r="FB43" s="1997">
        <f>IFERROR(
IF(テーブル!$B$3="交付申請",FB87,
IF(AND(テーブル!$B$3="変更申請",FB$26=0),0,
IF(AND(テーブル!$B$3="変更申請",FB$26&gt;=1),FB87,
IF(テーブル!$B$3="実績報告（１次）",FB87,
IF(AND(テーブル!$B$3="交付申請（２次）",FB$26=0),0,
IF(AND(テーブル!$B$3="交付申請（２次）",FB$26&gt;=1),FB87,
IF(AND(テーブル!$B$3="交付申請兼実績報告（２次）",FB$26=0),0,
IF(AND(テーブル!$B$3="交付申請兼実績報告（２次）",FB$26&gt;=1),FB87,
IF(AND(テーブル!$B$3="実績報告（２次）",FB$26=0),0,
IF(AND(テーブル!$B$3="実績報告（２次）",FB$26&gt;=1),FB87)))))))))),0)</f>
        <v>0</v>
      </c>
      <c r="FC43" s="1997">
        <f>IFERROR(
IF(テーブル!$B$3="交付申請",FC87,
IF(AND(テーブル!$B$3="変更申請",FC$26=0),0,
IF(AND(テーブル!$B$3="変更申請",FC$26&gt;=1),FC87,
IF(テーブル!$B$3="実績報告（１次）",FC87,
IF(AND(テーブル!$B$3="交付申請（２次）",FC$26=0),0,
IF(AND(テーブル!$B$3="交付申請（２次）",FC$26&gt;=1),FC87,
IF(AND(テーブル!$B$3="交付申請兼実績報告（２次）",FC$26=0),0,
IF(AND(テーブル!$B$3="交付申請兼実績報告（２次）",FC$26&gt;=1),FC87,
IF(AND(テーブル!$B$3="実績報告（２次）",FC$26=0),0,
IF(AND(テーブル!$B$3="実績報告（２次）",FC$26&gt;=1),FC87)))))))))),0)</f>
        <v>0</v>
      </c>
      <c r="FD43" s="1997">
        <f>IFERROR(
IF(テーブル!$B$3="交付申請",FD87,
IF(AND(テーブル!$B$3="変更申請",FD$26=0),0,
IF(AND(テーブル!$B$3="変更申請",FD$26&gt;=1),FD87,
IF(テーブル!$B$3="実績報告（１次）",FD87,
IF(AND(テーブル!$B$3="交付申請（２次）",FD$26=0),0,
IF(AND(テーブル!$B$3="交付申請（２次）",FD$26&gt;=1),FD87,
IF(AND(テーブル!$B$3="交付申請兼実績報告（２次）",FD$26=0),0,
IF(AND(テーブル!$B$3="交付申請兼実績報告（２次）",FD$26&gt;=1),FD87,
IF(AND(テーブル!$B$3="実績報告（２次）",FD$26=0),0,
IF(AND(テーブル!$B$3="実績報告（２次）",FD$26&gt;=1),FD87)))))))))),0)</f>
        <v>0</v>
      </c>
      <c r="FE43" s="1997">
        <f>IFERROR(
IF(テーブル!$B$3="交付申請",FE87,
IF(AND(テーブル!$B$3="変更申請",FE$26=0),0,
IF(AND(テーブル!$B$3="変更申請",FE$26&gt;=1),FE87,
IF(テーブル!$B$3="実績報告（１次）",FE87,
IF(AND(テーブル!$B$3="交付申請（２次）",FE$26=0),0,
IF(AND(テーブル!$B$3="交付申請（２次）",FE$26&gt;=1),FE87,
IF(AND(テーブル!$B$3="交付申請兼実績報告（２次）",FE$26=0),0,
IF(AND(テーブル!$B$3="交付申請兼実績報告（２次）",FE$26&gt;=1),FE87,
IF(AND(テーブル!$B$3="実績報告（２次）",FE$26=0),0,
IF(AND(テーブル!$B$3="実績報告（２次）",FE$26&gt;=1),FE87)))))))))),0)</f>
        <v>0</v>
      </c>
      <c r="FF43" s="1997">
        <f>IFERROR(
IF(テーブル!$B$3="交付申請",FF87,
IF(AND(テーブル!$B$3="変更申請",FF$26=0),0,
IF(AND(テーブル!$B$3="変更申請",FF$26&gt;=1),FF87,
IF(テーブル!$B$3="実績報告（１次）",FF87,
IF(AND(テーブル!$B$3="交付申請（２次）",FF$26=0),0,
IF(AND(テーブル!$B$3="交付申請（２次）",FF$26&gt;=1),FF87,
IF(AND(テーブル!$B$3="交付申請兼実績報告（２次）",FF$26=0),0,
IF(AND(テーブル!$B$3="交付申請兼実績報告（２次）",FF$26&gt;=1),FF87,
IF(AND(テーブル!$B$3="実績報告（２次）",FF$26=0),0,
IF(AND(テーブル!$B$3="実績報告（２次）",FF$26&gt;=1),FF87)))))))))),0)</f>
        <v>0</v>
      </c>
      <c r="FG43" s="1997">
        <f>IFERROR(
IF(テーブル!$B$3="交付申請",FG87,
IF(AND(テーブル!$B$3="変更申請",FG$26=0),0,
IF(AND(テーブル!$B$3="変更申請",FG$26&gt;=1),FG87,
IF(テーブル!$B$3="実績報告（１次）",FG87,
IF(AND(テーブル!$B$3="交付申請（２次）",FG$26=0),0,
IF(AND(テーブル!$B$3="交付申請（２次）",FG$26&gt;=1),FG87,
IF(AND(テーブル!$B$3="交付申請兼実績報告（２次）",FG$26=0),0,
IF(AND(テーブル!$B$3="交付申請兼実績報告（２次）",FG$26&gt;=1),FG87,
IF(AND(テーブル!$B$3="実績報告（２次）",FG$26=0),0,
IF(AND(テーブル!$B$3="実績報告（２次）",FG$26&gt;=1),FG87)))))))))),0)</f>
        <v>0</v>
      </c>
      <c r="FH43" s="1997">
        <f>IFERROR(
IF(テーブル!$B$3="交付申請",FH87,
IF(AND(テーブル!$B$3="変更申請",FH$26=0),0,
IF(AND(テーブル!$B$3="変更申請",FH$26&gt;=1),FH87,
IF(テーブル!$B$3="実績報告（１次）",FH87,
IF(AND(テーブル!$B$3="交付申請（２次）",FH$26=0),0,
IF(AND(テーブル!$B$3="交付申請（２次）",FH$26&gt;=1),FH87,
IF(AND(テーブル!$B$3="交付申請兼実績報告（２次）",FH$26=0),0,
IF(AND(テーブル!$B$3="交付申請兼実績報告（２次）",FH$26&gt;=1),FH87,
IF(AND(テーブル!$B$3="実績報告（２次）",FH$26=0),0,
IF(AND(テーブル!$B$3="実績報告（２次）",FH$26&gt;=1),FH87)))))))))),0)</f>
        <v>0</v>
      </c>
      <c r="FI43" s="1997">
        <f>IFERROR(
IF(テーブル!$B$3="交付申請",FI87,
IF(AND(テーブル!$B$3="変更申請",FI$26=0),0,
IF(AND(テーブル!$B$3="変更申請",FI$26&gt;=1),FI87,
IF(テーブル!$B$3="実績報告（１次）",FI87,
IF(AND(テーブル!$B$3="交付申請（２次）",FI$26=0),0,
IF(AND(テーブル!$B$3="交付申請（２次）",FI$26&gt;=1),FI87,
IF(AND(テーブル!$B$3="交付申請兼実績報告（２次）",FI$26=0),0,
IF(AND(テーブル!$B$3="交付申請兼実績報告（２次）",FI$26&gt;=1),FI87,
IF(AND(テーブル!$B$3="実績報告（２次）",FI$26=0),0,
IF(AND(テーブル!$B$3="実績報告（２次）",FI$26&gt;=1),FI87)))))))))),0)</f>
        <v>0</v>
      </c>
      <c r="FJ43" s="1997">
        <f>IFERROR(
IF(テーブル!$B$3="交付申請",FJ87,
IF(AND(テーブル!$B$3="変更申請",FJ$26=0),0,
IF(AND(テーブル!$B$3="変更申請",FJ$26&gt;=1),FJ87,
IF(テーブル!$B$3="実績報告（１次）",FJ87,
IF(AND(テーブル!$B$3="交付申請（２次）",FJ$26=0),0,
IF(AND(テーブル!$B$3="交付申請（２次）",FJ$26&gt;=1),FJ87,
IF(AND(テーブル!$B$3="交付申請兼実績報告（２次）",FJ$26=0),0,
IF(AND(テーブル!$B$3="交付申請兼実績報告（２次）",FJ$26&gt;=1),FJ87,
IF(AND(テーブル!$B$3="実績報告（２次）",FJ$26=0),0,
IF(AND(テーブル!$B$3="実績報告（２次）",FJ$26&gt;=1),FJ87)))))))))),0)</f>
        <v>0</v>
      </c>
      <c r="FK43" s="1997">
        <f>IFERROR(
IF(テーブル!$B$3="交付申請",FK87,
IF(AND(テーブル!$B$3="変更申請",FK$26=0),0,
IF(AND(テーブル!$B$3="変更申請",FK$26&gt;=1),FK87,
IF(テーブル!$B$3="実績報告（１次）",FK87,
IF(AND(テーブル!$B$3="交付申請（２次）",FK$26=0),0,
IF(AND(テーブル!$B$3="交付申請（２次）",FK$26&gt;=1),FK87,
IF(AND(テーブル!$B$3="交付申請兼実績報告（２次）",FK$26=0),0,
IF(AND(テーブル!$B$3="交付申請兼実績報告（２次）",FK$26&gt;=1),FK87,
IF(AND(テーブル!$B$3="実績報告（２次）",FK$26=0),0,
IF(AND(テーブル!$B$3="実績報告（２次）",FK$26&gt;=1),FK87)))))))))),0)</f>
        <v>0</v>
      </c>
      <c r="FL43" s="1997">
        <f>IFERROR(
IF(テーブル!$B$3="交付申請",FL87,
IF(AND(テーブル!$B$3="変更申請",FL$26=0),0,
IF(AND(テーブル!$B$3="変更申請",FL$26&gt;=1),FL87,
IF(テーブル!$B$3="実績報告（１次）",FL87,
IF(AND(テーブル!$B$3="交付申請（２次）",FL$26=0),0,
IF(AND(テーブル!$B$3="交付申請（２次）",FL$26&gt;=1),FL87,
IF(AND(テーブル!$B$3="交付申請兼実績報告（２次）",FL$26=0),0,
IF(AND(テーブル!$B$3="交付申請兼実績報告（２次）",FL$26&gt;=1),FL87,
IF(AND(テーブル!$B$3="実績報告（２次）",FL$26=0),0,
IF(AND(テーブル!$B$3="実績報告（２次）",FL$26&gt;=1),FL87)))))))))),0)</f>
        <v>0</v>
      </c>
      <c r="FM43" s="1997">
        <f>IFERROR(
IF(テーブル!$B$3="交付申請",FM87,
IF(AND(テーブル!$B$3="変更申請",FM$26=0),0,
IF(AND(テーブル!$B$3="変更申請",FM$26&gt;=1),FM87,
IF(テーブル!$B$3="実績報告（１次）",FM87,
IF(AND(テーブル!$B$3="交付申請（２次）",FM$26=0),0,
IF(AND(テーブル!$B$3="交付申請（２次）",FM$26&gt;=1),FM87,
IF(AND(テーブル!$B$3="交付申請兼実績報告（２次）",FM$26=0),0,
IF(AND(テーブル!$B$3="交付申請兼実績報告（２次）",FM$26&gt;=1),FM87,
IF(AND(テーブル!$B$3="実績報告（２次）",FM$26=0),0,
IF(AND(テーブル!$B$3="実績報告（２次）",FM$26&gt;=1),FM87)))))))))),0)</f>
        <v>0</v>
      </c>
      <c r="FN43" s="1997">
        <f>IFERROR(
IF(テーブル!$B$3="交付申請",FN87,
IF(AND(テーブル!$B$3="変更申請",FN$26=0),0,
IF(AND(テーブル!$B$3="変更申請",FN$26&gt;=1),FN87,
IF(テーブル!$B$3="実績報告（１次）",FN87,
IF(AND(テーブル!$B$3="交付申請（２次）",FN$26=0),0,
IF(AND(テーブル!$B$3="交付申請（２次）",FN$26&gt;=1),FN87,
IF(AND(テーブル!$B$3="交付申請兼実績報告（２次）",FN$26=0),0,
IF(AND(テーブル!$B$3="交付申請兼実績報告（２次）",FN$26&gt;=1),FN87,
IF(AND(テーブル!$B$3="実績報告（２次）",FN$26=0),0,
IF(AND(テーブル!$B$3="実績報告（２次）",FN$26&gt;=1),FN87)))))))))),0)</f>
        <v>0</v>
      </c>
      <c r="FO43" s="1997">
        <f>IFERROR(
IF(テーブル!$B$3="交付申請",FO87,
IF(AND(テーブル!$B$3="変更申請",FO$26=0),0,
IF(AND(テーブル!$B$3="変更申請",FO$26&gt;=1),FO87,
IF(テーブル!$B$3="実績報告（１次）",FO87,
IF(AND(テーブル!$B$3="交付申請（２次）",FO$26=0),0,
IF(AND(テーブル!$B$3="交付申請（２次）",FO$26&gt;=1),FO87,
IF(AND(テーブル!$B$3="交付申請兼実績報告（２次）",FO$26=0),0,
IF(AND(テーブル!$B$3="交付申請兼実績報告（２次）",FO$26&gt;=1),FO87,
IF(AND(テーブル!$B$3="実績報告（２次）",FO$26=0),0,
IF(AND(テーブル!$B$3="実績報告（２次）",FO$26&gt;=1),FO87)))))))))),0)</f>
        <v>0</v>
      </c>
      <c r="FP43" s="1997">
        <f>IFERROR(
IF(テーブル!$B$3="交付申請",FP87,
IF(AND(テーブル!$B$3="変更申請",FP$26=0),0,
IF(AND(テーブル!$B$3="変更申請",FP$26&gt;=1),FP87,
IF(テーブル!$B$3="実績報告（１次）",FP87,
IF(AND(テーブル!$B$3="交付申請（２次）",FP$26=0),0,
IF(AND(テーブル!$B$3="交付申請（２次）",FP$26&gt;=1),FP87,
IF(AND(テーブル!$B$3="交付申請兼実績報告（２次）",FP$26=0),0,
IF(AND(テーブル!$B$3="交付申請兼実績報告（２次）",FP$26&gt;=1),FP87,
IF(AND(テーブル!$B$3="実績報告（２次）",FP$26=0),0,
IF(AND(テーブル!$B$3="実績報告（２次）",FP$26&gt;=1),FP87)))))))))),0)</f>
        <v>0</v>
      </c>
      <c r="FQ43" s="1997">
        <f>IFERROR(
IF(テーブル!$B$3="交付申請",FQ87,
IF(AND(テーブル!$B$3="変更申請",FQ$26=0),0,
IF(AND(テーブル!$B$3="変更申請",FQ$26&gt;=1),FQ87,
IF(テーブル!$B$3="実績報告（１次）",FQ87,
IF(AND(テーブル!$B$3="交付申請（２次）",FQ$26=0),0,
IF(AND(テーブル!$B$3="交付申請（２次）",FQ$26&gt;=1),FQ87,
IF(AND(テーブル!$B$3="交付申請兼実績報告（２次）",FQ$26=0),0,
IF(AND(テーブル!$B$3="交付申請兼実績報告（２次）",FQ$26&gt;=1),FQ87,
IF(AND(テーブル!$B$3="実績報告（２次）",FQ$26=0),0,
IF(AND(テーブル!$B$3="実績報告（２次）",FQ$26&gt;=1),FQ87)))))))))),0)</f>
        <v>0</v>
      </c>
      <c r="FR43" s="1997">
        <f>IFERROR(
IF(テーブル!$B$3="交付申請",FR87,
IF(AND(テーブル!$B$3="変更申請",FR$26=0),0,
IF(AND(テーブル!$B$3="変更申請",FR$26&gt;=1),FR87,
IF(テーブル!$B$3="実績報告（１次）",FR87,
IF(AND(テーブル!$B$3="交付申請（２次）",FR$26=0),0,
IF(AND(テーブル!$B$3="交付申請（２次）",FR$26&gt;=1),FR87,
IF(AND(テーブル!$B$3="交付申請兼実績報告（２次）",FR$26=0),0,
IF(AND(テーブル!$B$3="交付申請兼実績報告（２次）",FR$26&gt;=1),FR87,
IF(AND(テーブル!$B$3="実績報告（２次）",FR$26=0),0,
IF(AND(テーブル!$B$3="実績報告（２次）",FR$26&gt;=1),FR87)))))))))),0)</f>
        <v>0</v>
      </c>
      <c r="FS43" s="1997">
        <f>IFERROR(
IF(テーブル!$B$3="交付申請",FS87,
IF(AND(テーブル!$B$3="変更申請",FS$26=0),0,
IF(AND(テーブル!$B$3="変更申請",FS$26&gt;=1),FS87,
IF(テーブル!$B$3="実績報告（１次）",FS87,
IF(AND(テーブル!$B$3="交付申請（２次）",FS$26=0),0,
IF(AND(テーブル!$B$3="交付申請（２次）",FS$26&gt;=1),FS87,
IF(AND(テーブル!$B$3="交付申請兼実績報告（２次）",FS$26=0),0,
IF(AND(テーブル!$B$3="交付申請兼実績報告（２次）",FS$26&gt;=1),FS87,
IF(AND(テーブル!$B$3="実績報告（２次）",FS$26=0),0,
IF(AND(テーブル!$B$3="実績報告（２次）",FS$26&gt;=1),FS87)))))))))),0)</f>
        <v>0</v>
      </c>
      <c r="FT43" s="1997">
        <f>IFERROR(
IF(テーブル!$B$3="交付申請",FT87,
IF(AND(テーブル!$B$3="変更申請",FT$26=0),0,
IF(AND(テーブル!$B$3="変更申請",FT$26&gt;=1),FT87,
IF(テーブル!$B$3="実績報告（１次）",FT87,
IF(AND(テーブル!$B$3="交付申請（２次）",FT$26=0),0,
IF(AND(テーブル!$B$3="交付申請（２次）",FT$26&gt;=1),FT87,
IF(AND(テーブル!$B$3="交付申請兼実績報告（２次）",FT$26=0),0,
IF(AND(テーブル!$B$3="交付申請兼実績報告（２次）",FT$26&gt;=1),FT87,
IF(AND(テーブル!$B$3="実績報告（２次）",FT$26=0),0,
IF(AND(テーブル!$B$3="実績報告（２次）",FT$26&gt;=1),FT87)))))))))),0)</f>
        <v>0</v>
      </c>
      <c r="FU43" s="1997">
        <f>IFERROR(
IF(テーブル!$B$3="交付申請",FU87,
IF(AND(テーブル!$B$3="変更申請",FU$26=0),0,
IF(AND(テーブル!$B$3="変更申請",FU$26&gt;=1),FU87,
IF(テーブル!$B$3="実績報告（１次）",FU87,
IF(AND(テーブル!$B$3="交付申請（２次）",FU$26=0),0,
IF(AND(テーブル!$B$3="交付申請（２次）",FU$26&gt;=1),FU87,
IF(AND(テーブル!$B$3="交付申請兼実績報告（２次）",FU$26=0),0,
IF(AND(テーブル!$B$3="交付申請兼実績報告（２次）",FU$26&gt;=1),FU87,
IF(AND(テーブル!$B$3="実績報告（２次）",FU$26=0),0,
IF(AND(テーブル!$B$3="実績報告（２次）",FU$26&gt;=1),FU87)))))))))),0)</f>
        <v>0</v>
      </c>
      <c r="FV43" s="1997">
        <f>IFERROR(
IF(テーブル!$B$3="交付申請",FV87,
IF(AND(テーブル!$B$3="変更申請",FV$26=0),0,
IF(AND(テーブル!$B$3="変更申請",FV$26&gt;=1),FV87,
IF(テーブル!$B$3="実績報告（１次）",FV87,
IF(AND(テーブル!$B$3="交付申請（２次）",FV$26=0),0,
IF(AND(テーブル!$B$3="交付申請（２次）",FV$26&gt;=1),FV87,
IF(AND(テーブル!$B$3="交付申請兼実績報告（２次）",FV$26=0),0,
IF(AND(テーブル!$B$3="交付申請兼実績報告（２次）",FV$26&gt;=1),FV87,
IF(AND(テーブル!$B$3="実績報告（２次）",FV$26=0),0,
IF(AND(テーブル!$B$3="実績報告（２次）",FV$26&gt;=1),FV87)))))))))),0)</f>
        <v>0</v>
      </c>
      <c r="FW43" s="1997">
        <f>IFERROR(
IF(テーブル!$B$3="交付申請",FW87,
IF(AND(テーブル!$B$3="変更申請",FW$26=0),0,
IF(AND(テーブル!$B$3="変更申請",FW$26&gt;=1),FW87,
IF(テーブル!$B$3="実績報告（１次）",FW87,
IF(AND(テーブル!$B$3="交付申請（２次）",FW$26=0),0,
IF(AND(テーブル!$B$3="交付申請（２次）",FW$26&gt;=1),FW87,
IF(AND(テーブル!$B$3="交付申請兼実績報告（２次）",FW$26=0),0,
IF(AND(テーブル!$B$3="交付申請兼実績報告（２次）",FW$26&gt;=1),FW87,
IF(AND(テーブル!$B$3="実績報告（２次）",FW$26=0),0,
IF(AND(テーブル!$B$3="実績報告（２次）",FW$26&gt;=1),FW87)))))))))),0)</f>
        <v>0</v>
      </c>
      <c r="FX43" s="1997">
        <f>IFERROR(
IF(テーブル!$B$3="交付申請",FX87,
IF(AND(テーブル!$B$3="変更申請",FX$26=0),0,
IF(AND(テーブル!$B$3="変更申請",FX$26&gt;=1),FX87,
IF(テーブル!$B$3="実績報告（１次）",FX87,
IF(AND(テーブル!$B$3="交付申請（２次）",FX$26=0),0,
IF(AND(テーブル!$B$3="交付申請（２次）",FX$26&gt;=1),FX87,
IF(AND(テーブル!$B$3="交付申請兼実績報告（２次）",FX$26=0),0,
IF(AND(テーブル!$B$3="交付申請兼実績報告（２次）",FX$26&gt;=1),FX87,
IF(AND(テーブル!$B$3="実績報告（２次）",FX$26=0),0,
IF(AND(テーブル!$B$3="実績報告（２次）",FX$26&gt;=1),FX87)))))))))),0)</f>
        <v>0</v>
      </c>
      <c r="FY43" s="1997">
        <f>IFERROR(
IF(テーブル!$B$3="交付申請",FY87,
IF(AND(テーブル!$B$3="変更申請",FY$26=0),0,
IF(AND(テーブル!$B$3="変更申請",FY$26&gt;=1),FY87,
IF(テーブル!$B$3="実績報告（１次）",FY87,
IF(AND(テーブル!$B$3="交付申請（２次）",FY$26=0),0,
IF(AND(テーブル!$B$3="交付申請（２次）",FY$26&gt;=1),FY87,
IF(AND(テーブル!$B$3="交付申請兼実績報告（２次）",FY$26=0),0,
IF(AND(テーブル!$B$3="交付申請兼実績報告（２次）",FY$26&gt;=1),FY87,
IF(AND(テーブル!$B$3="実績報告（２次）",FY$26=0),0,
IF(AND(テーブル!$B$3="実績報告（２次）",FY$26&gt;=1),FY87)))))))))),0)</f>
        <v>0</v>
      </c>
      <c r="FZ43" s="1997">
        <f>IFERROR(
IF(テーブル!$B$3="交付申請",FZ87,
IF(AND(テーブル!$B$3="変更申請",FZ$26=0),0,
IF(AND(テーブル!$B$3="変更申請",FZ$26&gt;=1),FZ87,
IF(テーブル!$B$3="実績報告（１次）",FZ87,
IF(AND(テーブル!$B$3="交付申請（２次）",FZ$26=0),0,
IF(AND(テーブル!$B$3="交付申請（２次）",FZ$26&gt;=1),FZ87,
IF(AND(テーブル!$B$3="交付申請兼実績報告（２次）",FZ$26=0),0,
IF(AND(テーブル!$B$3="交付申請兼実績報告（２次）",FZ$26&gt;=1),FZ87,
IF(AND(テーブル!$B$3="実績報告（２次）",FZ$26=0),0,
IF(AND(テーブル!$B$3="実績報告（２次）",FZ$26&gt;=1),FZ87)))))))))),0)</f>
        <v>0</v>
      </c>
      <c r="GA43" s="1997">
        <f>IFERROR(
IF(テーブル!$B$3="交付申請",GA87,
IF(AND(テーブル!$B$3="変更申請",GA$26=0),0,
IF(AND(テーブル!$B$3="変更申請",GA$26&gt;=1),GA87,
IF(テーブル!$B$3="実績報告（１次）",GA87,
IF(AND(テーブル!$B$3="交付申請（２次）",GA$26=0),0,
IF(AND(テーブル!$B$3="交付申請（２次）",GA$26&gt;=1),GA87,
IF(AND(テーブル!$B$3="交付申請兼実績報告（２次）",GA$26=0),0,
IF(AND(テーブル!$B$3="交付申請兼実績報告（２次）",GA$26&gt;=1),GA87,
IF(AND(テーブル!$B$3="実績報告（２次）",GA$26=0),0,
IF(AND(テーブル!$B$3="実績報告（２次）",GA$26&gt;=1),GA87)))))))))),0)</f>
        <v>0</v>
      </c>
      <c r="GB43" s="1997">
        <f>IFERROR(
IF(テーブル!$B$3="交付申請",GB87,
IF(AND(テーブル!$B$3="変更申請",GB$26=0),0,
IF(AND(テーブル!$B$3="変更申請",GB$26&gt;=1),GB87,
IF(テーブル!$B$3="実績報告（１次）",GB87,
IF(AND(テーブル!$B$3="交付申請（２次）",GB$26=0),0,
IF(AND(テーブル!$B$3="交付申請（２次）",GB$26&gt;=1),GB87,
IF(AND(テーブル!$B$3="交付申請兼実績報告（２次）",GB$26=0),0,
IF(AND(テーブル!$B$3="交付申請兼実績報告（２次）",GB$26&gt;=1),GB87,
IF(AND(テーブル!$B$3="実績報告（２次）",GB$26=0),0,
IF(AND(テーブル!$B$3="実績報告（２次）",GB$26&gt;=1),GB87)))))))))),0)</f>
        <v>0</v>
      </c>
      <c r="GC43" s="1997">
        <f>IFERROR(
IF(テーブル!$B$3="交付申請",GC87,
IF(AND(テーブル!$B$3="変更申請",GC$26=0),0,
IF(AND(テーブル!$B$3="変更申請",GC$26&gt;=1),GC87,
IF(テーブル!$B$3="実績報告（１次）",GC87,
IF(AND(テーブル!$B$3="交付申請（２次）",GC$26=0),0,
IF(AND(テーブル!$B$3="交付申請（２次）",GC$26&gt;=1),GC87,
IF(AND(テーブル!$B$3="交付申請兼実績報告（２次）",GC$26=0),0,
IF(AND(テーブル!$B$3="交付申請兼実績報告（２次）",GC$26&gt;=1),GC87,
IF(AND(テーブル!$B$3="実績報告（２次）",GC$26=0),0,
IF(AND(テーブル!$B$3="実績報告（２次）",GC$26&gt;=1),GC87)))))))))),0)</f>
        <v>0</v>
      </c>
      <c r="GD43" s="1997">
        <f>IFERROR(
IF(テーブル!$B$3="交付申請",GD87,
IF(AND(テーブル!$B$3="変更申請",GD$26=0),0,
IF(AND(テーブル!$B$3="変更申請",GD$26&gt;=1),GD87,
IF(テーブル!$B$3="実績報告（１次）",GD87,
IF(AND(テーブル!$B$3="交付申請（２次）",GD$26=0),0,
IF(AND(テーブル!$B$3="交付申請（２次）",GD$26&gt;=1),GD87,
IF(AND(テーブル!$B$3="交付申請兼実績報告（２次）",GD$26=0),0,
IF(AND(テーブル!$B$3="交付申請兼実績報告（２次）",GD$26&gt;=1),GD87,
IF(AND(テーブル!$B$3="実績報告（２次）",GD$26=0),0,
IF(AND(テーブル!$B$3="実績報告（２次）",GD$26&gt;=1),GD87)))))))))),0)</f>
        <v>0</v>
      </c>
      <c r="GE43" s="1997">
        <f>IFERROR(
IF(テーブル!$B$3="交付申請",GE87,
IF(AND(テーブル!$B$3="変更申請",GE$26=0),0,
IF(AND(テーブル!$B$3="変更申請",GE$26&gt;=1),GE87,
IF(テーブル!$B$3="実績報告（１次）",GE87,
IF(AND(テーブル!$B$3="交付申請（２次）",GE$26=0),0,
IF(AND(テーブル!$B$3="交付申請（２次）",GE$26&gt;=1),GE87,
IF(AND(テーブル!$B$3="交付申請兼実績報告（２次）",GE$26=0),0,
IF(AND(テーブル!$B$3="交付申請兼実績報告（２次）",GE$26&gt;=1),GE87,
IF(AND(テーブル!$B$3="実績報告（２次）",GE$26=0),0,
IF(AND(テーブル!$B$3="実績報告（２次）",GE$26&gt;=1),GE87)))))))))),0)</f>
        <v>0</v>
      </c>
      <c r="GF43" s="1997">
        <f>IFERROR(
IF(テーブル!$B$3="交付申請",GF87,
IF(AND(テーブル!$B$3="変更申請",GF$26=0),0,
IF(AND(テーブル!$B$3="変更申請",GF$26&gt;=1),GF87,
IF(テーブル!$B$3="実績報告（１次）",GF87,
IF(AND(テーブル!$B$3="交付申請（２次）",GF$26=0),0,
IF(AND(テーブル!$B$3="交付申請（２次）",GF$26&gt;=1),GF87,
IF(AND(テーブル!$B$3="交付申請兼実績報告（２次）",GF$26=0),0,
IF(AND(テーブル!$B$3="交付申請兼実績報告（２次）",GF$26&gt;=1),GF87,
IF(AND(テーブル!$B$3="実績報告（２次）",GF$26=0),0,
IF(AND(テーブル!$B$3="実績報告（２次）",GF$26&gt;=1),GF87)))))))))),0)</f>
        <v>0</v>
      </c>
    </row>
    <row r="44" spans="1:189" s="638" customFormat="1" ht="18.75" hidden="1" x14ac:dyDescent="0.4">
      <c r="A44" s="635"/>
      <c r="B44" s="636" t="s">
        <v>1337</v>
      </c>
      <c r="C44" s="1690">
        <f t="shared" si="21"/>
        <v>0</v>
      </c>
      <c r="D44" s="1691"/>
      <c r="E44" s="637"/>
      <c r="F44" s="1997">
        <f>IFERROR(
IF(テーブル!$B$3="交付申請",F90,
IF(AND(テーブル!$B$3="変更申請",F$26=0),0,
IF(AND(テーブル!$B$3="変更申請",F$26&gt;=1),F90,
IF(テーブル!$B$3="実績報告（１次）",F90,
IF(AND(テーブル!$B$3="交付申請（２次）",F$26=0),0,
IF(AND(テーブル!$B$3="交付申請（２次）",F$26&gt;=1),F90,
IF(AND(テーブル!$B$3="交付申請兼実績報告（２次）",F$26=0),0,
IF(AND(テーブル!$B$3="交付申請兼実績報告（２次）",F$26&gt;=1),F90,
IF(AND(テーブル!$B$3="実績報告（２次）",F$26=0),0,
IF(AND(テーブル!$B$3="実績報告（２次）",F$26&gt;=1),F90)))))))))),0)</f>
        <v>0</v>
      </c>
      <c r="G44" s="1997">
        <f>IFERROR(
IF(テーブル!$B$3="交付申請",G90,
IF(AND(テーブル!$B$3="変更申請",G$26=0),0,
IF(AND(テーブル!$B$3="変更申請",G$26&gt;=1),G90,
IF(テーブル!$B$3="実績報告（１次）",G90,
IF(AND(テーブル!$B$3="交付申請（２次）",G$26=0),0,
IF(AND(テーブル!$B$3="交付申請（２次）",G$26&gt;=1),G90,
IF(AND(テーブル!$B$3="交付申請兼実績報告（２次）",G$26=0),0,
IF(AND(テーブル!$B$3="交付申請兼実績報告（２次）",G$26&gt;=1),G90,
IF(AND(テーブル!$B$3="実績報告（２次）",G$26=0),0,
IF(AND(テーブル!$B$3="実績報告（２次）",G$26&gt;=1),G90)))))))))),0)</f>
        <v>0</v>
      </c>
      <c r="H44" s="1997">
        <f>IFERROR(
IF(テーブル!$B$3="交付申請",H90,
IF(AND(テーブル!$B$3="変更申請",H$26=0),0,
IF(AND(テーブル!$B$3="変更申請",H$26&gt;=1),H90,
IF(テーブル!$B$3="実績報告（１次）",H90,
IF(AND(テーブル!$B$3="交付申請（２次）",H$26=0),0,
IF(AND(テーブル!$B$3="交付申請（２次）",H$26&gt;=1),H90,
IF(AND(テーブル!$B$3="交付申請兼実績報告（２次）",H$26=0),0,
IF(AND(テーブル!$B$3="交付申請兼実績報告（２次）",H$26&gt;=1),H90,
IF(AND(テーブル!$B$3="実績報告（２次）",H$26=0),0,
IF(AND(テーブル!$B$3="実績報告（２次）",H$26&gt;=1),H90)))))))))),0)</f>
        <v>0</v>
      </c>
      <c r="I44" s="1997">
        <f>IFERROR(
IF(テーブル!$B$3="交付申請",I90,
IF(AND(テーブル!$B$3="変更申請",I$26=0),0,
IF(AND(テーブル!$B$3="変更申請",I$26&gt;=1),I90,
IF(テーブル!$B$3="実績報告（１次）",I90,
IF(AND(テーブル!$B$3="交付申請（２次）",I$26=0),0,
IF(AND(テーブル!$B$3="交付申請（２次）",I$26&gt;=1),I90,
IF(AND(テーブル!$B$3="交付申請兼実績報告（２次）",I$26=0),0,
IF(AND(テーブル!$B$3="交付申請兼実績報告（２次）",I$26&gt;=1),I90,
IF(AND(テーブル!$B$3="実績報告（２次）",I$26=0),0,
IF(AND(テーブル!$B$3="実績報告（２次）",I$26&gt;=1),I90)))))))))),0)</f>
        <v>0</v>
      </c>
      <c r="J44" s="1997">
        <f>IFERROR(
IF(テーブル!$B$3="交付申請",J90,
IF(AND(テーブル!$B$3="変更申請",J$26=0),0,
IF(AND(テーブル!$B$3="変更申請",J$26&gt;=1),J90,
IF(テーブル!$B$3="実績報告（１次）",J90,
IF(AND(テーブル!$B$3="交付申請（２次）",J$26=0),0,
IF(AND(テーブル!$B$3="交付申請（２次）",J$26&gt;=1),J90,
IF(AND(テーブル!$B$3="交付申請兼実績報告（２次）",J$26=0),0,
IF(AND(テーブル!$B$3="交付申請兼実績報告（２次）",J$26&gt;=1),J90,
IF(AND(テーブル!$B$3="実績報告（２次）",J$26=0),0,
IF(AND(テーブル!$B$3="実績報告（２次）",J$26&gt;=1),J90)))))))))),0)</f>
        <v>0</v>
      </c>
      <c r="K44" s="1997">
        <f>IFERROR(
IF(テーブル!$B$3="交付申請",K90,
IF(AND(テーブル!$B$3="変更申請",K$26=0),0,
IF(AND(テーブル!$B$3="変更申請",K$26&gt;=1),K90,
IF(テーブル!$B$3="実績報告（１次）",K90,
IF(AND(テーブル!$B$3="交付申請（２次）",K$26=0),0,
IF(AND(テーブル!$B$3="交付申請（２次）",K$26&gt;=1),K90,
IF(AND(テーブル!$B$3="交付申請兼実績報告（２次）",K$26=0),0,
IF(AND(テーブル!$B$3="交付申請兼実績報告（２次）",K$26&gt;=1),K90,
IF(AND(テーブル!$B$3="実績報告（２次）",K$26=0),0,
IF(AND(テーブル!$B$3="実績報告（２次）",K$26&gt;=1),K90)))))))))),0)</f>
        <v>0</v>
      </c>
      <c r="L44" s="1997">
        <f>IFERROR(
IF(テーブル!$B$3="交付申請",L90,
IF(AND(テーブル!$B$3="変更申請",L$26=0),0,
IF(AND(テーブル!$B$3="変更申請",L$26&gt;=1),L90,
IF(テーブル!$B$3="実績報告（１次）",L90,
IF(AND(テーブル!$B$3="交付申請（２次）",L$26=0),0,
IF(AND(テーブル!$B$3="交付申請（２次）",L$26&gt;=1),L90,
IF(AND(テーブル!$B$3="交付申請兼実績報告（２次）",L$26=0),0,
IF(AND(テーブル!$B$3="交付申請兼実績報告（２次）",L$26&gt;=1),L90,
IF(AND(テーブル!$B$3="実績報告（２次）",L$26=0),0,
IF(AND(テーブル!$B$3="実績報告（２次）",L$26&gt;=1),L90)))))))))),0)</f>
        <v>0</v>
      </c>
      <c r="M44" s="1997">
        <f>IFERROR(
IF(テーブル!$B$3="交付申請",M90,
IF(AND(テーブル!$B$3="変更申請",M$26=0),0,
IF(AND(テーブル!$B$3="変更申請",M$26&gt;=1),M90,
IF(テーブル!$B$3="実績報告（１次）",M90,
IF(AND(テーブル!$B$3="交付申請（２次）",M$26=0),0,
IF(AND(テーブル!$B$3="交付申請（２次）",M$26&gt;=1),M90,
IF(AND(テーブル!$B$3="交付申請兼実績報告（２次）",M$26=0),0,
IF(AND(テーブル!$B$3="交付申請兼実績報告（２次）",M$26&gt;=1),M90,
IF(AND(テーブル!$B$3="実績報告（２次）",M$26=0),0,
IF(AND(テーブル!$B$3="実績報告（２次）",M$26&gt;=1),M90)))))))))),0)</f>
        <v>0</v>
      </c>
      <c r="N44" s="1997">
        <f>IFERROR(
IF(テーブル!$B$3="交付申請",N90,
IF(AND(テーブル!$B$3="変更申請",N$26=0),0,
IF(AND(テーブル!$B$3="変更申請",N$26&gt;=1),N90,
IF(テーブル!$B$3="実績報告（１次）",N90,
IF(AND(テーブル!$B$3="交付申請（２次）",N$26=0),0,
IF(AND(テーブル!$B$3="交付申請（２次）",N$26&gt;=1),N90,
IF(AND(テーブル!$B$3="交付申請兼実績報告（２次）",N$26=0),0,
IF(AND(テーブル!$B$3="交付申請兼実績報告（２次）",N$26&gt;=1),N90,
IF(AND(テーブル!$B$3="実績報告（２次）",N$26=0),0,
IF(AND(テーブル!$B$3="実績報告（２次）",N$26&gt;=1),N90)))))))))),0)</f>
        <v>0</v>
      </c>
      <c r="O44" s="1997">
        <f>IFERROR(
IF(テーブル!$B$3="交付申請",O90,
IF(AND(テーブル!$B$3="変更申請",O$26=0),0,
IF(AND(テーブル!$B$3="変更申請",O$26&gt;=1),O90,
IF(テーブル!$B$3="実績報告（１次）",O90,
IF(AND(テーブル!$B$3="交付申請（２次）",O$26=0),0,
IF(AND(テーブル!$B$3="交付申請（２次）",O$26&gt;=1),O90,
IF(AND(テーブル!$B$3="交付申請兼実績報告（２次）",O$26=0),0,
IF(AND(テーブル!$B$3="交付申請兼実績報告（２次）",O$26&gt;=1),O90,
IF(AND(テーブル!$B$3="実績報告（２次）",O$26=0),0,
IF(AND(テーブル!$B$3="実績報告（２次）",O$26&gt;=1),O90)))))))))),0)</f>
        <v>0</v>
      </c>
      <c r="P44" s="1997">
        <f>IFERROR(
IF(テーブル!$B$3="交付申請",P90,
IF(AND(テーブル!$B$3="変更申請",P$26=0),0,
IF(AND(テーブル!$B$3="変更申請",P$26&gt;=1),P90,
IF(テーブル!$B$3="実績報告（１次）",P90,
IF(AND(テーブル!$B$3="交付申請（２次）",P$26=0),0,
IF(AND(テーブル!$B$3="交付申請（２次）",P$26&gt;=1),P90,
IF(AND(テーブル!$B$3="交付申請兼実績報告（２次）",P$26=0),0,
IF(AND(テーブル!$B$3="交付申請兼実績報告（２次）",P$26&gt;=1),P90,
IF(AND(テーブル!$B$3="実績報告（２次）",P$26=0),0,
IF(AND(テーブル!$B$3="実績報告（２次）",P$26&gt;=1),P90)))))))))),0)</f>
        <v>0</v>
      </c>
      <c r="Q44" s="1997">
        <f>IFERROR(
IF(テーブル!$B$3="交付申請",Q90,
IF(AND(テーブル!$B$3="変更申請",Q$26=0),0,
IF(AND(テーブル!$B$3="変更申請",Q$26&gt;=1),Q90,
IF(テーブル!$B$3="実績報告（１次）",Q90,
IF(AND(テーブル!$B$3="交付申請（２次）",Q$26=0),0,
IF(AND(テーブル!$B$3="交付申請（２次）",Q$26&gt;=1),Q90,
IF(AND(テーブル!$B$3="交付申請兼実績報告（２次）",Q$26=0),0,
IF(AND(テーブル!$B$3="交付申請兼実績報告（２次）",Q$26&gt;=1),Q90,
IF(AND(テーブル!$B$3="実績報告（２次）",Q$26=0),0,
IF(AND(テーブル!$B$3="実績報告（２次）",Q$26&gt;=1),Q90)))))))))),0)</f>
        <v>0</v>
      </c>
      <c r="R44" s="1997">
        <f>IFERROR(
IF(テーブル!$B$3="交付申請",R90,
IF(AND(テーブル!$B$3="変更申請",R$26=0),0,
IF(AND(テーブル!$B$3="変更申請",R$26&gt;=1),R90,
IF(テーブル!$B$3="実績報告（１次）",R90,
IF(AND(テーブル!$B$3="交付申請（２次）",R$26=0),0,
IF(AND(テーブル!$B$3="交付申請（２次）",R$26&gt;=1),R90,
IF(AND(テーブル!$B$3="交付申請兼実績報告（２次）",R$26=0),0,
IF(AND(テーブル!$B$3="交付申請兼実績報告（２次）",R$26&gt;=1),R90,
IF(AND(テーブル!$B$3="実績報告（２次）",R$26=0),0,
IF(AND(テーブル!$B$3="実績報告（２次）",R$26&gt;=1),R90)))))))))),0)</f>
        <v>0</v>
      </c>
      <c r="S44" s="1997">
        <f>IFERROR(
IF(テーブル!$B$3="交付申請",S90,
IF(AND(テーブル!$B$3="変更申請",S$26=0),0,
IF(AND(テーブル!$B$3="変更申請",S$26&gt;=1),S90,
IF(テーブル!$B$3="実績報告（１次）",S90,
IF(AND(テーブル!$B$3="交付申請（２次）",S$26=0),0,
IF(AND(テーブル!$B$3="交付申請（２次）",S$26&gt;=1),S90,
IF(AND(テーブル!$B$3="交付申請兼実績報告（２次）",S$26=0),0,
IF(AND(テーブル!$B$3="交付申請兼実績報告（２次）",S$26&gt;=1),S90,
IF(AND(テーブル!$B$3="実績報告（２次）",S$26=0),0,
IF(AND(テーブル!$B$3="実績報告（２次）",S$26&gt;=1),S90)))))))))),0)</f>
        <v>0</v>
      </c>
      <c r="T44" s="1997">
        <f>IFERROR(
IF(テーブル!$B$3="交付申請",T90,
IF(AND(テーブル!$B$3="変更申請",T$26=0),0,
IF(AND(テーブル!$B$3="変更申請",T$26&gt;=1),T90,
IF(テーブル!$B$3="実績報告（１次）",T90,
IF(AND(テーブル!$B$3="交付申請（２次）",T$26=0),0,
IF(AND(テーブル!$B$3="交付申請（２次）",T$26&gt;=1),T90,
IF(AND(テーブル!$B$3="交付申請兼実績報告（２次）",T$26=0),0,
IF(AND(テーブル!$B$3="交付申請兼実績報告（２次）",T$26&gt;=1),T90,
IF(AND(テーブル!$B$3="実績報告（２次）",T$26=0),0,
IF(AND(テーブル!$B$3="実績報告（２次）",T$26&gt;=1),T90)))))))))),0)</f>
        <v>0</v>
      </c>
      <c r="U44" s="1997">
        <f>IFERROR(
IF(テーブル!$B$3="交付申請",U90,
IF(AND(テーブル!$B$3="変更申請",U$26=0),0,
IF(AND(テーブル!$B$3="変更申請",U$26&gt;=1),U90,
IF(テーブル!$B$3="実績報告（１次）",U90,
IF(AND(テーブル!$B$3="交付申請（２次）",U$26=0),0,
IF(AND(テーブル!$B$3="交付申請（２次）",U$26&gt;=1),U90,
IF(AND(テーブル!$B$3="交付申請兼実績報告（２次）",U$26=0),0,
IF(AND(テーブル!$B$3="交付申請兼実績報告（２次）",U$26&gt;=1),U90,
IF(AND(テーブル!$B$3="実績報告（２次）",U$26=0),0,
IF(AND(テーブル!$B$3="実績報告（２次）",U$26&gt;=1),U90)))))))))),0)</f>
        <v>0</v>
      </c>
      <c r="V44" s="1997">
        <f>IFERROR(
IF(テーブル!$B$3="交付申請",V90,
IF(AND(テーブル!$B$3="変更申請",V$26=0),0,
IF(AND(テーブル!$B$3="変更申請",V$26&gt;=1),V90,
IF(テーブル!$B$3="実績報告（１次）",V90,
IF(AND(テーブル!$B$3="交付申請（２次）",V$26=0),0,
IF(AND(テーブル!$B$3="交付申請（２次）",V$26&gt;=1),V90,
IF(AND(テーブル!$B$3="交付申請兼実績報告（２次）",V$26=0),0,
IF(AND(テーブル!$B$3="交付申請兼実績報告（２次）",V$26&gt;=1),V90,
IF(AND(テーブル!$B$3="実績報告（２次）",V$26=0),0,
IF(AND(テーブル!$B$3="実績報告（２次）",V$26&gt;=1),V90)))))))))),0)</f>
        <v>0</v>
      </c>
      <c r="W44" s="1997">
        <f>IFERROR(
IF(テーブル!$B$3="交付申請",W90,
IF(AND(テーブル!$B$3="変更申請",W$26=0),0,
IF(AND(テーブル!$B$3="変更申請",W$26&gt;=1),W90,
IF(テーブル!$B$3="実績報告（１次）",W90,
IF(AND(テーブル!$B$3="交付申請（２次）",W$26=0),0,
IF(AND(テーブル!$B$3="交付申請（２次）",W$26&gt;=1),W90,
IF(AND(テーブル!$B$3="交付申請兼実績報告（２次）",W$26=0),0,
IF(AND(テーブル!$B$3="交付申請兼実績報告（２次）",W$26&gt;=1),W90,
IF(AND(テーブル!$B$3="実績報告（２次）",W$26=0),0,
IF(AND(テーブル!$B$3="実績報告（２次）",W$26&gt;=1),W90)))))))))),0)</f>
        <v>0</v>
      </c>
      <c r="X44" s="1997">
        <f>IFERROR(
IF(テーブル!$B$3="交付申請",X90,
IF(AND(テーブル!$B$3="変更申請",X$26=0),0,
IF(AND(テーブル!$B$3="変更申請",X$26&gt;=1),X90,
IF(テーブル!$B$3="実績報告（１次）",X90,
IF(AND(テーブル!$B$3="交付申請（２次）",X$26=0),0,
IF(AND(テーブル!$B$3="交付申請（２次）",X$26&gt;=1),X90,
IF(AND(テーブル!$B$3="交付申請兼実績報告（２次）",X$26=0),0,
IF(AND(テーブル!$B$3="交付申請兼実績報告（２次）",X$26&gt;=1),X90,
IF(AND(テーブル!$B$3="実績報告（２次）",X$26=0),0,
IF(AND(テーブル!$B$3="実績報告（２次）",X$26&gt;=1),X90)))))))))),0)</f>
        <v>0</v>
      </c>
      <c r="Y44" s="1997">
        <f>IFERROR(
IF(テーブル!$B$3="交付申請",Y90,
IF(AND(テーブル!$B$3="変更申請",Y$26=0),0,
IF(AND(テーブル!$B$3="変更申請",Y$26&gt;=1),Y90,
IF(テーブル!$B$3="実績報告（１次）",Y90,
IF(AND(テーブル!$B$3="交付申請（２次）",Y$26=0),0,
IF(AND(テーブル!$B$3="交付申請（２次）",Y$26&gt;=1),Y90,
IF(AND(テーブル!$B$3="交付申請兼実績報告（２次）",Y$26=0),0,
IF(AND(テーブル!$B$3="交付申請兼実績報告（２次）",Y$26&gt;=1),Y90,
IF(AND(テーブル!$B$3="実績報告（２次）",Y$26=0),0,
IF(AND(テーブル!$B$3="実績報告（２次）",Y$26&gt;=1),Y90)))))))))),0)</f>
        <v>0</v>
      </c>
      <c r="Z44" s="1997">
        <f>IFERROR(
IF(テーブル!$B$3="交付申請",Z90,
IF(AND(テーブル!$B$3="変更申請",Z$26=0),0,
IF(AND(テーブル!$B$3="変更申請",Z$26&gt;=1),Z90,
IF(テーブル!$B$3="実績報告（１次）",Z90,
IF(AND(テーブル!$B$3="交付申請（２次）",Z$26=0),0,
IF(AND(テーブル!$B$3="交付申請（２次）",Z$26&gt;=1),Z90,
IF(AND(テーブル!$B$3="交付申請兼実績報告（２次）",Z$26=0),0,
IF(AND(テーブル!$B$3="交付申請兼実績報告（２次）",Z$26&gt;=1),Z90,
IF(AND(テーブル!$B$3="実績報告（２次）",Z$26=0),0,
IF(AND(テーブル!$B$3="実績報告（２次）",Z$26&gt;=1),Z90)))))))))),0)</f>
        <v>0</v>
      </c>
      <c r="AA44" s="1997">
        <f>IFERROR(
IF(テーブル!$B$3="交付申請",AA90,
IF(AND(テーブル!$B$3="変更申請",AA$26=0),0,
IF(AND(テーブル!$B$3="変更申請",AA$26&gt;=1),AA90,
IF(テーブル!$B$3="実績報告（１次）",AA90,
IF(AND(テーブル!$B$3="交付申請（２次）",AA$26=0),0,
IF(AND(テーブル!$B$3="交付申請（２次）",AA$26&gt;=1),AA90,
IF(AND(テーブル!$B$3="交付申請兼実績報告（２次）",AA$26=0),0,
IF(AND(テーブル!$B$3="交付申請兼実績報告（２次）",AA$26&gt;=1),AA90,
IF(AND(テーブル!$B$3="実績報告（２次）",AA$26=0),0,
IF(AND(テーブル!$B$3="実績報告（２次）",AA$26&gt;=1),AA90)))))))))),0)</f>
        <v>0</v>
      </c>
      <c r="AB44" s="1997">
        <f>IFERROR(
IF(テーブル!$B$3="交付申請",AB90,
IF(AND(テーブル!$B$3="変更申請",AB$26=0),0,
IF(AND(テーブル!$B$3="変更申請",AB$26&gt;=1),AB90,
IF(テーブル!$B$3="実績報告（１次）",AB90,
IF(AND(テーブル!$B$3="交付申請（２次）",AB$26=0),0,
IF(AND(テーブル!$B$3="交付申請（２次）",AB$26&gt;=1),AB90,
IF(AND(テーブル!$B$3="交付申請兼実績報告（２次）",AB$26=0),0,
IF(AND(テーブル!$B$3="交付申請兼実績報告（２次）",AB$26&gt;=1),AB90,
IF(AND(テーブル!$B$3="実績報告（２次）",AB$26=0),0,
IF(AND(テーブル!$B$3="実績報告（２次）",AB$26&gt;=1),AB90)))))))))),0)</f>
        <v>0</v>
      </c>
      <c r="AC44" s="1997">
        <f>IFERROR(
IF(テーブル!$B$3="交付申請",AC90,
IF(AND(テーブル!$B$3="変更申請",AC$26=0),0,
IF(AND(テーブル!$B$3="変更申請",AC$26&gt;=1),AC90,
IF(テーブル!$B$3="実績報告（１次）",AC90,
IF(AND(テーブル!$B$3="交付申請（２次）",AC$26=0),0,
IF(AND(テーブル!$B$3="交付申請（２次）",AC$26&gt;=1),AC90,
IF(AND(テーブル!$B$3="交付申請兼実績報告（２次）",AC$26=0),0,
IF(AND(テーブル!$B$3="交付申請兼実績報告（２次）",AC$26&gt;=1),AC90,
IF(AND(テーブル!$B$3="実績報告（２次）",AC$26=0),0,
IF(AND(テーブル!$B$3="実績報告（２次）",AC$26&gt;=1),AC90)))))))))),0)</f>
        <v>0</v>
      </c>
      <c r="AD44" s="1997">
        <f>IFERROR(
IF(テーブル!$B$3="交付申請",AD90,
IF(AND(テーブル!$B$3="変更申請",AD$26=0),0,
IF(AND(テーブル!$B$3="変更申請",AD$26&gt;=1),AD90,
IF(テーブル!$B$3="実績報告（１次）",AD90,
IF(AND(テーブル!$B$3="交付申請（２次）",AD$26=0),0,
IF(AND(テーブル!$B$3="交付申請（２次）",AD$26&gt;=1),AD90,
IF(AND(テーブル!$B$3="交付申請兼実績報告（２次）",AD$26=0),0,
IF(AND(テーブル!$B$3="交付申請兼実績報告（２次）",AD$26&gt;=1),AD90,
IF(AND(テーブル!$B$3="実績報告（２次）",AD$26=0),0,
IF(AND(テーブル!$B$3="実績報告（２次）",AD$26&gt;=1),AD90)))))))))),0)</f>
        <v>0</v>
      </c>
      <c r="AE44" s="1997">
        <f>IFERROR(
IF(テーブル!$B$3="交付申請",AE90,
IF(AND(テーブル!$B$3="変更申請",AE$26=0),0,
IF(AND(テーブル!$B$3="変更申請",AE$26&gt;=1),AE90,
IF(テーブル!$B$3="実績報告（１次）",AE90,
IF(AND(テーブル!$B$3="交付申請（２次）",AE$26=0),0,
IF(AND(テーブル!$B$3="交付申請（２次）",AE$26&gt;=1),AE90,
IF(AND(テーブル!$B$3="交付申請兼実績報告（２次）",AE$26=0),0,
IF(AND(テーブル!$B$3="交付申請兼実績報告（２次）",AE$26&gt;=1),AE90,
IF(AND(テーブル!$B$3="実績報告（２次）",AE$26=0),0,
IF(AND(テーブル!$B$3="実績報告（２次）",AE$26&gt;=1),AE90)))))))))),0)</f>
        <v>0</v>
      </c>
      <c r="AF44" s="1997">
        <f>IFERROR(
IF(テーブル!$B$3="交付申請",AF90,
IF(AND(テーブル!$B$3="変更申請",AF$26=0),0,
IF(AND(テーブル!$B$3="変更申請",AF$26&gt;=1),AF90,
IF(テーブル!$B$3="実績報告（１次）",AF90,
IF(AND(テーブル!$B$3="交付申請（２次）",AF$26=0),0,
IF(AND(テーブル!$B$3="交付申請（２次）",AF$26&gt;=1),AF90,
IF(AND(テーブル!$B$3="交付申請兼実績報告（２次）",AF$26=0),0,
IF(AND(テーブル!$B$3="交付申請兼実績報告（２次）",AF$26&gt;=1),AF90,
IF(AND(テーブル!$B$3="実績報告（２次）",AF$26=0),0,
IF(AND(テーブル!$B$3="実績報告（２次）",AF$26&gt;=1),AF90)))))))))),0)</f>
        <v>0</v>
      </c>
      <c r="AG44" s="1997">
        <f>IFERROR(
IF(テーブル!$B$3="交付申請",AG90,
IF(AND(テーブル!$B$3="変更申請",AG$26=0),0,
IF(AND(テーブル!$B$3="変更申請",AG$26&gt;=1),AG90,
IF(テーブル!$B$3="実績報告（１次）",AG90,
IF(AND(テーブル!$B$3="交付申請（２次）",AG$26=0),0,
IF(AND(テーブル!$B$3="交付申請（２次）",AG$26&gt;=1),AG90,
IF(AND(テーブル!$B$3="交付申請兼実績報告（２次）",AG$26=0),0,
IF(AND(テーブル!$B$3="交付申請兼実績報告（２次）",AG$26&gt;=1),AG90,
IF(AND(テーブル!$B$3="実績報告（２次）",AG$26=0),0,
IF(AND(テーブル!$B$3="実績報告（２次）",AG$26&gt;=1),AG90)))))))))),0)</f>
        <v>0</v>
      </c>
      <c r="AH44" s="1997">
        <f>IFERROR(
IF(テーブル!$B$3="交付申請",AH90,
IF(AND(テーブル!$B$3="変更申請",AH$26=0),0,
IF(AND(テーブル!$B$3="変更申請",AH$26&gt;=1),AH90,
IF(テーブル!$B$3="実績報告（１次）",AH90,
IF(AND(テーブル!$B$3="交付申請（２次）",AH$26=0),0,
IF(AND(テーブル!$B$3="交付申請（２次）",AH$26&gt;=1),AH90,
IF(AND(テーブル!$B$3="交付申請兼実績報告（２次）",AH$26=0),0,
IF(AND(テーブル!$B$3="交付申請兼実績報告（２次）",AH$26&gt;=1),AH90,
IF(AND(テーブル!$B$3="実績報告（２次）",AH$26=0),0,
IF(AND(テーブル!$B$3="実績報告（２次）",AH$26&gt;=1),AH90)))))))))),0)</f>
        <v>0</v>
      </c>
      <c r="AI44" s="1997">
        <f>IFERROR(
IF(テーブル!$B$3="交付申請",AI90,
IF(AND(テーブル!$B$3="変更申請",AI$26=0),0,
IF(AND(テーブル!$B$3="変更申請",AI$26&gt;=1),AI90,
IF(テーブル!$B$3="実績報告（１次）",AI90,
IF(AND(テーブル!$B$3="交付申請（２次）",AI$26=0),0,
IF(AND(テーブル!$B$3="交付申請（２次）",AI$26&gt;=1),AI90,
IF(AND(テーブル!$B$3="交付申請兼実績報告（２次）",AI$26=0),0,
IF(AND(テーブル!$B$3="交付申請兼実績報告（２次）",AI$26&gt;=1),AI90,
IF(AND(テーブル!$B$3="実績報告（２次）",AI$26=0),0,
IF(AND(テーブル!$B$3="実績報告（２次）",AI$26&gt;=1),AI90)))))))))),0)</f>
        <v>0</v>
      </c>
      <c r="AJ44" s="1997">
        <f>IFERROR(
IF(テーブル!$B$3="交付申請",AJ90,
IF(AND(テーブル!$B$3="変更申請",AJ$26=0),0,
IF(AND(テーブル!$B$3="変更申請",AJ$26&gt;=1),AJ90,
IF(テーブル!$B$3="実績報告（１次）",AJ90,
IF(AND(テーブル!$B$3="交付申請（２次）",AJ$26=0),0,
IF(AND(テーブル!$B$3="交付申請（２次）",AJ$26&gt;=1),AJ90,
IF(AND(テーブル!$B$3="交付申請兼実績報告（２次）",AJ$26=0),0,
IF(AND(テーブル!$B$3="交付申請兼実績報告（２次）",AJ$26&gt;=1),AJ90,
IF(AND(テーブル!$B$3="実績報告（２次）",AJ$26=0),0,
IF(AND(テーブル!$B$3="実績報告（２次）",AJ$26&gt;=1),AJ90)))))))))),0)</f>
        <v>0</v>
      </c>
      <c r="AK44" s="1997">
        <f>IFERROR(
IF(テーブル!$B$3="交付申請",AK90,
IF(AND(テーブル!$B$3="変更申請",AK$26=0),0,
IF(AND(テーブル!$B$3="変更申請",AK$26&gt;=1),AK90,
IF(テーブル!$B$3="実績報告（１次）",AK90,
IF(AND(テーブル!$B$3="交付申請（２次）",AK$26=0),0,
IF(AND(テーブル!$B$3="交付申請（２次）",AK$26&gt;=1),AK90,
IF(AND(テーブル!$B$3="交付申請兼実績報告（２次）",AK$26=0),0,
IF(AND(テーブル!$B$3="交付申請兼実績報告（２次）",AK$26&gt;=1),AK90,
IF(AND(テーブル!$B$3="実績報告（２次）",AK$26=0),0,
IF(AND(テーブル!$B$3="実績報告（２次）",AK$26&gt;=1),AK90)))))))))),0)</f>
        <v>0</v>
      </c>
      <c r="AL44" s="1997">
        <f>IFERROR(
IF(テーブル!$B$3="交付申請",AL90,
IF(AND(テーブル!$B$3="変更申請",AL$26=0),0,
IF(AND(テーブル!$B$3="変更申請",AL$26&gt;=1),AL90,
IF(テーブル!$B$3="実績報告（１次）",AL90,
IF(AND(テーブル!$B$3="交付申請（２次）",AL$26=0),0,
IF(AND(テーブル!$B$3="交付申請（２次）",AL$26&gt;=1),AL90,
IF(AND(テーブル!$B$3="交付申請兼実績報告（２次）",AL$26=0),0,
IF(AND(テーブル!$B$3="交付申請兼実績報告（２次）",AL$26&gt;=1),AL90,
IF(AND(テーブル!$B$3="実績報告（２次）",AL$26=0),0,
IF(AND(テーブル!$B$3="実績報告（２次）",AL$26&gt;=1),AL90)))))))))),0)</f>
        <v>0</v>
      </c>
      <c r="AM44" s="1997">
        <f>IFERROR(
IF(テーブル!$B$3="交付申請",AM90,
IF(AND(テーブル!$B$3="変更申請",AM$26=0),0,
IF(AND(テーブル!$B$3="変更申請",AM$26&gt;=1),AM90,
IF(テーブル!$B$3="実績報告（１次）",AM90,
IF(AND(テーブル!$B$3="交付申請（２次）",AM$26=0),0,
IF(AND(テーブル!$B$3="交付申請（２次）",AM$26&gt;=1),AM90,
IF(AND(テーブル!$B$3="交付申請兼実績報告（２次）",AM$26=0),0,
IF(AND(テーブル!$B$3="交付申請兼実績報告（２次）",AM$26&gt;=1),AM90,
IF(AND(テーブル!$B$3="実績報告（２次）",AM$26=0),0,
IF(AND(テーブル!$B$3="実績報告（２次）",AM$26&gt;=1),AM90)))))))))),0)</f>
        <v>0</v>
      </c>
      <c r="AN44" s="1997">
        <f>IFERROR(
IF(テーブル!$B$3="交付申請",AN90,
IF(AND(テーブル!$B$3="変更申請",AN$26=0),0,
IF(AND(テーブル!$B$3="変更申請",AN$26&gt;=1),AN90,
IF(テーブル!$B$3="実績報告（１次）",AN90,
IF(AND(テーブル!$B$3="交付申請（２次）",AN$26=0),0,
IF(AND(テーブル!$B$3="交付申請（２次）",AN$26&gt;=1),AN90,
IF(AND(テーブル!$B$3="交付申請兼実績報告（２次）",AN$26=0),0,
IF(AND(テーブル!$B$3="交付申請兼実績報告（２次）",AN$26&gt;=1),AN90,
IF(AND(テーブル!$B$3="実績報告（２次）",AN$26=0),0,
IF(AND(テーブル!$B$3="実績報告（２次）",AN$26&gt;=1),AN90)))))))))),0)</f>
        <v>0</v>
      </c>
      <c r="AO44" s="1997">
        <f>IFERROR(
IF(テーブル!$B$3="交付申請",AO90,
IF(AND(テーブル!$B$3="変更申請",AO$26=0),0,
IF(AND(テーブル!$B$3="変更申請",AO$26&gt;=1),AO90,
IF(テーブル!$B$3="実績報告（１次）",AO90,
IF(AND(テーブル!$B$3="交付申請（２次）",AO$26=0),0,
IF(AND(テーブル!$B$3="交付申請（２次）",AO$26&gt;=1),AO90,
IF(AND(テーブル!$B$3="交付申請兼実績報告（２次）",AO$26=0),0,
IF(AND(テーブル!$B$3="交付申請兼実績報告（２次）",AO$26&gt;=1),AO90,
IF(AND(テーブル!$B$3="実績報告（２次）",AO$26=0),0,
IF(AND(テーブル!$B$3="実績報告（２次）",AO$26&gt;=1),AO90)))))))))),0)</f>
        <v>0</v>
      </c>
      <c r="AP44" s="1997">
        <f>IFERROR(
IF(テーブル!$B$3="交付申請",AP90,
IF(AND(テーブル!$B$3="変更申請",AP$26=0),0,
IF(AND(テーブル!$B$3="変更申請",AP$26&gt;=1),AP90,
IF(テーブル!$B$3="実績報告（１次）",AP90,
IF(AND(テーブル!$B$3="交付申請（２次）",AP$26=0),0,
IF(AND(テーブル!$B$3="交付申請（２次）",AP$26&gt;=1),AP90,
IF(AND(テーブル!$B$3="交付申請兼実績報告（２次）",AP$26=0),0,
IF(AND(テーブル!$B$3="交付申請兼実績報告（２次）",AP$26&gt;=1),AP90,
IF(AND(テーブル!$B$3="実績報告（２次）",AP$26=0),0,
IF(AND(テーブル!$B$3="実績報告（２次）",AP$26&gt;=1),AP90)))))))))),0)</f>
        <v>0</v>
      </c>
      <c r="AQ44" s="1997">
        <f>IFERROR(
IF(テーブル!$B$3="交付申請",AQ90,
IF(AND(テーブル!$B$3="変更申請",AQ$26=0),0,
IF(AND(テーブル!$B$3="変更申請",AQ$26&gt;=1),AQ90,
IF(テーブル!$B$3="実績報告（１次）",AQ90,
IF(AND(テーブル!$B$3="交付申請（２次）",AQ$26=0),0,
IF(AND(テーブル!$B$3="交付申請（２次）",AQ$26&gt;=1),AQ90,
IF(AND(テーブル!$B$3="交付申請兼実績報告（２次）",AQ$26=0),0,
IF(AND(テーブル!$B$3="交付申請兼実績報告（２次）",AQ$26&gt;=1),AQ90,
IF(AND(テーブル!$B$3="実績報告（２次）",AQ$26=0),0,
IF(AND(テーブル!$B$3="実績報告（２次）",AQ$26&gt;=1),AQ90)))))))))),0)</f>
        <v>0</v>
      </c>
      <c r="AR44" s="1997">
        <f>IFERROR(
IF(テーブル!$B$3="交付申請",AR90,
IF(AND(テーブル!$B$3="変更申請",AR$26=0),0,
IF(AND(テーブル!$B$3="変更申請",AR$26&gt;=1),AR90,
IF(テーブル!$B$3="実績報告（１次）",AR90,
IF(AND(テーブル!$B$3="交付申請（２次）",AR$26=0),0,
IF(AND(テーブル!$B$3="交付申請（２次）",AR$26&gt;=1),AR90,
IF(AND(テーブル!$B$3="交付申請兼実績報告（２次）",AR$26=0),0,
IF(AND(テーブル!$B$3="交付申請兼実績報告（２次）",AR$26&gt;=1),AR90,
IF(AND(テーブル!$B$3="実績報告（２次）",AR$26=0),0,
IF(AND(テーブル!$B$3="実績報告（２次）",AR$26&gt;=1),AR90)))))))))),0)</f>
        <v>0</v>
      </c>
      <c r="AS44" s="1997">
        <f>IFERROR(
IF(テーブル!$B$3="交付申請",AS90,
IF(AND(テーブル!$B$3="変更申請",AS$26=0),0,
IF(AND(テーブル!$B$3="変更申請",AS$26&gt;=1),AS90,
IF(テーブル!$B$3="実績報告（１次）",AS90,
IF(AND(テーブル!$B$3="交付申請（２次）",AS$26=0),0,
IF(AND(テーブル!$B$3="交付申請（２次）",AS$26&gt;=1),AS90,
IF(AND(テーブル!$B$3="交付申請兼実績報告（２次）",AS$26=0),0,
IF(AND(テーブル!$B$3="交付申請兼実績報告（２次）",AS$26&gt;=1),AS90,
IF(AND(テーブル!$B$3="実績報告（２次）",AS$26=0),0,
IF(AND(テーブル!$B$3="実績報告（２次）",AS$26&gt;=1),AS90)))))))))),0)</f>
        <v>0</v>
      </c>
      <c r="AT44" s="1997">
        <f>IFERROR(
IF(テーブル!$B$3="交付申請",AT90,
IF(AND(テーブル!$B$3="変更申請",AT$26=0),0,
IF(AND(テーブル!$B$3="変更申請",AT$26&gt;=1),AT90,
IF(テーブル!$B$3="実績報告（１次）",AT90,
IF(AND(テーブル!$B$3="交付申請（２次）",AT$26=0),0,
IF(AND(テーブル!$B$3="交付申請（２次）",AT$26&gt;=1),AT90,
IF(AND(テーブル!$B$3="交付申請兼実績報告（２次）",AT$26=0),0,
IF(AND(テーブル!$B$3="交付申請兼実績報告（２次）",AT$26&gt;=1),AT90,
IF(AND(テーブル!$B$3="実績報告（２次）",AT$26=0),0,
IF(AND(テーブル!$B$3="実績報告（２次）",AT$26&gt;=1),AT90)))))))))),0)</f>
        <v>0</v>
      </c>
      <c r="AU44" s="1997">
        <f>IFERROR(
IF(テーブル!$B$3="交付申請",AU90,
IF(AND(テーブル!$B$3="変更申請",AU$26=0),0,
IF(AND(テーブル!$B$3="変更申請",AU$26&gt;=1),AU90,
IF(テーブル!$B$3="実績報告（１次）",AU90,
IF(AND(テーブル!$B$3="交付申請（２次）",AU$26=0),0,
IF(AND(テーブル!$B$3="交付申請（２次）",AU$26&gt;=1),AU90,
IF(AND(テーブル!$B$3="交付申請兼実績報告（２次）",AU$26=0),0,
IF(AND(テーブル!$B$3="交付申請兼実績報告（２次）",AU$26&gt;=1),AU90,
IF(AND(テーブル!$B$3="実績報告（２次）",AU$26=0),0,
IF(AND(テーブル!$B$3="実績報告（２次）",AU$26&gt;=1),AU90)))))))))),0)</f>
        <v>0</v>
      </c>
      <c r="AV44" s="1997">
        <f>IFERROR(
IF(テーブル!$B$3="交付申請",AV90,
IF(AND(テーブル!$B$3="変更申請",AV$26=0),0,
IF(AND(テーブル!$B$3="変更申請",AV$26&gt;=1),AV90,
IF(テーブル!$B$3="実績報告（１次）",AV90,
IF(AND(テーブル!$B$3="交付申請（２次）",AV$26=0),0,
IF(AND(テーブル!$B$3="交付申請（２次）",AV$26&gt;=1),AV90,
IF(AND(テーブル!$B$3="交付申請兼実績報告（２次）",AV$26=0),0,
IF(AND(テーブル!$B$3="交付申請兼実績報告（２次）",AV$26&gt;=1),AV90,
IF(AND(テーブル!$B$3="実績報告（２次）",AV$26=0),0,
IF(AND(テーブル!$B$3="実績報告（２次）",AV$26&gt;=1),AV90)))))))))),0)</f>
        <v>0</v>
      </c>
      <c r="AW44" s="1997">
        <f>IFERROR(
IF(テーブル!$B$3="交付申請",AW90,
IF(AND(テーブル!$B$3="変更申請",AW$26=0),0,
IF(AND(テーブル!$B$3="変更申請",AW$26&gt;=1),AW90,
IF(テーブル!$B$3="実績報告（１次）",AW90,
IF(AND(テーブル!$B$3="交付申請（２次）",AW$26=0),0,
IF(AND(テーブル!$B$3="交付申請（２次）",AW$26&gt;=1),AW90,
IF(AND(テーブル!$B$3="交付申請兼実績報告（２次）",AW$26=0),0,
IF(AND(テーブル!$B$3="交付申請兼実績報告（２次）",AW$26&gt;=1),AW90,
IF(AND(テーブル!$B$3="実績報告（２次）",AW$26=0),0,
IF(AND(テーブル!$B$3="実績報告（２次）",AW$26&gt;=1),AW90)))))))))),0)</f>
        <v>0</v>
      </c>
      <c r="AX44" s="1997">
        <f>IFERROR(
IF(テーブル!$B$3="交付申請",AX90,
IF(AND(テーブル!$B$3="変更申請",AX$26=0),0,
IF(AND(テーブル!$B$3="変更申請",AX$26&gt;=1),AX90,
IF(テーブル!$B$3="実績報告（１次）",AX90,
IF(AND(テーブル!$B$3="交付申請（２次）",AX$26=0),0,
IF(AND(テーブル!$B$3="交付申請（２次）",AX$26&gt;=1),AX90,
IF(AND(テーブル!$B$3="交付申請兼実績報告（２次）",AX$26=0),0,
IF(AND(テーブル!$B$3="交付申請兼実績報告（２次）",AX$26&gt;=1),AX90,
IF(AND(テーブル!$B$3="実績報告（２次）",AX$26=0),0,
IF(AND(テーブル!$B$3="実績報告（２次）",AX$26&gt;=1),AX90)))))))))),0)</f>
        <v>0</v>
      </c>
      <c r="AY44" s="1997">
        <f>IFERROR(
IF(テーブル!$B$3="交付申請",AY90,
IF(AND(テーブル!$B$3="変更申請",AY$26=0),0,
IF(AND(テーブル!$B$3="変更申請",AY$26&gt;=1),AY90,
IF(テーブル!$B$3="実績報告（１次）",AY90,
IF(AND(テーブル!$B$3="交付申請（２次）",AY$26=0),0,
IF(AND(テーブル!$B$3="交付申請（２次）",AY$26&gt;=1),AY90,
IF(AND(テーブル!$B$3="交付申請兼実績報告（２次）",AY$26=0),0,
IF(AND(テーブル!$B$3="交付申請兼実績報告（２次）",AY$26&gt;=1),AY90,
IF(AND(テーブル!$B$3="実績報告（２次）",AY$26=0),0,
IF(AND(テーブル!$B$3="実績報告（２次）",AY$26&gt;=1),AY90)))))))))),0)</f>
        <v>0</v>
      </c>
      <c r="AZ44" s="1997">
        <f>IFERROR(
IF(テーブル!$B$3="交付申請",AZ90,
IF(AND(テーブル!$B$3="変更申請",AZ$26=0),0,
IF(AND(テーブル!$B$3="変更申請",AZ$26&gt;=1),AZ90,
IF(テーブル!$B$3="実績報告（１次）",AZ90,
IF(AND(テーブル!$B$3="交付申請（２次）",AZ$26=0),0,
IF(AND(テーブル!$B$3="交付申請（２次）",AZ$26&gt;=1),AZ90,
IF(AND(テーブル!$B$3="交付申請兼実績報告（２次）",AZ$26=0),0,
IF(AND(テーブル!$B$3="交付申請兼実績報告（２次）",AZ$26&gt;=1),AZ90,
IF(AND(テーブル!$B$3="実績報告（２次）",AZ$26=0),0,
IF(AND(テーブル!$B$3="実績報告（２次）",AZ$26&gt;=1),AZ90)))))))))),0)</f>
        <v>0</v>
      </c>
      <c r="BA44" s="1997">
        <f>IFERROR(
IF(テーブル!$B$3="交付申請",BA90,
IF(AND(テーブル!$B$3="変更申請",BA$26=0),0,
IF(AND(テーブル!$B$3="変更申請",BA$26&gt;=1),BA90,
IF(テーブル!$B$3="実績報告（１次）",BA90,
IF(AND(テーブル!$B$3="交付申請（２次）",BA$26=0),0,
IF(AND(テーブル!$B$3="交付申請（２次）",BA$26&gt;=1),BA90,
IF(AND(テーブル!$B$3="交付申請兼実績報告（２次）",BA$26=0),0,
IF(AND(テーブル!$B$3="交付申請兼実績報告（２次）",BA$26&gt;=1),BA90,
IF(AND(テーブル!$B$3="実績報告（２次）",BA$26=0),0,
IF(AND(テーブル!$B$3="実績報告（２次）",BA$26&gt;=1),BA90)))))))))),0)</f>
        <v>0</v>
      </c>
      <c r="BB44" s="1997">
        <f>IFERROR(
IF(テーブル!$B$3="交付申請",BB90,
IF(AND(テーブル!$B$3="変更申請",BB$26=0),0,
IF(AND(テーブル!$B$3="変更申請",BB$26&gt;=1),BB90,
IF(テーブル!$B$3="実績報告（１次）",BB90,
IF(AND(テーブル!$B$3="交付申請（２次）",BB$26=0),0,
IF(AND(テーブル!$B$3="交付申請（２次）",BB$26&gt;=1),BB90,
IF(AND(テーブル!$B$3="交付申請兼実績報告（２次）",BB$26=0),0,
IF(AND(テーブル!$B$3="交付申請兼実績報告（２次）",BB$26&gt;=1),BB90,
IF(AND(テーブル!$B$3="実績報告（２次）",BB$26=0),0,
IF(AND(テーブル!$B$3="実績報告（２次）",BB$26&gt;=1),BB90)))))))))),0)</f>
        <v>0</v>
      </c>
      <c r="BC44" s="1997">
        <f>IFERROR(
IF(テーブル!$B$3="交付申請",BC90,
IF(AND(テーブル!$B$3="変更申請",BC$26=0),0,
IF(AND(テーブル!$B$3="変更申請",BC$26&gt;=1),BC90,
IF(テーブル!$B$3="実績報告（１次）",BC90,
IF(AND(テーブル!$B$3="交付申請（２次）",BC$26=0),0,
IF(AND(テーブル!$B$3="交付申請（２次）",BC$26&gt;=1),BC90,
IF(AND(テーブル!$B$3="交付申請兼実績報告（２次）",BC$26=0),0,
IF(AND(テーブル!$B$3="交付申請兼実績報告（２次）",BC$26&gt;=1),BC90,
IF(AND(テーブル!$B$3="実績報告（２次）",BC$26=0),0,
IF(AND(テーブル!$B$3="実績報告（２次）",BC$26&gt;=1),BC90)))))))))),0)</f>
        <v>0</v>
      </c>
      <c r="BD44" s="1997">
        <f>IFERROR(
IF(テーブル!$B$3="交付申請",BD90,
IF(AND(テーブル!$B$3="変更申請",BD$26=0),0,
IF(AND(テーブル!$B$3="変更申請",BD$26&gt;=1),BD90,
IF(テーブル!$B$3="実績報告（１次）",BD90,
IF(AND(テーブル!$B$3="交付申請（２次）",BD$26=0),0,
IF(AND(テーブル!$B$3="交付申請（２次）",BD$26&gt;=1),BD90,
IF(AND(テーブル!$B$3="交付申請兼実績報告（２次）",BD$26=0),0,
IF(AND(テーブル!$B$3="交付申請兼実績報告（２次）",BD$26&gt;=1),BD90,
IF(AND(テーブル!$B$3="実績報告（２次）",BD$26=0),0,
IF(AND(テーブル!$B$3="実績報告（２次）",BD$26&gt;=1),BD90)))))))))),0)</f>
        <v>0</v>
      </c>
      <c r="BE44" s="1997">
        <f>IFERROR(
IF(テーブル!$B$3="交付申請",BE90,
IF(AND(テーブル!$B$3="変更申請",BE$26=0),0,
IF(AND(テーブル!$B$3="変更申請",BE$26&gt;=1),BE90,
IF(テーブル!$B$3="実績報告（１次）",BE90,
IF(AND(テーブル!$B$3="交付申請（２次）",BE$26=0),0,
IF(AND(テーブル!$B$3="交付申請（２次）",BE$26&gt;=1),BE90,
IF(AND(テーブル!$B$3="交付申請兼実績報告（２次）",BE$26=0),0,
IF(AND(テーブル!$B$3="交付申請兼実績報告（２次）",BE$26&gt;=1),BE90,
IF(AND(テーブル!$B$3="実績報告（２次）",BE$26=0),0,
IF(AND(テーブル!$B$3="実績報告（２次）",BE$26&gt;=1),BE90)))))))))),0)</f>
        <v>0</v>
      </c>
      <c r="BF44" s="1997">
        <f>IFERROR(
IF(テーブル!$B$3="交付申請",BF90,
IF(AND(テーブル!$B$3="変更申請",BF$26=0),0,
IF(AND(テーブル!$B$3="変更申請",BF$26&gt;=1),BF90,
IF(テーブル!$B$3="実績報告（１次）",BF90,
IF(AND(テーブル!$B$3="交付申請（２次）",BF$26=0),0,
IF(AND(テーブル!$B$3="交付申請（２次）",BF$26&gt;=1),BF90,
IF(AND(テーブル!$B$3="交付申請兼実績報告（２次）",BF$26=0),0,
IF(AND(テーブル!$B$3="交付申請兼実績報告（２次）",BF$26&gt;=1),BF90,
IF(AND(テーブル!$B$3="実績報告（２次）",BF$26=0),0,
IF(AND(テーブル!$B$3="実績報告（２次）",BF$26&gt;=1),BF90)))))))))),0)</f>
        <v>0</v>
      </c>
      <c r="BG44" s="1997">
        <f>IFERROR(
IF(テーブル!$B$3="交付申請",BG90,
IF(AND(テーブル!$B$3="変更申請",BG$26=0),0,
IF(AND(テーブル!$B$3="変更申請",BG$26&gt;=1),BG90,
IF(テーブル!$B$3="実績報告（１次）",BG90,
IF(AND(テーブル!$B$3="交付申請（２次）",BG$26=0),0,
IF(AND(テーブル!$B$3="交付申請（２次）",BG$26&gt;=1),BG90,
IF(AND(テーブル!$B$3="交付申請兼実績報告（２次）",BG$26=0),0,
IF(AND(テーブル!$B$3="交付申請兼実績報告（２次）",BG$26&gt;=1),BG90,
IF(AND(テーブル!$B$3="実績報告（２次）",BG$26=0),0,
IF(AND(テーブル!$B$3="実績報告（２次）",BG$26&gt;=1),BG90)))))))))),0)</f>
        <v>0</v>
      </c>
      <c r="BH44" s="1997">
        <f>IFERROR(
IF(テーブル!$B$3="交付申請",BH90,
IF(AND(テーブル!$B$3="変更申請",BH$26=0),0,
IF(AND(テーブル!$B$3="変更申請",BH$26&gt;=1),BH90,
IF(テーブル!$B$3="実績報告（１次）",BH90,
IF(AND(テーブル!$B$3="交付申請（２次）",BH$26=0),0,
IF(AND(テーブル!$B$3="交付申請（２次）",BH$26&gt;=1),BH90,
IF(AND(テーブル!$B$3="交付申請兼実績報告（２次）",BH$26=0),0,
IF(AND(テーブル!$B$3="交付申請兼実績報告（２次）",BH$26&gt;=1),BH90,
IF(AND(テーブル!$B$3="実績報告（２次）",BH$26=0),0,
IF(AND(テーブル!$B$3="実績報告（２次）",BH$26&gt;=1),BH90)))))))))),0)</f>
        <v>0</v>
      </c>
      <c r="BI44" s="1997">
        <f>IFERROR(
IF(テーブル!$B$3="交付申請",BI90,
IF(AND(テーブル!$B$3="変更申請",BI$26=0),0,
IF(AND(テーブル!$B$3="変更申請",BI$26&gt;=1),BI90,
IF(テーブル!$B$3="実績報告（１次）",BI90,
IF(AND(テーブル!$B$3="交付申請（２次）",BI$26=0),0,
IF(AND(テーブル!$B$3="交付申請（２次）",BI$26&gt;=1),BI90,
IF(AND(テーブル!$B$3="交付申請兼実績報告（２次）",BI$26=0),0,
IF(AND(テーブル!$B$3="交付申請兼実績報告（２次）",BI$26&gt;=1),BI90,
IF(AND(テーブル!$B$3="実績報告（２次）",BI$26=0),0,
IF(AND(テーブル!$B$3="実績報告（２次）",BI$26&gt;=1),BI90)))))))))),0)</f>
        <v>0</v>
      </c>
      <c r="BJ44" s="1997">
        <f>IFERROR(
IF(テーブル!$B$3="交付申請",BJ90,
IF(AND(テーブル!$B$3="変更申請",BJ$26=0),0,
IF(AND(テーブル!$B$3="変更申請",BJ$26&gt;=1),BJ90,
IF(テーブル!$B$3="実績報告（１次）",BJ90,
IF(AND(テーブル!$B$3="交付申請（２次）",BJ$26=0),0,
IF(AND(テーブル!$B$3="交付申請（２次）",BJ$26&gt;=1),BJ90,
IF(AND(テーブル!$B$3="交付申請兼実績報告（２次）",BJ$26=0),0,
IF(AND(テーブル!$B$3="交付申請兼実績報告（２次）",BJ$26&gt;=1),BJ90,
IF(AND(テーブル!$B$3="実績報告（２次）",BJ$26=0),0,
IF(AND(テーブル!$B$3="実績報告（２次）",BJ$26&gt;=1),BJ90)))))))))),0)</f>
        <v>0</v>
      </c>
      <c r="BK44" s="1997">
        <f>IFERROR(
IF(テーブル!$B$3="交付申請",BK90,
IF(AND(テーブル!$B$3="変更申請",BK$26=0),0,
IF(AND(テーブル!$B$3="変更申請",BK$26&gt;=1),BK90,
IF(テーブル!$B$3="実績報告（１次）",BK90,
IF(AND(テーブル!$B$3="交付申請（２次）",BK$26=0),0,
IF(AND(テーブル!$B$3="交付申請（２次）",BK$26&gt;=1),BK90,
IF(AND(テーブル!$B$3="交付申請兼実績報告（２次）",BK$26=0),0,
IF(AND(テーブル!$B$3="交付申請兼実績報告（２次）",BK$26&gt;=1),BK90,
IF(AND(テーブル!$B$3="実績報告（２次）",BK$26=0),0,
IF(AND(テーブル!$B$3="実績報告（２次）",BK$26&gt;=1),BK90)))))))))),0)</f>
        <v>0</v>
      </c>
      <c r="BL44" s="1997">
        <f>IFERROR(
IF(テーブル!$B$3="交付申請",BL90,
IF(AND(テーブル!$B$3="変更申請",BL$26=0),0,
IF(AND(テーブル!$B$3="変更申請",BL$26&gt;=1),BL90,
IF(テーブル!$B$3="実績報告（１次）",BL90,
IF(AND(テーブル!$B$3="交付申請（２次）",BL$26=0),0,
IF(AND(テーブル!$B$3="交付申請（２次）",BL$26&gt;=1),BL90,
IF(AND(テーブル!$B$3="交付申請兼実績報告（２次）",BL$26=0),0,
IF(AND(テーブル!$B$3="交付申請兼実績報告（２次）",BL$26&gt;=1),BL90,
IF(AND(テーブル!$B$3="実績報告（２次）",BL$26=0),0,
IF(AND(テーブル!$B$3="実績報告（２次）",BL$26&gt;=1),BL90)))))))))),0)</f>
        <v>0</v>
      </c>
      <c r="BM44" s="1997">
        <f>IFERROR(
IF(テーブル!$B$3="交付申請",BM90,
IF(AND(テーブル!$B$3="変更申請",BM$26=0),0,
IF(AND(テーブル!$B$3="変更申請",BM$26&gt;=1),BM90,
IF(テーブル!$B$3="実績報告（１次）",BM90,
IF(AND(テーブル!$B$3="交付申請（２次）",BM$26=0),0,
IF(AND(テーブル!$B$3="交付申請（２次）",BM$26&gt;=1),BM90,
IF(AND(テーブル!$B$3="交付申請兼実績報告（２次）",BM$26=0),0,
IF(AND(テーブル!$B$3="交付申請兼実績報告（２次）",BM$26&gt;=1),BM90,
IF(AND(テーブル!$B$3="実績報告（２次）",BM$26=0),0,
IF(AND(テーブル!$B$3="実績報告（２次）",BM$26&gt;=1),BM90)))))))))),0)</f>
        <v>0</v>
      </c>
      <c r="BN44" s="1997">
        <f>IFERROR(
IF(テーブル!$B$3="交付申請",BN90,
IF(AND(テーブル!$B$3="変更申請",BN$26=0),0,
IF(AND(テーブル!$B$3="変更申請",BN$26&gt;=1),BN90,
IF(テーブル!$B$3="実績報告（１次）",BN90,
IF(AND(テーブル!$B$3="交付申請（２次）",BN$26=0),0,
IF(AND(テーブル!$B$3="交付申請（２次）",BN$26&gt;=1),BN90,
IF(AND(テーブル!$B$3="交付申請兼実績報告（２次）",BN$26=0),0,
IF(AND(テーブル!$B$3="交付申請兼実績報告（２次）",BN$26&gt;=1),BN90,
IF(AND(テーブル!$B$3="実績報告（２次）",BN$26=0),0,
IF(AND(テーブル!$B$3="実績報告（２次）",BN$26&gt;=1),BN90)))))))))),0)</f>
        <v>0</v>
      </c>
      <c r="BO44" s="1997">
        <f>IFERROR(
IF(テーブル!$B$3="交付申請",BO90,
IF(AND(テーブル!$B$3="変更申請",BO$26=0),0,
IF(AND(テーブル!$B$3="変更申請",BO$26&gt;=1),BO90,
IF(テーブル!$B$3="実績報告（１次）",BO90,
IF(AND(テーブル!$B$3="交付申請（２次）",BO$26=0),0,
IF(AND(テーブル!$B$3="交付申請（２次）",BO$26&gt;=1),BO90,
IF(AND(テーブル!$B$3="交付申請兼実績報告（２次）",BO$26=0),0,
IF(AND(テーブル!$B$3="交付申請兼実績報告（２次）",BO$26&gt;=1),BO90,
IF(AND(テーブル!$B$3="実績報告（２次）",BO$26=0),0,
IF(AND(テーブル!$B$3="実績報告（２次）",BO$26&gt;=1),BO90)))))))))),0)</f>
        <v>0</v>
      </c>
      <c r="BP44" s="1997">
        <f>IFERROR(
IF(テーブル!$B$3="交付申請",BP90,
IF(AND(テーブル!$B$3="変更申請",BP$26=0),0,
IF(AND(テーブル!$B$3="変更申請",BP$26&gt;=1),BP90,
IF(テーブル!$B$3="実績報告（１次）",BP90,
IF(AND(テーブル!$B$3="交付申請（２次）",BP$26=0),0,
IF(AND(テーブル!$B$3="交付申請（２次）",BP$26&gt;=1),BP90,
IF(AND(テーブル!$B$3="交付申請兼実績報告（２次）",BP$26=0),0,
IF(AND(テーブル!$B$3="交付申請兼実績報告（２次）",BP$26&gt;=1),BP90,
IF(AND(テーブル!$B$3="実績報告（２次）",BP$26=0),0,
IF(AND(テーブル!$B$3="実績報告（２次）",BP$26&gt;=1),BP90)))))))))),0)</f>
        <v>0</v>
      </c>
      <c r="BQ44" s="1997">
        <f>IFERROR(
IF(テーブル!$B$3="交付申請",BQ90,
IF(AND(テーブル!$B$3="変更申請",BQ$26=0),0,
IF(AND(テーブル!$B$3="変更申請",BQ$26&gt;=1),BQ90,
IF(テーブル!$B$3="実績報告（１次）",BQ90,
IF(AND(テーブル!$B$3="交付申請（２次）",BQ$26=0),0,
IF(AND(テーブル!$B$3="交付申請（２次）",BQ$26&gt;=1),BQ90,
IF(AND(テーブル!$B$3="交付申請兼実績報告（２次）",BQ$26=0),0,
IF(AND(テーブル!$B$3="交付申請兼実績報告（２次）",BQ$26&gt;=1),BQ90,
IF(AND(テーブル!$B$3="実績報告（２次）",BQ$26=0),0,
IF(AND(テーブル!$B$3="実績報告（２次）",BQ$26&gt;=1),BQ90)))))))))),0)</f>
        <v>0</v>
      </c>
      <c r="BR44" s="1997">
        <f>IFERROR(
IF(テーブル!$B$3="交付申請",BR90,
IF(AND(テーブル!$B$3="変更申請",BR$26=0),0,
IF(AND(テーブル!$B$3="変更申請",BR$26&gt;=1),BR90,
IF(テーブル!$B$3="実績報告（１次）",BR90,
IF(AND(テーブル!$B$3="交付申請（２次）",BR$26=0),0,
IF(AND(テーブル!$B$3="交付申請（２次）",BR$26&gt;=1),BR90,
IF(AND(テーブル!$B$3="交付申請兼実績報告（２次）",BR$26=0),0,
IF(AND(テーブル!$B$3="交付申請兼実績報告（２次）",BR$26&gt;=1),BR90,
IF(AND(テーブル!$B$3="実績報告（２次）",BR$26=0),0,
IF(AND(テーブル!$B$3="実績報告（２次）",BR$26&gt;=1),BR90)))))))))),0)</f>
        <v>0</v>
      </c>
      <c r="BS44" s="1997">
        <f>IFERROR(
IF(テーブル!$B$3="交付申請",BS90,
IF(AND(テーブル!$B$3="変更申請",BS$26=0),0,
IF(AND(テーブル!$B$3="変更申請",BS$26&gt;=1),BS90,
IF(テーブル!$B$3="実績報告（１次）",BS90,
IF(AND(テーブル!$B$3="交付申請（２次）",BS$26=0),0,
IF(AND(テーブル!$B$3="交付申請（２次）",BS$26&gt;=1),BS90,
IF(AND(テーブル!$B$3="交付申請兼実績報告（２次）",BS$26=0),0,
IF(AND(テーブル!$B$3="交付申請兼実績報告（２次）",BS$26&gt;=1),BS90,
IF(AND(テーブル!$B$3="実績報告（２次）",BS$26=0),0,
IF(AND(テーブル!$B$3="実績報告（２次）",BS$26&gt;=1),BS90)))))))))),0)</f>
        <v>0</v>
      </c>
      <c r="BT44" s="1997">
        <f>IFERROR(
IF(テーブル!$B$3="交付申請",BT90,
IF(AND(テーブル!$B$3="変更申請",BT$26=0),0,
IF(AND(テーブル!$B$3="変更申請",BT$26&gt;=1),BT90,
IF(テーブル!$B$3="実績報告（１次）",BT90,
IF(AND(テーブル!$B$3="交付申請（２次）",BT$26=0),0,
IF(AND(テーブル!$B$3="交付申請（２次）",BT$26&gt;=1),BT90,
IF(AND(テーブル!$B$3="交付申請兼実績報告（２次）",BT$26=0),0,
IF(AND(テーブル!$B$3="交付申請兼実績報告（２次）",BT$26&gt;=1),BT90,
IF(AND(テーブル!$B$3="実績報告（２次）",BT$26=0),0,
IF(AND(テーブル!$B$3="実績報告（２次）",BT$26&gt;=1),BT90)))))))))),0)</f>
        <v>0</v>
      </c>
      <c r="BU44" s="1997">
        <f>IFERROR(
IF(テーブル!$B$3="交付申請",BU90,
IF(AND(テーブル!$B$3="変更申請",BU$26=0),0,
IF(AND(テーブル!$B$3="変更申請",BU$26&gt;=1),BU90,
IF(テーブル!$B$3="実績報告（１次）",BU90,
IF(AND(テーブル!$B$3="交付申請（２次）",BU$26=0),0,
IF(AND(テーブル!$B$3="交付申請（２次）",BU$26&gt;=1),BU90,
IF(AND(テーブル!$B$3="交付申請兼実績報告（２次）",BU$26=0),0,
IF(AND(テーブル!$B$3="交付申請兼実績報告（２次）",BU$26&gt;=1),BU90,
IF(AND(テーブル!$B$3="実績報告（２次）",BU$26=0),0,
IF(AND(テーブル!$B$3="実績報告（２次）",BU$26&gt;=1),BU90)))))))))),0)</f>
        <v>0</v>
      </c>
      <c r="BV44" s="1997">
        <f>IFERROR(
IF(テーブル!$B$3="交付申請",BV90,
IF(AND(テーブル!$B$3="変更申請",BV$26=0),0,
IF(AND(テーブル!$B$3="変更申請",BV$26&gt;=1),BV90,
IF(テーブル!$B$3="実績報告（１次）",BV90,
IF(AND(テーブル!$B$3="交付申請（２次）",BV$26=0),0,
IF(AND(テーブル!$B$3="交付申請（２次）",BV$26&gt;=1),BV90,
IF(AND(テーブル!$B$3="交付申請兼実績報告（２次）",BV$26=0),0,
IF(AND(テーブル!$B$3="交付申請兼実績報告（２次）",BV$26&gt;=1),BV90,
IF(AND(テーブル!$B$3="実績報告（２次）",BV$26=0),0,
IF(AND(テーブル!$B$3="実績報告（２次）",BV$26&gt;=1),BV90)))))))))),0)</f>
        <v>0</v>
      </c>
      <c r="BW44" s="1997">
        <f>IFERROR(
IF(テーブル!$B$3="交付申請",BW90,
IF(AND(テーブル!$B$3="変更申請",BW$26=0),0,
IF(AND(テーブル!$B$3="変更申請",BW$26&gt;=1),BW90,
IF(テーブル!$B$3="実績報告（１次）",BW90,
IF(AND(テーブル!$B$3="交付申請（２次）",BW$26=0),0,
IF(AND(テーブル!$B$3="交付申請（２次）",BW$26&gt;=1),BW90,
IF(AND(テーブル!$B$3="交付申請兼実績報告（２次）",BW$26=0),0,
IF(AND(テーブル!$B$3="交付申請兼実績報告（２次）",BW$26&gt;=1),BW90,
IF(AND(テーブル!$B$3="実績報告（２次）",BW$26=0),0,
IF(AND(テーブル!$B$3="実績報告（２次）",BW$26&gt;=1),BW90)))))))))),0)</f>
        <v>0</v>
      </c>
      <c r="BX44" s="1997">
        <f>IFERROR(
IF(テーブル!$B$3="交付申請",BX90,
IF(AND(テーブル!$B$3="変更申請",BX$26=0),0,
IF(AND(テーブル!$B$3="変更申請",BX$26&gt;=1),BX90,
IF(テーブル!$B$3="実績報告（１次）",BX90,
IF(AND(テーブル!$B$3="交付申請（２次）",BX$26=0),0,
IF(AND(テーブル!$B$3="交付申請（２次）",BX$26&gt;=1),BX90,
IF(AND(テーブル!$B$3="交付申請兼実績報告（２次）",BX$26=0),0,
IF(AND(テーブル!$B$3="交付申請兼実績報告（２次）",BX$26&gt;=1),BX90,
IF(AND(テーブル!$B$3="実績報告（２次）",BX$26=0),0,
IF(AND(テーブル!$B$3="実績報告（２次）",BX$26&gt;=1),BX90)))))))))),0)</f>
        <v>0</v>
      </c>
      <c r="BY44" s="1997">
        <f>IFERROR(
IF(テーブル!$B$3="交付申請",BY90,
IF(AND(テーブル!$B$3="変更申請",BY$26=0),0,
IF(AND(テーブル!$B$3="変更申請",BY$26&gt;=1),BY90,
IF(テーブル!$B$3="実績報告（１次）",BY90,
IF(AND(テーブル!$B$3="交付申請（２次）",BY$26=0),0,
IF(AND(テーブル!$B$3="交付申請（２次）",BY$26&gt;=1),BY90,
IF(AND(テーブル!$B$3="交付申請兼実績報告（２次）",BY$26=0),0,
IF(AND(テーブル!$B$3="交付申請兼実績報告（２次）",BY$26&gt;=1),BY90,
IF(AND(テーブル!$B$3="実績報告（２次）",BY$26=0),0,
IF(AND(テーブル!$B$3="実績報告（２次）",BY$26&gt;=1),BY90)))))))))),0)</f>
        <v>0</v>
      </c>
      <c r="BZ44" s="1997">
        <f>IFERROR(
IF(テーブル!$B$3="交付申請",BZ90,
IF(AND(テーブル!$B$3="変更申請",BZ$26=0),0,
IF(AND(テーブル!$B$3="変更申請",BZ$26&gt;=1),BZ90,
IF(テーブル!$B$3="実績報告（１次）",BZ90,
IF(AND(テーブル!$B$3="交付申請（２次）",BZ$26=0),0,
IF(AND(テーブル!$B$3="交付申請（２次）",BZ$26&gt;=1),BZ90,
IF(AND(テーブル!$B$3="交付申請兼実績報告（２次）",BZ$26=0),0,
IF(AND(テーブル!$B$3="交付申請兼実績報告（２次）",BZ$26&gt;=1),BZ90,
IF(AND(テーブル!$B$3="実績報告（２次）",BZ$26=0),0,
IF(AND(テーブル!$B$3="実績報告（２次）",BZ$26&gt;=1),BZ90)))))))))),0)</f>
        <v>0</v>
      </c>
      <c r="CA44" s="1997">
        <f>IFERROR(
IF(テーブル!$B$3="交付申請",CA90,
IF(AND(テーブル!$B$3="変更申請",CA$26=0),0,
IF(AND(テーブル!$B$3="変更申請",CA$26&gt;=1),CA90,
IF(テーブル!$B$3="実績報告（１次）",CA90,
IF(AND(テーブル!$B$3="交付申請（２次）",CA$26=0),0,
IF(AND(テーブル!$B$3="交付申請（２次）",CA$26&gt;=1),CA90,
IF(AND(テーブル!$B$3="交付申請兼実績報告（２次）",CA$26=0),0,
IF(AND(テーブル!$B$3="交付申請兼実績報告（２次）",CA$26&gt;=1),CA90,
IF(AND(テーブル!$B$3="実績報告（２次）",CA$26=0),0,
IF(AND(テーブル!$B$3="実績報告（２次）",CA$26&gt;=1),CA90)))))))))),0)</f>
        <v>0</v>
      </c>
      <c r="CB44" s="1997">
        <f>IFERROR(
IF(テーブル!$B$3="交付申請",CB90,
IF(AND(テーブル!$B$3="変更申請",CB$26=0),0,
IF(AND(テーブル!$B$3="変更申請",CB$26&gt;=1),CB90,
IF(テーブル!$B$3="実績報告（１次）",CB90,
IF(AND(テーブル!$B$3="交付申請（２次）",CB$26=0),0,
IF(AND(テーブル!$B$3="交付申請（２次）",CB$26&gt;=1),CB90,
IF(AND(テーブル!$B$3="交付申請兼実績報告（２次）",CB$26=0),0,
IF(AND(テーブル!$B$3="交付申請兼実績報告（２次）",CB$26&gt;=1),CB90,
IF(AND(テーブル!$B$3="実績報告（２次）",CB$26=0),0,
IF(AND(テーブル!$B$3="実績報告（２次）",CB$26&gt;=1),CB90)))))))))),0)</f>
        <v>0</v>
      </c>
      <c r="CC44" s="1997">
        <f>IFERROR(
IF(テーブル!$B$3="交付申請",CC90,
IF(AND(テーブル!$B$3="変更申請",CC$26=0),0,
IF(AND(テーブル!$B$3="変更申請",CC$26&gt;=1),CC90,
IF(テーブル!$B$3="実績報告（１次）",CC90,
IF(AND(テーブル!$B$3="交付申請（２次）",CC$26=0),0,
IF(AND(テーブル!$B$3="交付申請（２次）",CC$26&gt;=1),CC90,
IF(AND(テーブル!$B$3="交付申請兼実績報告（２次）",CC$26=0),0,
IF(AND(テーブル!$B$3="交付申請兼実績報告（２次）",CC$26&gt;=1),CC90,
IF(AND(テーブル!$B$3="実績報告（２次）",CC$26=0),0,
IF(AND(テーブル!$B$3="実績報告（２次）",CC$26&gt;=1),CC90)))))))))),0)</f>
        <v>0</v>
      </c>
      <c r="CD44" s="1997">
        <f>IFERROR(
IF(テーブル!$B$3="交付申請",CD90,
IF(AND(テーブル!$B$3="変更申請",CD$26=0),0,
IF(AND(テーブル!$B$3="変更申請",CD$26&gt;=1),CD90,
IF(テーブル!$B$3="実績報告（１次）",CD90,
IF(AND(テーブル!$B$3="交付申請（２次）",CD$26=0),0,
IF(AND(テーブル!$B$3="交付申請（２次）",CD$26&gt;=1),CD90,
IF(AND(テーブル!$B$3="交付申請兼実績報告（２次）",CD$26=0),0,
IF(AND(テーブル!$B$3="交付申請兼実績報告（２次）",CD$26&gt;=1),CD90,
IF(AND(テーブル!$B$3="実績報告（２次）",CD$26=0),0,
IF(AND(テーブル!$B$3="実績報告（２次）",CD$26&gt;=1),CD90)))))))))),0)</f>
        <v>0</v>
      </c>
      <c r="CE44" s="1997">
        <f>IFERROR(
IF(テーブル!$B$3="交付申請",CE90,
IF(AND(テーブル!$B$3="変更申請",CE$26=0),0,
IF(AND(テーブル!$B$3="変更申請",CE$26&gt;=1),CE90,
IF(テーブル!$B$3="実績報告（１次）",CE90,
IF(AND(テーブル!$B$3="交付申請（２次）",CE$26=0),0,
IF(AND(テーブル!$B$3="交付申請（２次）",CE$26&gt;=1),CE90,
IF(AND(テーブル!$B$3="交付申請兼実績報告（２次）",CE$26=0),0,
IF(AND(テーブル!$B$3="交付申請兼実績報告（２次）",CE$26&gt;=1),CE90,
IF(AND(テーブル!$B$3="実績報告（２次）",CE$26=0),0,
IF(AND(テーブル!$B$3="実績報告（２次）",CE$26&gt;=1),CE90)))))))))),0)</f>
        <v>0</v>
      </c>
      <c r="CF44" s="1997">
        <f>IFERROR(
IF(テーブル!$B$3="交付申請",CF90,
IF(AND(テーブル!$B$3="変更申請",CF$26=0),0,
IF(AND(テーブル!$B$3="変更申請",CF$26&gt;=1),CF90,
IF(テーブル!$B$3="実績報告（１次）",CF90,
IF(AND(テーブル!$B$3="交付申請（２次）",CF$26=0),0,
IF(AND(テーブル!$B$3="交付申請（２次）",CF$26&gt;=1),CF90,
IF(AND(テーブル!$B$3="交付申請兼実績報告（２次）",CF$26=0),0,
IF(AND(テーブル!$B$3="交付申請兼実績報告（２次）",CF$26&gt;=1),CF90,
IF(AND(テーブル!$B$3="実績報告（２次）",CF$26=0),0,
IF(AND(テーブル!$B$3="実績報告（２次）",CF$26&gt;=1),CF90)))))))))),0)</f>
        <v>0</v>
      </c>
      <c r="CG44" s="1997">
        <f>IFERROR(
IF(テーブル!$B$3="交付申請",CG90,
IF(AND(テーブル!$B$3="変更申請",CG$26=0),0,
IF(AND(テーブル!$B$3="変更申請",CG$26&gt;=1),CG90,
IF(テーブル!$B$3="実績報告（１次）",CG90,
IF(AND(テーブル!$B$3="交付申請（２次）",CG$26=0),0,
IF(AND(テーブル!$B$3="交付申請（２次）",CG$26&gt;=1),CG90,
IF(AND(テーブル!$B$3="交付申請兼実績報告（２次）",CG$26=0),0,
IF(AND(テーブル!$B$3="交付申請兼実績報告（２次）",CG$26&gt;=1),CG90,
IF(AND(テーブル!$B$3="実績報告（２次）",CG$26=0),0,
IF(AND(テーブル!$B$3="実績報告（２次）",CG$26&gt;=1),CG90)))))))))),0)</f>
        <v>0</v>
      </c>
      <c r="CH44" s="1997">
        <f>IFERROR(
IF(テーブル!$B$3="交付申請",CH90,
IF(AND(テーブル!$B$3="変更申請",CH$26=0),0,
IF(AND(テーブル!$B$3="変更申請",CH$26&gt;=1),CH90,
IF(テーブル!$B$3="実績報告（１次）",CH90,
IF(AND(テーブル!$B$3="交付申請（２次）",CH$26=0),0,
IF(AND(テーブル!$B$3="交付申請（２次）",CH$26&gt;=1),CH90,
IF(AND(テーブル!$B$3="交付申請兼実績報告（２次）",CH$26=0),0,
IF(AND(テーブル!$B$3="交付申請兼実績報告（２次）",CH$26&gt;=1),CH90,
IF(AND(テーブル!$B$3="実績報告（２次）",CH$26=0),0,
IF(AND(テーブル!$B$3="実績報告（２次）",CH$26&gt;=1),CH90)))))))))),0)</f>
        <v>0</v>
      </c>
      <c r="CI44" s="1997">
        <f>IFERROR(
IF(テーブル!$B$3="交付申請",CI90,
IF(AND(テーブル!$B$3="変更申請",CI$26=0),0,
IF(AND(テーブル!$B$3="変更申請",CI$26&gt;=1),CI90,
IF(テーブル!$B$3="実績報告（１次）",CI90,
IF(AND(テーブル!$B$3="交付申請（２次）",CI$26=0),0,
IF(AND(テーブル!$B$3="交付申請（２次）",CI$26&gt;=1),CI90,
IF(AND(テーブル!$B$3="交付申請兼実績報告（２次）",CI$26=0),0,
IF(AND(テーブル!$B$3="交付申請兼実績報告（２次）",CI$26&gt;=1),CI90,
IF(AND(テーブル!$B$3="実績報告（２次）",CI$26=0),0,
IF(AND(テーブル!$B$3="実績報告（２次）",CI$26&gt;=1),CI90)))))))))),0)</f>
        <v>0</v>
      </c>
      <c r="CJ44" s="1997">
        <f>IFERROR(
IF(テーブル!$B$3="交付申請",CJ90,
IF(AND(テーブル!$B$3="変更申請",CJ$26=0),0,
IF(AND(テーブル!$B$3="変更申請",CJ$26&gt;=1),CJ90,
IF(テーブル!$B$3="実績報告（１次）",CJ90,
IF(AND(テーブル!$B$3="交付申請（２次）",CJ$26=0),0,
IF(AND(テーブル!$B$3="交付申請（２次）",CJ$26&gt;=1),CJ90,
IF(AND(テーブル!$B$3="交付申請兼実績報告（２次）",CJ$26=0),0,
IF(AND(テーブル!$B$3="交付申請兼実績報告（２次）",CJ$26&gt;=1),CJ90,
IF(AND(テーブル!$B$3="実績報告（２次）",CJ$26=0),0,
IF(AND(テーブル!$B$3="実績報告（２次）",CJ$26&gt;=1),CJ90)))))))))),0)</f>
        <v>0</v>
      </c>
      <c r="CK44" s="1997">
        <f>IFERROR(
IF(テーブル!$B$3="交付申請",CK90,
IF(AND(テーブル!$B$3="変更申請",CK$26=0),0,
IF(AND(テーブル!$B$3="変更申請",CK$26&gt;=1),CK90,
IF(テーブル!$B$3="実績報告（１次）",CK90,
IF(AND(テーブル!$B$3="交付申請（２次）",CK$26=0),0,
IF(AND(テーブル!$B$3="交付申請（２次）",CK$26&gt;=1),CK90,
IF(AND(テーブル!$B$3="交付申請兼実績報告（２次）",CK$26=0),0,
IF(AND(テーブル!$B$3="交付申請兼実績報告（２次）",CK$26&gt;=1),CK90,
IF(AND(テーブル!$B$3="実績報告（２次）",CK$26=0),0,
IF(AND(テーブル!$B$3="実績報告（２次）",CK$26&gt;=1),CK90)))))))))),0)</f>
        <v>0</v>
      </c>
      <c r="CL44" s="1997">
        <f>IFERROR(
IF(テーブル!$B$3="交付申請",CL90,
IF(AND(テーブル!$B$3="変更申請",CL$26=0),0,
IF(AND(テーブル!$B$3="変更申請",CL$26&gt;=1),CL90,
IF(テーブル!$B$3="実績報告（１次）",CL90,
IF(AND(テーブル!$B$3="交付申請（２次）",CL$26=0),0,
IF(AND(テーブル!$B$3="交付申請（２次）",CL$26&gt;=1),CL90,
IF(AND(テーブル!$B$3="交付申請兼実績報告（２次）",CL$26=0),0,
IF(AND(テーブル!$B$3="交付申請兼実績報告（２次）",CL$26&gt;=1),CL90,
IF(AND(テーブル!$B$3="実績報告（２次）",CL$26=0),0,
IF(AND(テーブル!$B$3="実績報告（２次）",CL$26&gt;=1),CL90)))))))))),0)</f>
        <v>0</v>
      </c>
      <c r="CM44" s="1997">
        <f>IFERROR(
IF(テーブル!$B$3="交付申請",CM90,
IF(AND(テーブル!$B$3="変更申請",CM$26=0),0,
IF(AND(テーブル!$B$3="変更申請",CM$26&gt;=1),CM90,
IF(テーブル!$B$3="実績報告（１次）",CM90,
IF(AND(テーブル!$B$3="交付申請（２次）",CM$26=0),0,
IF(AND(テーブル!$B$3="交付申請（２次）",CM$26&gt;=1),CM90,
IF(AND(テーブル!$B$3="交付申請兼実績報告（２次）",CM$26=0),0,
IF(AND(テーブル!$B$3="交付申請兼実績報告（２次）",CM$26&gt;=1),CM90,
IF(AND(テーブル!$B$3="実績報告（２次）",CM$26=0),0,
IF(AND(テーブル!$B$3="実績報告（２次）",CM$26&gt;=1),CM90)))))))))),0)</f>
        <v>0</v>
      </c>
      <c r="CN44" s="1997">
        <f>IFERROR(
IF(テーブル!$B$3="交付申請",CN90,
IF(AND(テーブル!$B$3="変更申請",CN$26=0),0,
IF(AND(テーブル!$B$3="変更申請",CN$26&gt;=1),CN90,
IF(テーブル!$B$3="実績報告（１次）",CN90,
IF(AND(テーブル!$B$3="交付申請（２次）",CN$26=0),0,
IF(AND(テーブル!$B$3="交付申請（２次）",CN$26&gt;=1),CN90,
IF(AND(テーブル!$B$3="交付申請兼実績報告（２次）",CN$26=0),0,
IF(AND(テーブル!$B$3="交付申請兼実績報告（２次）",CN$26&gt;=1),CN90,
IF(AND(テーブル!$B$3="実績報告（２次）",CN$26=0),0,
IF(AND(テーブル!$B$3="実績報告（２次）",CN$26&gt;=1),CN90)))))))))),0)</f>
        <v>0</v>
      </c>
      <c r="CO44" s="1997">
        <f>IFERROR(
IF(テーブル!$B$3="交付申請",CO90,
IF(AND(テーブル!$B$3="変更申請",CO$26=0),0,
IF(AND(テーブル!$B$3="変更申請",CO$26&gt;=1),CO90,
IF(テーブル!$B$3="実績報告（１次）",CO90,
IF(AND(テーブル!$B$3="交付申請（２次）",CO$26=0),0,
IF(AND(テーブル!$B$3="交付申請（２次）",CO$26&gt;=1),CO90,
IF(AND(テーブル!$B$3="交付申請兼実績報告（２次）",CO$26=0),0,
IF(AND(テーブル!$B$3="交付申請兼実績報告（２次）",CO$26&gt;=1),CO90,
IF(AND(テーブル!$B$3="実績報告（２次）",CO$26=0),0,
IF(AND(テーブル!$B$3="実績報告（２次）",CO$26&gt;=1),CO90)))))))))),0)</f>
        <v>0</v>
      </c>
      <c r="CP44" s="1997">
        <f>IFERROR(
IF(テーブル!$B$3="交付申請",CP90,
IF(AND(テーブル!$B$3="変更申請",CP$26=0),0,
IF(AND(テーブル!$B$3="変更申請",CP$26&gt;=1),CP90,
IF(テーブル!$B$3="実績報告（１次）",CP90,
IF(AND(テーブル!$B$3="交付申請（２次）",CP$26=0),0,
IF(AND(テーブル!$B$3="交付申請（２次）",CP$26&gt;=1),CP90,
IF(AND(テーブル!$B$3="交付申請兼実績報告（２次）",CP$26=0),0,
IF(AND(テーブル!$B$3="交付申請兼実績報告（２次）",CP$26&gt;=1),CP90,
IF(AND(テーブル!$B$3="実績報告（２次）",CP$26=0),0,
IF(AND(テーブル!$B$3="実績報告（２次）",CP$26&gt;=1),CP90)))))))))),0)</f>
        <v>0</v>
      </c>
      <c r="CQ44" s="1997">
        <f>IFERROR(
IF(テーブル!$B$3="交付申請",CQ90,
IF(AND(テーブル!$B$3="変更申請",CQ$26=0),0,
IF(AND(テーブル!$B$3="変更申請",CQ$26&gt;=1),CQ90,
IF(テーブル!$B$3="実績報告（１次）",CQ90,
IF(AND(テーブル!$B$3="交付申請（２次）",CQ$26=0),0,
IF(AND(テーブル!$B$3="交付申請（２次）",CQ$26&gt;=1),CQ90,
IF(AND(テーブル!$B$3="交付申請兼実績報告（２次）",CQ$26=0),0,
IF(AND(テーブル!$B$3="交付申請兼実績報告（２次）",CQ$26&gt;=1),CQ90,
IF(AND(テーブル!$B$3="実績報告（２次）",CQ$26=0),0,
IF(AND(テーブル!$B$3="実績報告（２次）",CQ$26&gt;=1),CQ90)))))))))),0)</f>
        <v>0</v>
      </c>
      <c r="CR44" s="1997">
        <f>IFERROR(
IF(テーブル!$B$3="交付申請",CR90,
IF(AND(テーブル!$B$3="変更申請",CR$26=0),0,
IF(AND(テーブル!$B$3="変更申請",CR$26&gt;=1),CR90,
IF(テーブル!$B$3="実績報告（１次）",CR90,
IF(AND(テーブル!$B$3="交付申請（２次）",CR$26=0),0,
IF(AND(テーブル!$B$3="交付申請（２次）",CR$26&gt;=1),CR90,
IF(AND(テーブル!$B$3="交付申請兼実績報告（２次）",CR$26=0),0,
IF(AND(テーブル!$B$3="交付申請兼実績報告（２次）",CR$26&gt;=1),CR90,
IF(AND(テーブル!$B$3="実績報告（２次）",CR$26=0),0,
IF(AND(テーブル!$B$3="実績報告（２次）",CR$26&gt;=1),CR90)))))))))),0)</f>
        <v>0</v>
      </c>
      <c r="CS44" s="1997">
        <f>IFERROR(
IF(テーブル!$B$3="交付申請",CS90,
IF(AND(テーブル!$B$3="変更申請",CS$26=0),0,
IF(AND(テーブル!$B$3="変更申請",CS$26&gt;=1),CS90,
IF(テーブル!$B$3="実績報告（１次）",CS90,
IF(AND(テーブル!$B$3="交付申請（２次）",CS$26=0),0,
IF(AND(テーブル!$B$3="交付申請（２次）",CS$26&gt;=1),CS90,
IF(AND(テーブル!$B$3="交付申請兼実績報告（２次）",CS$26=0),0,
IF(AND(テーブル!$B$3="交付申請兼実績報告（２次）",CS$26&gt;=1),CS90,
IF(AND(テーブル!$B$3="実績報告（２次）",CS$26=0),0,
IF(AND(テーブル!$B$3="実績報告（２次）",CS$26&gt;=1),CS90)))))))))),0)</f>
        <v>0</v>
      </c>
      <c r="CT44" s="1997">
        <f>IFERROR(
IF(テーブル!$B$3="交付申請",CT90,
IF(AND(テーブル!$B$3="変更申請",CT$26=0),0,
IF(AND(テーブル!$B$3="変更申請",CT$26&gt;=1),CT90,
IF(テーブル!$B$3="実績報告（１次）",CT90,
IF(AND(テーブル!$B$3="交付申請（２次）",CT$26=0),0,
IF(AND(テーブル!$B$3="交付申請（２次）",CT$26&gt;=1),CT90,
IF(AND(テーブル!$B$3="交付申請兼実績報告（２次）",CT$26=0),0,
IF(AND(テーブル!$B$3="交付申請兼実績報告（２次）",CT$26&gt;=1),CT90,
IF(AND(テーブル!$B$3="実績報告（２次）",CT$26=0),0,
IF(AND(テーブル!$B$3="実績報告（２次）",CT$26&gt;=1),CT90)))))))))),0)</f>
        <v>0</v>
      </c>
      <c r="CU44" s="1997">
        <f>IFERROR(
IF(テーブル!$B$3="交付申請",CU90,
IF(AND(テーブル!$B$3="変更申請",CU$26=0),0,
IF(AND(テーブル!$B$3="変更申請",CU$26&gt;=1),CU90,
IF(テーブル!$B$3="実績報告（１次）",CU90,
IF(AND(テーブル!$B$3="交付申請（２次）",CU$26=0),0,
IF(AND(テーブル!$B$3="交付申請（２次）",CU$26&gt;=1),CU90,
IF(AND(テーブル!$B$3="交付申請兼実績報告（２次）",CU$26=0),0,
IF(AND(テーブル!$B$3="交付申請兼実績報告（２次）",CU$26&gt;=1),CU90,
IF(AND(テーブル!$B$3="実績報告（２次）",CU$26=0),0,
IF(AND(テーブル!$B$3="実績報告（２次）",CU$26&gt;=1),CU90)))))))))),0)</f>
        <v>0</v>
      </c>
      <c r="CV44" s="1997">
        <f>IFERROR(
IF(テーブル!$B$3="交付申請",CV90,
IF(AND(テーブル!$B$3="変更申請",CV$26=0),0,
IF(AND(テーブル!$B$3="変更申請",CV$26&gt;=1),CV90,
IF(テーブル!$B$3="実績報告（１次）",CV90,
IF(AND(テーブル!$B$3="交付申請（２次）",CV$26=0),0,
IF(AND(テーブル!$B$3="交付申請（２次）",CV$26&gt;=1),CV90,
IF(AND(テーブル!$B$3="交付申請兼実績報告（２次）",CV$26=0),0,
IF(AND(テーブル!$B$3="交付申請兼実績報告（２次）",CV$26&gt;=1),CV90,
IF(AND(テーブル!$B$3="実績報告（２次）",CV$26=0),0,
IF(AND(テーブル!$B$3="実績報告（２次）",CV$26&gt;=1),CV90)))))))))),0)</f>
        <v>0</v>
      </c>
      <c r="CW44" s="1997">
        <f>IFERROR(
IF(テーブル!$B$3="交付申請",CW90,
IF(AND(テーブル!$B$3="変更申請",CW$26=0),0,
IF(AND(テーブル!$B$3="変更申請",CW$26&gt;=1),CW90,
IF(テーブル!$B$3="実績報告（１次）",CW90,
IF(AND(テーブル!$B$3="交付申請（２次）",CW$26=0),0,
IF(AND(テーブル!$B$3="交付申請（２次）",CW$26&gt;=1),CW90,
IF(AND(テーブル!$B$3="交付申請兼実績報告（２次）",CW$26=0),0,
IF(AND(テーブル!$B$3="交付申請兼実績報告（２次）",CW$26&gt;=1),CW90,
IF(AND(テーブル!$B$3="実績報告（２次）",CW$26=0),0,
IF(AND(テーブル!$B$3="実績報告（２次）",CW$26&gt;=1),CW90)))))))))),0)</f>
        <v>0</v>
      </c>
      <c r="CX44" s="1997">
        <f>IFERROR(
IF(テーブル!$B$3="交付申請",CX90,
IF(AND(テーブル!$B$3="変更申請",CX$26=0),0,
IF(AND(テーブル!$B$3="変更申請",CX$26&gt;=1),CX90,
IF(テーブル!$B$3="実績報告（１次）",CX90,
IF(AND(テーブル!$B$3="交付申請（２次）",CX$26=0),0,
IF(AND(テーブル!$B$3="交付申請（２次）",CX$26&gt;=1),CX90,
IF(AND(テーブル!$B$3="交付申請兼実績報告（２次）",CX$26=0),0,
IF(AND(テーブル!$B$3="交付申請兼実績報告（２次）",CX$26&gt;=1),CX90,
IF(AND(テーブル!$B$3="実績報告（２次）",CX$26=0),0,
IF(AND(テーブル!$B$3="実績報告（２次）",CX$26&gt;=1),CX90)))))))))),0)</f>
        <v>0</v>
      </c>
      <c r="CY44" s="1997">
        <f>IFERROR(
IF(テーブル!$B$3="交付申請",CY90,
IF(AND(テーブル!$B$3="変更申請",CY$26=0),0,
IF(AND(テーブル!$B$3="変更申請",CY$26&gt;=1),CY90,
IF(テーブル!$B$3="実績報告（１次）",CY90,
IF(AND(テーブル!$B$3="交付申請（２次）",CY$26=0),0,
IF(AND(テーブル!$B$3="交付申請（２次）",CY$26&gt;=1),CY90,
IF(AND(テーブル!$B$3="交付申請兼実績報告（２次）",CY$26=0),0,
IF(AND(テーブル!$B$3="交付申請兼実績報告（２次）",CY$26&gt;=1),CY90,
IF(AND(テーブル!$B$3="実績報告（２次）",CY$26=0),0,
IF(AND(テーブル!$B$3="実績報告（２次）",CY$26&gt;=1),CY90)))))))))),0)</f>
        <v>0</v>
      </c>
      <c r="CZ44" s="1997">
        <f>IFERROR(
IF(テーブル!$B$3="交付申請",CZ90,
IF(AND(テーブル!$B$3="変更申請",CZ$26=0),0,
IF(AND(テーブル!$B$3="変更申請",CZ$26&gt;=1),CZ90,
IF(テーブル!$B$3="実績報告（１次）",CZ90,
IF(AND(テーブル!$B$3="交付申請（２次）",CZ$26=0),0,
IF(AND(テーブル!$B$3="交付申請（２次）",CZ$26&gt;=1),CZ90,
IF(AND(テーブル!$B$3="交付申請兼実績報告（２次）",CZ$26=0),0,
IF(AND(テーブル!$B$3="交付申請兼実績報告（２次）",CZ$26&gt;=1),CZ90,
IF(AND(テーブル!$B$3="実績報告（２次）",CZ$26=0),0,
IF(AND(テーブル!$B$3="実績報告（２次）",CZ$26&gt;=1),CZ90)))))))))),0)</f>
        <v>0</v>
      </c>
      <c r="DA44" s="1997">
        <f>IFERROR(
IF(テーブル!$B$3="交付申請",DA90,
IF(AND(テーブル!$B$3="変更申請",DA$26=0),0,
IF(AND(テーブル!$B$3="変更申請",DA$26&gt;=1),DA90,
IF(テーブル!$B$3="実績報告（１次）",DA90,
IF(AND(テーブル!$B$3="交付申請（２次）",DA$26=0),0,
IF(AND(テーブル!$B$3="交付申請（２次）",DA$26&gt;=1),DA90,
IF(AND(テーブル!$B$3="交付申請兼実績報告（２次）",DA$26=0),0,
IF(AND(テーブル!$B$3="交付申請兼実績報告（２次）",DA$26&gt;=1),DA90,
IF(AND(テーブル!$B$3="実績報告（２次）",DA$26=0),0,
IF(AND(テーブル!$B$3="実績報告（２次）",DA$26&gt;=1),DA90)))))))))),0)</f>
        <v>0</v>
      </c>
      <c r="DB44" s="1997">
        <f>IFERROR(
IF(テーブル!$B$3="交付申請",DB90,
IF(AND(テーブル!$B$3="変更申請",DB$26=0),0,
IF(AND(テーブル!$B$3="変更申請",DB$26&gt;=1),DB90,
IF(テーブル!$B$3="実績報告（１次）",DB90,
IF(AND(テーブル!$B$3="交付申請（２次）",DB$26=0),0,
IF(AND(テーブル!$B$3="交付申請（２次）",DB$26&gt;=1),DB90,
IF(AND(テーブル!$B$3="交付申請兼実績報告（２次）",DB$26=0),0,
IF(AND(テーブル!$B$3="交付申請兼実績報告（２次）",DB$26&gt;=1),DB90,
IF(AND(テーブル!$B$3="実績報告（２次）",DB$26=0),0,
IF(AND(テーブル!$B$3="実績報告（２次）",DB$26&gt;=1),DB90)))))))))),0)</f>
        <v>0</v>
      </c>
      <c r="DC44" s="1997">
        <f>IFERROR(
IF(テーブル!$B$3="交付申請",DC90,
IF(AND(テーブル!$B$3="変更申請",DC$26=0),0,
IF(AND(テーブル!$B$3="変更申請",DC$26&gt;=1),DC90,
IF(テーブル!$B$3="実績報告（１次）",DC90,
IF(AND(テーブル!$B$3="交付申請（２次）",DC$26=0),0,
IF(AND(テーブル!$B$3="交付申請（２次）",DC$26&gt;=1),DC90,
IF(AND(テーブル!$B$3="交付申請兼実績報告（２次）",DC$26=0),0,
IF(AND(テーブル!$B$3="交付申請兼実績報告（２次）",DC$26&gt;=1),DC90,
IF(AND(テーブル!$B$3="実績報告（２次）",DC$26=0),0,
IF(AND(テーブル!$B$3="実績報告（２次）",DC$26&gt;=1),DC90)))))))))),0)</f>
        <v>0</v>
      </c>
      <c r="DD44" s="1997">
        <f>IFERROR(
IF(テーブル!$B$3="交付申請",DD90,
IF(AND(テーブル!$B$3="変更申請",DD$26=0),0,
IF(AND(テーブル!$B$3="変更申請",DD$26&gt;=1),DD90,
IF(テーブル!$B$3="実績報告（１次）",DD90,
IF(AND(テーブル!$B$3="交付申請（２次）",DD$26=0),0,
IF(AND(テーブル!$B$3="交付申請（２次）",DD$26&gt;=1),DD90,
IF(AND(テーブル!$B$3="交付申請兼実績報告（２次）",DD$26=0),0,
IF(AND(テーブル!$B$3="交付申請兼実績報告（２次）",DD$26&gt;=1),DD90,
IF(AND(テーブル!$B$3="実績報告（２次）",DD$26=0),0,
IF(AND(テーブル!$B$3="実績報告（２次）",DD$26&gt;=1),DD90)))))))))),0)</f>
        <v>0</v>
      </c>
      <c r="DE44" s="1997">
        <f>IFERROR(
IF(テーブル!$B$3="交付申請",DE90,
IF(AND(テーブル!$B$3="変更申請",DE$26=0),0,
IF(AND(テーブル!$B$3="変更申請",DE$26&gt;=1),DE90,
IF(テーブル!$B$3="実績報告（１次）",DE90,
IF(AND(テーブル!$B$3="交付申請（２次）",DE$26=0),0,
IF(AND(テーブル!$B$3="交付申請（２次）",DE$26&gt;=1),DE90,
IF(AND(テーブル!$B$3="交付申請兼実績報告（２次）",DE$26=0),0,
IF(AND(テーブル!$B$3="交付申請兼実績報告（２次）",DE$26&gt;=1),DE90,
IF(AND(テーブル!$B$3="実績報告（２次）",DE$26=0),0,
IF(AND(テーブル!$B$3="実績報告（２次）",DE$26&gt;=1),DE90)))))))))),0)</f>
        <v>0</v>
      </c>
      <c r="DF44" s="1997">
        <f>IFERROR(
IF(テーブル!$B$3="交付申請",DF90,
IF(AND(テーブル!$B$3="変更申請",DF$26=0),0,
IF(AND(テーブル!$B$3="変更申請",DF$26&gt;=1),DF90,
IF(テーブル!$B$3="実績報告（１次）",DF90,
IF(AND(テーブル!$B$3="交付申請（２次）",DF$26=0),0,
IF(AND(テーブル!$B$3="交付申請（２次）",DF$26&gt;=1),DF90,
IF(AND(テーブル!$B$3="交付申請兼実績報告（２次）",DF$26=0),0,
IF(AND(テーブル!$B$3="交付申請兼実績報告（２次）",DF$26&gt;=1),DF90,
IF(AND(テーブル!$B$3="実績報告（２次）",DF$26=0),0,
IF(AND(テーブル!$B$3="実績報告（２次）",DF$26&gt;=1),DF90)))))))))),0)</f>
        <v>0</v>
      </c>
      <c r="DG44" s="1997">
        <f>IFERROR(
IF(テーブル!$B$3="交付申請",DG90,
IF(AND(テーブル!$B$3="変更申請",DG$26=0),0,
IF(AND(テーブル!$B$3="変更申請",DG$26&gt;=1),DG90,
IF(テーブル!$B$3="実績報告（１次）",DG90,
IF(AND(テーブル!$B$3="交付申請（２次）",DG$26=0),0,
IF(AND(テーブル!$B$3="交付申請（２次）",DG$26&gt;=1),DG90,
IF(AND(テーブル!$B$3="交付申請兼実績報告（２次）",DG$26=0),0,
IF(AND(テーブル!$B$3="交付申請兼実績報告（２次）",DG$26&gt;=1),DG90,
IF(AND(テーブル!$B$3="実績報告（２次）",DG$26=0),0,
IF(AND(テーブル!$B$3="実績報告（２次）",DG$26&gt;=1),DG90)))))))))),0)</f>
        <v>0</v>
      </c>
      <c r="DH44" s="1997">
        <f>IFERROR(
IF(テーブル!$B$3="交付申請",DH90,
IF(AND(テーブル!$B$3="変更申請",DH$26=0),0,
IF(AND(テーブル!$B$3="変更申請",DH$26&gt;=1),DH90,
IF(テーブル!$B$3="実績報告（１次）",DH90,
IF(AND(テーブル!$B$3="交付申請（２次）",DH$26=0),0,
IF(AND(テーブル!$B$3="交付申請（２次）",DH$26&gt;=1),DH90,
IF(AND(テーブル!$B$3="交付申請兼実績報告（２次）",DH$26=0),0,
IF(AND(テーブル!$B$3="交付申請兼実績報告（２次）",DH$26&gt;=1),DH90,
IF(AND(テーブル!$B$3="実績報告（２次）",DH$26=0),0,
IF(AND(テーブル!$B$3="実績報告（２次）",DH$26&gt;=1),DH90)))))))))),0)</f>
        <v>0</v>
      </c>
      <c r="DI44" s="1997">
        <f>IFERROR(
IF(テーブル!$B$3="交付申請",DI90,
IF(AND(テーブル!$B$3="変更申請",DI$26=0),0,
IF(AND(テーブル!$B$3="変更申請",DI$26&gt;=1),DI90,
IF(テーブル!$B$3="実績報告（１次）",DI90,
IF(AND(テーブル!$B$3="交付申請（２次）",DI$26=0),0,
IF(AND(テーブル!$B$3="交付申請（２次）",DI$26&gt;=1),DI90,
IF(AND(テーブル!$B$3="交付申請兼実績報告（２次）",DI$26=0),0,
IF(AND(テーブル!$B$3="交付申請兼実績報告（２次）",DI$26&gt;=1),DI90,
IF(AND(テーブル!$B$3="実績報告（２次）",DI$26=0),0,
IF(AND(テーブル!$B$3="実績報告（２次）",DI$26&gt;=1),DI90)))))))))),0)</f>
        <v>0</v>
      </c>
      <c r="DJ44" s="1997">
        <f>IFERROR(
IF(テーブル!$B$3="交付申請",DJ90,
IF(AND(テーブル!$B$3="変更申請",DJ$26=0),0,
IF(AND(テーブル!$B$3="変更申請",DJ$26&gt;=1),DJ90,
IF(テーブル!$B$3="実績報告（１次）",DJ90,
IF(AND(テーブル!$B$3="交付申請（２次）",DJ$26=0),0,
IF(AND(テーブル!$B$3="交付申請（２次）",DJ$26&gt;=1),DJ90,
IF(AND(テーブル!$B$3="交付申請兼実績報告（２次）",DJ$26=0),0,
IF(AND(テーブル!$B$3="交付申請兼実績報告（２次）",DJ$26&gt;=1),DJ90,
IF(AND(テーブル!$B$3="実績報告（２次）",DJ$26=0),0,
IF(AND(テーブル!$B$3="実績報告（２次）",DJ$26&gt;=1),DJ90)))))))))),0)</f>
        <v>0</v>
      </c>
      <c r="DK44" s="1997">
        <f>IFERROR(
IF(テーブル!$B$3="交付申請",DK90,
IF(AND(テーブル!$B$3="変更申請",DK$26=0),0,
IF(AND(テーブル!$B$3="変更申請",DK$26&gt;=1),DK90,
IF(テーブル!$B$3="実績報告（１次）",DK90,
IF(AND(テーブル!$B$3="交付申請（２次）",DK$26=0),0,
IF(AND(テーブル!$B$3="交付申請（２次）",DK$26&gt;=1),DK90,
IF(AND(テーブル!$B$3="交付申請兼実績報告（２次）",DK$26=0),0,
IF(AND(テーブル!$B$3="交付申請兼実績報告（２次）",DK$26&gt;=1),DK90,
IF(AND(テーブル!$B$3="実績報告（２次）",DK$26=0),0,
IF(AND(テーブル!$B$3="実績報告（２次）",DK$26&gt;=1),DK90)))))))))),0)</f>
        <v>0</v>
      </c>
      <c r="DL44" s="1997">
        <f>IFERROR(
IF(テーブル!$B$3="交付申請",DL90,
IF(AND(テーブル!$B$3="変更申請",DL$26=0),0,
IF(AND(テーブル!$B$3="変更申請",DL$26&gt;=1),DL90,
IF(テーブル!$B$3="実績報告（１次）",DL90,
IF(AND(テーブル!$B$3="交付申請（２次）",DL$26=0),0,
IF(AND(テーブル!$B$3="交付申請（２次）",DL$26&gt;=1),DL90,
IF(AND(テーブル!$B$3="交付申請兼実績報告（２次）",DL$26=0),0,
IF(AND(テーブル!$B$3="交付申請兼実績報告（２次）",DL$26&gt;=1),DL90,
IF(AND(テーブル!$B$3="実績報告（２次）",DL$26=0),0,
IF(AND(テーブル!$B$3="実績報告（２次）",DL$26&gt;=1),DL90)))))))))),0)</f>
        <v>0</v>
      </c>
      <c r="DM44" s="1997">
        <f>IFERROR(
IF(テーブル!$B$3="交付申請",DM90,
IF(AND(テーブル!$B$3="変更申請",DM$26=0),0,
IF(AND(テーブル!$B$3="変更申請",DM$26&gt;=1),DM90,
IF(テーブル!$B$3="実績報告（１次）",DM90,
IF(AND(テーブル!$B$3="交付申請（２次）",DM$26=0),0,
IF(AND(テーブル!$B$3="交付申請（２次）",DM$26&gt;=1),DM90,
IF(AND(テーブル!$B$3="交付申請兼実績報告（２次）",DM$26=0),0,
IF(AND(テーブル!$B$3="交付申請兼実績報告（２次）",DM$26&gt;=1),DM90,
IF(AND(テーブル!$B$3="実績報告（２次）",DM$26=0),0,
IF(AND(テーブル!$B$3="実績報告（２次）",DM$26&gt;=1),DM90)))))))))),0)</f>
        <v>0</v>
      </c>
      <c r="DN44" s="1997">
        <f>IFERROR(
IF(テーブル!$B$3="交付申請",DN90,
IF(AND(テーブル!$B$3="変更申請",DN$26=0),0,
IF(AND(テーブル!$B$3="変更申請",DN$26&gt;=1),DN90,
IF(テーブル!$B$3="実績報告（１次）",DN90,
IF(AND(テーブル!$B$3="交付申請（２次）",DN$26=0),0,
IF(AND(テーブル!$B$3="交付申請（２次）",DN$26&gt;=1),DN90,
IF(AND(テーブル!$B$3="交付申請兼実績報告（２次）",DN$26=0),0,
IF(AND(テーブル!$B$3="交付申請兼実績報告（２次）",DN$26&gt;=1),DN90,
IF(AND(テーブル!$B$3="実績報告（２次）",DN$26=0),0,
IF(AND(テーブル!$B$3="実績報告（２次）",DN$26&gt;=1),DN90)))))))))),0)</f>
        <v>0</v>
      </c>
      <c r="DO44" s="1997">
        <f>IFERROR(
IF(テーブル!$B$3="交付申請",DO90,
IF(AND(テーブル!$B$3="変更申請",DO$26=0),0,
IF(AND(テーブル!$B$3="変更申請",DO$26&gt;=1),DO90,
IF(テーブル!$B$3="実績報告（１次）",DO90,
IF(AND(テーブル!$B$3="交付申請（２次）",DO$26=0),0,
IF(AND(テーブル!$B$3="交付申請（２次）",DO$26&gt;=1),DO90,
IF(AND(テーブル!$B$3="交付申請兼実績報告（２次）",DO$26=0),0,
IF(AND(テーブル!$B$3="交付申請兼実績報告（２次）",DO$26&gt;=1),DO90,
IF(AND(テーブル!$B$3="実績報告（２次）",DO$26=0),0,
IF(AND(テーブル!$B$3="実績報告（２次）",DO$26&gt;=1),DO90)))))))))),0)</f>
        <v>0</v>
      </c>
      <c r="DP44" s="1997">
        <f>IFERROR(
IF(テーブル!$B$3="交付申請",DP90,
IF(AND(テーブル!$B$3="変更申請",DP$26=0),0,
IF(AND(テーブル!$B$3="変更申請",DP$26&gt;=1),DP90,
IF(テーブル!$B$3="実績報告（１次）",DP90,
IF(AND(テーブル!$B$3="交付申請（２次）",DP$26=0),0,
IF(AND(テーブル!$B$3="交付申請（２次）",DP$26&gt;=1),DP90,
IF(AND(テーブル!$B$3="交付申請兼実績報告（２次）",DP$26=0),0,
IF(AND(テーブル!$B$3="交付申請兼実績報告（２次）",DP$26&gt;=1),DP90,
IF(AND(テーブル!$B$3="実績報告（２次）",DP$26=0),0,
IF(AND(テーブル!$B$3="実績報告（２次）",DP$26&gt;=1),DP90)))))))))),0)</f>
        <v>0</v>
      </c>
      <c r="DQ44" s="1997">
        <f>IFERROR(
IF(テーブル!$B$3="交付申請",DQ90,
IF(AND(テーブル!$B$3="変更申請",DQ$26=0),0,
IF(AND(テーブル!$B$3="変更申請",DQ$26&gt;=1),DQ90,
IF(テーブル!$B$3="実績報告（１次）",DQ90,
IF(AND(テーブル!$B$3="交付申請（２次）",DQ$26=0),0,
IF(AND(テーブル!$B$3="交付申請（２次）",DQ$26&gt;=1),DQ90,
IF(AND(テーブル!$B$3="交付申請兼実績報告（２次）",DQ$26=0),0,
IF(AND(テーブル!$B$3="交付申請兼実績報告（２次）",DQ$26&gt;=1),DQ90,
IF(AND(テーブル!$B$3="実績報告（２次）",DQ$26=0),0,
IF(AND(テーブル!$B$3="実績報告（２次）",DQ$26&gt;=1),DQ90)))))))))),0)</f>
        <v>0</v>
      </c>
      <c r="DR44" s="1997">
        <f>IFERROR(
IF(テーブル!$B$3="交付申請",DR90,
IF(AND(テーブル!$B$3="変更申請",DR$26=0),0,
IF(AND(テーブル!$B$3="変更申請",DR$26&gt;=1),DR90,
IF(テーブル!$B$3="実績報告（１次）",DR90,
IF(AND(テーブル!$B$3="交付申請（２次）",DR$26=0),0,
IF(AND(テーブル!$B$3="交付申請（２次）",DR$26&gt;=1),DR90,
IF(AND(テーブル!$B$3="交付申請兼実績報告（２次）",DR$26=0),0,
IF(AND(テーブル!$B$3="交付申請兼実績報告（２次）",DR$26&gt;=1),DR90,
IF(AND(テーブル!$B$3="実績報告（２次）",DR$26=0),0,
IF(AND(テーブル!$B$3="実績報告（２次）",DR$26&gt;=1),DR90)))))))))),0)</f>
        <v>0</v>
      </c>
      <c r="DS44" s="1997">
        <f>IFERROR(
IF(テーブル!$B$3="交付申請",DS90,
IF(AND(テーブル!$B$3="変更申請",DS$26=0),0,
IF(AND(テーブル!$B$3="変更申請",DS$26&gt;=1),DS90,
IF(テーブル!$B$3="実績報告（１次）",DS90,
IF(AND(テーブル!$B$3="交付申請（２次）",DS$26=0),0,
IF(AND(テーブル!$B$3="交付申請（２次）",DS$26&gt;=1),DS90,
IF(AND(テーブル!$B$3="交付申請兼実績報告（２次）",DS$26=0),0,
IF(AND(テーブル!$B$3="交付申請兼実績報告（２次）",DS$26&gt;=1),DS90,
IF(AND(テーブル!$B$3="実績報告（２次）",DS$26=0),0,
IF(AND(テーブル!$B$3="実績報告（２次）",DS$26&gt;=1),DS90)))))))))),0)</f>
        <v>0</v>
      </c>
      <c r="DT44" s="1997">
        <f>IFERROR(
IF(テーブル!$B$3="交付申請",DT90,
IF(AND(テーブル!$B$3="変更申請",DT$26=0),0,
IF(AND(テーブル!$B$3="変更申請",DT$26&gt;=1),DT90,
IF(テーブル!$B$3="実績報告（１次）",DT90,
IF(AND(テーブル!$B$3="交付申請（２次）",DT$26=0),0,
IF(AND(テーブル!$B$3="交付申請（２次）",DT$26&gt;=1),DT90,
IF(AND(テーブル!$B$3="交付申請兼実績報告（２次）",DT$26=0),0,
IF(AND(テーブル!$B$3="交付申請兼実績報告（２次）",DT$26&gt;=1),DT90,
IF(AND(テーブル!$B$3="実績報告（２次）",DT$26=0),0,
IF(AND(テーブル!$B$3="実績報告（２次）",DT$26&gt;=1),DT90)))))))))),0)</f>
        <v>0</v>
      </c>
      <c r="DU44" s="1997">
        <f>IFERROR(
IF(テーブル!$B$3="交付申請",DU90,
IF(AND(テーブル!$B$3="変更申請",DU$26=0),0,
IF(AND(テーブル!$B$3="変更申請",DU$26&gt;=1),DU90,
IF(テーブル!$B$3="実績報告（１次）",DU90,
IF(AND(テーブル!$B$3="交付申請（２次）",DU$26=0),0,
IF(AND(テーブル!$B$3="交付申請（２次）",DU$26&gt;=1),DU90,
IF(AND(テーブル!$B$3="交付申請兼実績報告（２次）",DU$26=0),0,
IF(AND(テーブル!$B$3="交付申請兼実績報告（２次）",DU$26&gt;=1),DU90,
IF(AND(テーブル!$B$3="実績報告（２次）",DU$26=0),0,
IF(AND(テーブル!$B$3="実績報告（２次）",DU$26&gt;=1),DU90)))))))))),0)</f>
        <v>0</v>
      </c>
      <c r="DV44" s="1997">
        <f>IFERROR(
IF(テーブル!$B$3="交付申請",DV90,
IF(AND(テーブル!$B$3="変更申請",DV$26=0),0,
IF(AND(テーブル!$B$3="変更申請",DV$26&gt;=1),DV90,
IF(テーブル!$B$3="実績報告（１次）",DV90,
IF(AND(テーブル!$B$3="交付申請（２次）",DV$26=0),0,
IF(AND(テーブル!$B$3="交付申請（２次）",DV$26&gt;=1),DV90,
IF(AND(テーブル!$B$3="交付申請兼実績報告（２次）",DV$26=0),0,
IF(AND(テーブル!$B$3="交付申請兼実績報告（２次）",DV$26&gt;=1),DV90,
IF(AND(テーブル!$B$3="実績報告（２次）",DV$26=0),0,
IF(AND(テーブル!$B$3="実績報告（２次）",DV$26&gt;=1),DV90)))))))))),0)</f>
        <v>0</v>
      </c>
      <c r="DW44" s="1997">
        <f>IFERROR(
IF(テーブル!$B$3="交付申請",DW90,
IF(AND(テーブル!$B$3="変更申請",DW$26=0),0,
IF(AND(テーブル!$B$3="変更申請",DW$26&gt;=1),DW90,
IF(テーブル!$B$3="実績報告（１次）",DW90,
IF(AND(テーブル!$B$3="交付申請（２次）",DW$26=0),0,
IF(AND(テーブル!$B$3="交付申請（２次）",DW$26&gt;=1),DW90,
IF(AND(テーブル!$B$3="交付申請兼実績報告（２次）",DW$26=0),0,
IF(AND(テーブル!$B$3="交付申請兼実績報告（２次）",DW$26&gt;=1),DW90,
IF(AND(テーブル!$B$3="実績報告（２次）",DW$26=0),0,
IF(AND(テーブル!$B$3="実績報告（２次）",DW$26&gt;=1),DW90)))))))))),0)</f>
        <v>0</v>
      </c>
      <c r="DX44" s="1997">
        <f>IFERROR(
IF(テーブル!$B$3="交付申請",DX90,
IF(AND(テーブル!$B$3="変更申請",DX$26=0),0,
IF(AND(テーブル!$B$3="変更申請",DX$26&gt;=1),DX90,
IF(テーブル!$B$3="実績報告（１次）",DX90,
IF(AND(テーブル!$B$3="交付申請（２次）",DX$26=0),0,
IF(AND(テーブル!$B$3="交付申請（２次）",DX$26&gt;=1),DX90,
IF(AND(テーブル!$B$3="交付申請兼実績報告（２次）",DX$26=0),0,
IF(AND(テーブル!$B$3="交付申請兼実績報告（２次）",DX$26&gt;=1),DX90,
IF(AND(テーブル!$B$3="実績報告（２次）",DX$26=0),0,
IF(AND(テーブル!$B$3="実績報告（２次）",DX$26&gt;=1),DX90)))))))))),0)</f>
        <v>0</v>
      </c>
      <c r="DY44" s="1997">
        <f>IFERROR(
IF(テーブル!$B$3="交付申請",DY90,
IF(AND(テーブル!$B$3="変更申請",DY$26=0),0,
IF(AND(テーブル!$B$3="変更申請",DY$26&gt;=1),DY90,
IF(テーブル!$B$3="実績報告（１次）",DY90,
IF(AND(テーブル!$B$3="交付申請（２次）",DY$26=0),0,
IF(AND(テーブル!$B$3="交付申請（２次）",DY$26&gt;=1),DY90,
IF(AND(テーブル!$B$3="交付申請兼実績報告（２次）",DY$26=0),0,
IF(AND(テーブル!$B$3="交付申請兼実績報告（２次）",DY$26&gt;=1),DY90,
IF(AND(テーブル!$B$3="実績報告（２次）",DY$26=0),0,
IF(AND(テーブル!$B$3="実績報告（２次）",DY$26&gt;=1),DY90)))))))))),0)</f>
        <v>0</v>
      </c>
      <c r="DZ44" s="1997">
        <f>IFERROR(
IF(テーブル!$B$3="交付申請",DZ90,
IF(AND(テーブル!$B$3="変更申請",DZ$26=0),0,
IF(AND(テーブル!$B$3="変更申請",DZ$26&gt;=1),DZ90,
IF(テーブル!$B$3="実績報告（１次）",DZ90,
IF(AND(テーブル!$B$3="交付申請（２次）",DZ$26=0),0,
IF(AND(テーブル!$B$3="交付申請（２次）",DZ$26&gt;=1),DZ90,
IF(AND(テーブル!$B$3="交付申請兼実績報告（２次）",DZ$26=0),0,
IF(AND(テーブル!$B$3="交付申請兼実績報告（２次）",DZ$26&gt;=1),DZ90,
IF(AND(テーブル!$B$3="実績報告（２次）",DZ$26=0),0,
IF(AND(テーブル!$B$3="実績報告（２次）",DZ$26&gt;=1),DZ90)))))))))),0)</f>
        <v>0</v>
      </c>
      <c r="EA44" s="1997">
        <f>IFERROR(
IF(テーブル!$B$3="交付申請",EA90,
IF(AND(テーブル!$B$3="変更申請",EA$26=0),0,
IF(AND(テーブル!$B$3="変更申請",EA$26&gt;=1),EA90,
IF(テーブル!$B$3="実績報告（１次）",EA90,
IF(AND(テーブル!$B$3="交付申請（２次）",EA$26=0),0,
IF(AND(テーブル!$B$3="交付申請（２次）",EA$26&gt;=1),EA90,
IF(AND(テーブル!$B$3="交付申請兼実績報告（２次）",EA$26=0),0,
IF(AND(テーブル!$B$3="交付申請兼実績報告（２次）",EA$26&gt;=1),EA90,
IF(AND(テーブル!$B$3="実績報告（２次）",EA$26=0),0,
IF(AND(テーブル!$B$3="実績報告（２次）",EA$26&gt;=1),EA90)))))))))),0)</f>
        <v>0</v>
      </c>
      <c r="EB44" s="1997">
        <f>IFERROR(
IF(テーブル!$B$3="交付申請",EB90,
IF(AND(テーブル!$B$3="変更申請",EB$26=0),0,
IF(AND(テーブル!$B$3="変更申請",EB$26&gt;=1),EB90,
IF(テーブル!$B$3="実績報告（１次）",EB90,
IF(AND(テーブル!$B$3="交付申請（２次）",EB$26=0),0,
IF(AND(テーブル!$B$3="交付申請（２次）",EB$26&gt;=1),EB90,
IF(AND(テーブル!$B$3="交付申請兼実績報告（２次）",EB$26=0),0,
IF(AND(テーブル!$B$3="交付申請兼実績報告（２次）",EB$26&gt;=1),EB90,
IF(AND(テーブル!$B$3="実績報告（２次）",EB$26=0),0,
IF(AND(テーブル!$B$3="実績報告（２次）",EB$26&gt;=1),EB90)))))))))),0)</f>
        <v>0</v>
      </c>
      <c r="EC44" s="1997">
        <f>IFERROR(
IF(テーブル!$B$3="交付申請",EC90,
IF(AND(テーブル!$B$3="変更申請",EC$26=0),0,
IF(AND(テーブル!$B$3="変更申請",EC$26&gt;=1),EC90,
IF(テーブル!$B$3="実績報告（１次）",EC90,
IF(AND(テーブル!$B$3="交付申請（２次）",EC$26=0),0,
IF(AND(テーブル!$B$3="交付申請（２次）",EC$26&gt;=1),EC90,
IF(AND(テーブル!$B$3="交付申請兼実績報告（２次）",EC$26=0),0,
IF(AND(テーブル!$B$3="交付申請兼実績報告（２次）",EC$26&gt;=1),EC90,
IF(AND(テーブル!$B$3="実績報告（２次）",EC$26=0),0,
IF(AND(テーブル!$B$3="実績報告（２次）",EC$26&gt;=1),EC90)))))))))),0)</f>
        <v>0</v>
      </c>
      <c r="ED44" s="1997">
        <f>IFERROR(
IF(テーブル!$B$3="交付申請",ED90,
IF(AND(テーブル!$B$3="変更申請",ED$26=0),0,
IF(AND(テーブル!$B$3="変更申請",ED$26&gt;=1),ED90,
IF(テーブル!$B$3="実績報告（１次）",ED90,
IF(AND(テーブル!$B$3="交付申請（２次）",ED$26=0),0,
IF(AND(テーブル!$B$3="交付申請（２次）",ED$26&gt;=1),ED90,
IF(AND(テーブル!$B$3="交付申請兼実績報告（２次）",ED$26=0),0,
IF(AND(テーブル!$B$3="交付申請兼実績報告（２次）",ED$26&gt;=1),ED90,
IF(AND(テーブル!$B$3="実績報告（２次）",ED$26=0),0,
IF(AND(テーブル!$B$3="実績報告（２次）",ED$26&gt;=1),ED90)))))))))),0)</f>
        <v>0</v>
      </c>
      <c r="EE44" s="1997">
        <f>IFERROR(
IF(テーブル!$B$3="交付申請",EE90,
IF(AND(テーブル!$B$3="変更申請",EE$26=0),0,
IF(AND(テーブル!$B$3="変更申請",EE$26&gt;=1),EE90,
IF(テーブル!$B$3="実績報告（１次）",EE90,
IF(AND(テーブル!$B$3="交付申請（２次）",EE$26=0),0,
IF(AND(テーブル!$B$3="交付申請（２次）",EE$26&gt;=1),EE90,
IF(AND(テーブル!$B$3="交付申請兼実績報告（２次）",EE$26=0),0,
IF(AND(テーブル!$B$3="交付申請兼実績報告（２次）",EE$26&gt;=1),EE90,
IF(AND(テーブル!$B$3="実績報告（２次）",EE$26=0),0,
IF(AND(テーブル!$B$3="実績報告（２次）",EE$26&gt;=1),EE90)))))))))),0)</f>
        <v>0</v>
      </c>
      <c r="EF44" s="1997">
        <f>IFERROR(
IF(テーブル!$B$3="交付申請",EF90,
IF(AND(テーブル!$B$3="変更申請",EF$26=0),0,
IF(AND(テーブル!$B$3="変更申請",EF$26&gt;=1),EF90,
IF(テーブル!$B$3="実績報告（１次）",EF90,
IF(AND(テーブル!$B$3="交付申請（２次）",EF$26=0),0,
IF(AND(テーブル!$B$3="交付申請（２次）",EF$26&gt;=1),EF90,
IF(AND(テーブル!$B$3="交付申請兼実績報告（２次）",EF$26=0),0,
IF(AND(テーブル!$B$3="交付申請兼実績報告（２次）",EF$26&gt;=1),EF90,
IF(AND(テーブル!$B$3="実績報告（２次）",EF$26=0),0,
IF(AND(テーブル!$B$3="実績報告（２次）",EF$26&gt;=1),EF90)))))))))),0)</f>
        <v>0</v>
      </c>
      <c r="EG44" s="1997">
        <f>IFERROR(
IF(テーブル!$B$3="交付申請",EG90,
IF(AND(テーブル!$B$3="変更申請",EG$26=0),0,
IF(AND(テーブル!$B$3="変更申請",EG$26&gt;=1),EG90,
IF(テーブル!$B$3="実績報告（１次）",EG90,
IF(AND(テーブル!$B$3="交付申請（２次）",EG$26=0),0,
IF(AND(テーブル!$B$3="交付申請（２次）",EG$26&gt;=1),EG90,
IF(AND(テーブル!$B$3="交付申請兼実績報告（２次）",EG$26=0),0,
IF(AND(テーブル!$B$3="交付申請兼実績報告（２次）",EG$26&gt;=1),EG90,
IF(AND(テーブル!$B$3="実績報告（２次）",EG$26=0),0,
IF(AND(テーブル!$B$3="実績報告（２次）",EG$26&gt;=1),EG90)))))))))),0)</f>
        <v>0</v>
      </c>
      <c r="EH44" s="1997">
        <f>IFERROR(
IF(テーブル!$B$3="交付申請",EH90,
IF(AND(テーブル!$B$3="変更申請",EH$26=0),0,
IF(AND(テーブル!$B$3="変更申請",EH$26&gt;=1),EH90,
IF(テーブル!$B$3="実績報告（１次）",EH90,
IF(AND(テーブル!$B$3="交付申請（２次）",EH$26=0),0,
IF(AND(テーブル!$B$3="交付申請（２次）",EH$26&gt;=1),EH90,
IF(AND(テーブル!$B$3="交付申請兼実績報告（２次）",EH$26=0),0,
IF(AND(テーブル!$B$3="交付申請兼実績報告（２次）",EH$26&gt;=1),EH90,
IF(AND(テーブル!$B$3="実績報告（２次）",EH$26=0),0,
IF(AND(テーブル!$B$3="実績報告（２次）",EH$26&gt;=1),EH90)))))))))),0)</f>
        <v>0</v>
      </c>
      <c r="EI44" s="1997">
        <f>IFERROR(
IF(テーブル!$B$3="交付申請",EI90,
IF(AND(テーブル!$B$3="変更申請",EI$26=0),0,
IF(AND(テーブル!$B$3="変更申請",EI$26&gt;=1),EI90,
IF(テーブル!$B$3="実績報告（１次）",EI90,
IF(AND(テーブル!$B$3="交付申請（２次）",EI$26=0),0,
IF(AND(テーブル!$B$3="交付申請（２次）",EI$26&gt;=1),EI90,
IF(AND(テーブル!$B$3="交付申請兼実績報告（２次）",EI$26=0),0,
IF(AND(テーブル!$B$3="交付申請兼実績報告（２次）",EI$26&gt;=1),EI90,
IF(AND(テーブル!$B$3="実績報告（２次）",EI$26=0),0,
IF(AND(テーブル!$B$3="実績報告（２次）",EI$26&gt;=1),EI90)))))))))),0)</f>
        <v>0</v>
      </c>
      <c r="EJ44" s="1997">
        <f>IFERROR(
IF(テーブル!$B$3="交付申請",EJ90,
IF(AND(テーブル!$B$3="変更申請",EJ$26=0),0,
IF(AND(テーブル!$B$3="変更申請",EJ$26&gt;=1),EJ90,
IF(テーブル!$B$3="実績報告（１次）",EJ90,
IF(AND(テーブル!$B$3="交付申請（２次）",EJ$26=0),0,
IF(AND(テーブル!$B$3="交付申請（２次）",EJ$26&gt;=1),EJ90,
IF(AND(テーブル!$B$3="交付申請兼実績報告（２次）",EJ$26=0),0,
IF(AND(テーブル!$B$3="交付申請兼実績報告（２次）",EJ$26&gt;=1),EJ90,
IF(AND(テーブル!$B$3="実績報告（２次）",EJ$26=0),0,
IF(AND(テーブル!$B$3="実績報告（２次）",EJ$26&gt;=1),EJ90)))))))))),0)</f>
        <v>0</v>
      </c>
      <c r="EK44" s="1997">
        <f>IFERROR(
IF(テーブル!$B$3="交付申請",EK90,
IF(AND(テーブル!$B$3="変更申請",EK$26=0),0,
IF(AND(テーブル!$B$3="変更申請",EK$26&gt;=1),EK90,
IF(テーブル!$B$3="実績報告（１次）",EK90,
IF(AND(テーブル!$B$3="交付申請（２次）",EK$26=0),0,
IF(AND(テーブル!$B$3="交付申請（２次）",EK$26&gt;=1),EK90,
IF(AND(テーブル!$B$3="交付申請兼実績報告（２次）",EK$26=0),0,
IF(AND(テーブル!$B$3="交付申請兼実績報告（２次）",EK$26&gt;=1),EK90,
IF(AND(テーブル!$B$3="実績報告（２次）",EK$26=0),0,
IF(AND(テーブル!$B$3="実績報告（２次）",EK$26&gt;=1),EK90)))))))))),0)</f>
        <v>0</v>
      </c>
      <c r="EL44" s="1997">
        <f>IFERROR(
IF(テーブル!$B$3="交付申請",EL90,
IF(AND(テーブル!$B$3="変更申請",EL$26=0),0,
IF(AND(テーブル!$B$3="変更申請",EL$26&gt;=1),EL90,
IF(テーブル!$B$3="実績報告（１次）",EL90,
IF(AND(テーブル!$B$3="交付申請（２次）",EL$26=0),0,
IF(AND(テーブル!$B$3="交付申請（２次）",EL$26&gt;=1),EL90,
IF(AND(テーブル!$B$3="交付申請兼実績報告（２次）",EL$26=0),0,
IF(AND(テーブル!$B$3="交付申請兼実績報告（２次）",EL$26&gt;=1),EL90,
IF(AND(テーブル!$B$3="実績報告（２次）",EL$26=0),0,
IF(AND(テーブル!$B$3="実績報告（２次）",EL$26&gt;=1),EL90)))))))))),0)</f>
        <v>0</v>
      </c>
      <c r="EM44" s="1997">
        <f>IFERROR(
IF(テーブル!$B$3="交付申請",EM90,
IF(AND(テーブル!$B$3="変更申請",EM$26=0),0,
IF(AND(テーブル!$B$3="変更申請",EM$26&gt;=1),EM90,
IF(テーブル!$B$3="実績報告（１次）",EM90,
IF(AND(テーブル!$B$3="交付申請（２次）",EM$26=0),0,
IF(AND(テーブル!$B$3="交付申請（２次）",EM$26&gt;=1),EM90,
IF(AND(テーブル!$B$3="交付申請兼実績報告（２次）",EM$26=0),0,
IF(AND(テーブル!$B$3="交付申請兼実績報告（２次）",EM$26&gt;=1),EM90,
IF(AND(テーブル!$B$3="実績報告（２次）",EM$26=0),0,
IF(AND(テーブル!$B$3="実績報告（２次）",EM$26&gt;=1),EM90)))))))))),0)</f>
        <v>0</v>
      </c>
      <c r="EN44" s="1997">
        <f>IFERROR(
IF(テーブル!$B$3="交付申請",EN90,
IF(AND(テーブル!$B$3="変更申請",EN$26=0),0,
IF(AND(テーブル!$B$3="変更申請",EN$26&gt;=1),EN90,
IF(テーブル!$B$3="実績報告（１次）",EN90,
IF(AND(テーブル!$B$3="交付申請（２次）",EN$26=0),0,
IF(AND(テーブル!$B$3="交付申請（２次）",EN$26&gt;=1),EN90,
IF(AND(テーブル!$B$3="交付申請兼実績報告（２次）",EN$26=0),0,
IF(AND(テーブル!$B$3="交付申請兼実績報告（２次）",EN$26&gt;=1),EN90,
IF(AND(テーブル!$B$3="実績報告（２次）",EN$26=0),0,
IF(AND(テーブル!$B$3="実績報告（２次）",EN$26&gt;=1),EN90)))))))))),0)</f>
        <v>0</v>
      </c>
      <c r="EO44" s="1997">
        <f>IFERROR(
IF(テーブル!$B$3="交付申請",EO90,
IF(AND(テーブル!$B$3="変更申請",EO$26=0),0,
IF(AND(テーブル!$B$3="変更申請",EO$26&gt;=1),EO90,
IF(テーブル!$B$3="実績報告（１次）",EO90,
IF(AND(テーブル!$B$3="交付申請（２次）",EO$26=0),0,
IF(AND(テーブル!$B$3="交付申請（２次）",EO$26&gt;=1),EO90,
IF(AND(テーブル!$B$3="交付申請兼実績報告（２次）",EO$26=0),0,
IF(AND(テーブル!$B$3="交付申請兼実績報告（２次）",EO$26&gt;=1),EO90,
IF(AND(テーブル!$B$3="実績報告（２次）",EO$26=0),0,
IF(AND(テーブル!$B$3="実績報告（２次）",EO$26&gt;=1),EO90)))))))))),0)</f>
        <v>0</v>
      </c>
      <c r="EP44" s="1997">
        <f>IFERROR(
IF(テーブル!$B$3="交付申請",EP90,
IF(AND(テーブル!$B$3="変更申請",EP$26=0),0,
IF(AND(テーブル!$B$3="変更申請",EP$26&gt;=1),EP90,
IF(テーブル!$B$3="実績報告（１次）",EP90,
IF(AND(テーブル!$B$3="交付申請（２次）",EP$26=0),0,
IF(AND(テーブル!$B$3="交付申請（２次）",EP$26&gt;=1),EP90,
IF(AND(テーブル!$B$3="交付申請兼実績報告（２次）",EP$26=0),0,
IF(AND(テーブル!$B$3="交付申請兼実績報告（２次）",EP$26&gt;=1),EP90,
IF(AND(テーブル!$B$3="実績報告（２次）",EP$26=0),0,
IF(AND(テーブル!$B$3="実績報告（２次）",EP$26&gt;=1),EP90)))))))))),0)</f>
        <v>0</v>
      </c>
      <c r="EQ44" s="1997">
        <f>IFERROR(
IF(テーブル!$B$3="交付申請",EQ90,
IF(AND(テーブル!$B$3="変更申請",EQ$26=0),0,
IF(AND(テーブル!$B$3="変更申請",EQ$26&gt;=1),EQ90,
IF(テーブル!$B$3="実績報告（１次）",EQ90,
IF(AND(テーブル!$B$3="交付申請（２次）",EQ$26=0),0,
IF(AND(テーブル!$B$3="交付申請（２次）",EQ$26&gt;=1),EQ90,
IF(AND(テーブル!$B$3="交付申請兼実績報告（２次）",EQ$26=0),0,
IF(AND(テーブル!$B$3="交付申請兼実績報告（２次）",EQ$26&gt;=1),EQ90,
IF(AND(テーブル!$B$3="実績報告（２次）",EQ$26=0),0,
IF(AND(テーブル!$B$3="実績報告（２次）",EQ$26&gt;=1),EQ90)))))))))),0)</f>
        <v>0</v>
      </c>
      <c r="ER44" s="1997">
        <f>IFERROR(
IF(テーブル!$B$3="交付申請",ER90,
IF(AND(テーブル!$B$3="変更申請",ER$26=0),0,
IF(AND(テーブル!$B$3="変更申請",ER$26&gt;=1),ER90,
IF(テーブル!$B$3="実績報告（１次）",ER90,
IF(AND(テーブル!$B$3="交付申請（２次）",ER$26=0),0,
IF(AND(テーブル!$B$3="交付申請（２次）",ER$26&gt;=1),ER90,
IF(AND(テーブル!$B$3="交付申請兼実績報告（２次）",ER$26=0),0,
IF(AND(テーブル!$B$3="交付申請兼実績報告（２次）",ER$26&gt;=1),ER90,
IF(AND(テーブル!$B$3="実績報告（２次）",ER$26=0),0,
IF(AND(テーブル!$B$3="実績報告（２次）",ER$26&gt;=1),ER90)))))))))),0)</f>
        <v>0</v>
      </c>
      <c r="ES44" s="1997">
        <f>IFERROR(
IF(テーブル!$B$3="交付申請",ES90,
IF(AND(テーブル!$B$3="変更申請",ES$26=0),0,
IF(AND(テーブル!$B$3="変更申請",ES$26&gt;=1),ES90,
IF(テーブル!$B$3="実績報告（１次）",ES90,
IF(AND(テーブル!$B$3="交付申請（２次）",ES$26=0),0,
IF(AND(テーブル!$B$3="交付申請（２次）",ES$26&gt;=1),ES90,
IF(AND(テーブル!$B$3="交付申請兼実績報告（２次）",ES$26=0),0,
IF(AND(テーブル!$B$3="交付申請兼実績報告（２次）",ES$26&gt;=1),ES90,
IF(AND(テーブル!$B$3="実績報告（２次）",ES$26=0),0,
IF(AND(テーブル!$B$3="実績報告（２次）",ES$26&gt;=1),ES90)))))))))),0)</f>
        <v>0</v>
      </c>
      <c r="ET44" s="1997">
        <f>IFERROR(
IF(テーブル!$B$3="交付申請",ET90,
IF(AND(テーブル!$B$3="変更申請",ET$26=0),0,
IF(AND(テーブル!$B$3="変更申請",ET$26&gt;=1),ET90,
IF(テーブル!$B$3="実績報告（１次）",ET90,
IF(AND(テーブル!$B$3="交付申請（２次）",ET$26=0),0,
IF(AND(テーブル!$B$3="交付申請（２次）",ET$26&gt;=1),ET90,
IF(AND(テーブル!$B$3="交付申請兼実績報告（２次）",ET$26=0),0,
IF(AND(テーブル!$B$3="交付申請兼実績報告（２次）",ET$26&gt;=1),ET90,
IF(AND(テーブル!$B$3="実績報告（２次）",ET$26=0),0,
IF(AND(テーブル!$B$3="実績報告（２次）",ET$26&gt;=1),ET90)))))))))),0)</f>
        <v>0</v>
      </c>
      <c r="EU44" s="1997">
        <f>IFERROR(
IF(テーブル!$B$3="交付申請",EU90,
IF(AND(テーブル!$B$3="変更申請",EU$26=0),0,
IF(AND(テーブル!$B$3="変更申請",EU$26&gt;=1),EU90,
IF(テーブル!$B$3="実績報告（１次）",EU90,
IF(AND(テーブル!$B$3="交付申請（２次）",EU$26=0),0,
IF(AND(テーブル!$B$3="交付申請（２次）",EU$26&gt;=1),EU90,
IF(AND(テーブル!$B$3="交付申請兼実績報告（２次）",EU$26=0),0,
IF(AND(テーブル!$B$3="交付申請兼実績報告（２次）",EU$26&gt;=1),EU90,
IF(AND(テーブル!$B$3="実績報告（２次）",EU$26=0),0,
IF(AND(テーブル!$B$3="実績報告（２次）",EU$26&gt;=1),EU90)))))))))),0)</f>
        <v>0</v>
      </c>
      <c r="EV44" s="1997">
        <f>IFERROR(
IF(テーブル!$B$3="交付申請",EV90,
IF(AND(テーブル!$B$3="変更申請",EV$26=0),0,
IF(AND(テーブル!$B$3="変更申請",EV$26&gt;=1),EV90,
IF(テーブル!$B$3="実績報告（１次）",EV90,
IF(AND(テーブル!$B$3="交付申請（２次）",EV$26=0),0,
IF(AND(テーブル!$B$3="交付申請（２次）",EV$26&gt;=1),EV90,
IF(AND(テーブル!$B$3="交付申請兼実績報告（２次）",EV$26=0),0,
IF(AND(テーブル!$B$3="交付申請兼実績報告（２次）",EV$26&gt;=1),EV90,
IF(AND(テーブル!$B$3="実績報告（２次）",EV$26=0),0,
IF(AND(テーブル!$B$3="実績報告（２次）",EV$26&gt;=1),EV90)))))))))),0)</f>
        <v>0</v>
      </c>
      <c r="EW44" s="1997">
        <f>IFERROR(
IF(テーブル!$B$3="交付申請",EW90,
IF(AND(テーブル!$B$3="変更申請",EW$26=0),0,
IF(AND(テーブル!$B$3="変更申請",EW$26&gt;=1),EW90,
IF(テーブル!$B$3="実績報告（１次）",EW90,
IF(AND(テーブル!$B$3="交付申請（２次）",EW$26=0),0,
IF(AND(テーブル!$B$3="交付申請（２次）",EW$26&gt;=1),EW90,
IF(AND(テーブル!$B$3="交付申請兼実績報告（２次）",EW$26=0),0,
IF(AND(テーブル!$B$3="交付申請兼実績報告（２次）",EW$26&gt;=1),EW90,
IF(AND(テーブル!$B$3="実績報告（２次）",EW$26=0),0,
IF(AND(テーブル!$B$3="実績報告（２次）",EW$26&gt;=1),EW90)))))))))),0)</f>
        <v>0</v>
      </c>
      <c r="EX44" s="1997">
        <f>IFERROR(
IF(テーブル!$B$3="交付申請",EX90,
IF(AND(テーブル!$B$3="変更申請",EX$26=0),0,
IF(AND(テーブル!$B$3="変更申請",EX$26&gt;=1),EX90,
IF(テーブル!$B$3="実績報告（１次）",EX90,
IF(AND(テーブル!$B$3="交付申請（２次）",EX$26=0),0,
IF(AND(テーブル!$B$3="交付申請（２次）",EX$26&gt;=1),EX90,
IF(AND(テーブル!$B$3="交付申請兼実績報告（２次）",EX$26=0),0,
IF(AND(テーブル!$B$3="交付申請兼実績報告（２次）",EX$26&gt;=1),EX90,
IF(AND(テーブル!$B$3="実績報告（２次）",EX$26=0),0,
IF(AND(テーブル!$B$3="実績報告（２次）",EX$26&gt;=1),EX90)))))))))),0)</f>
        <v>0</v>
      </c>
      <c r="EY44" s="1997">
        <f>IFERROR(
IF(テーブル!$B$3="交付申請",EY90,
IF(AND(テーブル!$B$3="変更申請",EY$26=0),0,
IF(AND(テーブル!$B$3="変更申請",EY$26&gt;=1),EY90,
IF(テーブル!$B$3="実績報告（１次）",EY90,
IF(AND(テーブル!$B$3="交付申請（２次）",EY$26=0),0,
IF(AND(テーブル!$B$3="交付申請（２次）",EY$26&gt;=1),EY90,
IF(AND(テーブル!$B$3="交付申請兼実績報告（２次）",EY$26=0),0,
IF(AND(テーブル!$B$3="交付申請兼実績報告（２次）",EY$26&gt;=1),EY90,
IF(AND(テーブル!$B$3="実績報告（２次）",EY$26=0),0,
IF(AND(テーブル!$B$3="実績報告（２次）",EY$26&gt;=1),EY90)))))))))),0)</f>
        <v>0</v>
      </c>
      <c r="EZ44" s="1997">
        <f>IFERROR(
IF(テーブル!$B$3="交付申請",EZ90,
IF(AND(テーブル!$B$3="変更申請",EZ$26=0),0,
IF(AND(テーブル!$B$3="変更申請",EZ$26&gt;=1),EZ90,
IF(テーブル!$B$3="実績報告（１次）",EZ90,
IF(AND(テーブル!$B$3="交付申請（２次）",EZ$26=0),0,
IF(AND(テーブル!$B$3="交付申請（２次）",EZ$26&gt;=1),EZ90,
IF(AND(テーブル!$B$3="交付申請兼実績報告（２次）",EZ$26=0),0,
IF(AND(テーブル!$B$3="交付申請兼実績報告（２次）",EZ$26&gt;=1),EZ90,
IF(AND(テーブル!$B$3="実績報告（２次）",EZ$26=0),0,
IF(AND(テーブル!$B$3="実績報告（２次）",EZ$26&gt;=1),EZ90)))))))))),0)</f>
        <v>0</v>
      </c>
      <c r="FA44" s="1997">
        <f>IFERROR(
IF(テーブル!$B$3="交付申請",FA90,
IF(AND(テーブル!$B$3="変更申請",FA$26=0),0,
IF(AND(テーブル!$B$3="変更申請",FA$26&gt;=1),FA90,
IF(テーブル!$B$3="実績報告（１次）",FA90,
IF(AND(テーブル!$B$3="交付申請（２次）",FA$26=0),0,
IF(AND(テーブル!$B$3="交付申請（２次）",FA$26&gt;=1),FA90,
IF(AND(テーブル!$B$3="交付申請兼実績報告（２次）",FA$26=0),0,
IF(AND(テーブル!$B$3="交付申請兼実績報告（２次）",FA$26&gt;=1),FA90,
IF(AND(テーブル!$B$3="実績報告（２次）",FA$26=0),0,
IF(AND(テーブル!$B$3="実績報告（２次）",FA$26&gt;=1),FA90)))))))))),0)</f>
        <v>0</v>
      </c>
      <c r="FB44" s="1997">
        <f>IFERROR(
IF(テーブル!$B$3="交付申請",FB90,
IF(AND(テーブル!$B$3="変更申請",FB$26=0),0,
IF(AND(テーブル!$B$3="変更申請",FB$26&gt;=1),FB90,
IF(テーブル!$B$3="実績報告（１次）",FB90,
IF(AND(テーブル!$B$3="交付申請（２次）",FB$26=0),0,
IF(AND(テーブル!$B$3="交付申請（２次）",FB$26&gt;=1),FB90,
IF(AND(テーブル!$B$3="交付申請兼実績報告（２次）",FB$26=0),0,
IF(AND(テーブル!$B$3="交付申請兼実績報告（２次）",FB$26&gt;=1),FB90,
IF(AND(テーブル!$B$3="実績報告（２次）",FB$26=0),0,
IF(AND(テーブル!$B$3="実績報告（２次）",FB$26&gt;=1),FB90)))))))))),0)</f>
        <v>0</v>
      </c>
      <c r="FC44" s="1997">
        <f>IFERROR(
IF(テーブル!$B$3="交付申請",FC90,
IF(AND(テーブル!$B$3="変更申請",FC$26=0),0,
IF(AND(テーブル!$B$3="変更申請",FC$26&gt;=1),FC90,
IF(テーブル!$B$3="実績報告（１次）",FC90,
IF(AND(テーブル!$B$3="交付申請（２次）",FC$26=0),0,
IF(AND(テーブル!$B$3="交付申請（２次）",FC$26&gt;=1),FC90,
IF(AND(テーブル!$B$3="交付申請兼実績報告（２次）",FC$26=0),0,
IF(AND(テーブル!$B$3="交付申請兼実績報告（２次）",FC$26&gt;=1),FC90,
IF(AND(テーブル!$B$3="実績報告（２次）",FC$26=0),0,
IF(AND(テーブル!$B$3="実績報告（２次）",FC$26&gt;=1),FC90)))))))))),0)</f>
        <v>0</v>
      </c>
      <c r="FD44" s="1997">
        <f>IFERROR(
IF(テーブル!$B$3="交付申請",FD90,
IF(AND(テーブル!$B$3="変更申請",FD$26=0),0,
IF(AND(テーブル!$B$3="変更申請",FD$26&gt;=1),FD90,
IF(テーブル!$B$3="実績報告（１次）",FD90,
IF(AND(テーブル!$B$3="交付申請（２次）",FD$26=0),0,
IF(AND(テーブル!$B$3="交付申請（２次）",FD$26&gt;=1),FD90,
IF(AND(テーブル!$B$3="交付申請兼実績報告（２次）",FD$26=0),0,
IF(AND(テーブル!$B$3="交付申請兼実績報告（２次）",FD$26&gt;=1),FD90,
IF(AND(テーブル!$B$3="実績報告（２次）",FD$26=0),0,
IF(AND(テーブル!$B$3="実績報告（２次）",FD$26&gt;=1),FD90)))))))))),0)</f>
        <v>0</v>
      </c>
      <c r="FE44" s="1997">
        <f>IFERROR(
IF(テーブル!$B$3="交付申請",FE90,
IF(AND(テーブル!$B$3="変更申請",FE$26=0),0,
IF(AND(テーブル!$B$3="変更申請",FE$26&gt;=1),FE90,
IF(テーブル!$B$3="実績報告（１次）",FE90,
IF(AND(テーブル!$B$3="交付申請（２次）",FE$26=0),0,
IF(AND(テーブル!$B$3="交付申請（２次）",FE$26&gt;=1),FE90,
IF(AND(テーブル!$B$3="交付申請兼実績報告（２次）",FE$26=0),0,
IF(AND(テーブル!$B$3="交付申請兼実績報告（２次）",FE$26&gt;=1),FE90,
IF(AND(テーブル!$B$3="実績報告（２次）",FE$26=0),0,
IF(AND(テーブル!$B$3="実績報告（２次）",FE$26&gt;=1),FE90)))))))))),0)</f>
        <v>0</v>
      </c>
      <c r="FF44" s="1997">
        <f>IFERROR(
IF(テーブル!$B$3="交付申請",FF90,
IF(AND(テーブル!$B$3="変更申請",FF$26=0),0,
IF(AND(テーブル!$B$3="変更申請",FF$26&gt;=1),FF90,
IF(テーブル!$B$3="実績報告（１次）",FF90,
IF(AND(テーブル!$B$3="交付申請（２次）",FF$26=0),0,
IF(AND(テーブル!$B$3="交付申請（２次）",FF$26&gt;=1),FF90,
IF(AND(テーブル!$B$3="交付申請兼実績報告（２次）",FF$26=0),0,
IF(AND(テーブル!$B$3="交付申請兼実績報告（２次）",FF$26&gt;=1),FF90,
IF(AND(テーブル!$B$3="実績報告（２次）",FF$26=0),0,
IF(AND(テーブル!$B$3="実績報告（２次）",FF$26&gt;=1),FF90)))))))))),0)</f>
        <v>0</v>
      </c>
      <c r="FG44" s="1997">
        <f>IFERROR(
IF(テーブル!$B$3="交付申請",FG90,
IF(AND(テーブル!$B$3="変更申請",FG$26=0),0,
IF(AND(テーブル!$B$3="変更申請",FG$26&gt;=1),FG90,
IF(テーブル!$B$3="実績報告（１次）",FG90,
IF(AND(テーブル!$B$3="交付申請（２次）",FG$26=0),0,
IF(AND(テーブル!$B$3="交付申請（２次）",FG$26&gt;=1),FG90,
IF(AND(テーブル!$B$3="交付申請兼実績報告（２次）",FG$26=0),0,
IF(AND(テーブル!$B$3="交付申請兼実績報告（２次）",FG$26&gt;=1),FG90,
IF(AND(テーブル!$B$3="実績報告（２次）",FG$26=0),0,
IF(AND(テーブル!$B$3="実績報告（２次）",FG$26&gt;=1),FG90)))))))))),0)</f>
        <v>0</v>
      </c>
      <c r="FH44" s="1997">
        <f>IFERROR(
IF(テーブル!$B$3="交付申請",FH90,
IF(AND(テーブル!$B$3="変更申請",FH$26=0),0,
IF(AND(テーブル!$B$3="変更申請",FH$26&gt;=1),FH90,
IF(テーブル!$B$3="実績報告（１次）",FH90,
IF(AND(テーブル!$B$3="交付申請（２次）",FH$26=0),0,
IF(AND(テーブル!$B$3="交付申請（２次）",FH$26&gt;=1),FH90,
IF(AND(テーブル!$B$3="交付申請兼実績報告（２次）",FH$26=0),0,
IF(AND(テーブル!$B$3="交付申請兼実績報告（２次）",FH$26&gt;=1),FH90,
IF(AND(テーブル!$B$3="実績報告（２次）",FH$26=0),0,
IF(AND(テーブル!$B$3="実績報告（２次）",FH$26&gt;=1),FH90)))))))))),0)</f>
        <v>0</v>
      </c>
      <c r="FI44" s="1997">
        <f>IFERROR(
IF(テーブル!$B$3="交付申請",FI90,
IF(AND(テーブル!$B$3="変更申請",FI$26=0),0,
IF(AND(テーブル!$B$3="変更申請",FI$26&gt;=1),FI90,
IF(テーブル!$B$3="実績報告（１次）",FI90,
IF(AND(テーブル!$B$3="交付申請（２次）",FI$26=0),0,
IF(AND(テーブル!$B$3="交付申請（２次）",FI$26&gt;=1),FI90,
IF(AND(テーブル!$B$3="交付申請兼実績報告（２次）",FI$26=0),0,
IF(AND(テーブル!$B$3="交付申請兼実績報告（２次）",FI$26&gt;=1),FI90,
IF(AND(テーブル!$B$3="実績報告（２次）",FI$26=0),0,
IF(AND(テーブル!$B$3="実績報告（２次）",FI$26&gt;=1),FI90)))))))))),0)</f>
        <v>0</v>
      </c>
      <c r="FJ44" s="1997">
        <f>IFERROR(
IF(テーブル!$B$3="交付申請",FJ90,
IF(AND(テーブル!$B$3="変更申請",FJ$26=0),0,
IF(AND(テーブル!$B$3="変更申請",FJ$26&gt;=1),FJ90,
IF(テーブル!$B$3="実績報告（１次）",FJ90,
IF(AND(テーブル!$B$3="交付申請（２次）",FJ$26=0),0,
IF(AND(テーブル!$B$3="交付申請（２次）",FJ$26&gt;=1),FJ90,
IF(AND(テーブル!$B$3="交付申請兼実績報告（２次）",FJ$26=0),0,
IF(AND(テーブル!$B$3="交付申請兼実績報告（２次）",FJ$26&gt;=1),FJ90,
IF(AND(テーブル!$B$3="実績報告（２次）",FJ$26=0),0,
IF(AND(テーブル!$B$3="実績報告（２次）",FJ$26&gt;=1),FJ90)))))))))),0)</f>
        <v>0</v>
      </c>
      <c r="FK44" s="1997">
        <f>IFERROR(
IF(テーブル!$B$3="交付申請",FK90,
IF(AND(テーブル!$B$3="変更申請",FK$26=0),0,
IF(AND(テーブル!$B$3="変更申請",FK$26&gt;=1),FK90,
IF(テーブル!$B$3="実績報告（１次）",FK90,
IF(AND(テーブル!$B$3="交付申請（２次）",FK$26=0),0,
IF(AND(テーブル!$B$3="交付申請（２次）",FK$26&gt;=1),FK90,
IF(AND(テーブル!$B$3="交付申請兼実績報告（２次）",FK$26=0),0,
IF(AND(テーブル!$B$3="交付申請兼実績報告（２次）",FK$26&gt;=1),FK90,
IF(AND(テーブル!$B$3="実績報告（２次）",FK$26=0),0,
IF(AND(テーブル!$B$3="実績報告（２次）",FK$26&gt;=1),FK90)))))))))),0)</f>
        <v>0</v>
      </c>
      <c r="FL44" s="1997">
        <f>IFERROR(
IF(テーブル!$B$3="交付申請",FL90,
IF(AND(テーブル!$B$3="変更申請",FL$26=0),0,
IF(AND(テーブル!$B$3="変更申請",FL$26&gt;=1),FL90,
IF(テーブル!$B$3="実績報告（１次）",FL90,
IF(AND(テーブル!$B$3="交付申請（２次）",FL$26=0),0,
IF(AND(テーブル!$B$3="交付申請（２次）",FL$26&gt;=1),FL90,
IF(AND(テーブル!$B$3="交付申請兼実績報告（２次）",FL$26=0),0,
IF(AND(テーブル!$B$3="交付申請兼実績報告（２次）",FL$26&gt;=1),FL90,
IF(AND(テーブル!$B$3="実績報告（２次）",FL$26=0),0,
IF(AND(テーブル!$B$3="実績報告（２次）",FL$26&gt;=1),FL90)))))))))),0)</f>
        <v>0</v>
      </c>
      <c r="FM44" s="1997">
        <f>IFERROR(
IF(テーブル!$B$3="交付申請",FM90,
IF(AND(テーブル!$B$3="変更申請",FM$26=0),0,
IF(AND(テーブル!$B$3="変更申請",FM$26&gt;=1),FM90,
IF(テーブル!$B$3="実績報告（１次）",FM90,
IF(AND(テーブル!$B$3="交付申請（２次）",FM$26=0),0,
IF(AND(テーブル!$B$3="交付申請（２次）",FM$26&gt;=1),FM90,
IF(AND(テーブル!$B$3="交付申請兼実績報告（２次）",FM$26=0),0,
IF(AND(テーブル!$B$3="交付申請兼実績報告（２次）",FM$26&gt;=1),FM90,
IF(AND(テーブル!$B$3="実績報告（２次）",FM$26=0),0,
IF(AND(テーブル!$B$3="実績報告（２次）",FM$26&gt;=1),FM90)))))))))),0)</f>
        <v>0</v>
      </c>
      <c r="FN44" s="1997">
        <f>IFERROR(
IF(テーブル!$B$3="交付申請",FN90,
IF(AND(テーブル!$B$3="変更申請",FN$26=0),0,
IF(AND(テーブル!$B$3="変更申請",FN$26&gt;=1),FN90,
IF(テーブル!$B$3="実績報告（１次）",FN90,
IF(AND(テーブル!$B$3="交付申請（２次）",FN$26=0),0,
IF(AND(テーブル!$B$3="交付申請（２次）",FN$26&gt;=1),FN90,
IF(AND(テーブル!$B$3="交付申請兼実績報告（２次）",FN$26=0),0,
IF(AND(テーブル!$B$3="交付申請兼実績報告（２次）",FN$26&gt;=1),FN90,
IF(AND(テーブル!$B$3="実績報告（２次）",FN$26=0),0,
IF(AND(テーブル!$B$3="実績報告（２次）",FN$26&gt;=1),FN90)))))))))),0)</f>
        <v>0</v>
      </c>
      <c r="FO44" s="1997">
        <f>IFERROR(
IF(テーブル!$B$3="交付申請",FO90,
IF(AND(テーブル!$B$3="変更申請",FO$26=0),0,
IF(AND(テーブル!$B$3="変更申請",FO$26&gt;=1),FO90,
IF(テーブル!$B$3="実績報告（１次）",FO90,
IF(AND(テーブル!$B$3="交付申請（２次）",FO$26=0),0,
IF(AND(テーブル!$B$3="交付申請（２次）",FO$26&gt;=1),FO90,
IF(AND(テーブル!$B$3="交付申請兼実績報告（２次）",FO$26=0),0,
IF(AND(テーブル!$B$3="交付申請兼実績報告（２次）",FO$26&gt;=1),FO90,
IF(AND(テーブル!$B$3="実績報告（２次）",FO$26=0),0,
IF(AND(テーブル!$B$3="実績報告（２次）",FO$26&gt;=1),FO90)))))))))),0)</f>
        <v>0</v>
      </c>
      <c r="FP44" s="1997">
        <f>IFERROR(
IF(テーブル!$B$3="交付申請",FP90,
IF(AND(テーブル!$B$3="変更申請",FP$26=0),0,
IF(AND(テーブル!$B$3="変更申請",FP$26&gt;=1),FP90,
IF(テーブル!$B$3="実績報告（１次）",FP90,
IF(AND(テーブル!$B$3="交付申請（２次）",FP$26=0),0,
IF(AND(テーブル!$B$3="交付申請（２次）",FP$26&gt;=1),FP90,
IF(AND(テーブル!$B$3="交付申請兼実績報告（２次）",FP$26=0),0,
IF(AND(テーブル!$B$3="交付申請兼実績報告（２次）",FP$26&gt;=1),FP90,
IF(AND(テーブル!$B$3="実績報告（２次）",FP$26=0),0,
IF(AND(テーブル!$B$3="実績報告（２次）",FP$26&gt;=1),FP90)))))))))),0)</f>
        <v>0</v>
      </c>
      <c r="FQ44" s="1997">
        <f>IFERROR(
IF(テーブル!$B$3="交付申請",FQ90,
IF(AND(テーブル!$B$3="変更申請",FQ$26=0),0,
IF(AND(テーブル!$B$3="変更申請",FQ$26&gt;=1),FQ90,
IF(テーブル!$B$3="実績報告（１次）",FQ90,
IF(AND(テーブル!$B$3="交付申請（２次）",FQ$26=0),0,
IF(AND(テーブル!$B$3="交付申請（２次）",FQ$26&gt;=1),FQ90,
IF(AND(テーブル!$B$3="交付申請兼実績報告（２次）",FQ$26=0),0,
IF(AND(テーブル!$B$3="交付申請兼実績報告（２次）",FQ$26&gt;=1),FQ90,
IF(AND(テーブル!$B$3="実績報告（２次）",FQ$26=0),0,
IF(AND(テーブル!$B$3="実績報告（２次）",FQ$26&gt;=1),FQ90)))))))))),0)</f>
        <v>0</v>
      </c>
      <c r="FR44" s="1997">
        <f>IFERROR(
IF(テーブル!$B$3="交付申請",FR90,
IF(AND(テーブル!$B$3="変更申請",FR$26=0),0,
IF(AND(テーブル!$B$3="変更申請",FR$26&gt;=1),FR90,
IF(テーブル!$B$3="実績報告（１次）",FR90,
IF(AND(テーブル!$B$3="交付申請（２次）",FR$26=0),0,
IF(AND(テーブル!$B$3="交付申請（２次）",FR$26&gt;=1),FR90,
IF(AND(テーブル!$B$3="交付申請兼実績報告（２次）",FR$26=0),0,
IF(AND(テーブル!$B$3="交付申請兼実績報告（２次）",FR$26&gt;=1),FR90,
IF(AND(テーブル!$B$3="実績報告（２次）",FR$26=0),0,
IF(AND(テーブル!$B$3="実績報告（２次）",FR$26&gt;=1),FR90)))))))))),0)</f>
        <v>0</v>
      </c>
      <c r="FS44" s="1997">
        <f>IFERROR(
IF(テーブル!$B$3="交付申請",FS90,
IF(AND(テーブル!$B$3="変更申請",FS$26=0),0,
IF(AND(テーブル!$B$3="変更申請",FS$26&gt;=1),FS90,
IF(テーブル!$B$3="実績報告（１次）",FS90,
IF(AND(テーブル!$B$3="交付申請（２次）",FS$26=0),0,
IF(AND(テーブル!$B$3="交付申請（２次）",FS$26&gt;=1),FS90,
IF(AND(テーブル!$B$3="交付申請兼実績報告（２次）",FS$26=0),0,
IF(AND(テーブル!$B$3="交付申請兼実績報告（２次）",FS$26&gt;=1),FS90,
IF(AND(テーブル!$B$3="実績報告（２次）",FS$26=0),0,
IF(AND(テーブル!$B$3="実績報告（２次）",FS$26&gt;=1),FS90)))))))))),0)</f>
        <v>0</v>
      </c>
      <c r="FT44" s="1997">
        <f>IFERROR(
IF(テーブル!$B$3="交付申請",FT90,
IF(AND(テーブル!$B$3="変更申請",FT$26=0),0,
IF(AND(テーブル!$B$3="変更申請",FT$26&gt;=1),FT90,
IF(テーブル!$B$3="実績報告（１次）",FT90,
IF(AND(テーブル!$B$3="交付申請（２次）",FT$26=0),0,
IF(AND(テーブル!$B$3="交付申請（２次）",FT$26&gt;=1),FT90,
IF(AND(テーブル!$B$3="交付申請兼実績報告（２次）",FT$26=0),0,
IF(AND(テーブル!$B$3="交付申請兼実績報告（２次）",FT$26&gt;=1),FT90,
IF(AND(テーブル!$B$3="実績報告（２次）",FT$26=0),0,
IF(AND(テーブル!$B$3="実績報告（２次）",FT$26&gt;=1),FT90)))))))))),0)</f>
        <v>0</v>
      </c>
      <c r="FU44" s="1997">
        <f>IFERROR(
IF(テーブル!$B$3="交付申請",FU90,
IF(AND(テーブル!$B$3="変更申請",FU$26=0),0,
IF(AND(テーブル!$B$3="変更申請",FU$26&gt;=1),FU90,
IF(テーブル!$B$3="実績報告（１次）",FU90,
IF(AND(テーブル!$B$3="交付申請（２次）",FU$26=0),0,
IF(AND(テーブル!$B$3="交付申請（２次）",FU$26&gt;=1),FU90,
IF(AND(テーブル!$B$3="交付申請兼実績報告（２次）",FU$26=0),0,
IF(AND(テーブル!$B$3="交付申請兼実績報告（２次）",FU$26&gt;=1),FU90,
IF(AND(テーブル!$B$3="実績報告（２次）",FU$26=0),0,
IF(AND(テーブル!$B$3="実績報告（２次）",FU$26&gt;=1),FU90)))))))))),0)</f>
        <v>0</v>
      </c>
      <c r="FV44" s="1997">
        <f>IFERROR(
IF(テーブル!$B$3="交付申請",FV90,
IF(AND(テーブル!$B$3="変更申請",FV$26=0),0,
IF(AND(テーブル!$B$3="変更申請",FV$26&gt;=1),FV90,
IF(テーブル!$B$3="実績報告（１次）",FV90,
IF(AND(テーブル!$B$3="交付申請（２次）",FV$26=0),0,
IF(AND(テーブル!$B$3="交付申請（２次）",FV$26&gt;=1),FV90,
IF(AND(テーブル!$B$3="交付申請兼実績報告（２次）",FV$26=0),0,
IF(AND(テーブル!$B$3="交付申請兼実績報告（２次）",FV$26&gt;=1),FV90,
IF(AND(テーブル!$B$3="実績報告（２次）",FV$26=0),0,
IF(AND(テーブル!$B$3="実績報告（２次）",FV$26&gt;=1),FV90)))))))))),0)</f>
        <v>0</v>
      </c>
      <c r="FW44" s="1997">
        <f>IFERROR(
IF(テーブル!$B$3="交付申請",FW90,
IF(AND(テーブル!$B$3="変更申請",FW$26=0),0,
IF(AND(テーブル!$B$3="変更申請",FW$26&gt;=1),FW90,
IF(テーブル!$B$3="実績報告（１次）",FW90,
IF(AND(テーブル!$B$3="交付申請（２次）",FW$26=0),0,
IF(AND(テーブル!$B$3="交付申請（２次）",FW$26&gt;=1),FW90,
IF(AND(テーブル!$B$3="交付申請兼実績報告（２次）",FW$26=0),0,
IF(AND(テーブル!$B$3="交付申請兼実績報告（２次）",FW$26&gt;=1),FW90,
IF(AND(テーブル!$B$3="実績報告（２次）",FW$26=0),0,
IF(AND(テーブル!$B$3="実績報告（２次）",FW$26&gt;=1),FW90)))))))))),0)</f>
        <v>0</v>
      </c>
      <c r="FX44" s="1997">
        <f>IFERROR(
IF(テーブル!$B$3="交付申請",FX90,
IF(AND(テーブル!$B$3="変更申請",FX$26=0),0,
IF(AND(テーブル!$B$3="変更申請",FX$26&gt;=1),FX90,
IF(テーブル!$B$3="実績報告（１次）",FX90,
IF(AND(テーブル!$B$3="交付申請（２次）",FX$26=0),0,
IF(AND(テーブル!$B$3="交付申請（２次）",FX$26&gt;=1),FX90,
IF(AND(テーブル!$B$3="交付申請兼実績報告（２次）",FX$26=0),0,
IF(AND(テーブル!$B$3="交付申請兼実績報告（２次）",FX$26&gt;=1),FX90,
IF(AND(テーブル!$B$3="実績報告（２次）",FX$26=0),0,
IF(AND(テーブル!$B$3="実績報告（２次）",FX$26&gt;=1),FX90)))))))))),0)</f>
        <v>0</v>
      </c>
      <c r="FY44" s="1997">
        <f>IFERROR(
IF(テーブル!$B$3="交付申請",FY90,
IF(AND(テーブル!$B$3="変更申請",FY$26=0),0,
IF(AND(テーブル!$B$3="変更申請",FY$26&gt;=1),FY90,
IF(テーブル!$B$3="実績報告（１次）",FY90,
IF(AND(テーブル!$B$3="交付申請（２次）",FY$26=0),0,
IF(AND(テーブル!$B$3="交付申請（２次）",FY$26&gt;=1),FY90,
IF(AND(テーブル!$B$3="交付申請兼実績報告（２次）",FY$26=0),0,
IF(AND(テーブル!$B$3="交付申請兼実績報告（２次）",FY$26&gt;=1),FY90,
IF(AND(テーブル!$B$3="実績報告（２次）",FY$26=0),0,
IF(AND(テーブル!$B$3="実績報告（２次）",FY$26&gt;=1),FY90)))))))))),0)</f>
        <v>0</v>
      </c>
      <c r="FZ44" s="1997">
        <f>IFERROR(
IF(テーブル!$B$3="交付申請",FZ90,
IF(AND(テーブル!$B$3="変更申請",FZ$26=0),0,
IF(AND(テーブル!$B$3="変更申請",FZ$26&gt;=1),FZ90,
IF(テーブル!$B$3="実績報告（１次）",FZ90,
IF(AND(テーブル!$B$3="交付申請（２次）",FZ$26=0),0,
IF(AND(テーブル!$B$3="交付申請（２次）",FZ$26&gt;=1),FZ90,
IF(AND(テーブル!$B$3="交付申請兼実績報告（２次）",FZ$26=0),0,
IF(AND(テーブル!$B$3="交付申請兼実績報告（２次）",FZ$26&gt;=1),FZ90,
IF(AND(テーブル!$B$3="実績報告（２次）",FZ$26=0),0,
IF(AND(テーブル!$B$3="実績報告（２次）",FZ$26&gt;=1),FZ90)))))))))),0)</f>
        <v>0</v>
      </c>
      <c r="GA44" s="1997">
        <f>IFERROR(
IF(テーブル!$B$3="交付申請",GA90,
IF(AND(テーブル!$B$3="変更申請",GA$26=0),0,
IF(AND(テーブル!$B$3="変更申請",GA$26&gt;=1),GA90,
IF(テーブル!$B$3="実績報告（１次）",GA90,
IF(AND(テーブル!$B$3="交付申請（２次）",GA$26=0),0,
IF(AND(テーブル!$B$3="交付申請（２次）",GA$26&gt;=1),GA90,
IF(AND(テーブル!$B$3="交付申請兼実績報告（２次）",GA$26=0),0,
IF(AND(テーブル!$B$3="交付申請兼実績報告（２次）",GA$26&gt;=1),GA90,
IF(AND(テーブル!$B$3="実績報告（２次）",GA$26=0),0,
IF(AND(テーブル!$B$3="実績報告（２次）",GA$26&gt;=1),GA90)))))))))),0)</f>
        <v>0</v>
      </c>
      <c r="GB44" s="1997">
        <f>IFERROR(
IF(テーブル!$B$3="交付申請",GB90,
IF(AND(テーブル!$B$3="変更申請",GB$26=0),0,
IF(AND(テーブル!$B$3="変更申請",GB$26&gt;=1),GB90,
IF(テーブル!$B$3="実績報告（１次）",GB90,
IF(AND(テーブル!$B$3="交付申請（２次）",GB$26=0),0,
IF(AND(テーブル!$B$3="交付申請（２次）",GB$26&gt;=1),GB90,
IF(AND(テーブル!$B$3="交付申請兼実績報告（２次）",GB$26=0),0,
IF(AND(テーブル!$B$3="交付申請兼実績報告（２次）",GB$26&gt;=1),GB90,
IF(AND(テーブル!$B$3="実績報告（２次）",GB$26=0),0,
IF(AND(テーブル!$B$3="実績報告（２次）",GB$26&gt;=1),GB90)))))))))),0)</f>
        <v>0</v>
      </c>
      <c r="GC44" s="1997">
        <f>IFERROR(
IF(テーブル!$B$3="交付申請",GC90,
IF(AND(テーブル!$B$3="変更申請",GC$26=0),0,
IF(AND(テーブル!$B$3="変更申請",GC$26&gt;=1),GC90,
IF(テーブル!$B$3="実績報告（１次）",GC90,
IF(AND(テーブル!$B$3="交付申請（２次）",GC$26=0),0,
IF(AND(テーブル!$B$3="交付申請（２次）",GC$26&gt;=1),GC90,
IF(AND(テーブル!$B$3="交付申請兼実績報告（２次）",GC$26=0),0,
IF(AND(テーブル!$B$3="交付申請兼実績報告（２次）",GC$26&gt;=1),GC90,
IF(AND(テーブル!$B$3="実績報告（２次）",GC$26=0),0,
IF(AND(テーブル!$B$3="実績報告（２次）",GC$26&gt;=1),GC90)))))))))),0)</f>
        <v>0</v>
      </c>
      <c r="GD44" s="1997">
        <f>IFERROR(
IF(テーブル!$B$3="交付申請",GD90,
IF(AND(テーブル!$B$3="変更申請",GD$26=0),0,
IF(AND(テーブル!$B$3="変更申請",GD$26&gt;=1),GD90,
IF(テーブル!$B$3="実績報告（１次）",GD90,
IF(AND(テーブル!$B$3="交付申請（２次）",GD$26=0),0,
IF(AND(テーブル!$B$3="交付申請（２次）",GD$26&gt;=1),GD90,
IF(AND(テーブル!$B$3="交付申請兼実績報告（２次）",GD$26=0),0,
IF(AND(テーブル!$B$3="交付申請兼実績報告（２次）",GD$26&gt;=1),GD90,
IF(AND(テーブル!$B$3="実績報告（２次）",GD$26=0),0,
IF(AND(テーブル!$B$3="実績報告（２次）",GD$26&gt;=1),GD90)))))))))),0)</f>
        <v>0</v>
      </c>
      <c r="GE44" s="1997">
        <f>IFERROR(
IF(テーブル!$B$3="交付申請",GE90,
IF(AND(テーブル!$B$3="変更申請",GE$26=0),0,
IF(AND(テーブル!$B$3="変更申請",GE$26&gt;=1),GE90,
IF(テーブル!$B$3="実績報告（１次）",GE90,
IF(AND(テーブル!$B$3="交付申請（２次）",GE$26=0),0,
IF(AND(テーブル!$B$3="交付申請（２次）",GE$26&gt;=1),GE90,
IF(AND(テーブル!$B$3="交付申請兼実績報告（２次）",GE$26=0),0,
IF(AND(テーブル!$B$3="交付申請兼実績報告（２次）",GE$26&gt;=1),GE90,
IF(AND(テーブル!$B$3="実績報告（２次）",GE$26=0),0,
IF(AND(テーブル!$B$3="実績報告（２次）",GE$26&gt;=1),GE90)))))))))),0)</f>
        <v>0</v>
      </c>
      <c r="GF44" s="1997">
        <f>IFERROR(
IF(テーブル!$B$3="交付申請",GF90,
IF(AND(テーブル!$B$3="変更申請",GF$26=0),0,
IF(AND(テーブル!$B$3="変更申請",GF$26&gt;=1),GF90,
IF(テーブル!$B$3="実績報告（１次）",GF90,
IF(AND(テーブル!$B$3="交付申請（２次）",GF$26=0),0,
IF(AND(テーブル!$B$3="交付申請（２次）",GF$26&gt;=1),GF90,
IF(AND(テーブル!$B$3="交付申請兼実績報告（２次）",GF$26=0),0,
IF(AND(テーブル!$B$3="交付申請兼実績報告（２次）",GF$26&gt;=1),GF90,
IF(AND(テーブル!$B$3="実績報告（２次）",GF$26=0),0,
IF(AND(テーブル!$B$3="実績報告（２次）",GF$26&gt;=1),GF90)))))))))),0)</f>
        <v>0</v>
      </c>
    </row>
    <row r="45" spans="1:189" s="639" customFormat="1" ht="15" customHeight="1" x14ac:dyDescent="0.4">
      <c r="A45" s="631"/>
      <c r="B45" s="639" t="s">
        <v>1001</v>
      </c>
      <c r="C45" s="1990" t="s">
        <v>1386</v>
      </c>
      <c r="D45" s="1991"/>
      <c r="E45" s="640"/>
      <c r="F45" s="1998">
        <f xml:space="preserve">
IF($F$25="休診日",0,
MIN(F46,IF((VLOOKUP($F$22&amp;$B45,$B$96:$D$191,2,FALSE)-F47)&lt;0,0,VLOOKUP($F$22&amp;$B45,$B$96:$D$191,2,FALSE)-F47)))</f>
        <v>0</v>
      </c>
      <c r="G45" s="1999">
        <f xml:space="preserve">
IF(G$25="休診日",0,
IF(G47&gt;=VLOOKUP(G$22&amp;$B45,$B$96:$D$191,2,FALSE),0,
IF(AND(G47&lt;VLOOKUP(G$22&amp;$B45,$B$96:$D$191,2,FALSE),G46&lt;=VLOOKUP(G$22&amp;$B45,$B$96:$D$191,2,FALSE)),IF(G46-G47&lt;0,0,G46-G47),
IF(AND(G47&lt;VLOOKUP(G$22&amp;$B45,$B$96:$D$191,2,FALSE),G46&gt;VLOOKUP(G$22&amp;$B45,$B$96:$D$191,2,FALSE)),VLOOKUP(G$22&amp;$B45,$B$96:$D$191,2,FALSE)-G47))))</f>
        <v>0</v>
      </c>
      <c r="H45" s="1999">
        <f t="shared" ref="H45:BS45" si="22" xml:space="preserve">
IF(H$25="休診日",0,
IF(H47&gt;=VLOOKUP(H$22&amp;$B45,$B$96:$D$191,2,FALSE),0,
IF(AND(H47&lt;VLOOKUP(H$22&amp;$B45,$B$96:$D$191,2,FALSE),H46&lt;=VLOOKUP(H$22&amp;$B45,$B$96:$D$191,2,FALSE)),IF(H46-H47&lt;0,0,H46-H47),
IF(AND(H47&lt;VLOOKUP(H$22&amp;$B45,$B$96:$D$191,2,FALSE),H46&gt;VLOOKUP(H$22&amp;$B45,$B$96:$D$191,2,FALSE)),VLOOKUP(H$22&amp;$B45,$B$96:$D$191,2,FALSE)-H47))))</f>
        <v>0</v>
      </c>
      <c r="I45" s="1999">
        <f t="shared" si="22"/>
        <v>0</v>
      </c>
      <c r="J45" s="1999">
        <f t="shared" si="22"/>
        <v>0</v>
      </c>
      <c r="K45" s="1999">
        <f t="shared" si="22"/>
        <v>0</v>
      </c>
      <c r="L45" s="1999">
        <f t="shared" si="22"/>
        <v>0</v>
      </c>
      <c r="M45" s="1999">
        <f t="shared" si="22"/>
        <v>0</v>
      </c>
      <c r="N45" s="1999">
        <f t="shared" si="22"/>
        <v>0</v>
      </c>
      <c r="O45" s="1999">
        <f t="shared" si="22"/>
        <v>0</v>
      </c>
      <c r="P45" s="1999">
        <f t="shared" si="22"/>
        <v>0</v>
      </c>
      <c r="Q45" s="1999">
        <f t="shared" si="22"/>
        <v>0</v>
      </c>
      <c r="R45" s="1999">
        <f t="shared" si="22"/>
        <v>0</v>
      </c>
      <c r="S45" s="1999">
        <f t="shared" si="22"/>
        <v>0</v>
      </c>
      <c r="T45" s="1999">
        <f t="shared" si="22"/>
        <v>0</v>
      </c>
      <c r="U45" s="1999">
        <f t="shared" si="22"/>
        <v>0</v>
      </c>
      <c r="V45" s="1999">
        <f t="shared" si="22"/>
        <v>0</v>
      </c>
      <c r="W45" s="1999">
        <f t="shared" si="22"/>
        <v>0</v>
      </c>
      <c r="X45" s="1999">
        <f t="shared" si="22"/>
        <v>0</v>
      </c>
      <c r="Y45" s="1999">
        <f t="shared" si="22"/>
        <v>0</v>
      </c>
      <c r="Z45" s="1999">
        <f t="shared" si="22"/>
        <v>0</v>
      </c>
      <c r="AA45" s="1999">
        <f t="shared" si="22"/>
        <v>0</v>
      </c>
      <c r="AB45" s="1999">
        <f t="shared" si="22"/>
        <v>0</v>
      </c>
      <c r="AC45" s="1999">
        <f t="shared" si="22"/>
        <v>0</v>
      </c>
      <c r="AD45" s="1999">
        <f t="shared" si="22"/>
        <v>0</v>
      </c>
      <c r="AE45" s="1999">
        <f t="shared" si="22"/>
        <v>0</v>
      </c>
      <c r="AF45" s="1999">
        <f t="shared" si="22"/>
        <v>0</v>
      </c>
      <c r="AG45" s="1999">
        <f t="shared" si="22"/>
        <v>0</v>
      </c>
      <c r="AH45" s="1999">
        <f t="shared" si="22"/>
        <v>0</v>
      </c>
      <c r="AI45" s="1999">
        <f t="shared" si="22"/>
        <v>0</v>
      </c>
      <c r="AJ45" s="1999">
        <f t="shared" si="22"/>
        <v>0</v>
      </c>
      <c r="AK45" s="1999">
        <f t="shared" si="22"/>
        <v>0</v>
      </c>
      <c r="AL45" s="1999">
        <f t="shared" si="22"/>
        <v>0</v>
      </c>
      <c r="AM45" s="1999">
        <f t="shared" si="22"/>
        <v>0</v>
      </c>
      <c r="AN45" s="1999">
        <f t="shared" si="22"/>
        <v>0</v>
      </c>
      <c r="AO45" s="1999">
        <f t="shared" si="22"/>
        <v>0</v>
      </c>
      <c r="AP45" s="1999">
        <f t="shared" si="22"/>
        <v>0</v>
      </c>
      <c r="AQ45" s="1999">
        <f t="shared" si="22"/>
        <v>0</v>
      </c>
      <c r="AR45" s="1999">
        <f t="shared" si="22"/>
        <v>0</v>
      </c>
      <c r="AS45" s="1999">
        <f t="shared" si="22"/>
        <v>0</v>
      </c>
      <c r="AT45" s="1999">
        <f t="shared" si="22"/>
        <v>0</v>
      </c>
      <c r="AU45" s="1999">
        <f t="shared" si="22"/>
        <v>0</v>
      </c>
      <c r="AV45" s="1999">
        <f t="shared" si="22"/>
        <v>0</v>
      </c>
      <c r="AW45" s="1999">
        <f t="shared" si="22"/>
        <v>0</v>
      </c>
      <c r="AX45" s="1999">
        <f t="shared" si="22"/>
        <v>0</v>
      </c>
      <c r="AY45" s="1999">
        <f t="shared" si="22"/>
        <v>0</v>
      </c>
      <c r="AZ45" s="1999">
        <f t="shared" si="22"/>
        <v>0</v>
      </c>
      <c r="BA45" s="1999">
        <f t="shared" si="22"/>
        <v>0</v>
      </c>
      <c r="BB45" s="1999">
        <f t="shared" si="22"/>
        <v>0</v>
      </c>
      <c r="BC45" s="1999">
        <f t="shared" si="22"/>
        <v>0</v>
      </c>
      <c r="BD45" s="1999">
        <f t="shared" si="22"/>
        <v>0</v>
      </c>
      <c r="BE45" s="1999">
        <f t="shared" si="22"/>
        <v>0</v>
      </c>
      <c r="BF45" s="1999">
        <f t="shared" si="22"/>
        <v>0</v>
      </c>
      <c r="BG45" s="1999">
        <f t="shared" si="22"/>
        <v>0</v>
      </c>
      <c r="BH45" s="1999">
        <f t="shared" si="22"/>
        <v>0</v>
      </c>
      <c r="BI45" s="1999">
        <f t="shared" si="22"/>
        <v>0</v>
      </c>
      <c r="BJ45" s="1999">
        <f t="shared" si="22"/>
        <v>0</v>
      </c>
      <c r="BK45" s="1999">
        <f t="shared" si="22"/>
        <v>0</v>
      </c>
      <c r="BL45" s="1999">
        <f t="shared" si="22"/>
        <v>0</v>
      </c>
      <c r="BM45" s="1999">
        <f t="shared" si="22"/>
        <v>0</v>
      </c>
      <c r="BN45" s="1999">
        <f t="shared" si="22"/>
        <v>0</v>
      </c>
      <c r="BO45" s="1999">
        <f t="shared" si="22"/>
        <v>0</v>
      </c>
      <c r="BP45" s="1999">
        <f t="shared" si="22"/>
        <v>0</v>
      </c>
      <c r="BQ45" s="1999">
        <f t="shared" si="22"/>
        <v>0</v>
      </c>
      <c r="BR45" s="1999">
        <f t="shared" si="22"/>
        <v>0</v>
      </c>
      <c r="BS45" s="1999">
        <f t="shared" si="22"/>
        <v>0</v>
      </c>
      <c r="BT45" s="1999">
        <f t="shared" ref="BT45:EE45" si="23" xml:space="preserve">
IF(BT$25="休診日",0,
IF(BT47&gt;=VLOOKUP(BT$22&amp;$B45,$B$96:$D$191,2,FALSE),0,
IF(AND(BT47&lt;VLOOKUP(BT$22&amp;$B45,$B$96:$D$191,2,FALSE),BT46&lt;=VLOOKUP(BT$22&amp;$B45,$B$96:$D$191,2,FALSE)),IF(BT46-BT47&lt;0,0,BT46-BT47),
IF(AND(BT47&lt;VLOOKUP(BT$22&amp;$B45,$B$96:$D$191,2,FALSE),BT46&gt;VLOOKUP(BT$22&amp;$B45,$B$96:$D$191,2,FALSE)),VLOOKUP(BT$22&amp;$B45,$B$96:$D$191,2,FALSE)-BT47))))</f>
        <v>0</v>
      </c>
      <c r="BU45" s="1999">
        <f t="shared" si="23"/>
        <v>0</v>
      </c>
      <c r="BV45" s="1999">
        <f t="shared" si="23"/>
        <v>0</v>
      </c>
      <c r="BW45" s="1999">
        <f t="shared" si="23"/>
        <v>0</v>
      </c>
      <c r="BX45" s="1999">
        <f t="shared" si="23"/>
        <v>0</v>
      </c>
      <c r="BY45" s="1999">
        <f t="shared" si="23"/>
        <v>0</v>
      </c>
      <c r="BZ45" s="1999">
        <f t="shared" si="23"/>
        <v>0</v>
      </c>
      <c r="CA45" s="1999">
        <f t="shared" si="23"/>
        <v>0</v>
      </c>
      <c r="CB45" s="1999">
        <f t="shared" si="23"/>
        <v>0</v>
      </c>
      <c r="CC45" s="1999">
        <f t="shared" si="23"/>
        <v>0</v>
      </c>
      <c r="CD45" s="1999">
        <f t="shared" si="23"/>
        <v>0</v>
      </c>
      <c r="CE45" s="1999">
        <f t="shared" si="23"/>
        <v>0</v>
      </c>
      <c r="CF45" s="1999">
        <f t="shared" si="23"/>
        <v>0</v>
      </c>
      <c r="CG45" s="1999">
        <f t="shared" si="23"/>
        <v>0</v>
      </c>
      <c r="CH45" s="1999">
        <f t="shared" si="23"/>
        <v>0</v>
      </c>
      <c r="CI45" s="1999">
        <f t="shared" si="23"/>
        <v>0</v>
      </c>
      <c r="CJ45" s="1999">
        <f t="shared" si="23"/>
        <v>0</v>
      </c>
      <c r="CK45" s="1999">
        <f t="shared" si="23"/>
        <v>0</v>
      </c>
      <c r="CL45" s="1999">
        <f t="shared" si="23"/>
        <v>0</v>
      </c>
      <c r="CM45" s="1999">
        <f t="shared" si="23"/>
        <v>0</v>
      </c>
      <c r="CN45" s="1999">
        <f t="shared" si="23"/>
        <v>0</v>
      </c>
      <c r="CO45" s="1999">
        <f t="shared" si="23"/>
        <v>0</v>
      </c>
      <c r="CP45" s="1999">
        <f t="shared" si="23"/>
        <v>0</v>
      </c>
      <c r="CQ45" s="1999">
        <f t="shared" si="23"/>
        <v>0</v>
      </c>
      <c r="CR45" s="1999">
        <f t="shared" si="23"/>
        <v>0</v>
      </c>
      <c r="CS45" s="1999">
        <f t="shared" si="23"/>
        <v>0</v>
      </c>
      <c r="CT45" s="1999">
        <f t="shared" si="23"/>
        <v>0</v>
      </c>
      <c r="CU45" s="1999">
        <f t="shared" si="23"/>
        <v>0</v>
      </c>
      <c r="CV45" s="1999">
        <f t="shared" si="23"/>
        <v>0</v>
      </c>
      <c r="CW45" s="1999">
        <f t="shared" si="23"/>
        <v>0</v>
      </c>
      <c r="CX45" s="1999">
        <f t="shared" si="23"/>
        <v>0</v>
      </c>
      <c r="CY45" s="1999">
        <f t="shared" si="23"/>
        <v>0</v>
      </c>
      <c r="CZ45" s="1999">
        <f t="shared" si="23"/>
        <v>0</v>
      </c>
      <c r="DA45" s="1999">
        <f t="shared" si="23"/>
        <v>0</v>
      </c>
      <c r="DB45" s="1999">
        <f t="shared" si="23"/>
        <v>0</v>
      </c>
      <c r="DC45" s="1999">
        <f t="shared" si="23"/>
        <v>0</v>
      </c>
      <c r="DD45" s="1999">
        <f t="shared" si="23"/>
        <v>0</v>
      </c>
      <c r="DE45" s="1999">
        <f t="shared" si="23"/>
        <v>0</v>
      </c>
      <c r="DF45" s="1999">
        <f t="shared" si="23"/>
        <v>0</v>
      </c>
      <c r="DG45" s="1999">
        <f t="shared" si="23"/>
        <v>0</v>
      </c>
      <c r="DH45" s="1999">
        <f t="shared" si="23"/>
        <v>0</v>
      </c>
      <c r="DI45" s="1999">
        <f t="shared" si="23"/>
        <v>0</v>
      </c>
      <c r="DJ45" s="1999">
        <f t="shared" si="23"/>
        <v>0</v>
      </c>
      <c r="DK45" s="1999">
        <f t="shared" si="23"/>
        <v>0</v>
      </c>
      <c r="DL45" s="1999">
        <f t="shared" si="23"/>
        <v>0</v>
      </c>
      <c r="DM45" s="1999">
        <f t="shared" si="23"/>
        <v>0</v>
      </c>
      <c r="DN45" s="1999">
        <f t="shared" si="23"/>
        <v>0</v>
      </c>
      <c r="DO45" s="1999">
        <f t="shared" si="23"/>
        <v>0</v>
      </c>
      <c r="DP45" s="1999">
        <f t="shared" si="23"/>
        <v>0</v>
      </c>
      <c r="DQ45" s="1999">
        <f t="shared" si="23"/>
        <v>0</v>
      </c>
      <c r="DR45" s="1999">
        <f t="shared" si="23"/>
        <v>0</v>
      </c>
      <c r="DS45" s="1999">
        <f t="shared" si="23"/>
        <v>0</v>
      </c>
      <c r="DT45" s="1999">
        <f t="shared" si="23"/>
        <v>0</v>
      </c>
      <c r="DU45" s="1999">
        <f t="shared" si="23"/>
        <v>0</v>
      </c>
      <c r="DV45" s="1999">
        <f t="shared" si="23"/>
        <v>0</v>
      </c>
      <c r="DW45" s="1999">
        <f t="shared" si="23"/>
        <v>0</v>
      </c>
      <c r="DX45" s="1999">
        <f t="shared" si="23"/>
        <v>0</v>
      </c>
      <c r="DY45" s="1999">
        <f t="shared" si="23"/>
        <v>0</v>
      </c>
      <c r="DZ45" s="1999">
        <f t="shared" si="23"/>
        <v>0</v>
      </c>
      <c r="EA45" s="1999">
        <f t="shared" si="23"/>
        <v>0</v>
      </c>
      <c r="EB45" s="1999">
        <f t="shared" si="23"/>
        <v>0</v>
      </c>
      <c r="EC45" s="1999">
        <f t="shared" si="23"/>
        <v>0</v>
      </c>
      <c r="ED45" s="1999">
        <f t="shared" si="23"/>
        <v>0</v>
      </c>
      <c r="EE45" s="1999">
        <f t="shared" si="23"/>
        <v>0</v>
      </c>
      <c r="EF45" s="1999">
        <f t="shared" ref="EF45:GF45" si="24" xml:space="preserve">
IF(EF$25="休診日",0,
IF(EF47&gt;=VLOOKUP(EF$22&amp;$B45,$B$96:$D$191,2,FALSE),0,
IF(AND(EF47&lt;VLOOKUP(EF$22&amp;$B45,$B$96:$D$191,2,FALSE),EF46&lt;=VLOOKUP(EF$22&amp;$B45,$B$96:$D$191,2,FALSE)),IF(EF46-EF47&lt;0,0,EF46-EF47),
IF(AND(EF47&lt;VLOOKUP(EF$22&amp;$B45,$B$96:$D$191,2,FALSE),EF46&gt;VLOOKUP(EF$22&amp;$B45,$B$96:$D$191,2,FALSE)),VLOOKUP(EF$22&amp;$B45,$B$96:$D$191,2,FALSE)-EF47))))</f>
        <v>0</v>
      </c>
      <c r="EG45" s="1999">
        <f t="shared" si="24"/>
        <v>0</v>
      </c>
      <c r="EH45" s="1999">
        <f t="shared" si="24"/>
        <v>0</v>
      </c>
      <c r="EI45" s="1999">
        <f t="shared" si="24"/>
        <v>0</v>
      </c>
      <c r="EJ45" s="1999">
        <f t="shared" si="24"/>
        <v>0</v>
      </c>
      <c r="EK45" s="1999">
        <f t="shared" si="24"/>
        <v>0</v>
      </c>
      <c r="EL45" s="1999">
        <f t="shared" si="24"/>
        <v>0</v>
      </c>
      <c r="EM45" s="1999">
        <f t="shared" si="24"/>
        <v>0</v>
      </c>
      <c r="EN45" s="1999">
        <f t="shared" si="24"/>
        <v>0</v>
      </c>
      <c r="EO45" s="1999">
        <f t="shared" si="24"/>
        <v>0</v>
      </c>
      <c r="EP45" s="1999">
        <f t="shared" si="24"/>
        <v>0</v>
      </c>
      <c r="EQ45" s="1999">
        <f t="shared" si="24"/>
        <v>0</v>
      </c>
      <c r="ER45" s="1999">
        <f t="shared" si="24"/>
        <v>0</v>
      </c>
      <c r="ES45" s="1999">
        <f t="shared" si="24"/>
        <v>0</v>
      </c>
      <c r="ET45" s="1999">
        <f t="shared" si="24"/>
        <v>0</v>
      </c>
      <c r="EU45" s="1999">
        <f t="shared" si="24"/>
        <v>0</v>
      </c>
      <c r="EV45" s="1999">
        <f t="shared" si="24"/>
        <v>0</v>
      </c>
      <c r="EW45" s="1999">
        <f t="shared" si="24"/>
        <v>0</v>
      </c>
      <c r="EX45" s="1999">
        <f t="shared" si="24"/>
        <v>0</v>
      </c>
      <c r="EY45" s="1999">
        <f t="shared" si="24"/>
        <v>0</v>
      </c>
      <c r="EZ45" s="1999">
        <f t="shared" si="24"/>
        <v>0</v>
      </c>
      <c r="FA45" s="1999">
        <f t="shared" si="24"/>
        <v>0</v>
      </c>
      <c r="FB45" s="1999">
        <f t="shared" si="24"/>
        <v>0</v>
      </c>
      <c r="FC45" s="1999">
        <f t="shared" si="24"/>
        <v>0</v>
      </c>
      <c r="FD45" s="1999">
        <f t="shared" si="24"/>
        <v>0</v>
      </c>
      <c r="FE45" s="1999">
        <f t="shared" si="24"/>
        <v>0</v>
      </c>
      <c r="FF45" s="1999">
        <f t="shared" si="24"/>
        <v>0</v>
      </c>
      <c r="FG45" s="1999">
        <f t="shared" si="24"/>
        <v>0</v>
      </c>
      <c r="FH45" s="1999">
        <f t="shared" si="24"/>
        <v>0</v>
      </c>
      <c r="FI45" s="1999">
        <f t="shared" si="24"/>
        <v>0</v>
      </c>
      <c r="FJ45" s="1999">
        <f t="shared" si="24"/>
        <v>0</v>
      </c>
      <c r="FK45" s="1999">
        <f t="shared" si="24"/>
        <v>0</v>
      </c>
      <c r="FL45" s="1999">
        <f t="shared" si="24"/>
        <v>0</v>
      </c>
      <c r="FM45" s="1999">
        <f t="shared" si="24"/>
        <v>0</v>
      </c>
      <c r="FN45" s="1999">
        <f t="shared" si="24"/>
        <v>0</v>
      </c>
      <c r="FO45" s="1999">
        <f t="shared" si="24"/>
        <v>0</v>
      </c>
      <c r="FP45" s="1999">
        <f t="shared" si="24"/>
        <v>0</v>
      </c>
      <c r="FQ45" s="1999">
        <f t="shared" si="24"/>
        <v>0</v>
      </c>
      <c r="FR45" s="1999">
        <f t="shared" si="24"/>
        <v>0</v>
      </c>
      <c r="FS45" s="1999">
        <f t="shared" si="24"/>
        <v>0</v>
      </c>
      <c r="FT45" s="1999">
        <f t="shared" si="24"/>
        <v>0</v>
      </c>
      <c r="FU45" s="1999">
        <f t="shared" si="24"/>
        <v>0</v>
      </c>
      <c r="FV45" s="1999">
        <f t="shared" si="24"/>
        <v>0</v>
      </c>
      <c r="FW45" s="1999">
        <f t="shared" si="24"/>
        <v>0</v>
      </c>
      <c r="FX45" s="1999">
        <f t="shared" si="24"/>
        <v>0</v>
      </c>
      <c r="FY45" s="1999">
        <f t="shared" si="24"/>
        <v>0</v>
      </c>
      <c r="FZ45" s="1999">
        <f t="shared" si="24"/>
        <v>0</v>
      </c>
      <c r="GA45" s="1999">
        <f t="shared" si="24"/>
        <v>0</v>
      </c>
      <c r="GB45" s="1999">
        <f t="shared" si="24"/>
        <v>0</v>
      </c>
      <c r="GC45" s="1999">
        <f t="shared" si="24"/>
        <v>0</v>
      </c>
      <c r="GD45" s="1999">
        <f t="shared" si="24"/>
        <v>0</v>
      </c>
      <c r="GE45" s="1999">
        <f t="shared" si="24"/>
        <v>0</v>
      </c>
      <c r="GF45" s="1999">
        <f t="shared" si="24"/>
        <v>0</v>
      </c>
    </row>
    <row r="46" spans="1:189" s="639" customFormat="1" ht="15" customHeight="1" x14ac:dyDescent="0.4">
      <c r="A46" s="631"/>
      <c r="B46" s="639" t="s">
        <v>1265</v>
      </c>
      <c r="C46" s="1990" t="s">
        <v>1387</v>
      </c>
      <c r="D46" s="1991"/>
      <c r="E46" s="640"/>
      <c r="F46" s="1998">
        <f>SUMIF(防護具!$B$31:$B$163,F$23&amp;$B45,防護具!$S$31:$S$163)</f>
        <v>0</v>
      </c>
      <c r="G46" s="1998">
        <f>IFERROR(
SUM(F46,SUMIF(防護具!$B$31:$B$163,G$23&amp;$B45,防護具!$S$31:$S$163))-F45,0)</f>
        <v>0</v>
      </c>
      <c r="H46" s="1998">
        <f>IFERROR(
SUM(G46,SUMIF(防護具!$B$31:$B$163,H$23&amp;$B45,防護具!$S$31:$S$163))-G45,0)</f>
        <v>0</v>
      </c>
      <c r="I46" s="1998">
        <f>IFERROR(
SUM(H46,SUMIF(防護具!$B$31:$B$163,I$23&amp;$B45,防護具!$S$31:$S$163))-H45,0)</f>
        <v>0</v>
      </c>
      <c r="J46" s="1998">
        <f>IFERROR(
SUM(I46,SUMIF(防護具!$B$31:$B$163,J$23&amp;$B45,防護具!$S$31:$S$163))-I45,0)</f>
        <v>0</v>
      </c>
      <c r="K46" s="1998">
        <f>IFERROR(
SUM(J46,SUMIF(防護具!$B$31:$B$163,K$23&amp;$B45,防護具!$S$31:$S$163))-J45,0)</f>
        <v>0</v>
      </c>
      <c r="L46" s="1998">
        <f>IFERROR(
SUM(K46,SUMIF(防護具!$B$31:$B$163,L$23&amp;$B45,防護具!$S$31:$S$163))-K45,0)</f>
        <v>0</v>
      </c>
      <c r="M46" s="1998">
        <f>IFERROR(
SUM(L46,SUMIF(防護具!$B$31:$B$163,M$23&amp;$B45,防護具!$S$31:$S$163))-L45,0)</f>
        <v>0</v>
      </c>
      <c r="N46" s="1998">
        <f>IFERROR(
SUM(M46,SUMIF(防護具!$B$31:$B$163,N$23&amp;$B45,防護具!$S$31:$S$163))-M45,0)</f>
        <v>0</v>
      </c>
      <c r="O46" s="1998">
        <f>IFERROR(
SUM(N46,SUMIF(防護具!$B$31:$B$163,O$23&amp;$B45,防護具!$S$31:$S$163))-N45,0)</f>
        <v>0</v>
      </c>
      <c r="P46" s="1998">
        <f>IFERROR(
SUM(O46,SUMIF(防護具!$B$31:$B$163,P$23&amp;$B45,防護具!$S$31:$S$163))-O45,0)</f>
        <v>0</v>
      </c>
      <c r="Q46" s="1998">
        <f>IFERROR(
SUM(P46,SUMIF(防護具!$B$31:$B$163,Q$23&amp;$B45,防護具!$S$31:$S$163))-P45,0)</f>
        <v>0</v>
      </c>
      <c r="R46" s="1998">
        <f>IFERROR(
SUM(Q46,SUMIF(防護具!$B$31:$B$163,R$23&amp;$B45,防護具!$S$31:$S$163))-Q45,0)</f>
        <v>0</v>
      </c>
      <c r="S46" s="1998">
        <f>IFERROR(
SUM(R46,SUMIF(防護具!$B$31:$B$163,S$23&amp;$B45,防護具!$S$31:$S$163))-R45,0)</f>
        <v>0</v>
      </c>
      <c r="T46" s="1998">
        <f>IFERROR(
SUM(S46,SUMIF(防護具!$B$31:$B$163,T$23&amp;$B45,防護具!$S$31:$S$163))-S45,0)</f>
        <v>0</v>
      </c>
      <c r="U46" s="1998">
        <f>IFERROR(
SUM(T46,SUMIF(防護具!$B$31:$B$163,U$23&amp;$B45,防護具!$S$31:$S$163))-T45,0)</f>
        <v>0</v>
      </c>
      <c r="V46" s="1998">
        <f>IFERROR(
SUM(U46,SUMIF(防護具!$B$31:$B$163,V$23&amp;$B45,防護具!$S$31:$S$163))-U45,0)</f>
        <v>0</v>
      </c>
      <c r="W46" s="1998">
        <f>IFERROR(
SUM(V46,SUMIF(防護具!$B$31:$B$163,W$23&amp;$B45,防護具!$S$31:$S$163))-V45,0)</f>
        <v>0</v>
      </c>
      <c r="X46" s="1998">
        <f>IFERROR(
SUM(W46,SUMIF(防護具!$B$31:$B$163,X$23&amp;$B45,防護具!$S$31:$S$163))-W45,0)</f>
        <v>0</v>
      </c>
      <c r="Y46" s="1998">
        <f>IFERROR(
SUM(X46,SUMIF(防護具!$B$31:$B$163,Y$23&amp;$B45,防護具!$S$31:$S$163))-X45,0)</f>
        <v>0</v>
      </c>
      <c r="Z46" s="1998">
        <f>IFERROR(
SUM(Y46,SUMIF(防護具!$B$31:$B$163,Z$23&amp;$B45,防護具!$S$31:$S$163))-Y45,0)</f>
        <v>0</v>
      </c>
      <c r="AA46" s="1998">
        <f>IFERROR(
SUM(Z46,SUMIF(防護具!$B$31:$B$163,AA$23&amp;$B45,防護具!$S$31:$S$163))-Z45,0)</f>
        <v>0</v>
      </c>
      <c r="AB46" s="1998">
        <f>IFERROR(
SUM(AA46,SUMIF(防護具!$B$31:$B$163,AB$23&amp;$B45,防護具!$S$31:$S$163))-AA45,0)</f>
        <v>0</v>
      </c>
      <c r="AC46" s="1998">
        <f>IFERROR(
SUM(AB46,SUMIF(防護具!$B$31:$B$163,AC$23&amp;$B45,防護具!$S$31:$S$163))-AB45,0)</f>
        <v>0</v>
      </c>
      <c r="AD46" s="1998">
        <f>IFERROR(
SUM(AC46,SUMIF(防護具!$B$31:$B$163,AD$23&amp;$B45,防護具!$S$31:$S$163))-AC45,0)</f>
        <v>0</v>
      </c>
      <c r="AE46" s="1998">
        <f>IFERROR(
SUM(AD46,SUMIF(防護具!$B$31:$B$163,AE$23&amp;$B45,防護具!$S$31:$S$163))-AD45,0)</f>
        <v>0</v>
      </c>
      <c r="AF46" s="1998">
        <f>IFERROR(
SUM(AE46,SUMIF(防護具!$B$31:$B$163,AF$23&amp;$B45,防護具!$S$31:$S$163))-AE45,0)</f>
        <v>0</v>
      </c>
      <c r="AG46" s="1998">
        <f>IFERROR(
SUM(AF46,SUMIF(防護具!$B$31:$B$163,AG$23&amp;$B45,防護具!$S$31:$S$163))-AF45,0)</f>
        <v>0</v>
      </c>
      <c r="AH46" s="1998">
        <f>IFERROR(
SUM(AG46,SUMIF(防護具!$B$31:$B$163,AH$23&amp;$B45,防護具!$S$31:$S$163))-AG45,0)</f>
        <v>0</v>
      </c>
      <c r="AI46" s="1998">
        <f>IFERROR(
SUM(AH46,SUMIF(防護具!$B$31:$B$163,AI$23&amp;$B45,防護具!$S$31:$S$163))-AH45,0)</f>
        <v>0</v>
      </c>
      <c r="AJ46" s="1998">
        <f>IFERROR(
SUM(AI46,SUMIF(防護具!$B$31:$B$163,AJ$23&amp;$B45,防護具!$S$31:$S$163))-AI45,0)</f>
        <v>0</v>
      </c>
      <c r="AK46" s="1998">
        <f>IFERROR(
SUM(AJ46,SUMIF(防護具!$B$31:$B$163,AK$23&amp;$B45,防護具!$S$31:$S$163))-AJ45,0)</f>
        <v>0</v>
      </c>
      <c r="AL46" s="1998">
        <f>IFERROR(
SUM(AK46,SUMIF(防護具!$B$31:$B$163,AL$23&amp;$B45,防護具!$S$31:$S$163))-AK45,0)</f>
        <v>0</v>
      </c>
      <c r="AM46" s="1998">
        <f>IFERROR(
SUM(AL46,SUMIF(防護具!$B$31:$B$163,AM$23&amp;$B45,防護具!$S$31:$S$163))-AL45,0)</f>
        <v>0</v>
      </c>
      <c r="AN46" s="1998">
        <f>IFERROR(
SUM(AM46,SUMIF(防護具!$B$31:$B$163,AN$23&amp;$B45,防護具!$S$31:$S$163))-AM45,0)</f>
        <v>0</v>
      </c>
      <c r="AO46" s="1998">
        <f>IFERROR(
SUM(AN46,SUMIF(防護具!$B$31:$B$163,AO$23&amp;$B45,防護具!$S$31:$S$163))-AN45,0)</f>
        <v>0</v>
      </c>
      <c r="AP46" s="1998">
        <f>IFERROR(
SUM(AO46,SUMIF(防護具!$B$31:$B$163,AP$23&amp;$B45,防護具!$S$31:$S$163))-AO45,0)</f>
        <v>0</v>
      </c>
      <c r="AQ46" s="1998">
        <f>IFERROR(
SUM(AP46,SUMIF(防護具!$B$31:$B$163,AQ$23&amp;$B45,防護具!$S$31:$S$163))-AP45,0)</f>
        <v>0</v>
      </c>
      <c r="AR46" s="1998">
        <f>IFERROR(
SUM(AQ46,SUMIF(防護具!$B$31:$B$163,AR$23&amp;$B45,防護具!$S$31:$S$163))-AQ45,0)</f>
        <v>0</v>
      </c>
      <c r="AS46" s="1998">
        <f>IFERROR(
SUM(AR46,SUMIF(防護具!$B$31:$B$163,AS$23&amp;$B45,防護具!$S$31:$S$163))-AR45,0)</f>
        <v>0</v>
      </c>
      <c r="AT46" s="1998">
        <f>IFERROR(
SUM(AS46,SUMIF(防護具!$B$31:$B$163,AT$23&amp;$B45,防護具!$S$31:$S$163))-AS45,0)</f>
        <v>0</v>
      </c>
      <c r="AU46" s="1998">
        <f>IFERROR(
SUM(AT46,SUMIF(防護具!$B$31:$B$163,AU$23&amp;$B45,防護具!$S$31:$S$163))-AT45,0)</f>
        <v>0</v>
      </c>
      <c r="AV46" s="1998">
        <f>IFERROR(
SUM(AU46,SUMIF(防護具!$B$31:$B$163,AV$23&amp;$B45,防護具!$S$31:$S$163))-AU45,0)</f>
        <v>0</v>
      </c>
      <c r="AW46" s="1998">
        <f>IFERROR(
SUM(AV46,SUMIF(防護具!$B$31:$B$163,AW$23&amp;$B45,防護具!$S$31:$S$163))-AV45,0)</f>
        <v>0</v>
      </c>
      <c r="AX46" s="1998">
        <f>IFERROR(
SUM(AW46,SUMIF(防護具!$B$31:$B$163,AX$23&amp;$B45,防護具!$S$31:$S$163))-AW45,0)</f>
        <v>0</v>
      </c>
      <c r="AY46" s="1998">
        <f>IFERROR(
SUM(AX46,SUMIF(防護具!$B$31:$B$163,AY$23&amp;$B45,防護具!$S$31:$S$163))-AX45,0)</f>
        <v>0</v>
      </c>
      <c r="AZ46" s="1998">
        <f>IFERROR(
SUM(AY46,SUMIF(防護具!$B$31:$B$163,AZ$23&amp;$B45,防護具!$S$31:$S$163))-AY45,0)</f>
        <v>0</v>
      </c>
      <c r="BA46" s="1998">
        <f>IFERROR(
SUM(AZ46,SUMIF(防護具!$B$31:$B$163,BA$23&amp;$B45,防護具!$S$31:$S$163))-AZ45,0)</f>
        <v>0</v>
      </c>
      <c r="BB46" s="1998">
        <f>IFERROR(
SUM(BA46,SUMIF(防護具!$B$31:$B$163,BB$23&amp;$B45,防護具!$S$31:$S$163))-BA45,0)</f>
        <v>0</v>
      </c>
      <c r="BC46" s="1998">
        <f>IFERROR(
SUM(BB46,SUMIF(防護具!$B$31:$B$163,BC$23&amp;$B45,防護具!$S$31:$S$163))-BB45,0)</f>
        <v>0</v>
      </c>
      <c r="BD46" s="1998">
        <f>IFERROR(
SUM(BC46,SUMIF(防護具!$B$31:$B$163,BD$23&amp;$B45,防護具!$S$31:$S$163))-BC45,0)</f>
        <v>0</v>
      </c>
      <c r="BE46" s="1998">
        <f>IFERROR(
SUM(BD46,SUMIF(防護具!$B$31:$B$163,BE$23&amp;$B45,防護具!$S$31:$S$163))-BD45,0)</f>
        <v>0</v>
      </c>
      <c r="BF46" s="1998">
        <f>IFERROR(
SUM(BE46,SUMIF(防護具!$B$31:$B$163,BF$23&amp;$B45,防護具!$S$31:$S$163))-BE45,0)</f>
        <v>0</v>
      </c>
      <c r="BG46" s="1998">
        <f>IFERROR(
SUM(BF46,SUMIF(防護具!$B$31:$B$163,BG$23&amp;$B45,防護具!$S$31:$S$163))-BF45,0)</f>
        <v>0</v>
      </c>
      <c r="BH46" s="1998">
        <f>IFERROR(
SUM(BG46,SUMIF(防護具!$B$31:$B$163,BH$23&amp;$B45,防護具!$S$31:$S$163))-BG45,0)</f>
        <v>0</v>
      </c>
      <c r="BI46" s="1998">
        <f>IFERROR(
SUM(BH46,SUMIF(防護具!$B$31:$B$163,BI$23&amp;$B45,防護具!$S$31:$S$163))-BH45,0)</f>
        <v>0</v>
      </c>
      <c r="BJ46" s="1998">
        <f>IFERROR(
SUM(BI46,SUMIF(防護具!$B$31:$B$163,BJ$23&amp;$B45,防護具!$S$31:$S$163))-BI45,0)</f>
        <v>0</v>
      </c>
      <c r="BK46" s="1998">
        <f>IFERROR(
SUM(BJ46,SUMIF(防護具!$B$31:$B$163,BK$23&amp;$B45,防護具!$S$31:$S$163))-BJ45,0)</f>
        <v>0</v>
      </c>
      <c r="BL46" s="1998">
        <f>IFERROR(
SUM(BK46,SUMIF(防護具!$B$31:$B$163,BL$23&amp;$B45,防護具!$S$31:$S$163))-BK45,0)</f>
        <v>0</v>
      </c>
      <c r="BM46" s="1998">
        <f>IFERROR(
SUM(BL46,SUMIF(防護具!$B$31:$B$163,BM$23&amp;$B45,防護具!$S$31:$S$163))-BL45,0)</f>
        <v>0</v>
      </c>
      <c r="BN46" s="1998">
        <f>IFERROR(
SUM(BM46,SUMIF(防護具!$B$31:$B$163,BN$23&amp;$B45,防護具!$S$31:$S$163))-BM45,0)</f>
        <v>0</v>
      </c>
      <c r="BO46" s="1998">
        <f>IFERROR(
SUM(BN46,SUMIF(防護具!$B$31:$B$163,BO$23&amp;$B45,防護具!$S$31:$S$163))-BN45,0)</f>
        <v>0</v>
      </c>
      <c r="BP46" s="1998">
        <f>IFERROR(
SUM(BO46,SUMIF(防護具!$B$31:$B$163,BP$23&amp;$B45,防護具!$S$31:$S$163))-BO45,0)</f>
        <v>0</v>
      </c>
      <c r="BQ46" s="1998">
        <f>IFERROR(
SUM(BP46,SUMIF(防護具!$B$31:$B$163,BQ$23&amp;$B45,防護具!$S$31:$S$163))-BP45,0)</f>
        <v>0</v>
      </c>
      <c r="BR46" s="1998">
        <f>IFERROR(
SUM(BQ46,SUMIF(防護具!$B$31:$B$163,BR$23&amp;$B45,防護具!$S$31:$S$163))-BQ45,0)</f>
        <v>0</v>
      </c>
      <c r="BS46" s="1998">
        <f>IFERROR(
SUM(BR46,SUMIF(防護具!$B$31:$B$163,BS$23&amp;$B45,防護具!$S$31:$S$163))-BR45,0)</f>
        <v>0</v>
      </c>
      <c r="BT46" s="1998">
        <f>IFERROR(
SUM(BS46,SUMIF(防護具!$B$31:$B$163,BT$23&amp;$B45,防護具!$S$31:$S$163))-BS45,0)</f>
        <v>0</v>
      </c>
      <c r="BU46" s="1998">
        <f>IFERROR(
SUM(BT46,SUMIF(防護具!$B$31:$B$163,BU$23&amp;$B45,防護具!$S$31:$S$163))-BT45,0)</f>
        <v>0</v>
      </c>
      <c r="BV46" s="1998">
        <f>IFERROR(
SUM(BU46,SUMIF(防護具!$B$31:$B$163,BV$23&amp;$B45,防護具!$S$31:$S$163))-BU45,0)</f>
        <v>0</v>
      </c>
      <c r="BW46" s="1998">
        <f>IFERROR(
SUM(BV46,SUMIF(防護具!$B$31:$B$163,BW$23&amp;$B45,防護具!$S$31:$S$163))-BV45,0)</f>
        <v>0</v>
      </c>
      <c r="BX46" s="1998">
        <f>IFERROR(
SUM(BW46,SUMIF(防護具!$B$31:$B$163,BX$23&amp;$B45,防護具!$S$31:$S$163))-BW45,0)</f>
        <v>0</v>
      </c>
      <c r="BY46" s="1998">
        <f>IFERROR(
SUM(BX46,SUMIF(防護具!$B$31:$B$163,BY$23&amp;$B45,防護具!$S$31:$S$163))-BX45,0)</f>
        <v>0</v>
      </c>
      <c r="BZ46" s="1998">
        <f>IFERROR(
SUM(BY46,SUMIF(防護具!$B$31:$B$163,BZ$23&amp;$B45,防護具!$S$31:$S$163))-BY45,0)</f>
        <v>0</v>
      </c>
      <c r="CA46" s="1998">
        <f>IFERROR(
SUM(BZ46,SUMIF(防護具!$B$31:$B$163,CA$23&amp;$B45,防護具!$S$31:$S$163))-BZ45,0)</f>
        <v>0</v>
      </c>
      <c r="CB46" s="1998">
        <f>IFERROR(
SUM(CA46,SUMIF(防護具!$B$31:$B$163,CB$23&amp;$B45,防護具!$S$31:$S$163))-CA45,0)</f>
        <v>0</v>
      </c>
      <c r="CC46" s="1998">
        <f>IFERROR(
SUM(CB46,SUMIF(防護具!$B$31:$B$163,CC$23&amp;$B45,防護具!$S$31:$S$163))-CB45,0)</f>
        <v>0</v>
      </c>
      <c r="CD46" s="1998">
        <f>IFERROR(
SUM(CC46,SUMIF(防護具!$B$31:$B$163,CD$23&amp;$B45,防護具!$S$31:$S$163))-CC45,0)</f>
        <v>0</v>
      </c>
      <c r="CE46" s="1998">
        <f>IFERROR(
SUM(CD46,SUMIF(防護具!$B$31:$B$163,CE$23&amp;$B45,防護具!$S$31:$S$163))-CD45,0)</f>
        <v>0</v>
      </c>
      <c r="CF46" s="1998">
        <f>IFERROR(
SUM(CE46,SUMIF(防護具!$B$31:$B$163,CF$23&amp;$B45,防護具!$S$31:$S$163))-CE45,0)</f>
        <v>0</v>
      </c>
      <c r="CG46" s="1998">
        <f>IFERROR(
SUM(CF46,SUMIF(防護具!$B$31:$B$163,CG$23&amp;$B45,防護具!$S$31:$S$163))-CF45,0)</f>
        <v>0</v>
      </c>
      <c r="CH46" s="1998">
        <f>IFERROR(
SUM(CG46,SUMIF(防護具!$B$31:$B$163,CH$23&amp;$B45,防護具!$S$31:$S$163))-CG45,0)</f>
        <v>0</v>
      </c>
      <c r="CI46" s="1998">
        <f>IFERROR(
SUM(CH46,SUMIF(防護具!$B$31:$B$163,CI$23&amp;$B45,防護具!$S$31:$S$163))-CH45,0)</f>
        <v>0</v>
      </c>
      <c r="CJ46" s="1998">
        <f>IFERROR(
SUM(CI46,SUMIF(防護具!$B$31:$B$163,CJ$23&amp;$B45,防護具!$S$31:$S$163))-CI45,0)</f>
        <v>0</v>
      </c>
      <c r="CK46" s="1998">
        <f>IFERROR(
SUM(CJ46,SUMIF(防護具!$B$31:$B$163,CK$23&amp;$B45,防護具!$S$31:$S$163))-CJ45,0)</f>
        <v>0</v>
      </c>
      <c r="CL46" s="1998">
        <f>IFERROR(
SUM(CK46,SUMIF(防護具!$B$31:$B$163,CL$23&amp;$B45,防護具!$S$31:$S$163))-CK45,0)</f>
        <v>0</v>
      </c>
      <c r="CM46" s="1998">
        <f>IFERROR(
SUM(CL46,SUMIF(防護具!$B$31:$B$163,CM$23&amp;$B45,防護具!$S$31:$S$163))-CL45,0)</f>
        <v>0</v>
      </c>
      <c r="CN46" s="1998">
        <f>IFERROR(
SUM(CM46,SUMIF(防護具!$B$31:$B$163,CN$23&amp;$B45,防護具!$S$31:$S$163))-CM45,0)</f>
        <v>0</v>
      </c>
      <c r="CO46" s="1998">
        <f>IFERROR(
SUM(CN46,SUMIF(防護具!$B$31:$B$163,CO$23&amp;$B45,防護具!$S$31:$S$163))-CN45,0)</f>
        <v>0</v>
      </c>
      <c r="CP46" s="1998">
        <f>IFERROR(
SUM(CO46,SUMIF(防護具!$B$31:$B$163,CP$23&amp;$B45,防護具!$S$31:$S$163))-CO45,0)</f>
        <v>0</v>
      </c>
      <c r="CQ46" s="1998">
        <f>IFERROR(
SUM(CP46,SUMIF(防護具!$B$31:$B$163,CQ$23&amp;$B45,防護具!$S$31:$S$163))-CP45,0)</f>
        <v>0</v>
      </c>
      <c r="CR46" s="1998">
        <f>IFERROR(
SUM(CQ46,SUMIF(防護具!$B$31:$B$163,CR$23&amp;$B45,防護具!$S$31:$S$163))-CQ45,0)</f>
        <v>0</v>
      </c>
      <c r="CS46" s="1998">
        <f>IFERROR(
SUM(CR46,SUMIF(防護具!$B$31:$B$163,CS$23&amp;$B45,防護具!$S$31:$S$163))-CR45,0)</f>
        <v>0</v>
      </c>
      <c r="CT46" s="1998">
        <f>IFERROR(
SUM(CS46,SUMIF(防護具!$B$31:$B$163,CT$23&amp;$B45,防護具!$S$31:$S$163))-CS45,0)</f>
        <v>0</v>
      </c>
      <c r="CU46" s="1998">
        <f>IFERROR(
SUM(CT46,SUMIF(防護具!$B$31:$B$163,CU$23&amp;$B45,防護具!$S$31:$S$163))-CT45,0)</f>
        <v>0</v>
      </c>
      <c r="CV46" s="1998">
        <f>IFERROR(
SUM(CU46,SUMIF(防護具!$B$31:$B$163,CV$23&amp;$B45,防護具!$S$31:$S$163))-CU45,0)</f>
        <v>0</v>
      </c>
      <c r="CW46" s="1998">
        <f>IFERROR(
SUM(CV46,SUMIF(防護具!$B$31:$B$163,CW$23&amp;$B45,防護具!$S$31:$S$163))-CV45,0)</f>
        <v>0</v>
      </c>
      <c r="CX46" s="1998">
        <f>IFERROR(
SUM(CW46,SUMIF(防護具!$B$31:$B$163,CX$23&amp;$B45,防護具!$S$31:$S$163))-CW45,0)</f>
        <v>0</v>
      </c>
      <c r="CY46" s="1998">
        <f>IFERROR(
SUM(CX46,SUMIF(防護具!$B$31:$B$163,CY$23&amp;$B45,防護具!$S$31:$S$163))-CX45,0)</f>
        <v>0</v>
      </c>
      <c r="CZ46" s="1998">
        <f>IFERROR(
SUM(CY46,SUMIF(防護具!$B$31:$B$163,CZ$23&amp;$B45,防護具!$S$31:$S$163))-CY45,0)</f>
        <v>0</v>
      </c>
      <c r="DA46" s="1998">
        <f>IFERROR(
SUM(CZ46,SUMIF(防護具!$B$31:$B$163,DA$23&amp;$B45,防護具!$S$31:$S$163))-CZ45,0)</f>
        <v>0</v>
      </c>
      <c r="DB46" s="1998">
        <f>IFERROR(
SUM(DA46,SUMIF(防護具!$B$31:$B$163,DB$23&amp;$B45,防護具!$S$31:$S$163))-DA45,0)</f>
        <v>0</v>
      </c>
      <c r="DC46" s="1998">
        <f>IFERROR(
SUM(DB46,SUMIF(防護具!$B$31:$B$163,DC$23&amp;$B45,防護具!$S$31:$S$163))-DB45,0)</f>
        <v>0</v>
      </c>
      <c r="DD46" s="1998">
        <f>IFERROR(
SUM(DC46,SUMIF(防護具!$B$31:$B$163,DD$23&amp;$B45,防護具!$S$31:$S$163))-DC45,0)</f>
        <v>0</v>
      </c>
      <c r="DE46" s="1998">
        <f>IFERROR(
SUM(DD46,SUMIF(防護具!$B$31:$B$163,DE$23&amp;$B45,防護具!$S$31:$S$163))-DD45,0)</f>
        <v>0</v>
      </c>
      <c r="DF46" s="1998">
        <f>IFERROR(
SUM(DE46,SUMIF(防護具!$B$31:$B$163,DF$23&amp;$B45,防護具!$S$31:$S$163))-DE45,0)</f>
        <v>0</v>
      </c>
      <c r="DG46" s="1998">
        <f>IFERROR(
SUM(DF46,SUMIF(防護具!$B$31:$B$163,DG$23&amp;$B45,防護具!$S$31:$S$163))-DF45,0)</f>
        <v>0</v>
      </c>
      <c r="DH46" s="1998">
        <f>IFERROR(
SUM(DG46,SUMIF(防護具!$B$31:$B$163,DH$23&amp;$B45,防護具!$S$31:$S$163))-DG45,0)</f>
        <v>0</v>
      </c>
      <c r="DI46" s="1998">
        <f>IFERROR(
SUM(DH46,SUMIF(防護具!$B$31:$B$163,DI$23&amp;$B45,防護具!$S$31:$S$163))-DH45,0)</f>
        <v>0</v>
      </c>
      <c r="DJ46" s="1998">
        <f>IFERROR(
SUM(DI46,SUMIF(防護具!$B$31:$B$163,DJ$23&amp;$B45,防護具!$S$31:$S$163))-DI45,0)</f>
        <v>0</v>
      </c>
      <c r="DK46" s="1998">
        <f>IFERROR(
SUM(DJ46,SUMIF(防護具!$B$31:$B$163,DK$23&amp;$B45,防護具!$S$31:$S$163))-DJ45,0)</f>
        <v>0</v>
      </c>
      <c r="DL46" s="1998">
        <f>IFERROR(
SUM(DK46,SUMIF(防護具!$B$31:$B$163,DL$23&amp;$B45,防護具!$S$31:$S$163))-DK45,0)</f>
        <v>0</v>
      </c>
      <c r="DM46" s="1998">
        <f>IFERROR(
SUM(DL46,SUMIF(防護具!$B$31:$B$163,DM$23&amp;$B45,防護具!$S$31:$S$163))-DL45,0)</f>
        <v>0</v>
      </c>
      <c r="DN46" s="1998">
        <f>IFERROR(
SUM(DM46,SUMIF(防護具!$B$31:$B$163,DN$23&amp;$B45,防護具!$S$31:$S$163))-DM45,0)</f>
        <v>0</v>
      </c>
      <c r="DO46" s="1998">
        <f>IFERROR(
SUM(DN46,SUMIF(防護具!$B$31:$B$163,DO$23&amp;$B45,防護具!$S$31:$S$163))-DN45,0)</f>
        <v>0</v>
      </c>
      <c r="DP46" s="1998">
        <f>IFERROR(
SUM(DO46,SUMIF(防護具!$B$31:$B$163,DP$23&amp;$B45,防護具!$S$31:$S$163))-DO45,0)</f>
        <v>0</v>
      </c>
      <c r="DQ46" s="1998">
        <f>IFERROR(
SUM(DP46,SUMIF(防護具!$B$31:$B$163,DQ$23&amp;$B45,防護具!$S$31:$S$163))-DP45,0)</f>
        <v>0</v>
      </c>
      <c r="DR46" s="1998">
        <f>IFERROR(
SUM(DQ46,SUMIF(防護具!$B$31:$B$163,DR$23&amp;$B45,防護具!$S$31:$S$163))-DQ45,0)</f>
        <v>0</v>
      </c>
      <c r="DS46" s="1998">
        <f>IFERROR(
SUM(DR46,SUMIF(防護具!$B$31:$B$163,DS$23&amp;$B45,防護具!$S$31:$S$163))-DR45,0)</f>
        <v>0</v>
      </c>
      <c r="DT46" s="1998">
        <f>IFERROR(
SUM(DS46,SUMIF(防護具!$B$31:$B$163,DT$23&amp;$B45,防護具!$S$31:$S$163))-DS45,0)</f>
        <v>0</v>
      </c>
      <c r="DU46" s="1998">
        <f>IFERROR(
SUM(DT46,SUMIF(防護具!$B$31:$B$163,DU$23&amp;$B45,防護具!$S$31:$S$163))-DT45,0)</f>
        <v>0</v>
      </c>
      <c r="DV46" s="1998">
        <f>IFERROR(
SUM(DU46,SUMIF(防護具!$B$31:$B$163,DV$23&amp;$B45,防護具!$S$31:$S$163))-DU45,0)</f>
        <v>0</v>
      </c>
      <c r="DW46" s="1998">
        <f>IFERROR(
SUM(DV46,SUMIF(防護具!$B$31:$B$163,DW$23&amp;$B45,防護具!$S$31:$S$163))-DV45,0)</f>
        <v>0</v>
      </c>
      <c r="DX46" s="1998">
        <f>IFERROR(
SUM(DW46,SUMIF(防護具!$B$31:$B$163,DX$23&amp;$B45,防護具!$S$31:$S$163))-DW45,0)</f>
        <v>0</v>
      </c>
      <c r="DY46" s="1998">
        <f>IFERROR(
SUM(DX46,SUMIF(防護具!$B$31:$B$163,DY$23&amp;$B45,防護具!$S$31:$S$163))-DX45,0)</f>
        <v>0</v>
      </c>
      <c r="DZ46" s="1998">
        <f>IFERROR(
SUM(DY46,SUMIF(防護具!$B$31:$B$163,DZ$23&amp;$B45,防護具!$S$31:$S$163))-DY45,0)</f>
        <v>0</v>
      </c>
      <c r="EA46" s="1998">
        <f>IFERROR(
SUM(DZ46,SUMIF(防護具!$B$31:$B$163,EA$23&amp;$B45,防護具!$S$31:$S$163))-DZ45,0)</f>
        <v>0</v>
      </c>
      <c r="EB46" s="1998">
        <f>IFERROR(
SUM(EA46,SUMIF(防護具!$B$31:$B$163,EB$23&amp;$B45,防護具!$S$31:$S$163))-EA45,0)</f>
        <v>0</v>
      </c>
      <c r="EC46" s="1998">
        <f>IFERROR(
SUM(EB46,SUMIF(防護具!$B$31:$B$163,EC$23&amp;$B45,防護具!$S$31:$S$163))-EB45,0)</f>
        <v>0</v>
      </c>
      <c r="ED46" s="1998">
        <f>IFERROR(
SUM(EC46,SUMIF(防護具!$B$31:$B$163,ED$23&amp;$B45,防護具!$S$31:$S$163))-EC45,0)</f>
        <v>0</v>
      </c>
      <c r="EE46" s="1998">
        <f>IFERROR(
SUM(ED46,SUMIF(防護具!$B$31:$B$163,EE$23&amp;$B45,防護具!$S$31:$S$163))-ED45,0)</f>
        <v>0</v>
      </c>
      <c r="EF46" s="1998">
        <f>IFERROR(
SUM(EE46,SUMIF(防護具!$B$31:$B$163,EF$23&amp;$B45,防護具!$S$31:$S$163))-EE45,0)</f>
        <v>0</v>
      </c>
      <c r="EG46" s="1998">
        <f>IFERROR(
SUM(EF46,SUMIF(防護具!$B$31:$B$163,EG$23&amp;$B45,防護具!$S$31:$S$163))-EF45,0)</f>
        <v>0</v>
      </c>
      <c r="EH46" s="1998">
        <f>IFERROR(
SUM(EG46,SUMIF(防護具!$B$31:$B$163,EH$23&amp;$B45,防護具!$S$31:$S$163))-EG45,0)</f>
        <v>0</v>
      </c>
      <c r="EI46" s="1998">
        <f>IFERROR(
SUM(EH46,SUMIF(防護具!$B$31:$B$163,EI$23&amp;$B45,防護具!$S$31:$S$163))-EH45,0)</f>
        <v>0</v>
      </c>
      <c r="EJ46" s="1998">
        <f>IFERROR(
SUM(EI46,SUMIF(防護具!$B$31:$B$163,EJ$23&amp;$B45,防護具!$S$31:$S$163))-EI45,0)</f>
        <v>0</v>
      </c>
      <c r="EK46" s="1998">
        <f>IFERROR(
SUM(EJ46,SUMIF(防護具!$B$31:$B$163,EK$23&amp;$B45,防護具!$S$31:$S$163))-EJ45,0)</f>
        <v>0</v>
      </c>
      <c r="EL46" s="1998">
        <f>IFERROR(
SUM(EK46,SUMIF(防護具!$B$31:$B$163,EL$23&amp;$B45,防護具!$S$31:$S$163))-EK45,0)</f>
        <v>0</v>
      </c>
      <c r="EM46" s="1998">
        <f>IFERROR(
SUM(EL46,SUMIF(防護具!$B$31:$B$163,EM$23&amp;$B45,防護具!$S$31:$S$163))-EL45,0)</f>
        <v>0</v>
      </c>
      <c r="EN46" s="1998">
        <f>IFERROR(
SUM(EM46,SUMIF(防護具!$B$31:$B$163,EN$23&amp;$B45,防護具!$S$31:$S$163))-EM45,0)</f>
        <v>0</v>
      </c>
      <c r="EO46" s="1998">
        <f>IFERROR(
SUM(EN46,SUMIF(防護具!$B$31:$B$163,EO$23&amp;$B45,防護具!$S$31:$S$163))-EN45,0)</f>
        <v>0</v>
      </c>
      <c r="EP46" s="1998">
        <f>IFERROR(
SUM(EO46,SUMIF(防護具!$B$31:$B$163,EP$23&amp;$B45,防護具!$S$31:$S$163))-EO45,0)</f>
        <v>0</v>
      </c>
      <c r="EQ46" s="1998">
        <f>IFERROR(
SUM(EP46,SUMIF(防護具!$B$31:$B$163,EQ$23&amp;$B45,防護具!$S$31:$S$163))-EP45,0)</f>
        <v>0</v>
      </c>
      <c r="ER46" s="1998">
        <f>IFERROR(
SUM(EQ46,SUMIF(防護具!$B$31:$B$163,ER$23&amp;$B45,防護具!$S$31:$S$163))-EQ45,0)</f>
        <v>0</v>
      </c>
      <c r="ES46" s="1998">
        <f>IFERROR(
SUM(ER46,SUMIF(防護具!$B$31:$B$163,ES$23&amp;$B45,防護具!$S$31:$S$163))-ER45,0)</f>
        <v>0</v>
      </c>
      <c r="ET46" s="1998">
        <f>IFERROR(
SUM(ES46,SUMIF(防護具!$B$31:$B$163,ET$23&amp;$B45,防護具!$S$31:$S$163))-ES45,0)</f>
        <v>0</v>
      </c>
      <c r="EU46" s="1998">
        <f>IFERROR(
SUM(ET46,SUMIF(防護具!$B$31:$B$163,EU$23&amp;$B45,防護具!$S$31:$S$163))-ET45,0)</f>
        <v>0</v>
      </c>
      <c r="EV46" s="1998">
        <f>IFERROR(
SUM(EU46,SUMIF(防護具!$B$31:$B$163,EV$23&amp;$B45,防護具!$S$31:$S$163))-EU45,0)</f>
        <v>0</v>
      </c>
      <c r="EW46" s="1998">
        <f>IFERROR(
SUM(EV46,SUMIF(防護具!$B$31:$B$163,EW$23&amp;$B45,防護具!$S$31:$S$163))-EV45,0)</f>
        <v>0</v>
      </c>
      <c r="EX46" s="1998">
        <f>IFERROR(
SUM(EW46,SUMIF(防護具!$B$31:$B$163,EX$23&amp;$B45,防護具!$S$31:$S$163))-EW45,0)</f>
        <v>0</v>
      </c>
      <c r="EY46" s="1998">
        <f>IFERROR(
SUM(EX46,SUMIF(防護具!$B$31:$B$163,EY$23&amp;$B45,防護具!$S$31:$S$163))-EX45,0)</f>
        <v>0</v>
      </c>
      <c r="EZ46" s="1998">
        <f>IFERROR(
SUM(EY46,SUMIF(防護具!$B$31:$B$163,EZ$23&amp;$B45,防護具!$S$31:$S$163))-EY45,0)</f>
        <v>0</v>
      </c>
      <c r="FA46" s="1998">
        <f>IFERROR(
SUM(EZ46,SUMIF(防護具!$B$31:$B$163,FA$23&amp;$B45,防護具!$S$31:$S$163))-EZ45,0)</f>
        <v>0</v>
      </c>
      <c r="FB46" s="1998">
        <f>IFERROR(
SUM(FA46,SUMIF(防護具!$B$31:$B$163,FB$23&amp;$B45,防護具!$S$31:$S$163))-FA45,0)</f>
        <v>0</v>
      </c>
      <c r="FC46" s="1998">
        <f>IFERROR(
SUM(FB46,SUMIF(防護具!$B$31:$B$163,FC$23&amp;$B45,防護具!$S$31:$S$163))-FB45,0)</f>
        <v>0</v>
      </c>
      <c r="FD46" s="1998">
        <f>IFERROR(
SUM(FC46,SUMIF(防護具!$B$31:$B$163,FD$23&amp;$B45,防護具!$S$31:$S$163))-FC45,0)</f>
        <v>0</v>
      </c>
      <c r="FE46" s="1998">
        <f>IFERROR(
SUM(FD46,SUMIF(防護具!$B$31:$B$163,FE$23&amp;$B45,防護具!$S$31:$S$163))-FD45,0)</f>
        <v>0</v>
      </c>
      <c r="FF46" s="1998">
        <f>IFERROR(
SUM(FE46,SUMIF(防護具!$B$31:$B$163,FF$23&amp;$B45,防護具!$S$31:$S$163))-FE45,0)</f>
        <v>0</v>
      </c>
      <c r="FG46" s="1998">
        <f>IFERROR(
SUM(FF46,SUMIF(防護具!$B$31:$B$163,FG$23&amp;$B45,防護具!$S$31:$S$163))-FF45,0)</f>
        <v>0</v>
      </c>
      <c r="FH46" s="1998">
        <f>IFERROR(
SUM(FG46,SUMIF(防護具!$B$31:$B$163,FH$23&amp;$B45,防護具!$S$31:$S$163))-FG45,0)</f>
        <v>0</v>
      </c>
      <c r="FI46" s="1998">
        <f>IFERROR(
SUM(FH46,SUMIF(防護具!$B$31:$B$163,FI$23&amp;$B45,防護具!$S$31:$S$163))-FH45,0)</f>
        <v>0</v>
      </c>
      <c r="FJ46" s="1998">
        <f>IFERROR(
SUM(FI46,SUMIF(防護具!$B$31:$B$163,FJ$23&amp;$B45,防護具!$S$31:$S$163))-FI45,0)</f>
        <v>0</v>
      </c>
      <c r="FK46" s="1998">
        <f>IFERROR(
SUM(FJ46,SUMIF(防護具!$B$31:$B$163,FK$23&amp;$B45,防護具!$S$31:$S$163))-FJ45,0)</f>
        <v>0</v>
      </c>
      <c r="FL46" s="1998">
        <f>IFERROR(
SUM(FK46,SUMIF(防護具!$B$31:$B$163,FL$23&amp;$B45,防護具!$S$31:$S$163))-FK45,0)</f>
        <v>0</v>
      </c>
      <c r="FM46" s="1998">
        <f>IFERROR(
SUM(FL46,SUMIF(防護具!$B$31:$B$163,FM$23&amp;$B45,防護具!$S$31:$S$163))-FL45,0)</f>
        <v>0</v>
      </c>
      <c r="FN46" s="1998">
        <f>IFERROR(
SUM(FM46,SUMIF(防護具!$B$31:$B$163,FN$23&amp;$B45,防護具!$S$31:$S$163))-FM45,0)</f>
        <v>0</v>
      </c>
      <c r="FO46" s="1998">
        <f>IFERROR(
SUM(FN46,SUMIF(防護具!$B$31:$B$163,FO$23&amp;$B45,防護具!$S$31:$S$163))-FN45,0)</f>
        <v>0</v>
      </c>
      <c r="FP46" s="1998">
        <f>IFERROR(
SUM(FO46,SUMIF(防護具!$B$31:$B$163,FP$23&amp;$B45,防護具!$S$31:$S$163))-FO45,0)</f>
        <v>0</v>
      </c>
      <c r="FQ46" s="1998">
        <f>IFERROR(
SUM(FP46,SUMIF(防護具!$B$31:$B$163,FQ$23&amp;$B45,防護具!$S$31:$S$163))-FP45,0)</f>
        <v>0</v>
      </c>
      <c r="FR46" s="1998">
        <f>IFERROR(
SUM(FQ46,SUMIF(防護具!$B$31:$B$163,FR$23&amp;$B45,防護具!$S$31:$S$163))-FQ45,0)</f>
        <v>0</v>
      </c>
      <c r="FS46" s="1998">
        <f>IFERROR(
SUM(FR46,SUMIF(防護具!$B$31:$B$163,FS$23&amp;$B45,防護具!$S$31:$S$163))-FR45,0)</f>
        <v>0</v>
      </c>
      <c r="FT46" s="1998">
        <f>IFERROR(
SUM(FS46,SUMIF(防護具!$B$31:$B$163,FT$23&amp;$B45,防護具!$S$31:$S$163))-FS45,0)</f>
        <v>0</v>
      </c>
      <c r="FU46" s="1998">
        <f>IFERROR(
SUM(FT46,SUMIF(防護具!$B$31:$B$163,FU$23&amp;$B45,防護具!$S$31:$S$163))-FT45,0)</f>
        <v>0</v>
      </c>
      <c r="FV46" s="1998">
        <f>IFERROR(
SUM(FU46,SUMIF(防護具!$B$31:$B$163,FV$23&amp;$B45,防護具!$S$31:$S$163))-FU45,0)</f>
        <v>0</v>
      </c>
      <c r="FW46" s="1998">
        <f>IFERROR(
SUM(FV46,SUMIF(防護具!$B$31:$B$163,FW$23&amp;$B45,防護具!$S$31:$S$163))-FV45,0)</f>
        <v>0</v>
      </c>
      <c r="FX46" s="1998">
        <f>IFERROR(
SUM(FW46,SUMIF(防護具!$B$31:$B$163,FX$23&amp;$B45,防護具!$S$31:$S$163))-FW45,0)</f>
        <v>0</v>
      </c>
      <c r="FY46" s="1998">
        <f>IFERROR(
SUM(FX46,SUMIF(防護具!$B$31:$B$163,FY$23&amp;$B45,防護具!$S$31:$S$163))-FX45,0)</f>
        <v>0</v>
      </c>
      <c r="FZ46" s="1998">
        <f>IFERROR(
SUM(FY46,SUMIF(防護具!$B$31:$B$163,FZ$23&amp;$B45,防護具!$S$31:$S$163))-FY45,0)</f>
        <v>0</v>
      </c>
      <c r="GA46" s="1998">
        <f>IFERROR(
SUM(FZ46,SUMIF(防護具!$B$31:$B$163,GA$23&amp;$B45,防護具!$S$31:$S$163))-FZ45,0)</f>
        <v>0</v>
      </c>
      <c r="GB46" s="1998">
        <f>IFERROR(
SUM(GA46,SUMIF(防護具!$B$31:$B$163,GB$23&amp;$B45,防護具!$S$31:$S$163))-GA45,0)</f>
        <v>0</v>
      </c>
      <c r="GC46" s="1998">
        <f>IFERROR(
SUM(GB46,SUMIF(防護具!$B$31:$B$163,GC$23&amp;$B45,防護具!$S$31:$S$163))-GB45,0)</f>
        <v>0</v>
      </c>
      <c r="GD46" s="1998">
        <f>IFERROR(
SUM(GC46,SUMIF(防護具!$B$31:$B$163,GD$23&amp;$B45,防護具!$S$31:$S$163))-GC45,0)</f>
        <v>0</v>
      </c>
      <c r="GE46" s="1998">
        <f>IFERROR(
SUM(GD46,SUMIF(防護具!$B$31:$B$163,GE$23&amp;$B45,防護具!$S$31:$S$163))-GD45,0)</f>
        <v>0</v>
      </c>
      <c r="GF46" s="1998">
        <f>IFERROR(
SUM(GE46,SUMIF(防護具!$B$31:$B$163,GF$23&amp;$B45,防護具!$S$31:$S$163))-GE45,0)</f>
        <v>0</v>
      </c>
    </row>
    <row r="47" spans="1:189" s="639" customFormat="1" ht="15" customHeight="1" x14ac:dyDescent="0.4">
      <c r="A47" s="631"/>
      <c r="B47" s="639" t="s">
        <v>1264</v>
      </c>
      <c r="C47" s="1990" t="s">
        <v>1388</v>
      </c>
      <c r="D47" s="1991"/>
      <c r="E47" s="640"/>
      <c r="F47" s="1998">
        <f>SUMIF(防護具!$B$14:$B$30,F$23&amp;B45,防護具!$S$14:$S$30)</f>
        <v>0</v>
      </c>
      <c r="G47" s="1998">
        <f xml:space="preserve">
IF(G$25="休診日",F47,
IF(F47-VLOOKUP(F$22&amp;$B45,$B$96:$D$191,2,FALSE)&lt;0,0,F47-VLOOKUP(F$22&amp;$B45,$B$96:$D$191,2,FALSE)))</f>
        <v>0</v>
      </c>
      <c r="H47" s="1998">
        <f t="shared" ref="H47:BS47" si="25" xml:space="preserve">
IF(H$25="休診日",G47,
IF(G47-VLOOKUP(G$22&amp;$B45,$B$96:$D$191,2,FALSE)&lt;0,0,G47-VLOOKUP(G$22&amp;$B45,$B$96:$D$191,2,FALSE)))</f>
        <v>0</v>
      </c>
      <c r="I47" s="1998">
        <f t="shared" si="25"/>
        <v>0</v>
      </c>
      <c r="J47" s="1998">
        <f t="shared" si="25"/>
        <v>0</v>
      </c>
      <c r="K47" s="1998">
        <f t="shared" si="25"/>
        <v>0</v>
      </c>
      <c r="L47" s="1998">
        <f t="shared" si="25"/>
        <v>0</v>
      </c>
      <c r="M47" s="1998">
        <f t="shared" si="25"/>
        <v>0</v>
      </c>
      <c r="N47" s="1998">
        <f t="shared" si="25"/>
        <v>0</v>
      </c>
      <c r="O47" s="1998">
        <f t="shared" si="25"/>
        <v>0</v>
      </c>
      <c r="P47" s="1998">
        <f t="shared" si="25"/>
        <v>0</v>
      </c>
      <c r="Q47" s="1998">
        <f t="shared" si="25"/>
        <v>0</v>
      </c>
      <c r="R47" s="1998">
        <f t="shared" si="25"/>
        <v>0</v>
      </c>
      <c r="S47" s="1998">
        <f t="shared" si="25"/>
        <v>0</v>
      </c>
      <c r="T47" s="1998">
        <f t="shared" si="25"/>
        <v>0</v>
      </c>
      <c r="U47" s="1998">
        <f t="shared" si="25"/>
        <v>0</v>
      </c>
      <c r="V47" s="1998">
        <f t="shared" si="25"/>
        <v>0</v>
      </c>
      <c r="W47" s="1998">
        <f t="shared" si="25"/>
        <v>0</v>
      </c>
      <c r="X47" s="1998">
        <f t="shared" si="25"/>
        <v>0</v>
      </c>
      <c r="Y47" s="1998">
        <f t="shared" si="25"/>
        <v>0</v>
      </c>
      <c r="Z47" s="1998">
        <f t="shared" si="25"/>
        <v>0</v>
      </c>
      <c r="AA47" s="1998">
        <f t="shared" si="25"/>
        <v>0</v>
      </c>
      <c r="AB47" s="1998">
        <f t="shared" si="25"/>
        <v>0</v>
      </c>
      <c r="AC47" s="1998">
        <f t="shared" si="25"/>
        <v>0</v>
      </c>
      <c r="AD47" s="1998">
        <f t="shared" si="25"/>
        <v>0</v>
      </c>
      <c r="AE47" s="1998">
        <f t="shared" si="25"/>
        <v>0</v>
      </c>
      <c r="AF47" s="1998">
        <f t="shared" si="25"/>
        <v>0</v>
      </c>
      <c r="AG47" s="1998">
        <f t="shared" si="25"/>
        <v>0</v>
      </c>
      <c r="AH47" s="1998">
        <f t="shared" si="25"/>
        <v>0</v>
      </c>
      <c r="AI47" s="1998">
        <f t="shared" si="25"/>
        <v>0</v>
      </c>
      <c r="AJ47" s="1998">
        <f t="shared" si="25"/>
        <v>0</v>
      </c>
      <c r="AK47" s="1998">
        <f t="shared" si="25"/>
        <v>0</v>
      </c>
      <c r="AL47" s="1998">
        <f t="shared" si="25"/>
        <v>0</v>
      </c>
      <c r="AM47" s="1998">
        <f t="shared" si="25"/>
        <v>0</v>
      </c>
      <c r="AN47" s="1998">
        <f t="shared" si="25"/>
        <v>0</v>
      </c>
      <c r="AO47" s="1998">
        <f t="shared" si="25"/>
        <v>0</v>
      </c>
      <c r="AP47" s="1998">
        <f t="shared" si="25"/>
        <v>0</v>
      </c>
      <c r="AQ47" s="1998">
        <f t="shared" si="25"/>
        <v>0</v>
      </c>
      <c r="AR47" s="1998">
        <f t="shared" si="25"/>
        <v>0</v>
      </c>
      <c r="AS47" s="1998">
        <f t="shared" si="25"/>
        <v>0</v>
      </c>
      <c r="AT47" s="1998">
        <f t="shared" si="25"/>
        <v>0</v>
      </c>
      <c r="AU47" s="1998">
        <f t="shared" si="25"/>
        <v>0</v>
      </c>
      <c r="AV47" s="1998">
        <f t="shared" si="25"/>
        <v>0</v>
      </c>
      <c r="AW47" s="1998">
        <f t="shared" si="25"/>
        <v>0</v>
      </c>
      <c r="AX47" s="1998">
        <f t="shared" si="25"/>
        <v>0</v>
      </c>
      <c r="AY47" s="1998">
        <f t="shared" si="25"/>
        <v>0</v>
      </c>
      <c r="AZ47" s="1998">
        <f t="shared" si="25"/>
        <v>0</v>
      </c>
      <c r="BA47" s="1998">
        <f t="shared" si="25"/>
        <v>0</v>
      </c>
      <c r="BB47" s="1998">
        <f t="shared" si="25"/>
        <v>0</v>
      </c>
      <c r="BC47" s="1998">
        <f t="shared" si="25"/>
        <v>0</v>
      </c>
      <c r="BD47" s="1998">
        <f t="shared" si="25"/>
        <v>0</v>
      </c>
      <c r="BE47" s="1998">
        <f t="shared" si="25"/>
        <v>0</v>
      </c>
      <c r="BF47" s="1998">
        <f t="shared" si="25"/>
        <v>0</v>
      </c>
      <c r="BG47" s="1998">
        <f t="shared" si="25"/>
        <v>0</v>
      </c>
      <c r="BH47" s="1998">
        <f t="shared" si="25"/>
        <v>0</v>
      </c>
      <c r="BI47" s="1998">
        <f t="shared" si="25"/>
        <v>0</v>
      </c>
      <c r="BJ47" s="1998">
        <f t="shared" si="25"/>
        <v>0</v>
      </c>
      <c r="BK47" s="1998">
        <f t="shared" si="25"/>
        <v>0</v>
      </c>
      <c r="BL47" s="1998">
        <f t="shared" si="25"/>
        <v>0</v>
      </c>
      <c r="BM47" s="1998">
        <f t="shared" si="25"/>
        <v>0</v>
      </c>
      <c r="BN47" s="1998">
        <f t="shared" si="25"/>
        <v>0</v>
      </c>
      <c r="BO47" s="1998">
        <f t="shared" si="25"/>
        <v>0</v>
      </c>
      <c r="BP47" s="1998">
        <f t="shared" si="25"/>
        <v>0</v>
      </c>
      <c r="BQ47" s="1998">
        <f t="shared" si="25"/>
        <v>0</v>
      </c>
      <c r="BR47" s="1998">
        <f t="shared" si="25"/>
        <v>0</v>
      </c>
      <c r="BS47" s="1998">
        <f t="shared" si="25"/>
        <v>0</v>
      </c>
      <c r="BT47" s="1998">
        <f t="shared" ref="BT47:EE47" si="26" xml:space="preserve">
IF(BT$25="休診日",BS47,
IF(BS47-VLOOKUP(BS$22&amp;$B45,$B$96:$D$191,2,FALSE)&lt;0,0,BS47-VLOOKUP(BS$22&amp;$B45,$B$96:$D$191,2,FALSE)))</f>
        <v>0</v>
      </c>
      <c r="BU47" s="1998">
        <f t="shared" si="26"/>
        <v>0</v>
      </c>
      <c r="BV47" s="1998">
        <f t="shared" si="26"/>
        <v>0</v>
      </c>
      <c r="BW47" s="1998">
        <f t="shared" si="26"/>
        <v>0</v>
      </c>
      <c r="BX47" s="1998">
        <f t="shared" si="26"/>
        <v>0</v>
      </c>
      <c r="BY47" s="1998">
        <f t="shared" si="26"/>
        <v>0</v>
      </c>
      <c r="BZ47" s="1998">
        <f t="shared" si="26"/>
        <v>0</v>
      </c>
      <c r="CA47" s="1998">
        <f t="shared" si="26"/>
        <v>0</v>
      </c>
      <c r="CB47" s="1998">
        <f t="shared" si="26"/>
        <v>0</v>
      </c>
      <c r="CC47" s="1998">
        <f t="shared" si="26"/>
        <v>0</v>
      </c>
      <c r="CD47" s="1998">
        <f t="shared" si="26"/>
        <v>0</v>
      </c>
      <c r="CE47" s="1998">
        <f t="shared" si="26"/>
        <v>0</v>
      </c>
      <c r="CF47" s="1998">
        <f t="shared" si="26"/>
        <v>0</v>
      </c>
      <c r="CG47" s="1998">
        <f t="shared" si="26"/>
        <v>0</v>
      </c>
      <c r="CH47" s="1998">
        <f t="shared" si="26"/>
        <v>0</v>
      </c>
      <c r="CI47" s="1998">
        <f t="shared" si="26"/>
        <v>0</v>
      </c>
      <c r="CJ47" s="1998">
        <f t="shared" si="26"/>
        <v>0</v>
      </c>
      <c r="CK47" s="1998">
        <f t="shared" si="26"/>
        <v>0</v>
      </c>
      <c r="CL47" s="1998">
        <f t="shared" si="26"/>
        <v>0</v>
      </c>
      <c r="CM47" s="1998">
        <f t="shared" si="26"/>
        <v>0</v>
      </c>
      <c r="CN47" s="1998">
        <f t="shared" si="26"/>
        <v>0</v>
      </c>
      <c r="CO47" s="1998">
        <f t="shared" si="26"/>
        <v>0</v>
      </c>
      <c r="CP47" s="1998">
        <f t="shared" si="26"/>
        <v>0</v>
      </c>
      <c r="CQ47" s="1998">
        <f t="shared" si="26"/>
        <v>0</v>
      </c>
      <c r="CR47" s="1998">
        <f t="shared" si="26"/>
        <v>0</v>
      </c>
      <c r="CS47" s="1998">
        <f t="shared" si="26"/>
        <v>0</v>
      </c>
      <c r="CT47" s="1998">
        <f t="shared" si="26"/>
        <v>0</v>
      </c>
      <c r="CU47" s="1998">
        <f t="shared" si="26"/>
        <v>0</v>
      </c>
      <c r="CV47" s="1998">
        <f t="shared" si="26"/>
        <v>0</v>
      </c>
      <c r="CW47" s="1998">
        <f t="shared" si="26"/>
        <v>0</v>
      </c>
      <c r="CX47" s="1998">
        <f t="shared" si="26"/>
        <v>0</v>
      </c>
      <c r="CY47" s="1998">
        <f t="shared" si="26"/>
        <v>0</v>
      </c>
      <c r="CZ47" s="1998">
        <f t="shared" si="26"/>
        <v>0</v>
      </c>
      <c r="DA47" s="1998">
        <f t="shared" si="26"/>
        <v>0</v>
      </c>
      <c r="DB47" s="1998">
        <f t="shared" si="26"/>
        <v>0</v>
      </c>
      <c r="DC47" s="1998">
        <f t="shared" si="26"/>
        <v>0</v>
      </c>
      <c r="DD47" s="1998">
        <f t="shared" si="26"/>
        <v>0</v>
      </c>
      <c r="DE47" s="1998">
        <f t="shared" si="26"/>
        <v>0</v>
      </c>
      <c r="DF47" s="1998">
        <f t="shared" si="26"/>
        <v>0</v>
      </c>
      <c r="DG47" s="1998">
        <f t="shared" si="26"/>
        <v>0</v>
      </c>
      <c r="DH47" s="1998">
        <f t="shared" si="26"/>
        <v>0</v>
      </c>
      <c r="DI47" s="1998">
        <f t="shared" si="26"/>
        <v>0</v>
      </c>
      <c r="DJ47" s="1998">
        <f t="shared" si="26"/>
        <v>0</v>
      </c>
      <c r="DK47" s="1998">
        <f t="shared" si="26"/>
        <v>0</v>
      </c>
      <c r="DL47" s="1998">
        <f t="shared" si="26"/>
        <v>0</v>
      </c>
      <c r="DM47" s="1998">
        <f t="shared" si="26"/>
        <v>0</v>
      </c>
      <c r="DN47" s="1998">
        <f t="shared" si="26"/>
        <v>0</v>
      </c>
      <c r="DO47" s="1998">
        <f t="shared" si="26"/>
        <v>0</v>
      </c>
      <c r="DP47" s="1998">
        <f t="shared" si="26"/>
        <v>0</v>
      </c>
      <c r="DQ47" s="1998">
        <f t="shared" si="26"/>
        <v>0</v>
      </c>
      <c r="DR47" s="1998">
        <f t="shared" si="26"/>
        <v>0</v>
      </c>
      <c r="DS47" s="1998">
        <f t="shared" si="26"/>
        <v>0</v>
      </c>
      <c r="DT47" s="1998">
        <f t="shared" si="26"/>
        <v>0</v>
      </c>
      <c r="DU47" s="1998">
        <f t="shared" si="26"/>
        <v>0</v>
      </c>
      <c r="DV47" s="1998">
        <f t="shared" si="26"/>
        <v>0</v>
      </c>
      <c r="DW47" s="1998">
        <f t="shared" si="26"/>
        <v>0</v>
      </c>
      <c r="DX47" s="1998">
        <f t="shared" si="26"/>
        <v>0</v>
      </c>
      <c r="DY47" s="1998">
        <f t="shared" si="26"/>
        <v>0</v>
      </c>
      <c r="DZ47" s="1998">
        <f t="shared" si="26"/>
        <v>0</v>
      </c>
      <c r="EA47" s="1998">
        <f t="shared" si="26"/>
        <v>0</v>
      </c>
      <c r="EB47" s="1998">
        <f t="shared" si="26"/>
        <v>0</v>
      </c>
      <c r="EC47" s="1998">
        <f t="shared" si="26"/>
        <v>0</v>
      </c>
      <c r="ED47" s="1998">
        <f t="shared" si="26"/>
        <v>0</v>
      </c>
      <c r="EE47" s="1998">
        <f t="shared" si="26"/>
        <v>0</v>
      </c>
      <c r="EF47" s="1998">
        <f t="shared" ref="EF47:GF47" si="27" xml:space="preserve">
IF(EF$25="休診日",EE47,
IF(EE47-VLOOKUP(EE$22&amp;$B45,$B$96:$D$191,2,FALSE)&lt;0,0,EE47-VLOOKUP(EE$22&amp;$B45,$B$96:$D$191,2,FALSE)))</f>
        <v>0</v>
      </c>
      <c r="EG47" s="1998">
        <f t="shared" si="27"/>
        <v>0</v>
      </c>
      <c r="EH47" s="1998">
        <f t="shared" si="27"/>
        <v>0</v>
      </c>
      <c r="EI47" s="1998">
        <f t="shared" si="27"/>
        <v>0</v>
      </c>
      <c r="EJ47" s="1998">
        <f t="shared" si="27"/>
        <v>0</v>
      </c>
      <c r="EK47" s="1998">
        <f t="shared" si="27"/>
        <v>0</v>
      </c>
      <c r="EL47" s="1998">
        <f t="shared" si="27"/>
        <v>0</v>
      </c>
      <c r="EM47" s="1998">
        <f t="shared" si="27"/>
        <v>0</v>
      </c>
      <c r="EN47" s="1998">
        <f t="shared" si="27"/>
        <v>0</v>
      </c>
      <c r="EO47" s="1998">
        <f t="shared" si="27"/>
        <v>0</v>
      </c>
      <c r="EP47" s="1998">
        <f t="shared" si="27"/>
        <v>0</v>
      </c>
      <c r="EQ47" s="1998">
        <f t="shared" si="27"/>
        <v>0</v>
      </c>
      <c r="ER47" s="1998">
        <f t="shared" si="27"/>
        <v>0</v>
      </c>
      <c r="ES47" s="1998">
        <f t="shared" si="27"/>
        <v>0</v>
      </c>
      <c r="ET47" s="1998">
        <f t="shared" si="27"/>
        <v>0</v>
      </c>
      <c r="EU47" s="1998">
        <f t="shared" si="27"/>
        <v>0</v>
      </c>
      <c r="EV47" s="1998">
        <f t="shared" si="27"/>
        <v>0</v>
      </c>
      <c r="EW47" s="1998">
        <f t="shared" si="27"/>
        <v>0</v>
      </c>
      <c r="EX47" s="1998">
        <f t="shared" si="27"/>
        <v>0</v>
      </c>
      <c r="EY47" s="1998">
        <f t="shared" si="27"/>
        <v>0</v>
      </c>
      <c r="EZ47" s="1998">
        <f t="shared" si="27"/>
        <v>0</v>
      </c>
      <c r="FA47" s="1998">
        <f t="shared" si="27"/>
        <v>0</v>
      </c>
      <c r="FB47" s="1998">
        <f t="shared" si="27"/>
        <v>0</v>
      </c>
      <c r="FC47" s="1998">
        <f t="shared" si="27"/>
        <v>0</v>
      </c>
      <c r="FD47" s="1998">
        <f t="shared" si="27"/>
        <v>0</v>
      </c>
      <c r="FE47" s="1998">
        <f t="shared" si="27"/>
        <v>0</v>
      </c>
      <c r="FF47" s="1998">
        <f t="shared" si="27"/>
        <v>0</v>
      </c>
      <c r="FG47" s="1998">
        <f t="shared" si="27"/>
        <v>0</v>
      </c>
      <c r="FH47" s="1998">
        <f t="shared" si="27"/>
        <v>0</v>
      </c>
      <c r="FI47" s="1998">
        <f t="shared" si="27"/>
        <v>0</v>
      </c>
      <c r="FJ47" s="1998">
        <f t="shared" si="27"/>
        <v>0</v>
      </c>
      <c r="FK47" s="1998">
        <f t="shared" si="27"/>
        <v>0</v>
      </c>
      <c r="FL47" s="1998">
        <f t="shared" si="27"/>
        <v>0</v>
      </c>
      <c r="FM47" s="1998">
        <f t="shared" si="27"/>
        <v>0</v>
      </c>
      <c r="FN47" s="1998">
        <f t="shared" si="27"/>
        <v>0</v>
      </c>
      <c r="FO47" s="1998">
        <f t="shared" si="27"/>
        <v>0</v>
      </c>
      <c r="FP47" s="1998">
        <f t="shared" si="27"/>
        <v>0</v>
      </c>
      <c r="FQ47" s="1998">
        <f t="shared" si="27"/>
        <v>0</v>
      </c>
      <c r="FR47" s="1998">
        <f t="shared" si="27"/>
        <v>0</v>
      </c>
      <c r="FS47" s="1998">
        <f t="shared" si="27"/>
        <v>0</v>
      </c>
      <c r="FT47" s="1998">
        <f t="shared" si="27"/>
        <v>0</v>
      </c>
      <c r="FU47" s="1998">
        <f t="shared" si="27"/>
        <v>0</v>
      </c>
      <c r="FV47" s="1998">
        <f t="shared" si="27"/>
        <v>0</v>
      </c>
      <c r="FW47" s="1998">
        <f t="shared" si="27"/>
        <v>0</v>
      </c>
      <c r="FX47" s="1998">
        <f t="shared" si="27"/>
        <v>0</v>
      </c>
      <c r="FY47" s="1998">
        <f t="shared" si="27"/>
        <v>0</v>
      </c>
      <c r="FZ47" s="1998">
        <f t="shared" si="27"/>
        <v>0</v>
      </c>
      <c r="GA47" s="1998">
        <f t="shared" si="27"/>
        <v>0</v>
      </c>
      <c r="GB47" s="1998">
        <f t="shared" si="27"/>
        <v>0</v>
      </c>
      <c r="GC47" s="1998">
        <f t="shared" si="27"/>
        <v>0</v>
      </c>
      <c r="GD47" s="1998">
        <f t="shared" si="27"/>
        <v>0</v>
      </c>
      <c r="GE47" s="1998">
        <f t="shared" si="27"/>
        <v>0</v>
      </c>
      <c r="GF47" s="1998">
        <f t="shared" si="27"/>
        <v>0</v>
      </c>
    </row>
    <row r="48" spans="1:189" s="641" customFormat="1" ht="15" customHeight="1" x14ac:dyDescent="0.4">
      <c r="A48" s="631"/>
      <c r="B48" s="641" t="s">
        <v>1002</v>
      </c>
      <c r="C48" s="1989" t="s">
        <v>1386</v>
      </c>
      <c r="D48" s="1992"/>
      <c r="E48" s="642"/>
      <c r="F48" s="1998">
        <f xml:space="preserve">
IF($F$25="休診日",0,
MIN(F49,IF((VLOOKUP($F$22&amp;$B48,$B$96:$D$191,2,FALSE)-F50)&lt;0,0,VLOOKUP($F$22&amp;$B48,$B$96:$D$191,2,FALSE)-F50)))</f>
        <v>0</v>
      </c>
      <c r="G48" s="1998">
        <f xml:space="preserve">
IF(G$25="休診日",0,
IF(G50&gt;=VLOOKUP(G$22&amp;$B48,$B$96:$D$191,2,FALSE),0,
IF(AND(G50&lt;VLOOKUP(G$22&amp;$B48,$B$96:$D$191,2,FALSE),G49&lt;=VLOOKUP(G$22&amp;$B48,$B$96:$D$191,2,FALSE)),IF(G49-G50&lt;0,0,G49-G50),
IF(AND(G50&lt;VLOOKUP(G$22&amp;$B48,$B$96:$D$191,2,FALSE),G49&gt;VLOOKUP(G$22&amp;$B48,$B$96:$D$191,2,FALSE)),VLOOKUP(G$22&amp;$B48,$B$96:$D$191,2,FALSE)-G50))))</f>
        <v>0</v>
      </c>
      <c r="H48" s="1998">
        <f t="shared" ref="H48:BS48" si="28" xml:space="preserve">
IF(H$25="休診日",0,
IF(H50&gt;=VLOOKUP(H$22&amp;$B48,$B$96:$D$191,2,FALSE),0,
IF(AND(H50&lt;VLOOKUP(H$22&amp;$B48,$B$96:$D$191,2,FALSE),H49&lt;=VLOOKUP(H$22&amp;$B48,$B$96:$D$191,2,FALSE)),IF(H49-H50&lt;0,0,H49-H50),
IF(AND(H50&lt;VLOOKUP(H$22&amp;$B48,$B$96:$D$191,2,FALSE),H49&gt;VLOOKUP(H$22&amp;$B48,$B$96:$D$191,2,FALSE)),VLOOKUP(H$22&amp;$B48,$B$96:$D$191,2,FALSE)-H50))))</f>
        <v>0</v>
      </c>
      <c r="I48" s="1998">
        <f t="shared" si="28"/>
        <v>0</v>
      </c>
      <c r="J48" s="1998">
        <f t="shared" si="28"/>
        <v>0</v>
      </c>
      <c r="K48" s="1998">
        <f t="shared" si="28"/>
        <v>0</v>
      </c>
      <c r="L48" s="1998">
        <f t="shared" si="28"/>
        <v>0</v>
      </c>
      <c r="M48" s="1998">
        <f t="shared" si="28"/>
        <v>0</v>
      </c>
      <c r="N48" s="1998">
        <f t="shared" si="28"/>
        <v>0</v>
      </c>
      <c r="O48" s="1998">
        <f t="shared" si="28"/>
        <v>0</v>
      </c>
      <c r="P48" s="1998">
        <f t="shared" si="28"/>
        <v>0</v>
      </c>
      <c r="Q48" s="1998">
        <f t="shared" si="28"/>
        <v>0</v>
      </c>
      <c r="R48" s="1998">
        <f t="shared" si="28"/>
        <v>0</v>
      </c>
      <c r="S48" s="1998">
        <f t="shared" si="28"/>
        <v>0</v>
      </c>
      <c r="T48" s="1998">
        <f t="shared" si="28"/>
        <v>0</v>
      </c>
      <c r="U48" s="1998">
        <f t="shared" si="28"/>
        <v>0</v>
      </c>
      <c r="V48" s="1998">
        <f t="shared" si="28"/>
        <v>0</v>
      </c>
      <c r="W48" s="1998">
        <f t="shared" si="28"/>
        <v>0</v>
      </c>
      <c r="X48" s="1998">
        <f t="shared" si="28"/>
        <v>0</v>
      </c>
      <c r="Y48" s="1998">
        <f t="shared" si="28"/>
        <v>0</v>
      </c>
      <c r="Z48" s="1998">
        <f t="shared" si="28"/>
        <v>0</v>
      </c>
      <c r="AA48" s="1998">
        <f t="shared" si="28"/>
        <v>0</v>
      </c>
      <c r="AB48" s="1998">
        <f t="shared" si="28"/>
        <v>0</v>
      </c>
      <c r="AC48" s="1998">
        <f t="shared" si="28"/>
        <v>0</v>
      </c>
      <c r="AD48" s="1998">
        <f t="shared" si="28"/>
        <v>0</v>
      </c>
      <c r="AE48" s="1998">
        <f t="shared" si="28"/>
        <v>0</v>
      </c>
      <c r="AF48" s="1998">
        <f t="shared" si="28"/>
        <v>0</v>
      </c>
      <c r="AG48" s="1998">
        <f t="shared" si="28"/>
        <v>0</v>
      </c>
      <c r="AH48" s="1998">
        <f t="shared" si="28"/>
        <v>0</v>
      </c>
      <c r="AI48" s="1998">
        <f t="shared" si="28"/>
        <v>0</v>
      </c>
      <c r="AJ48" s="1998">
        <f t="shared" si="28"/>
        <v>0</v>
      </c>
      <c r="AK48" s="1998">
        <f t="shared" si="28"/>
        <v>0</v>
      </c>
      <c r="AL48" s="1998">
        <f t="shared" si="28"/>
        <v>0</v>
      </c>
      <c r="AM48" s="1998">
        <f t="shared" si="28"/>
        <v>0</v>
      </c>
      <c r="AN48" s="1998">
        <f t="shared" si="28"/>
        <v>0</v>
      </c>
      <c r="AO48" s="1998">
        <f t="shared" si="28"/>
        <v>0</v>
      </c>
      <c r="AP48" s="1998">
        <f t="shared" si="28"/>
        <v>0</v>
      </c>
      <c r="AQ48" s="1998">
        <f t="shared" si="28"/>
        <v>0</v>
      </c>
      <c r="AR48" s="1998">
        <f t="shared" si="28"/>
        <v>0</v>
      </c>
      <c r="AS48" s="1998">
        <f t="shared" si="28"/>
        <v>0</v>
      </c>
      <c r="AT48" s="1998">
        <f t="shared" si="28"/>
        <v>0</v>
      </c>
      <c r="AU48" s="1998">
        <f t="shared" si="28"/>
        <v>0</v>
      </c>
      <c r="AV48" s="1998">
        <f t="shared" si="28"/>
        <v>0</v>
      </c>
      <c r="AW48" s="1998">
        <f t="shared" si="28"/>
        <v>0</v>
      </c>
      <c r="AX48" s="1998">
        <f t="shared" si="28"/>
        <v>0</v>
      </c>
      <c r="AY48" s="1998">
        <f t="shared" si="28"/>
        <v>0</v>
      </c>
      <c r="AZ48" s="1998">
        <f t="shared" si="28"/>
        <v>0</v>
      </c>
      <c r="BA48" s="1998">
        <f t="shared" si="28"/>
        <v>0</v>
      </c>
      <c r="BB48" s="1998">
        <f t="shared" si="28"/>
        <v>0</v>
      </c>
      <c r="BC48" s="1998">
        <f t="shared" si="28"/>
        <v>0</v>
      </c>
      <c r="BD48" s="1998">
        <f t="shared" si="28"/>
        <v>0</v>
      </c>
      <c r="BE48" s="1998">
        <f t="shared" si="28"/>
        <v>0</v>
      </c>
      <c r="BF48" s="1998">
        <f t="shared" si="28"/>
        <v>0</v>
      </c>
      <c r="BG48" s="1998">
        <f t="shared" si="28"/>
        <v>0</v>
      </c>
      <c r="BH48" s="1998">
        <f t="shared" si="28"/>
        <v>0</v>
      </c>
      <c r="BI48" s="1998">
        <f t="shared" si="28"/>
        <v>0</v>
      </c>
      <c r="BJ48" s="1998">
        <f t="shared" si="28"/>
        <v>0</v>
      </c>
      <c r="BK48" s="1998">
        <f t="shared" si="28"/>
        <v>0</v>
      </c>
      <c r="BL48" s="1998">
        <f t="shared" si="28"/>
        <v>0</v>
      </c>
      <c r="BM48" s="1998">
        <f t="shared" si="28"/>
        <v>0</v>
      </c>
      <c r="BN48" s="1998">
        <f t="shared" si="28"/>
        <v>0</v>
      </c>
      <c r="BO48" s="1998">
        <f t="shared" si="28"/>
        <v>0</v>
      </c>
      <c r="BP48" s="1998">
        <f t="shared" si="28"/>
        <v>0</v>
      </c>
      <c r="BQ48" s="1998">
        <f t="shared" si="28"/>
        <v>0</v>
      </c>
      <c r="BR48" s="1998">
        <f t="shared" si="28"/>
        <v>0</v>
      </c>
      <c r="BS48" s="1998">
        <f t="shared" si="28"/>
        <v>0</v>
      </c>
      <c r="BT48" s="1998">
        <f t="shared" ref="BT48:EE48" si="29" xml:space="preserve">
IF(BT$25="休診日",0,
IF(BT50&gt;=VLOOKUP(BT$22&amp;$B48,$B$96:$D$191,2,FALSE),0,
IF(AND(BT50&lt;VLOOKUP(BT$22&amp;$B48,$B$96:$D$191,2,FALSE),BT49&lt;=VLOOKUP(BT$22&amp;$B48,$B$96:$D$191,2,FALSE)),IF(BT49-BT50&lt;0,0,BT49-BT50),
IF(AND(BT50&lt;VLOOKUP(BT$22&amp;$B48,$B$96:$D$191,2,FALSE),BT49&gt;VLOOKUP(BT$22&amp;$B48,$B$96:$D$191,2,FALSE)),VLOOKUP(BT$22&amp;$B48,$B$96:$D$191,2,FALSE)-BT50))))</f>
        <v>0</v>
      </c>
      <c r="BU48" s="1998">
        <f t="shared" si="29"/>
        <v>0</v>
      </c>
      <c r="BV48" s="1998">
        <f t="shared" si="29"/>
        <v>0</v>
      </c>
      <c r="BW48" s="1998">
        <f t="shared" si="29"/>
        <v>0</v>
      </c>
      <c r="BX48" s="1998">
        <f t="shared" si="29"/>
        <v>0</v>
      </c>
      <c r="BY48" s="1998">
        <f t="shared" si="29"/>
        <v>0</v>
      </c>
      <c r="BZ48" s="1998">
        <f t="shared" si="29"/>
        <v>0</v>
      </c>
      <c r="CA48" s="1998">
        <f t="shared" si="29"/>
        <v>0</v>
      </c>
      <c r="CB48" s="1998">
        <f t="shared" si="29"/>
        <v>0</v>
      </c>
      <c r="CC48" s="1998">
        <f t="shared" si="29"/>
        <v>0</v>
      </c>
      <c r="CD48" s="1998">
        <f t="shared" si="29"/>
        <v>0</v>
      </c>
      <c r="CE48" s="1998">
        <f t="shared" si="29"/>
        <v>0</v>
      </c>
      <c r="CF48" s="1998">
        <f t="shared" si="29"/>
        <v>0</v>
      </c>
      <c r="CG48" s="1998">
        <f t="shared" si="29"/>
        <v>0</v>
      </c>
      <c r="CH48" s="1998">
        <f t="shared" si="29"/>
        <v>0</v>
      </c>
      <c r="CI48" s="1998">
        <f t="shared" si="29"/>
        <v>0</v>
      </c>
      <c r="CJ48" s="1998">
        <f t="shared" si="29"/>
        <v>0</v>
      </c>
      <c r="CK48" s="1998">
        <f t="shared" si="29"/>
        <v>0</v>
      </c>
      <c r="CL48" s="1998">
        <f t="shared" si="29"/>
        <v>0</v>
      </c>
      <c r="CM48" s="1998">
        <f t="shared" si="29"/>
        <v>0</v>
      </c>
      <c r="CN48" s="1998">
        <f t="shared" si="29"/>
        <v>0</v>
      </c>
      <c r="CO48" s="1998">
        <f t="shared" si="29"/>
        <v>0</v>
      </c>
      <c r="CP48" s="1998">
        <f t="shared" si="29"/>
        <v>0</v>
      </c>
      <c r="CQ48" s="1998">
        <f t="shared" si="29"/>
        <v>0</v>
      </c>
      <c r="CR48" s="1998">
        <f t="shared" si="29"/>
        <v>0</v>
      </c>
      <c r="CS48" s="1998">
        <f t="shared" si="29"/>
        <v>0</v>
      </c>
      <c r="CT48" s="1998">
        <f t="shared" si="29"/>
        <v>0</v>
      </c>
      <c r="CU48" s="1998">
        <f t="shared" si="29"/>
        <v>0</v>
      </c>
      <c r="CV48" s="1998">
        <f t="shared" si="29"/>
        <v>0</v>
      </c>
      <c r="CW48" s="1998">
        <f t="shared" si="29"/>
        <v>0</v>
      </c>
      <c r="CX48" s="1998">
        <f t="shared" si="29"/>
        <v>0</v>
      </c>
      <c r="CY48" s="1998">
        <f t="shared" si="29"/>
        <v>0</v>
      </c>
      <c r="CZ48" s="1998">
        <f t="shared" si="29"/>
        <v>0</v>
      </c>
      <c r="DA48" s="1998">
        <f t="shared" si="29"/>
        <v>0</v>
      </c>
      <c r="DB48" s="1998">
        <f t="shared" si="29"/>
        <v>0</v>
      </c>
      <c r="DC48" s="1998">
        <f t="shared" si="29"/>
        <v>0</v>
      </c>
      <c r="DD48" s="1998">
        <f t="shared" si="29"/>
        <v>0</v>
      </c>
      <c r="DE48" s="1998">
        <f t="shared" si="29"/>
        <v>0</v>
      </c>
      <c r="DF48" s="1998">
        <f t="shared" si="29"/>
        <v>0</v>
      </c>
      <c r="DG48" s="1998">
        <f t="shared" si="29"/>
        <v>0</v>
      </c>
      <c r="DH48" s="1998">
        <f t="shared" si="29"/>
        <v>0</v>
      </c>
      <c r="DI48" s="1998">
        <f t="shared" si="29"/>
        <v>0</v>
      </c>
      <c r="DJ48" s="1998">
        <f t="shared" si="29"/>
        <v>0</v>
      </c>
      <c r="DK48" s="1998">
        <f t="shared" si="29"/>
        <v>0</v>
      </c>
      <c r="DL48" s="1998">
        <f t="shared" si="29"/>
        <v>0</v>
      </c>
      <c r="DM48" s="1998">
        <f t="shared" si="29"/>
        <v>0</v>
      </c>
      <c r="DN48" s="1998">
        <f t="shared" si="29"/>
        <v>0</v>
      </c>
      <c r="DO48" s="1998">
        <f t="shared" si="29"/>
        <v>0</v>
      </c>
      <c r="DP48" s="1998">
        <f t="shared" si="29"/>
        <v>0</v>
      </c>
      <c r="DQ48" s="1998">
        <f t="shared" si="29"/>
        <v>0</v>
      </c>
      <c r="DR48" s="1998">
        <f t="shared" si="29"/>
        <v>0</v>
      </c>
      <c r="DS48" s="1998">
        <f t="shared" si="29"/>
        <v>0</v>
      </c>
      <c r="DT48" s="1998">
        <f t="shared" si="29"/>
        <v>0</v>
      </c>
      <c r="DU48" s="1998">
        <f t="shared" si="29"/>
        <v>0</v>
      </c>
      <c r="DV48" s="1998">
        <f t="shared" si="29"/>
        <v>0</v>
      </c>
      <c r="DW48" s="1998">
        <f t="shared" si="29"/>
        <v>0</v>
      </c>
      <c r="DX48" s="1998">
        <f t="shared" si="29"/>
        <v>0</v>
      </c>
      <c r="DY48" s="1998">
        <f t="shared" si="29"/>
        <v>0</v>
      </c>
      <c r="DZ48" s="1998">
        <f t="shared" si="29"/>
        <v>0</v>
      </c>
      <c r="EA48" s="1998">
        <f t="shared" si="29"/>
        <v>0</v>
      </c>
      <c r="EB48" s="1998">
        <f t="shared" si="29"/>
        <v>0</v>
      </c>
      <c r="EC48" s="1998">
        <f t="shared" si="29"/>
        <v>0</v>
      </c>
      <c r="ED48" s="1998">
        <f t="shared" si="29"/>
        <v>0</v>
      </c>
      <c r="EE48" s="1998">
        <f t="shared" si="29"/>
        <v>0</v>
      </c>
      <c r="EF48" s="1998">
        <f t="shared" ref="EF48:GF48" si="30" xml:space="preserve">
IF(EF$25="休診日",0,
IF(EF50&gt;=VLOOKUP(EF$22&amp;$B48,$B$96:$D$191,2,FALSE),0,
IF(AND(EF50&lt;VLOOKUP(EF$22&amp;$B48,$B$96:$D$191,2,FALSE),EF49&lt;=VLOOKUP(EF$22&amp;$B48,$B$96:$D$191,2,FALSE)),IF(EF49-EF50&lt;0,0,EF49-EF50),
IF(AND(EF50&lt;VLOOKUP(EF$22&amp;$B48,$B$96:$D$191,2,FALSE),EF49&gt;VLOOKUP(EF$22&amp;$B48,$B$96:$D$191,2,FALSE)),VLOOKUP(EF$22&amp;$B48,$B$96:$D$191,2,FALSE)-EF50))))</f>
        <v>0</v>
      </c>
      <c r="EG48" s="1998">
        <f t="shared" si="30"/>
        <v>0</v>
      </c>
      <c r="EH48" s="1998">
        <f t="shared" si="30"/>
        <v>0</v>
      </c>
      <c r="EI48" s="1998">
        <f t="shared" si="30"/>
        <v>0</v>
      </c>
      <c r="EJ48" s="1998">
        <f t="shared" si="30"/>
        <v>0</v>
      </c>
      <c r="EK48" s="1998">
        <f t="shared" si="30"/>
        <v>0</v>
      </c>
      <c r="EL48" s="1998">
        <f t="shared" si="30"/>
        <v>0</v>
      </c>
      <c r="EM48" s="1998">
        <f t="shared" si="30"/>
        <v>0</v>
      </c>
      <c r="EN48" s="1998">
        <f t="shared" si="30"/>
        <v>0</v>
      </c>
      <c r="EO48" s="1998">
        <f t="shared" si="30"/>
        <v>0</v>
      </c>
      <c r="EP48" s="1998">
        <f t="shared" si="30"/>
        <v>0</v>
      </c>
      <c r="EQ48" s="1998">
        <f t="shared" si="30"/>
        <v>0</v>
      </c>
      <c r="ER48" s="1998">
        <f t="shared" si="30"/>
        <v>0</v>
      </c>
      <c r="ES48" s="1998">
        <f t="shared" si="30"/>
        <v>0</v>
      </c>
      <c r="ET48" s="1998">
        <f t="shared" si="30"/>
        <v>0</v>
      </c>
      <c r="EU48" s="1998">
        <f t="shared" si="30"/>
        <v>0</v>
      </c>
      <c r="EV48" s="1998">
        <f t="shared" si="30"/>
        <v>0</v>
      </c>
      <c r="EW48" s="1998">
        <f t="shared" si="30"/>
        <v>0</v>
      </c>
      <c r="EX48" s="1998">
        <f t="shared" si="30"/>
        <v>0</v>
      </c>
      <c r="EY48" s="1998">
        <f t="shared" si="30"/>
        <v>0</v>
      </c>
      <c r="EZ48" s="1998">
        <f t="shared" si="30"/>
        <v>0</v>
      </c>
      <c r="FA48" s="1998">
        <f t="shared" si="30"/>
        <v>0</v>
      </c>
      <c r="FB48" s="1998">
        <f t="shared" si="30"/>
        <v>0</v>
      </c>
      <c r="FC48" s="1998">
        <f t="shared" si="30"/>
        <v>0</v>
      </c>
      <c r="FD48" s="1998">
        <f t="shared" si="30"/>
        <v>0</v>
      </c>
      <c r="FE48" s="1998">
        <f t="shared" si="30"/>
        <v>0</v>
      </c>
      <c r="FF48" s="1998">
        <f t="shared" si="30"/>
        <v>0</v>
      </c>
      <c r="FG48" s="1998">
        <f t="shared" si="30"/>
        <v>0</v>
      </c>
      <c r="FH48" s="1998">
        <f t="shared" si="30"/>
        <v>0</v>
      </c>
      <c r="FI48" s="1998">
        <f t="shared" si="30"/>
        <v>0</v>
      </c>
      <c r="FJ48" s="1998">
        <f t="shared" si="30"/>
        <v>0</v>
      </c>
      <c r="FK48" s="1998">
        <f t="shared" si="30"/>
        <v>0</v>
      </c>
      <c r="FL48" s="1998">
        <f t="shared" si="30"/>
        <v>0</v>
      </c>
      <c r="FM48" s="1998">
        <f t="shared" si="30"/>
        <v>0</v>
      </c>
      <c r="FN48" s="1998">
        <f t="shared" si="30"/>
        <v>0</v>
      </c>
      <c r="FO48" s="1998">
        <f t="shared" si="30"/>
        <v>0</v>
      </c>
      <c r="FP48" s="1998">
        <f t="shared" si="30"/>
        <v>0</v>
      </c>
      <c r="FQ48" s="1998">
        <f t="shared" si="30"/>
        <v>0</v>
      </c>
      <c r="FR48" s="1998">
        <f t="shared" si="30"/>
        <v>0</v>
      </c>
      <c r="FS48" s="1998">
        <f t="shared" si="30"/>
        <v>0</v>
      </c>
      <c r="FT48" s="1998">
        <f t="shared" si="30"/>
        <v>0</v>
      </c>
      <c r="FU48" s="1998">
        <f t="shared" si="30"/>
        <v>0</v>
      </c>
      <c r="FV48" s="1998">
        <f t="shared" si="30"/>
        <v>0</v>
      </c>
      <c r="FW48" s="1998">
        <f t="shared" si="30"/>
        <v>0</v>
      </c>
      <c r="FX48" s="1998">
        <f t="shared" si="30"/>
        <v>0</v>
      </c>
      <c r="FY48" s="1998">
        <f t="shared" si="30"/>
        <v>0</v>
      </c>
      <c r="FZ48" s="1998">
        <f t="shared" si="30"/>
        <v>0</v>
      </c>
      <c r="GA48" s="1998">
        <f t="shared" si="30"/>
        <v>0</v>
      </c>
      <c r="GB48" s="1998">
        <f t="shared" si="30"/>
        <v>0</v>
      </c>
      <c r="GC48" s="1998">
        <f t="shared" si="30"/>
        <v>0</v>
      </c>
      <c r="GD48" s="1998">
        <f t="shared" si="30"/>
        <v>0</v>
      </c>
      <c r="GE48" s="1998">
        <f t="shared" si="30"/>
        <v>0</v>
      </c>
      <c r="GF48" s="1998">
        <f t="shared" si="30"/>
        <v>0</v>
      </c>
    </row>
    <row r="49" spans="1:188" s="641" customFormat="1" ht="15" customHeight="1" x14ac:dyDescent="0.4">
      <c r="A49" s="631"/>
      <c r="B49" s="641" t="s">
        <v>1265</v>
      </c>
      <c r="C49" s="1989" t="s">
        <v>1387</v>
      </c>
      <c r="D49" s="1992"/>
      <c r="E49" s="642"/>
      <c r="F49" s="1998">
        <f>SUMIF(防護具!$B$31:$B$163,F$23&amp;$B48,防護具!$S$31:$S$163)</f>
        <v>0</v>
      </c>
      <c r="G49" s="2000">
        <f>IFERROR(
SUM(F49,SUMIF(防護具!$B$31:$B$163,G$23&amp;$B48,防護具!$S$31:$S$163))-F48,0)</f>
        <v>0</v>
      </c>
      <c r="H49" s="2000">
        <f>IFERROR(
SUM(G49,SUMIF(防護具!$B$31:$B$163,H$23&amp;$B48,防護具!$S$31:$S$163))-G48,0)</f>
        <v>0</v>
      </c>
      <c r="I49" s="2000">
        <f>IFERROR(
SUM(H49,SUMIF(防護具!$B$31:$B$163,I$23&amp;$B48,防護具!$S$31:$S$163))-H48,0)</f>
        <v>0</v>
      </c>
      <c r="J49" s="2000">
        <f>IFERROR(
SUM(I49,SUMIF(防護具!$B$31:$B$163,J$23&amp;$B48,防護具!$S$31:$S$163))-I48,0)</f>
        <v>0</v>
      </c>
      <c r="K49" s="2000">
        <f>IFERROR(
SUM(J49,SUMIF(防護具!$B$31:$B$163,K$23&amp;$B48,防護具!$S$31:$S$163))-J48,0)</f>
        <v>0</v>
      </c>
      <c r="L49" s="2000">
        <f>IFERROR(
SUM(K49,SUMIF(防護具!$B$31:$B$163,L$23&amp;$B48,防護具!$S$31:$S$163))-K48,0)</f>
        <v>0</v>
      </c>
      <c r="M49" s="2000">
        <f>IFERROR(
SUM(L49,SUMIF(防護具!$B$31:$B$163,M$23&amp;$B48,防護具!$S$31:$S$163))-L48,0)</f>
        <v>0</v>
      </c>
      <c r="N49" s="2000">
        <f>IFERROR(
SUM(M49,SUMIF(防護具!$B$31:$B$163,N$23&amp;$B48,防護具!$S$31:$S$163))-M48,0)</f>
        <v>0</v>
      </c>
      <c r="O49" s="2000">
        <f>IFERROR(
SUM(N49,SUMIF(防護具!$B$31:$B$163,O$23&amp;$B48,防護具!$S$31:$S$163))-N48,0)</f>
        <v>0</v>
      </c>
      <c r="P49" s="2000">
        <f>IFERROR(
SUM(O49,SUMIF(防護具!$B$31:$B$163,P$23&amp;$B48,防護具!$S$31:$S$163))-O48,0)</f>
        <v>0</v>
      </c>
      <c r="Q49" s="2000">
        <f>IFERROR(
SUM(P49,SUMIF(防護具!$B$31:$B$163,Q$23&amp;$B48,防護具!$S$31:$S$163))-P48,0)</f>
        <v>0</v>
      </c>
      <c r="R49" s="2000">
        <f>IFERROR(
SUM(Q49,SUMIF(防護具!$B$31:$B$163,R$23&amp;$B48,防護具!$S$31:$S$163))-Q48,0)</f>
        <v>0</v>
      </c>
      <c r="S49" s="2000">
        <f>IFERROR(
SUM(R49,SUMIF(防護具!$B$31:$B$163,S$23&amp;$B48,防護具!$S$31:$S$163))-R48,0)</f>
        <v>0</v>
      </c>
      <c r="T49" s="2000">
        <f>IFERROR(
SUM(S49,SUMIF(防護具!$B$31:$B$163,T$23&amp;$B48,防護具!$S$31:$S$163))-S48,0)</f>
        <v>0</v>
      </c>
      <c r="U49" s="2000">
        <f>IFERROR(
SUM(T49,SUMIF(防護具!$B$31:$B$163,U$23&amp;$B48,防護具!$S$31:$S$163))-T48,0)</f>
        <v>0</v>
      </c>
      <c r="V49" s="2000">
        <f>IFERROR(
SUM(U49,SUMIF(防護具!$B$31:$B$163,V$23&amp;$B48,防護具!$S$31:$S$163))-U48,0)</f>
        <v>0</v>
      </c>
      <c r="W49" s="2000">
        <f>IFERROR(
SUM(V49,SUMIF(防護具!$B$31:$B$163,W$23&amp;$B48,防護具!$S$31:$S$163))-V48,0)</f>
        <v>0</v>
      </c>
      <c r="X49" s="2000">
        <f>IFERROR(
SUM(W49,SUMIF(防護具!$B$31:$B$163,X$23&amp;$B48,防護具!$S$31:$S$163))-W48,0)</f>
        <v>0</v>
      </c>
      <c r="Y49" s="2000">
        <f>IFERROR(
SUM(X49,SUMIF(防護具!$B$31:$B$163,Y$23&amp;$B48,防護具!$S$31:$S$163))-X48,0)</f>
        <v>0</v>
      </c>
      <c r="Z49" s="2000">
        <f>IFERROR(
SUM(Y49,SUMIF(防護具!$B$31:$B$163,Z$23&amp;$B48,防護具!$S$31:$S$163))-Y48,0)</f>
        <v>0</v>
      </c>
      <c r="AA49" s="2000">
        <f>IFERROR(
SUM(Z49,SUMIF(防護具!$B$31:$B$163,AA$23&amp;$B48,防護具!$S$31:$S$163))-Z48,0)</f>
        <v>0</v>
      </c>
      <c r="AB49" s="2000">
        <f>IFERROR(
SUM(AA49,SUMIF(防護具!$B$31:$B$163,AB$23&amp;$B48,防護具!$S$31:$S$163))-AA48,0)</f>
        <v>0</v>
      </c>
      <c r="AC49" s="2000">
        <f>IFERROR(
SUM(AB49,SUMIF(防護具!$B$31:$B$163,AC$23&amp;$B48,防護具!$S$31:$S$163))-AB48,0)</f>
        <v>0</v>
      </c>
      <c r="AD49" s="2000">
        <f>IFERROR(
SUM(AC49,SUMIF(防護具!$B$31:$B$163,AD$23&amp;$B48,防護具!$S$31:$S$163))-AC48,0)</f>
        <v>0</v>
      </c>
      <c r="AE49" s="2000">
        <f>IFERROR(
SUM(AD49,SUMIF(防護具!$B$31:$B$163,AE$23&amp;$B48,防護具!$S$31:$S$163))-AD48,0)</f>
        <v>0</v>
      </c>
      <c r="AF49" s="2000">
        <f>IFERROR(
SUM(AE49,SUMIF(防護具!$B$31:$B$163,AF$23&amp;$B48,防護具!$S$31:$S$163))-AE48,0)</f>
        <v>0</v>
      </c>
      <c r="AG49" s="2000">
        <f>IFERROR(
SUM(AF49,SUMIF(防護具!$B$31:$B$163,AG$23&amp;$B48,防護具!$S$31:$S$163))-AF48,0)</f>
        <v>0</v>
      </c>
      <c r="AH49" s="2000">
        <f>IFERROR(
SUM(AG49,SUMIF(防護具!$B$31:$B$163,AH$23&amp;$B48,防護具!$S$31:$S$163))-AG48,0)</f>
        <v>0</v>
      </c>
      <c r="AI49" s="2000">
        <f>IFERROR(
SUM(AH49,SUMIF(防護具!$B$31:$B$163,AI$23&amp;$B48,防護具!$S$31:$S$163))-AH48,0)</f>
        <v>0</v>
      </c>
      <c r="AJ49" s="2000">
        <f>IFERROR(
SUM(AI49,SUMIF(防護具!$B$31:$B$163,AJ$23&amp;$B48,防護具!$S$31:$S$163))-AI48,0)</f>
        <v>0</v>
      </c>
      <c r="AK49" s="2000">
        <f>IFERROR(
SUM(AJ49,SUMIF(防護具!$B$31:$B$163,AK$23&amp;$B48,防護具!$S$31:$S$163))-AJ48,0)</f>
        <v>0</v>
      </c>
      <c r="AL49" s="2000">
        <f>IFERROR(
SUM(AK49,SUMIF(防護具!$B$31:$B$163,AL$23&amp;$B48,防護具!$S$31:$S$163))-AK48,0)</f>
        <v>0</v>
      </c>
      <c r="AM49" s="2000">
        <f>IFERROR(
SUM(AL49,SUMIF(防護具!$B$31:$B$163,AM$23&amp;$B48,防護具!$S$31:$S$163))-AL48,0)</f>
        <v>0</v>
      </c>
      <c r="AN49" s="2000">
        <f>IFERROR(
SUM(AM49,SUMIF(防護具!$B$31:$B$163,AN$23&amp;$B48,防護具!$S$31:$S$163))-AM48,0)</f>
        <v>0</v>
      </c>
      <c r="AO49" s="2000">
        <f>IFERROR(
SUM(AN49,SUMIF(防護具!$B$31:$B$163,AO$23&amp;$B48,防護具!$S$31:$S$163))-AN48,0)</f>
        <v>0</v>
      </c>
      <c r="AP49" s="2000">
        <f>IFERROR(
SUM(AO49,SUMIF(防護具!$B$31:$B$163,AP$23&amp;$B48,防護具!$S$31:$S$163))-AO48,0)</f>
        <v>0</v>
      </c>
      <c r="AQ49" s="2000">
        <f>IFERROR(
SUM(AP49,SUMIF(防護具!$B$31:$B$163,AQ$23&amp;$B48,防護具!$S$31:$S$163))-AP48,0)</f>
        <v>0</v>
      </c>
      <c r="AR49" s="2000">
        <f>IFERROR(
SUM(AQ49,SUMIF(防護具!$B$31:$B$163,AR$23&amp;$B48,防護具!$S$31:$S$163))-AQ48,0)</f>
        <v>0</v>
      </c>
      <c r="AS49" s="2000">
        <f>IFERROR(
SUM(AR49,SUMIF(防護具!$B$31:$B$163,AS$23&amp;$B48,防護具!$S$31:$S$163))-AR48,0)</f>
        <v>0</v>
      </c>
      <c r="AT49" s="2000">
        <f>IFERROR(
SUM(AS49,SUMIF(防護具!$B$31:$B$163,AT$23&amp;$B48,防護具!$S$31:$S$163))-AS48,0)</f>
        <v>0</v>
      </c>
      <c r="AU49" s="2000">
        <f>IFERROR(
SUM(AT49,SUMIF(防護具!$B$31:$B$163,AU$23&amp;$B48,防護具!$S$31:$S$163))-AT48,0)</f>
        <v>0</v>
      </c>
      <c r="AV49" s="2000">
        <f>IFERROR(
SUM(AU49,SUMIF(防護具!$B$31:$B$163,AV$23&amp;$B48,防護具!$S$31:$S$163))-AU48,0)</f>
        <v>0</v>
      </c>
      <c r="AW49" s="2000">
        <f>IFERROR(
SUM(AV49,SUMIF(防護具!$B$31:$B$163,AW$23&amp;$B48,防護具!$S$31:$S$163))-AV48,0)</f>
        <v>0</v>
      </c>
      <c r="AX49" s="2000">
        <f>IFERROR(
SUM(AW49,SUMIF(防護具!$B$31:$B$163,AX$23&amp;$B48,防護具!$S$31:$S$163))-AW48,0)</f>
        <v>0</v>
      </c>
      <c r="AY49" s="2000">
        <f>IFERROR(
SUM(AX49,SUMIF(防護具!$B$31:$B$163,AY$23&amp;$B48,防護具!$S$31:$S$163))-AX48,0)</f>
        <v>0</v>
      </c>
      <c r="AZ49" s="2000">
        <f>IFERROR(
SUM(AY49,SUMIF(防護具!$B$31:$B$163,AZ$23&amp;$B48,防護具!$S$31:$S$163))-AY48,0)</f>
        <v>0</v>
      </c>
      <c r="BA49" s="2000">
        <f>IFERROR(
SUM(AZ49,SUMIF(防護具!$B$31:$B$163,BA$23&amp;$B48,防護具!$S$31:$S$163))-AZ48,0)</f>
        <v>0</v>
      </c>
      <c r="BB49" s="2000">
        <f>IFERROR(
SUM(BA49,SUMIF(防護具!$B$31:$B$163,BB$23&amp;$B48,防護具!$S$31:$S$163))-BA48,0)</f>
        <v>0</v>
      </c>
      <c r="BC49" s="2000">
        <f>IFERROR(
SUM(BB49,SUMIF(防護具!$B$31:$B$163,BC$23&amp;$B48,防護具!$S$31:$S$163))-BB48,0)</f>
        <v>0</v>
      </c>
      <c r="BD49" s="2000">
        <f>IFERROR(
SUM(BC49,SUMIF(防護具!$B$31:$B$163,BD$23&amp;$B48,防護具!$S$31:$S$163))-BC48,0)</f>
        <v>0</v>
      </c>
      <c r="BE49" s="2000">
        <f>IFERROR(
SUM(BD49,SUMIF(防護具!$B$31:$B$163,BE$23&amp;$B48,防護具!$S$31:$S$163))-BD48,0)</f>
        <v>0</v>
      </c>
      <c r="BF49" s="2000">
        <f>IFERROR(
SUM(BE49,SUMIF(防護具!$B$31:$B$163,BF$23&amp;$B48,防護具!$S$31:$S$163))-BE48,0)</f>
        <v>0</v>
      </c>
      <c r="BG49" s="2000">
        <f>IFERROR(
SUM(BF49,SUMIF(防護具!$B$31:$B$163,BG$23&amp;$B48,防護具!$S$31:$S$163))-BF48,0)</f>
        <v>0</v>
      </c>
      <c r="BH49" s="2000">
        <f>IFERROR(
SUM(BG49,SUMIF(防護具!$B$31:$B$163,BH$23&amp;$B48,防護具!$S$31:$S$163))-BG48,0)</f>
        <v>0</v>
      </c>
      <c r="BI49" s="2000">
        <f>IFERROR(
SUM(BH49,SUMIF(防護具!$B$31:$B$163,BI$23&amp;$B48,防護具!$S$31:$S$163))-BH48,0)</f>
        <v>0</v>
      </c>
      <c r="BJ49" s="2000">
        <f>IFERROR(
SUM(BI49,SUMIF(防護具!$B$31:$B$163,BJ$23&amp;$B48,防護具!$S$31:$S$163))-BI48,0)</f>
        <v>0</v>
      </c>
      <c r="BK49" s="2000">
        <f>IFERROR(
SUM(BJ49,SUMIF(防護具!$B$31:$B$163,BK$23&amp;$B48,防護具!$S$31:$S$163))-BJ48,0)</f>
        <v>0</v>
      </c>
      <c r="BL49" s="2000">
        <f>IFERROR(
SUM(BK49,SUMIF(防護具!$B$31:$B$163,BL$23&amp;$B48,防護具!$S$31:$S$163))-BK48,0)</f>
        <v>0</v>
      </c>
      <c r="BM49" s="2000">
        <f>IFERROR(
SUM(BL49,SUMIF(防護具!$B$31:$B$163,BM$23&amp;$B48,防護具!$S$31:$S$163))-BL48,0)</f>
        <v>0</v>
      </c>
      <c r="BN49" s="2000">
        <f>IFERROR(
SUM(BM49,SUMIF(防護具!$B$31:$B$163,BN$23&amp;$B48,防護具!$S$31:$S$163))-BM48,0)</f>
        <v>0</v>
      </c>
      <c r="BO49" s="2000">
        <f>IFERROR(
SUM(BN49,SUMIF(防護具!$B$31:$B$163,BO$23&amp;$B48,防護具!$S$31:$S$163))-BN48,0)</f>
        <v>0</v>
      </c>
      <c r="BP49" s="2000">
        <f>IFERROR(
SUM(BO49,SUMIF(防護具!$B$31:$B$163,BP$23&amp;$B48,防護具!$S$31:$S$163))-BO48,0)</f>
        <v>0</v>
      </c>
      <c r="BQ49" s="2000">
        <f>IFERROR(
SUM(BP49,SUMIF(防護具!$B$31:$B$163,BQ$23&amp;$B48,防護具!$S$31:$S$163))-BP48,0)</f>
        <v>0</v>
      </c>
      <c r="BR49" s="2000">
        <f>IFERROR(
SUM(BQ49,SUMIF(防護具!$B$31:$B$163,BR$23&amp;$B48,防護具!$S$31:$S$163))-BQ48,0)</f>
        <v>0</v>
      </c>
      <c r="BS49" s="2000">
        <f>IFERROR(
SUM(BR49,SUMIF(防護具!$B$31:$B$163,BS$23&amp;$B48,防護具!$S$31:$S$163))-BR48,0)</f>
        <v>0</v>
      </c>
      <c r="BT49" s="2000">
        <f>IFERROR(
SUM(BS49,SUMIF(防護具!$B$31:$B$163,BT$23&amp;$B48,防護具!$S$31:$S$163))-BS48,0)</f>
        <v>0</v>
      </c>
      <c r="BU49" s="2000">
        <f>IFERROR(
SUM(BT49,SUMIF(防護具!$B$31:$B$163,BU$23&amp;$B48,防護具!$S$31:$S$163))-BT48,0)</f>
        <v>0</v>
      </c>
      <c r="BV49" s="2000">
        <f>IFERROR(
SUM(BU49,SUMIF(防護具!$B$31:$B$163,BV$23&amp;$B48,防護具!$S$31:$S$163))-BU48,0)</f>
        <v>0</v>
      </c>
      <c r="BW49" s="2000">
        <f>IFERROR(
SUM(BV49,SUMIF(防護具!$B$31:$B$163,BW$23&amp;$B48,防護具!$S$31:$S$163))-BV48,0)</f>
        <v>0</v>
      </c>
      <c r="BX49" s="2000">
        <f>IFERROR(
SUM(BW49,SUMIF(防護具!$B$31:$B$163,BX$23&amp;$B48,防護具!$S$31:$S$163))-BW48,0)</f>
        <v>0</v>
      </c>
      <c r="BY49" s="2000">
        <f>IFERROR(
SUM(BX49,SUMIF(防護具!$B$31:$B$163,BY$23&amp;$B48,防護具!$S$31:$S$163))-BX48,0)</f>
        <v>0</v>
      </c>
      <c r="BZ49" s="2000">
        <f>IFERROR(
SUM(BY49,SUMIF(防護具!$B$31:$B$163,BZ$23&amp;$B48,防護具!$S$31:$S$163))-BY48,0)</f>
        <v>0</v>
      </c>
      <c r="CA49" s="2000">
        <f>IFERROR(
SUM(BZ49,SUMIF(防護具!$B$31:$B$163,CA$23&amp;$B48,防護具!$S$31:$S$163))-BZ48,0)</f>
        <v>0</v>
      </c>
      <c r="CB49" s="2000">
        <f>IFERROR(
SUM(CA49,SUMIF(防護具!$B$31:$B$163,CB$23&amp;$B48,防護具!$S$31:$S$163))-CA48,0)</f>
        <v>0</v>
      </c>
      <c r="CC49" s="2000">
        <f>IFERROR(
SUM(CB49,SUMIF(防護具!$B$31:$B$163,CC$23&amp;$B48,防護具!$S$31:$S$163))-CB48,0)</f>
        <v>0</v>
      </c>
      <c r="CD49" s="2000">
        <f>IFERROR(
SUM(CC49,SUMIF(防護具!$B$31:$B$163,CD$23&amp;$B48,防護具!$S$31:$S$163))-CC48,0)</f>
        <v>0</v>
      </c>
      <c r="CE49" s="2000">
        <f>IFERROR(
SUM(CD49,SUMIF(防護具!$B$31:$B$163,CE$23&amp;$B48,防護具!$S$31:$S$163))-CD48,0)</f>
        <v>0</v>
      </c>
      <c r="CF49" s="2000">
        <f>IFERROR(
SUM(CE49,SUMIF(防護具!$B$31:$B$163,CF$23&amp;$B48,防護具!$S$31:$S$163))-CE48,0)</f>
        <v>0</v>
      </c>
      <c r="CG49" s="2000">
        <f>IFERROR(
SUM(CF49,SUMIF(防護具!$B$31:$B$163,CG$23&amp;$B48,防護具!$S$31:$S$163))-CF48,0)</f>
        <v>0</v>
      </c>
      <c r="CH49" s="2000">
        <f>IFERROR(
SUM(CG49,SUMIF(防護具!$B$31:$B$163,CH$23&amp;$B48,防護具!$S$31:$S$163))-CG48,0)</f>
        <v>0</v>
      </c>
      <c r="CI49" s="2000">
        <f>IFERROR(
SUM(CH49,SUMIF(防護具!$B$31:$B$163,CI$23&amp;$B48,防護具!$S$31:$S$163))-CH48,0)</f>
        <v>0</v>
      </c>
      <c r="CJ49" s="2000">
        <f>IFERROR(
SUM(CI49,SUMIF(防護具!$B$31:$B$163,CJ$23&amp;$B48,防護具!$S$31:$S$163))-CI48,0)</f>
        <v>0</v>
      </c>
      <c r="CK49" s="2000">
        <f>IFERROR(
SUM(CJ49,SUMIF(防護具!$B$31:$B$163,CK$23&amp;$B48,防護具!$S$31:$S$163))-CJ48,0)</f>
        <v>0</v>
      </c>
      <c r="CL49" s="2000">
        <f>IFERROR(
SUM(CK49,SUMIF(防護具!$B$31:$B$163,CL$23&amp;$B48,防護具!$S$31:$S$163))-CK48,0)</f>
        <v>0</v>
      </c>
      <c r="CM49" s="2000">
        <f>IFERROR(
SUM(CL49,SUMIF(防護具!$B$31:$B$163,CM$23&amp;$B48,防護具!$S$31:$S$163))-CL48,0)</f>
        <v>0</v>
      </c>
      <c r="CN49" s="2000">
        <f>IFERROR(
SUM(CM49,SUMIF(防護具!$B$31:$B$163,CN$23&amp;$B48,防護具!$S$31:$S$163))-CM48,0)</f>
        <v>0</v>
      </c>
      <c r="CO49" s="2000">
        <f>IFERROR(
SUM(CN49,SUMIF(防護具!$B$31:$B$163,CO$23&amp;$B48,防護具!$S$31:$S$163))-CN48,0)</f>
        <v>0</v>
      </c>
      <c r="CP49" s="2000">
        <f>IFERROR(
SUM(CO49,SUMIF(防護具!$B$31:$B$163,CP$23&amp;$B48,防護具!$S$31:$S$163))-CO48,0)</f>
        <v>0</v>
      </c>
      <c r="CQ49" s="2000">
        <f>IFERROR(
SUM(CP49,SUMIF(防護具!$B$31:$B$163,CQ$23&amp;$B48,防護具!$S$31:$S$163))-CP48,0)</f>
        <v>0</v>
      </c>
      <c r="CR49" s="2000">
        <f>IFERROR(
SUM(CQ49,SUMIF(防護具!$B$31:$B$163,CR$23&amp;$B48,防護具!$S$31:$S$163))-CQ48,0)</f>
        <v>0</v>
      </c>
      <c r="CS49" s="2000">
        <f>IFERROR(
SUM(CR49,SUMIF(防護具!$B$31:$B$163,CS$23&amp;$B48,防護具!$S$31:$S$163))-CR48,0)</f>
        <v>0</v>
      </c>
      <c r="CT49" s="2000">
        <f>IFERROR(
SUM(CS49,SUMIF(防護具!$B$31:$B$163,CT$23&amp;$B48,防護具!$S$31:$S$163))-CS48,0)</f>
        <v>0</v>
      </c>
      <c r="CU49" s="2000">
        <f>IFERROR(
SUM(CT49,SUMIF(防護具!$B$31:$B$163,CU$23&amp;$B48,防護具!$S$31:$S$163))-CT48,0)</f>
        <v>0</v>
      </c>
      <c r="CV49" s="2000">
        <f>IFERROR(
SUM(CU49,SUMIF(防護具!$B$31:$B$163,CV$23&amp;$B48,防護具!$S$31:$S$163))-CU48,0)</f>
        <v>0</v>
      </c>
      <c r="CW49" s="2000">
        <f>IFERROR(
SUM(CV49,SUMIF(防護具!$B$31:$B$163,CW$23&amp;$B48,防護具!$S$31:$S$163))-CV48,0)</f>
        <v>0</v>
      </c>
      <c r="CX49" s="2000">
        <f>IFERROR(
SUM(CW49,SUMIF(防護具!$B$31:$B$163,CX$23&amp;$B48,防護具!$S$31:$S$163))-CW48,0)</f>
        <v>0</v>
      </c>
      <c r="CY49" s="2000">
        <f>IFERROR(
SUM(CX49,SUMIF(防護具!$B$31:$B$163,CY$23&amp;$B48,防護具!$S$31:$S$163))-CX48,0)</f>
        <v>0</v>
      </c>
      <c r="CZ49" s="2000">
        <f>IFERROR(
SUM(CY49,SUMIF(防護具!$B$31:$B$163,CZ$23&amp;$B48,防護具!$S$31:$S$163))-CY48,0)</f>
        <v>0</v>
      </c>
      <c r="DA49" s="2000">
        <f>IFERROR(
SUM(CZ49,SUMIF(防護具!$B$31:$B$163,DA$23&amp;$B48,防護具!$S$31:$S$163))-CZ48,0)</f>
        <v>0</v>
      </c>
      <c r="DB49" s="2000">
        <f>IFERROR(
SUM(DA49,SUMIF(防護具!$B$31:$B$163,DB$23&amp;$B48,防護具!$S$31:$S$163))-DA48,0)</f>
        <v>0</v>
      </c>
      <c r="DC49" s="2000">
        <f>IFERROR(
SUM(DB49,SUMIF(防護具!$B$31:$B$163,DC$23&amp;$B48,防護具!$S$31:$S$163))-DB48,0)</f>
        <v>0</v>
      </c>
      <c r="DD49" s="2000">
        <f>IFERROR(
SUM(DC49,SUMIF(防護具!$B$31:$B$163,DD$23&amp;$B48,防護具!$S$31:$S$163))-DC48,0)</f>
        <v>0</v>
      </c>
      <c r="DE49" s="2000">
        <f>IFERROR(
SUM(DD49,SUMIF(防護具!$B$31:$B$163,DE$23&amp;$B48,防護具!$S$31:$S$163))-DD48,0)</f>
        <v>0</v>
      </c>
      <c r="DF49" s="2000">
        <f>IFERROR(
SUM(DE49,SUMIF(防護具!$B$31:$B$163,DF$23&amp;$B48,防護具!$S$31:$S$163))-DE48,0)</f>
        <v>0</v>
      </c>
      <c r="DG49" s="2000">
        <f>IFERROR(
SUM(DF49,SUMIF(防護具!$B$31:$B$163,DG$23&amp;$B48,防護具!$S$31:$S$163))-DF48,0)</f>
        <v>0</v>
      </c>
      <c r="DH49" s="2000">
        <f>IFERROR(
SUM(DG49,SUMIF(防護具!$B$31:$B$163,DH$23&amp;$B48,防護具!$S$31:$S$163))-DG48,0)</f>
        <v>0</v>
      </c>
      <c r="DI49" s="2000">
        <f>IFERROR(
SUM(DH49,SUMIF(防護具!$B$31:$B$163,DI$23&amp;$B48,防護具!$S$31:$S$163))-DH48,0)</f>
        <v>0</v>
      </c>
      <c r="DJ49" s="2000">
        <f>IFERROR(
SUM(DI49,SUMIF(防護具!$B$31:$B$163,DJ$23&amp;$B48,防護具!$S$31:$S$163))-DI48,0)</f>
        <v>0</v>
      </c>
      <c r="DK49" s="2000">
        <f>IFERROR(
SUM(DJ49,SUMIF(防護具!$B$31:$B$163,DK$23&amp;$B48,防護具!$S$31:$S$163))-DJ48,0)</f>
        <v>0</v>
      </c>
      <c r="DL49" s="2000">
        <f>IFERROR(
SUM(DK49,SUMIF(防護具!$B$31:$B$163,DL$23&amp;$B48,防護具!$S$31:$S$163))-DK48,0)</f>
        <v>0</v>
      </c>
      <c r="DM49" s="2000">
        <f>IFERROR(
SUM(DL49,SUMIF(防護具!$B$31:$B$163,DM$23&amp;$B48,防護具!$S$31:$S$163))-DL48,0)</f>
        <v>0</v>
      </c>
      <c r="DN49" s="2000">
        <f>IFERROR(
SUM(DM49,SUMIF(防護具!$B$31:$B$163,DN$23&amp;$B48,防護具!$S$31:$S$163))-DM48,0)</f>
        <v>0</v>
      </c>
      <c r="DO49" s="2000">
        <f>IFERROR(
SUM(DN49,SUMIF(防護具!$B$31:$B$163,DO$23&amp;$B48,防護具!$S$31:$S$163))-DN48,0)</f>
        <v>0</v>
      </c>
      <c r="DP49" s="2000">
        <f>IFERROR(
SUM(DO49,SUMIF(防護具!$B$31:$B$163,DP$23&amp;$B48,防護具!$S$31:$S$163))-DO48,0)</f>
        <v>0</v>
      </c>
      <c r="DQ49" s="2000">
        <f>IFERROR(
SUM(DP49,SUMIF(防護具!$B$31:$B$163,DQ$23&amp;$B48,防護具!$S$31:$S$163))-DP48,0)</f>
        <v>0</v>
      </c>
      <c r="DR49" s="2000">
        <f>IFERROR(
SUM(DQ49,SUMIF(防護具!$B$31:$B$163,DR$23&amp;$B48,防護具!$S$31:$S$163))-DQ48,0)</f>
        <v>0</v>
      </c>
      <c r="DS49" s="2000">
        <f>IFERROR(
SUM(DR49,SUMIF(防護具!$B$31:$B$163,DS$23&amp;$B48,防護具!$S$31:$S$163))-DR48,0)</f>
        <v>0</v>
      </c>
      <c r="DT49" s="2000">
        <f>IFERROR(
SUM(DS49,SUMIF(防護具!$B$31:$B$163,DT$23&amp;$B48,防護具!$S$31:$S$163))-DS48,0)</f>
        <v>0</v>
      </c>
      <c r="DU49" s="2000">
        <f>IFERROR(
SUM(DT49,SUMIF(防護具!$B$31:$B$163,DU$23&amp;$B48,防護具!$S$31:$S$163))-DT48,0)</f>
        <v>0</v>
      </c>
      <c r="DV49" s="2000">
        <f>IFERROR(
SUM(DU49,SUMIF(防護具!$B$31:$B$163,DV$23&amp;$B48,防護具!$S$31:$S$163))-DU48,0)</f>
        <v>0</v>
      </c>
      <c r="DW49" s="2000">
        <f>IFERROR(
SUM(DV49,SUMIF(防護具!$B$31:$B$163,DW$23&amp;$B48,防護具!$S$31:$S$163))-DV48,0)</f>
        <v>0</v>
      </c>
      <c r="DX49" s="2000">
        <f>IFERROR(
SUM(DW49,SUMIF(防護具!$B$31:$B$163,DX$23&amp;$B48,防護具!$S$31:$S$163))-DW48,0)</f>
        <v>0</v>
      </c>
      <c r="DY49" s="2000">
        <f>IFERROR(
SUM(DX49,SUMIF(防護具!$B$31:$B$163,DY$23&amp;$B48,防護具!$S$31:$S$163))-DX48,0)</f>
        <v>0</v>
      </c>
      <c r="DZ49" s="2000">
        <f>IFERROR(
SUM(DY49,SUMIF(防護具!$B$31:$B$163,DZ$23&amp;$B48,防護具!$S$31:$S$163))-DY48,0)</f>
        <v>0</v>
      </c>
      <c r="EA49" s="2000">
        <f>IFERROR(
SUM(DZ49,SUMIF(防護具!$B$31:$B$163,EA$23&amp;$B48,防護具!$S$31:$S$163))-DZ48,0)</f>
        <v>0</v>
      </c>
      <c r="EB49" s="2000">
        <f>IFERROR(
SUM(EA49,SUMIF(防護具!$B$31:$B$163,EB$23&amp;$B48,防護具!$S$31:$S$163))-EA48,0)</f>
        <v>0</v>
      </c>
      <c r="EC49" s="2000">
        <f>IFERROR(
SUM(EB49,SUMIF(防護具!$B$31:$B$163,EC$23&amp;$B48,防護具!$S$31:$S$163))-EB48,0)</f>
        <v>0</v>
      </c>
      <c r="ED49" s="2000">
        <f>IFERROR(
SUM(EC49,SUMIF(防護具!$B$31:$B$163,ED$23&amp;$B48,防護具!$S$31:$S$163))-EC48,0)</f>
        <v>0</v>
      </c>
      <c r="EE49" s="2000">
        <f>IFERROR(
SUM(ED49,SUMIF(防護具!$B$31:$B$163,EE$23&amp;$B48,防護具!$S$31:$S$163))-ED48,0)</f>
        <v>0</v>
      </c>
      <c r="EF49" s="2000">
        <f>IFERROR(
SUM(EE49,SUMIF(防護具!$B$31:$B$163,EF$23&amp;$B48,防護具!$S$31:$S$163))-EE48,0)</f>
        <v>0</v>
      </c>
      <c r="EG49" s="2000">
        <f>IFERROR(
SUM(EF49,SUMIF(防護具!$B$31:$B$163,EG$23&amp;$B48,防護具!$S$31:$S$163))-EF48,0)</f>
        <v>0</v>
      </c>
      <c r="EH49" s="2000">
        <f>IFERROR(
SUM(EG49,SUMIF(防護具!$B$31:$B$163,EH$23&amp;$B48,防護具!$S$31:$S$163))-EG48,0)</f>
        <v>0</v>
      </c>
      <c r="EI49" s="2000">
        <f>IFERROR(
SUM(EH49,SUMIF(防護具!$B$31:$B$163,EI$23&amp;$B48,防護具!$S$31:$S$163))-EH48,0)</f>
        <v>0</v>
      </c>
      <c r="EJ49" s="2000">
        <f>IFERROR(
SUM(EI49,SUMIF(防護具!$B$31:$B$163,EJ$23&amp;$B48,防護具!$S$31:$S$163))-EI48,0)</f>
        <v>0</v>
      </c>
      <c r="EK49" s="2000">
        <f>IFERROR(
SUM(EJ49,SUMIF(防護具!$B$31:$B$163,EK$23&amp;$B48,防護具!$S$31:$S$163))-EJ48,0)</f>
        <v>0</v>
      </c>
      <c r="EL49" s="2000">
        <f>IFERROR(
SUM(EK49,SUMIF(防護具!$B$31:$B$163,EL$23&amp;$B48,防護具!$S$31:$S$163))-EK48,0)</f>
        <v>0</v>
      </c>
      <c r="EM49" s="2000">
        <f>IFERROR(
SUM(EL49,SUMIF(防護具!$B$31:$B$163,EM$23&amp;$B48,防護具!$S$31:$S$163))-EL48,0)</f>
        <v>0</v>
      </c>
      <c r="EN49" s="2000">
        <f>IFERROR(
SUM(EM49,SUMIF(防護具!$B$31:$B$163,EN$23&amp;$B48,防護具!$S$31:$S$163))-EM48,0)</f>
        <v>0</v>
      </c>
      <c r="EO49" s="2000">
        <f>IFERROR(
SUM(EN49,SUMIF(防護具!$B$31:$B$163,EO$23&amp;$B48,防護具!$S$31:$S$163))-EN48,0)</f>
        <v>0</v>
      </c>
      <c r="EP49" s="2000">
        <f>IFERROR(
SUM(EO49,SUMIF(防護具!$B$31:$B$163,EP$23&amp;$B48,防護具!$S$31:$S$163))-EO48,0)</f>
        <v>0</v>
      </c>
      <c r="EQ49" s="2000">
        <f>IFERROR(
SUM(EP49,SUMIF(防護具!$B$31:$B$163,EQ$23&amp;$B48,防護具!$S$31:$S$163))-EP48,0)</f>
        <v>0</v>
      </c>
      <c r="ER49" s="2000">
        <f>IFERROR(
SUM(EQ49,SUMIF(防護具!$B$31:$B$163,ER$23&amp;$B48,防護具!$S$31:$S$163))-EQ48,0)</f>
        <v>0</v>
      </c>
      <c r="ES49" s="2000">
        <f>IFERROR(
SUM(ER49,SUMIF(防護具!$B$31:$B$163,ES$23&amp;$B48,防護具!$S$31:$S$163))-ER48,0)</f>
        <v>0</v>
      </c>
      <c r="ET49" s="2000">
        <f>IFERROR(
SUM(ES49,SUMIF(防護具!$B$31:$B$163,ET$23&amp;$B48,防護具!$S$31:$S$163))-ES48,0)</f>
        <v>0</v>
      </c>
      <c r="EU49" s="2000">
        <f>IFERROR(
SUM(ET49,SUMIF(防護具!$B$31:$B$163,EU$23&amp;$B48,防護具!$S$31:$S$163))-ET48,0)</f>
        <v>0</v>
      </c>
      <c r="EV49" s="2000">
        <f>IFERROR(
SUM(EU49,SUMIF(防護具!$B$31:$B$163,EV$23&amp;$B48,防護具!$S$31:$S$163))-EU48,0)</f>
        <v>0</v>
      </c>
      <c r="EW49" s="2000">
        <f>IFERROR(
SUM(EV49,SUMIF(防護具!$B$31:$B$163,EW$23&amp;$B48,防護具!$S$31:$S$163))-EV48,0)</f>
        <v>0</v>
      </c>
      <c r="EX49" s="2000">
        <f>IFERROR(
SUM(EW49,SUMIF(防護具!$B$31:$B$163,EX$23&amp;$B48,防護具!$S$31:$S$163))-EW48,0)</f>
        <v>0</v>
      </c>
      <c r="EY49" s="2000">
        <f>IFERROR(
SUM(EX49,SUMIF(防護具!$B$31:$B$163,EY$23&amp;$B48,防護具!$S$31:$S$163))-EX48,0)</f>
        <v>0</v>
      </c>
      <c r="EZ49" s="2000">
        <f>IFERROR(
SUM(EY49,SUMIF(防護具!$B$31:$B$163,EZ$23&amp;$B48,防護具!$S$31:$S$163))-EY48,0)</f>
        <v>0</v>
      </c>
      <c r="FA49" s="2000">
        <f>IFERROR(
SUM(EZ49,SUMIF(防護具!$B$31:$B$163,FA$23&amp;$B48,防護具!$S$31:$S$163))-EZ48,0)</f>
        <v>0</v>
      </c>
      <c r="FB49" s="2000">
        <f>IFERROR(
SUM(FA49,SUMIF(防護具!$B$31:$B$163,FB$23&amp;$B48,防護具!$S$31:$S$163))-FA48,0)</f>
        <v>0</v>
      </c>
      <c r="FC49" s="2000">
        <f>IFERROR(
SUM(FB49,SUMIF(防護具!$B$31:$B$163,FC$23&amp;$B48,防護具!$S$31:$S$163))-FB48,0)</f>
        <v>0</v>
      </c>
      <c r="FD49" s="2000">
        <f>IFERROR(
SUM(FC49,SUMIF(防護具!$B$31:$B$163,FD$23&amp;$B48,防護具!$S$31:$S$163))-FC48,0)</f>
        <v>0</v>
      </c>
      <c r="FE49" s="2000">
        <f>IFERROR(
SUM(FD49,SUMIF(防護具!$B$31:$B$163,FE$23&amp;$B48,防護具!$S$31:$S$163))-FD48,0)</f>
        <v>0</v>
      </c>
      <c r="FF49" s="2000">
        <f>IFERROR(
SUM(FE49,SUMIF(防護具!$B$31:$B$163,FF$23&amp;$B48,防護具!$S$31:$S$163))-FE48,0)</f>
        <v>0</v>
      </c>
      <c r="FG49" s="2000">
        <f>IFERROR(
SUM(FF49,SUMIF(防護具!$B$31:$B$163,FG$23&amp;$B48,防護具!$S$31:$S$163))-FF48,0)</f>
        <v>0</v>
      </c>
      <c r="FH49" s="2000">
        <f>IFERROR(
SUM(FG49,SUMIF(防護具!$B$31:$B$163,FH$23&amp;$B48,防護具!$S$31:$S$163))-FG48,0)</f>
        <v>0</v>
      </c>
      <c r="FI49" s="2000">
        <f>IFERROR(
SUM(FH49,SUMIF(防護具!$B$31:$B$163,FI$23&amp;$B48,防護具!$S$31:$S$163))-FH48,0)</f>
        <v>0</v>
      </c>
      <c r="FJ49" s="2000">
        <f>IFERROR(
SUM(FI49,SUMIF(防護具!$B$31:$B$163,FJ$23&amp;$B48,防護具!$S$31:$S$163))-FI48,0)</f>
        <v>0</v>
      </c>
      <c r="FK49" s="2000">
        <f>IFERROR(
SUM(FJ49,SUMIF(防護具!$B$31:$B$163,FK$23&amp;$B48,防護具!$S$31:$S$163))-FJ48,0)</f>
        <v>0</v>
      </c>
      <c r="FL49" s="2000">
        <f>IFERROR(
SUM(FK49,SUMIF(防護具!$B$31:$B$163,FL$23&amp;$B48,防護具!$S$31:$S$163))-FK48,0)</f>
        <v>0</v>
      </c>
      <c r="FM49" s="2000">
        <f>IFERROR(
SUM(FL49,SUMIF(防護具!$B$31:$B$163,FM$23&amp;$B48,防護具!$S$31:$S$163))-FL48,0)</f>
        <v>0</v>
      </c>
      <c r="FN49" s="2000">
        <f>IFERROR(
SUM(FM49,SUMIF(防護具!$B$31:$B$163,FN$23&amp;$B48,防護具!$S$31:$S$163))-FM48,0)</f>
        <v>0</v>
      </c>
      <c r="FO49" s="2000">
        <f>IFERROR(
SUM(FN49,SUMIF(防護具!$B$31:$B$163,FO$23&amp;$B48,防護具!$S$31:$S$163))-FN48,0)</f>
        <v>0</v>
      </c>
      <c r="FP49" s="2000">
        <f>IFERROR(
SUM(FO49,SUMIF(防護具!$B$31:$B$163,FP$23&amp;$B48,防護具!$S$31:$S$163))-FO48,0)</f>
        <v>0</v>
      </c>
      <c r="FQ49" s="2000">
        <f>IFERROR(
SUM(FP49,SUMIF(防護具!$B$31:$B$163,FQ$23&amp;$B48,防護具!$S$31:$S$163))-FP48,0)</f>
        <v>0</v>
      </c>
      <c r="FR49" s="2000">
        <f>IFERROR(
SUM(FQ49,SUMIF(防護具!$B$31:$B$163,FR$23&amp;$B48,防護具!$S$31:$S$163))-FQ48,0)</f>
        <v>0</v>
      </c>
      <c r="FS49" s="2000">
        <f>IFERROR(
SUM(FR49,SUMIF(防護具!$B$31:$B$163,FS$23&amp;$B48,防護具!$S$31:$S$163))-FR48,0)</f>
        <v>0</v>
      </c>
      <c r="FT49" s="2000">
        <f>IFERROR(
SUM(FS49,SUMIF(防護具!$B$31:$B$163,FT$23&amp;$B48,防護具!$S$31:$S$163))-FS48,0)</f>
        <v>0</v>
      </c>
      <c r="FU49" s="2000">
        <f>IFERROR(
SUM(FT49,SUMIF(防護具!$B$31:$B$163,FU$23&amp;$B48,防護具!$S$31:$S$163))-FT48,0)</f>
        <v>0</v>
      </c>
      <c r="FV49" s="2000">
        <f>IFERROR(
SUM(FU49,SUMIF(防護具!$B$31:$B$163,FV$23&amp;$B48,防護具!$S$31:$S$163))-FU48,0)</f>
        <v>0</v>
      </c>
      <c r="FW49" s="2000">
        <f>IFERROR(
SUM(FV49,SUMIF(防護具!$B$31:$B$163,FW$23&amp;$B48,防護具!$S$31:$S$163))-FV48,0)</f>
        <v>0</v>
      </c>
      <c r="FX49" s="2000">
        <f>IFERROR(
SUM(FW49,SUMIF(防護具!$B$31:$B$163,FX$23&amp;$B48,防護具!$S$31:$S$163))-FW48,0)</f>
        <v>0</v>
      </c>
      <c r="FY49" s="2000">
        <f>IFERROR(
SUM(FX49,SUMIF(防護具!$B$31:$B$163,FY$23&amp;$B48,防護具!$S$31:$S$163))-FX48,0)</f>
        <v>0</v>
      </c>
      <c r="FZ49" s="2000">
        <f>IFERROR(
SUM(FY49,SUMIF(防護具!$B$31:$B$163,FZ$23&amp;$B48,防護具!$S$31:$S$163))-FY48,0)</f>
        <v>0</v>
      </c>
      <c r="GA49" s="2000">
        <f>IFERROR(
SUM(FZ49,SUMIF(防護具!$B$31:$B$163,GA$23&amp;$B48,防護具!$S$31:$S$163))-FZ48,0)</f>
        <v>0</v>
      </c>
      <c r="GB49" s="2000">
        <f>IFERROR(
SUM(GA49,SUMIF(防護具!$B$31:$B$163,GB$23&amp;$B48,防護具!$S$31:$S$163))-GA48,0)</f>
        <v>0</v>
      </c>
      <c r="GC49" s="2000">
        <f>IFERROR(
SUM(GB49,SUMIF(防護具!$B$31:$B$163,GC$23&amp;$B48,防護具!$S$31:$S$163))-GB48,0)</f>
        <v>0</v>
      </c>
      <c r="GD49" s="2000">
        <f>IFERROR(
SUM(GC49,SUMIF(防護具!$B$31:$B$163,GD$23&amp;$B48,防護具!$S$31:$S$163))-GC48,0)</f>
        <v>0</v>
      </c>
      <c r="GE49" s="2000">
        <f>IFERROR(
SUM(GD49,SUMIF(防護具!$B$31:$B$163,GE$23&amp;$B48,防護具!$S$31:$S$163))-GD48,0)</f>
        <v>0</v>
      </c>
      <c r="GF49" s="2000">
        <f>IFERROR(
SUM(GE49,SUMIF(防護具!$B$31:$B$163,GF$23&amp;$B48,防護具!$S$31:$S$163))-GE48,0)</f>
        <v>0</v>
      </c>
    </row>
    <row r="50" spans="1:188" s="641" customFormat="1" ht="15" customHeight="1" x14ac:dyDescent="0.4">
      <c r="A50" s="631"/>
      <c r="B50" s="641" t="s">
        <v>1264</v>
      </c>
      <c r="C50" s="1989" t="s">
        <v>1388</v>
      </c>
      <c r="D50" s="1992"/>
      <c r="E50" s="642"/>
      <c r="F50" s="2000">
        <f>SUMIF(防護具!$B$14:$B$30,F$23&amp;B48,防護具!$S$14:$S$30)</f>
        <v>0</v>
      </c>
      <c r="G50" s="2000">
        <f xml:space="preserve">
IF(G$25="休診日",F50,
IF(F50-VLOOKUP(F$22&amp;$B48,$B$96:$D$191,2,FALSE)&lt;0,0,F50-VLOOKUP(F$22&amp;$B48,$B$96:$D$191,2,FALSE)))</f>
        <v>0</v>
      </c>
      <c r="H50" s="2000">
        <f t="shared" ref="H50:BS50" si="31" xml:space="preserve">
IF(H$25="休診日",G50,
IF(G50-VLOOKUP(G$22&amp;$B48,$B$96:$D$191,2,FALSE)&lt;0,0,G50-VLOOKUP(G$22&amp;$B48,$B$96:$D$191,2,FALSE)))</f>
        <v>0</v>
      </c>
      <c r="I50" s="2000">
        <f t="shared" si="31"/>
        <v>0</v>
      </c>
      <c r="J50" s="2000">
        <f t="shared" si="31"/>
        <v>0</v>
      </c>
      <c r="K50" s="2000">
        <f t="shared" si="31"/>
        <v>0</v>
      </c>
      <c r="L50" s="2000">
        <f t="shared" si="31"/>
        <v>0</v>
      </c>
      <c r="M50" s="2000">
        <f t="shared" si="31"/>
        <v>0</v>
      </c>
      <c r="N50" s="2000">
        <f t="shared" si="31"/>
        <v>0</v>
      </c>
      <c r="O50" s="2000">
        <f t="shared" si="31"/>
        <v>0</v>
      </c>
      <c r="P50" s="2000">
        <f t="shared" si="31"/>
        <v>0</v>
      </c>
      <c r="Q50" s="2000">
        <f t="shared" si="31"/>
        <v>0</v>
      </c>
      <c r="R50" s="2000">
        <f t="shared" si="31"/>
        <v>0</v>
      </c>
      <c r="S50" s="2000">
        <f t="shared" si="31"/>
        <v>0</v>
      </c>
      <c r="T50" s="2000">
        <f t="shared" si="31"/>
        <v>0</v>
      </c>
      <c r="U50" s="2000">
        <f t="shared" si="31"/>
        <v>0</v>
      </c>
      <c r="V50" s="2000">
        <f t="shared" si="31"/>
        <v>0</v>
      </c>
      <c r="W50" s="2000">
        <f t="shared" si="31"/>
        <v>0</v>
      </c>
      <c r="X50" s="2000">
        <f t="shared" si="31"/>
        <v>0</v>
      </c>
      <c r="Y50" s="2000">
        <f t="shared" si="31"/>
        <v>0</v>
      </c>
      <c r="Z50" s="2000">
        <f t="shared" si="31"/>
        <v>0</v>
      </c>
      <c r="AA50" s="2000">
        <f t="shared" si="31"/>
        <v>0</v>
      </c>
      <c r="AB50" s="2000">
        <f t="shared" si="31"/>
        <v>0</v>
      </c>
      <c r="AC50" s="2000">
        <f t="shared" si="31"/>
        <v>0</v>
      </c>
      <c r="AD50" s="2000">
        <f t="shared" si="31"/>
        <v>0</v>
      </c>
      <c r="AE50" s="2000">
        <f t="shared" si="31"/>
        <v>0</v>
      </c>
      <c r="AF50" s="2000">
        <f t="shared" si="31"/>
        <v>0</v>
      </c>
      <c r="AG50" s="2000">
        <f t="shared" si="31"/>
        <v>0</v>
      </c>
      <c r="AH50" s="2000">
        <f t="shared" si="31"/>
        <v>0</v>
      </c>
      <c r="AI50" s="2000">
        <f t="shared" si="31"/>
        <v>0</v>
      </c>
      <c r="AJ50" s="2000">
        <f t="shared" si="31"/>
        <v>0</v>
      </c>
      <c r="AK50" s="2000">
        <f t="shared" si="31"/>
        <v>0</v>
      </c>
      <c r="AL50" s="2000">
        <f t="shared" si="31"/>
        <v>0</v>
      </c>
      <c r="AM50" s="2000">
        <f t="shared" si="31"/>
        <v>0</v>
      </c>
      <c r="AN50" s="2000">
        <f t="shared" si="31"/>
        <v>0</v>
      </c>
      <c r="AO50" s="2000">
        <f t="shared" si="31"/>
        <v>0</v>
      </c>
      <c r="AP50" s="2000">
        <f t="shared" si="31"/>
        <v>0</v>
      </c>
      <c r="AQ50" s="2000">
        <f t="shared" si="31"/>
        <v>0</v>
      </c>
      <c r="AR50" s="2000">
        <f t="shared" si="31"/>
        <v>0</v>
      </c>
      <c r="AS50" s="2000">
        <f t="shared" si="31"/>
        <v>0</v>
      </c>
      <c r="AT50" s="2000">
        <f t="shared" si="31"/>
        <v>0</v>
      </c>
      <c r="AU50" s="2000">
        <f t="shared" si="31"/>
        <v>0</v>
      </c>
      <c r="AV50" s="2000">
        <f t="shared" si="31"/>
        <v>0</v>
      </c>
      <c r="AW50" s="2000">
        <f t="shared" si="31"/>
        <v>0</v>
      </c>
      <c r="AX50" s="2000">
        <f t="shared" si="31"/>
        <v>0</v>
      </c>
      <c r="AY50" s="2000">
        <f t="shared" si="31"/>
        <v>0</v>
      </c>
      <c r="AZ50" s="2000">
        <f t="shared" si="31"/>
        <v>0</v>
      </c>
      <c r="BA50" s="2000">
        <f t="shared" si="31"/>
        <v>0</v>
      </c>
      <c r="BB50" s="2000">
        <f t="shared" si="31"/>
        <v>0</v>
      </c>
      <c r="BC50" s="2000">
        <f t="shared" si="31"/>
        <v>0</v>
      </c>
      <c r="BD50" s="2000">
        <f t="shared" si="31"/>
        <v>0</v>
      </c>
      <c r="BE50" s="2000">
        <f t="shared" si="31"/>
        <v>0</v>
      </c>
      <c r="BF50" s="2000">
        <f t="shared" si="31"/>
        <v>0</v>
      </c>
      <c r="BG50" s="2000">
        <f t="shared" si="31"/>
        <v>0</v>
      </c>
      <c r="BH50" s="2000">
        <f t="shared" si="31"/>
        <v>0</v>
      </c>
      <c r="BI50" s="2000">
        <f t="shared" si="31"/>
        <v>0</v>
      </c>
      <c r="BJ50" s="2000">
        <f t="shared" si="31"/>
        <v>0</v>
      </c>
      <c r="BK50" s="2000">
        <f t="shared" si="31"/>
        <v>0</v>
      </c>
      <c r="BL50" s="2000">
        <f t="shared" si="31"/>
        <v>0</v>
      </c>
      <c r="BM50" s="2000">
        <f t="shared" si="31"/>
        <v>0</v>
      </c>
      <c r="BN50" s="2000">
        <f t="shared" si="31"/>
        <v>0</v>
      </c>
      <c r="BO50" s="2000">
        <f t="shared" si="31"/>
        <v>0</v>
      </c>
      <c r="BP50" s="2000">
        <f t="shared" si="31"/>
        <v>0</v>
      </c>
      <c r="BQ50" s="2000">
        <f t="shared" si="31"/>
        <v>0</v>
      </c>
      <c r="BR50" s="2000">
        <f t="shared" si="31"/>
        <v>0</v>
      </c>
      <c r="BS50" s="2000">
        <f t="shared" si="31"/>
        <v>0</v>
      </c>
      <c r="BT50" s="2000">
        <f t="shared" ref="BT50:EE50" si="32" xml:space="preserve">
IF(BT$25="休診日",BS50,
IF(BS50-VLOOKUP(BS$22&amp;$B48,$B$96:$D$191,2,FALSE)&lt;0,0,BS50-VLOOKUP(BS$22&amp;$B48,$B$96:$D$191,2,FALSE)))</f>
        <v>0</v>
      </c>
      <c r="BU50" s="2000">
        <f t="shared" si="32"/>
        <v>0</v>
      </c>
      <c r="BV50" s="2000">
        <f t="shared" si="32"/>
        <v>0</v>
      </c>
      <c r="BW50" s="2000">
        <f t="shared" si="32"/>
        <v>0</v>
      </c>
      <c r="BX50" s="2000">
        <f t="shared" si="32"/>
        <v>0</v>
      </c>
      <c r="BY50" s="2000">
        <f t="shared" si="32"/>
        <v>0</v>
      </c>
      <c r="BZ50" s="2000">
        <f t="shared" si="32"/>
        <v>0</v>
      </c>
      <c r="CA50" s="2000">
        <f t="shared" si="32"/>
        <v>0</v>
      </c>
      <c r="CB50" s="2000">
        <f t="shared" si="32"/>
        <v>0</v>
      </c>
      <c r="CC50" s="2000">
        <f t="shared" si="32"/>
        <v>0</v>
      </c>
      <c r="CD50" s="2000">
        <f t="shared" si="32"/>
        <v>0</v>
      </c>
      <c r="CE50" s="2000">
        <f t="shared" si="32"/>
        <v>0</v>
      </c>
      <c r="CF50" s="2000">
        <f t="shared" si="32"/>
        <v>0</v>
      </c>
      <c r="CG50" s="2000">
        <f t="shared" si="32"/>
        <v>0</v>
      </c>
      <c r="CH50" s="2000">
        <f t="shared" si="32"/>
        <v>0</v>
      </c>
      <c r="CI50" s="2000">
        <f t="shared" si="32"/>
        <v>0</v>
      </c>
      <c r="CJ50" s="2000">
        <f t="shared" si="32"/>
        <v>0</v>
      </c>
      <c r="CK50" s="2000">
        <f t="shared" si="32"/>
        <v>0</v>
      </c>
      <c r="CL50" s="2000">
        <f t="shared" si="32"/>
        <v>0</v>
      </c>
      <c r="CM50" s="2000">
        <f t="shared" si="32"/>
        <v>0</v>
      </c>
      <c r="CN50" s="2000">
        <f t="shared" si="32"/>
        <v>0</v>
      </c>
      <c r="CO50" s="2000">
        <f t="shared" si="32"/>
        <v>0</v>
      </c>
      <c r="CP50" s="2000">
        <f t="shared" si="32"/>
        <v>0</v>
      </c>
      <c r="CQ50" s="2000">
        <f t="shared" si="32"/>
        <v>0</v>
      </c>
      <c r="CR50" s="2000">
        <f t="shared" si="32"/>
        <v>0</v>
      </c>
      <c r="CS50" s="2000">
        <f t="shared" si="32"/>
        <v>0</v>
      </c>
      <c r="CT50" s="2000">
        <f t="shared" si="32"/>
        <v>0</v>
      </c>
      <c r="CU50" s="2000">
        <f t="shared" si="32"/>
        <v>0</v>
      </c>
      <c r="CV50" s="2000">
        <f t="shared" si="32"/>
        <v>0</v>
      </c>
      <c r="CW50" s="2000">
        <f t="shared" si="32"/>
        <v>0</v>
      </c>
      <c r="CX50" s="2000">
        <f t="shared" si="32"/>
        <v>0</v>
      </c>
      <c r="CY50" s="2000">
        <f t="shared" si="32"/>
        <v>0</v>
      </c>
      <c r="CZ50" s="2000">
        <f t="shared" si="32"/>
        <v>0</v>
      </c>
      <c r="DA50" s="2000">
        <f t="shared" si="32"/>
        <v>0</v>
      </c>
      <c r="DB50" s="2000">
        <f t="shared" si="32"/>
        <v>0</v>
      </c>
      <c r="DC50" s="2000">
        <f t="shared" si="32"/>
        <v>0</v>
      </c>
      <c r="DD50" s="2000">
        <f t="shared" si="32"/>
        <v>0</v>
      </c>
      <c r="DE50" s="2000">
        <f t="shared" si="32"/>
        <v>0</v>
      </c>
      <c r="DF50" s="2000">
        <f t="shared" si="32"/>
        <v>0</v>
      </c>
      <c r="DG50" s="2000">
        <f t="shared" si="32"/>
        <v>0</v>
      </c>
      <c r="DH50" s="2000">
        <f t="shared" si="32"/>
        <v>0</v>
      </c>
      <c r="DI50" s="2000">
        <f t="shared" si="32"/>
        <v>0</v>
      </c>
      <c r="DJ50" s="2000">
        <f t="shared" si="32"/>
        <v>0</v>
      </c>
      <c r="DK50" s="2000">
        <f t="shared" si="32"/>
        <v>0</v>
      </c>
      <c r="DL50" s="2000">
        <f t="shared" si="32"/>
        <v>0</v>
      </c>
      <c r="DM50" s="2000">
        <f t="shared" si="32"/>
        <v>0</v>
      </c>
      <c r="DN50" s="2000">
        <f t="shared" si="32"/>
        <v>0</v>
      </c>
      <c r="DO50" s="2000">
        <f t="shared" si="32"/>
        <v>0</v>
      </c>
      <c r="DP50" s="2000">
        <f t="shared" si="32"/>
        <v>0</v>
      </c>
      <c r="DQ50" s="2000">
        <f t="shared" si="32"/>
        <v>0</v>
      </c>
      <c r="DR50" s="2000">
        <f t="shared" si="32"/>
        <v>0</v>
      </c>
      <c r="DS50" s="2000">
        <f t="shared" si="32"/>
        <v>0</v>
      </c>
      <c r="DT50" s="2000">
        <f t="shared" si="32"/>
        <v>0</v>
      </c>
      <c r="DU50" s="2000">
        <f t="shared" si="32"/>
        <v>0</v>
      </c>
      <c r="DV50" s="2000">
        <f t="shared" si="32"/>
        <v>0</v>
      </c>
      <c r="DW50" s="2000">
        <f t="shared" si="32"/>
        <v>0</v>
      </c>
      <c r="DX50" s="2000">
        <f t="shared" si="32"/>
        <v>0</v>
      </c>
      <c r="DY50" s="2000">
        <f t="shared" si="32"/>
        <v>0</v>
      </c>
      <c r="DZ50" s="2000">
        <f t="shared" si="32"/>
        <v>0</v>
      </c>
      <c r="EA50" s="2000">
        <f t="shared" si="32"/>
        <v>0</v>
      </c>
      <c r="EB50" s="2000">
        <f t="shared" si="32"/>
        <v>0</v>
      </c>
      <c r="EC50" s="2000">
        <f t="shared" si="32"/>
        <v>0</v>
      </c>
      <c r="ED50" s="2000">
        <f t="shared" si="32"/>
        <v>0</v>
      </c>
      <c r="EE50" s="2000">
        <f t="shared" si="32"/>
        <v>0</v>
      </c>
      <c r="EF50" s="2000">
        <f t="shared" ref="EF50:GF50" si="33" xml:space="preserve">
IF(EF$25="休診日",EE50,
IF(EE50-VLOOKUP(EE$22&amp;$B48,$B$96:$D$191,2,FALSE)&lt;0,0,EE50-VLOOKUP(EE$22&amp;$B48,$B$96:$D$191,2,FALSE)))</f>
        <v>0</v>
      </c>
      <c r="EG50" s="2000">
        <f t="shared" si="33"/>
        <v>0</v>
      </c>
      <c r="EH50" s="2000">
        <f t="shared" si="33"/>
        <v>0</v>
      </c>
      <c r="EI50" s="2000">
        <f t="shared" si="33"/>
        <v>0</v>
      </c>
      <c r="EJ50" s="2000">
        <f t="shared" si="33"/>
        <v>0</v>
      </c>
      <c r="EK50" s="2000">
        <f t="shared" si="33"/>
        <v>0</v>
      </c>
      <c r="EL50" s="2000">
        <f t="shared" si="33"/>
        <v>0</v>
      </c>
      <c r="EM50" s="2000">
        <f t="shared" si="33"/>
        <v>0</v>
      </c>
      <c r="EN50" s="2000">
        <f t="shared" si="33"/>
        <v>0</v>
      </c>
      <c r="EO50" s="2000">
        <f t="shared" si="33"/>
        <v>0</v>
      </c>
      <c r="EP50" s="2000">
        <f t="shared" si="33"/>
        <v>0</v>
      </c>
      <c r="EQ50" s="2000">
        <f t="shared" si="33"/>
        <v>0</v>
      </c>
      <c r="ER50" s="2000">
        <f t="shared" si="33"/>
        <v>0</v>
      </c>
      <c r="ES50" s="2000">
        <f t="shared" si="33"/>
        <v>0</v>
      </c>
      <c r="ET50" s="2000">
        <f t="shared" si="33"/>
        <v>0</v>
      </c>
      <c r="EU50" s="2000">
        <f t="shared" si="33"/>
        <v>0</v>
      </c>
      <c r="EV50" s="2000">
        <f t="shared" si="33"/>
        <v>0</v>
      </c>
      <c r="EW50" s="2000">
        <f t="shared" si="33"/>
        <v>0</v>
      </c>
      <c r="EX50" s="2000">
        <f t="shared" si="33"/>
        <v>0</v>
      </c>
      <c r="EY50" s="2000">
        <f t="shared" si="33"/>
        <v>0</v>
      </c>
      <c r="EZ50" s="2000">
        <f t="shared" si="33"/>
        <v>0</v>
      </c>
      <c r="FA50" s="2000">
        <f t="shared" si="33"/>
        <v>0</v>
      </c>
      <c r="FB50" s="2000">
        <f t="shared" si="33"/>
        <v>0</v>
      </c>
      <c r="FC50" s="2000">
        <f t="shared" si="33"/>
        <v>0</v>
      </c>
      <c r="FD50" s="2000">
        <f t="shared" si="33"/>
        <v>0</v>
      </c>
      <c r="FE50" s="2000">
        <f t="shared" si="33"/>
        <v>0</v>
      </c>
      <c r="FF50" s="2000">
        <f t="shared" si="33"/>
        <v>0</v>
      </c>
      <c r="FG50" s="2000">
        <f t="shared" si="33"/>
        <v>0</v>
      </c>
      <c r="FH50" s="2000">
        <f t="shared" si="33"/>
        <v>0</v>
      </c>
      <c r="FI50" s="2000">
        <f t="shared" si="33"/>
        <v>0</v>
      </c>
      <c r="FJ50" s="2000">
        <f t="shared" si="33"/>
        <v>0</v>
      </c>
      <c r="FK50" s="2000">
        <f t="shared" si="33"/>
        <v>0</v>
      </c>
      <c r="FL50" s="2000">
        <f t="shared" si="33"/>
        <v>0</v>
      </c>
      <c r="FM50" s="2000">
        <f t="shared" si="33"/>
        <v>0</v>
      </c>
      <c r="FN50" s="2000">
        <f t="shared" si="33"/>
        <v>0</v>
      </c>
      <c r="FO50" s="2000">
        <f t="shared" si="33"/>
        <v>0</v>
      </c>
      <c r="FP50" s="2000">
        <f t="shared" si="33"/>
        <v>0</v>
      </c>
      <c r="FQ50" s="2000">
        <f t="shared" si="33"/>
        <v>0</v>
      </c>
      <c r="FR50" s="2000">
        <f t="shared" si="33"/>
        <v>0</v>
      </c>
      <c r="FS50" s="2000">
        <f t="shared" si="33"/>
        <v>0</v>
      </c>
      <c r="FT50" s="2000">
        <f t="shared" si="33"/>
        <v>0</v>
      </c>
      <c r="FU50" s="2000">
        <f t="shared" si="33"/>
        <v>0</v>
      </c>
      <c r="FV50" s="2000">
        <f t="shared" si="33"/>
        <v>0</v>
      </c>
      <c r="FW50" s="2000">
        <f t="shared" si="33"/>
        <v>0</v>
      </c>
      <c r="FX50" s="2000">
        <f t="shared" si="33"/>
        <v>0</v>
      </c>
      <c r="FY50" s="2000">
        <f t="shared" si="33"/>
        <v>0</v>
      </c>
      <c r="FZ50" s="2000">
        <f t="shared" si="33"/>
        <v>0</v>
      </c>
      <c r="GA50" s="2000">
        <f t="shared" si="33"/>
        <v>0</v>
      </c>
      <c r="GB50" s="2000">
        <f t="shared" si="33"/>
        <v>0</v>
      </c>
      <c r="GC50" s="2000">
        <f t="shared" si="33"/>
        <v>0</v>
      </c>
      <c r="GD50" s="2000">
        <f t="shared" si="33"/>
        <v>0</v>
      </c>
      <c r="GE50" s="2000">
        <f t="shared" si="33"/>
        <v>0</v>
      </c>
      <c r="GF50" s="2000">
        <f t="shared" si="33"/>
        <v>0</v>
      </c>
    </row>
    <row r="51" spans="1:188" s="639" customFormat="1" ht="15" customHeight="1" x14ac:dyDescent="0.4">
      <c r="A51" s="631"/>
      <c r="B51" s="639" t="s">
        <v>1263</v>
      </c>
      <c r="C51" s="1993" t="s">
        <v>1386</v>
      </c>
      <c r="D51" s="1994"/>
      <c r="E51" s="640"/>
      <c r="F51" s="1998">
        <f xml:space="preserve">
IF($F$25="休診日",0,
MIN(F52,IF((VLOOKUP($F$22&amp;$B51,$B$96:$D$191,2,FALSE)-F53)&lt;0,0,VLOOKUP($F$22&amp;$B51,$B$96:$D$191,2,FALSE)-F53)))</f>
        <v>0</v>
      </c>
      <c r="G51" s="1998">
        <f xml:space="preserve">
IF(G$25="休診日",0,
IF(G53&gt;=VLOOKUP(G$22&amp;$B51,$B$96:$D$191,2,FALSE),0,
IF(AND(G53&lt;VLOOKUP(G$22&amp;$B51,$B$96:$D$191,2,FALSE),G52&lt;=VLOOKUP(G$22&amp;$B51,$B$96:$D$191,2,FALSE)),IF(G52-G53&lt;0,0,G52-G53),
IF(AND(G53&lt;VLOOKUP(G$22&amp;$B51,$B$96:$D$191,2,FALSE),G52&gt;VLOOKUP(G$22&amp;$B51,$B$96:$D$191,2,FALSE)),VLOOKUP(G$22&amp;$B51,$B$96:$D$191,2,FALSE)-G53))))</f>
        <v>0</v>
      </c>
      <c r="H51" s="1998">
        <f t="shared" ref="H51:BS51" si="34" xml:space="preserve">
IF(H$25="休診日",0,
IF(H53&gt;=VLOOKUP(H$22&amp;$B51,$B$96:$D$191,2,FALSE),0,
IF(AND(H53&lt;VLOOKUP(H$22&amp;$B51,$B$96:$D$191,2,FALSE),H52&lt;=VLOOKUP(H$22&amp;$B51,$B$96:$D$191,2,FALSE)),IF(H52-H53&lt;0,0,H52-H53),
IF(AND(H53&lt;VLOOKUP(H$22&amp;$B51,$B$96:$D$191,2,FALSE),H52&gt;VLOOKUP(H$22&amp;$B51,$B$96:$D$191,2,FALSE)),VLOOKUP(H$22&amp;$B51,$B$96:$D$191,2,FALSE)-H53))))</f>
        <v>0</v>
      </c>
      <c r="I51" s="1998">
        <f t="shared" si="34"/>
        <v>0</v>
      </c>
      <c r="J51" s="1998">
        <f t="shared" si="34"/>
        <v>0</v>
      </c>
      <c r="K51" s="1998">
        <f t="shared" si="34"/>
        <v>0</v>
      </c>
      <c r="L51" s="1998">
        <f t="shared" si="34"/>
        <v>0</v>
      </c>
      <c r="M51" s="1998">
        <f t="shared" si="34"/>
        <v>0</v>
      </c>
      <c r="N51" s="1998">
        <f t="shared" si="34"/>
        <v>0</v>
      </c>
      <c r="O51" s="1998">
        <f t="shared" si="34"/>
        <v>0</v>
      </c>
      <c r="P51" s="1998">
        <f t="shared" si="34"/>
        <v>0</v>
      </c>
      <c r="Q51" s="1998">
        <f t="shared" si="34"/>
        <v>0</v>
      </c>
      <c r="R51" s="1998">
        <f t="shared" si="34"/>
        <v>0</v>
      </c>
      <c r="S51" s="1998">
        <f t="shared" si="34"/>
        <v>0</v>
      </c>
      <c r="T51" s="1998">
        <f t="shared" si="34"/>
        <v>0</v>
      </c>
      <c r="U51" s="1998">
        <f t="shared" si="34"/>
        <v>0</v>
      </c>
      <c r="V51" s="1998">
        <f t="shared" si="34"/>
        <v>0</v>
      </c>
      <c r="W51" s="1998">
        <f t="shared" si="34"/>
        <v>0</v>
      </c>
      <c r="X51" s="1998">
        <f t="shared" si="34"/>
        <v>0</v>
      </c>
      <c r="Y51" s="1998">
        <f t="shared" si="34"/>
        <v>0</v>
      </c>
      <c r="Z51" s="1998">
        <f t="shared" si="34"/>
        <v>0</v>
      </c>
      <c r="AA51" s="1998">
        <f t="shared" si="34"/>
        <v>0</v>
      </c>
      <c r="AB51" s="1998">
        <f t="shared" si="34"/>
        <v>0</v>
      </c>
      <c r="AC51" s="1998">
        <f t="shared" si="34"/>
        <v>0</v>
      </c>
      <c r="AD51" s="1998">
        <f t="shared" si="34"/>
        <v>0</v>
      </c>
      <c r="AE51" s="1998">
        <f t="shared" si="34"/>
        <v>0</v>
      </c>
      <c r="AF51" s="1998">
        <f t="shared" si="34"/>
        <v>0</v>
      </c>
      <c r="AG51" s="1998">
        <f t="shared" si="34"/>
        <v>0</v>
      </c>
      <c r="AH51" s="1998">
        <f t="shared" si="34"/>
        <v>0</v>
      </c>
      <c r="AI51" s="1998">
        <f t="shared" si="34"/>
        <v>0</v>
      </c>
      <c r="AJ51" s="1998">
        <f t="shared" si="34"/>
        <v>0</v>
      </c>
      <c r="AK51" s="1998">
        <f t="shared" si="34"/>
        <v>0</v>
      </c>
      <c r="AL51" s="1998">
        <f t="shared" si="34"/>
        <v>0</v>
      </c>
      <c r="AM51" s="1998">
        <f t="shared" si="34"/>
        <v>0</v>
      </c>
      <c r="AN51" s="1998">
        <f t="shared" si="34"/>
        <v>0</v>
      </c>
      <c r="AO51" s="1998">
        <f t="shared" si="34"/>
        <v>0</v>
      </c>
      <c r="AP51" s="1998">
        <f t="shared" si="34"/>
        <v>0</v>
      </c>
      <c r="AQ51" s="1998">
        <f t="shared" si="34"/>
        <v>0</v>
      </c>
      <c r="AR51" s="1998">
        <f t="shared" si="34"/>
        <v>0</v>
      </c>
      <c r="AS51" s="1998">
        <f t="shared" si="34"/>
        <v>0</v>
      </c>
      <c r="AT51" s="1998">
        <f t="shared" si="34"/>
        <v>0</v>
      </c>
      <c r="AU51" s="1998">
        <f t="shared" si="34"/>
        <v>0</v>
      </c>
      <c r="AV51" s="1998">
        <f t="shared" si="34"/>
        <v>0</v>
      </c>
      <c r="AW51" s="1998">
        <f t="shared" si="34"/>
        <v>0</v>
      </c>
      <c r="AX51" s="1998">
        <f t="shared" si="34"/>
        <v>0</v>
      </c>
      <c r="AY51" s="1998">
        <f t="shared" si="34"/>
        <v>0</v>
      </c>
      <c r="AZ51" s="1998">
        <f t="shared" si="34"/>
        <v>0</v>
      </c>
      <c r="BA51" s="1998">
        <f t="shared" si="34"/>
        <v>0</v>
      </c>
      <c r="BB51" s="1998">
        <f t="shared" si="34"/>
        <v>0</v>
      </c>
      <c r="BC51" s="1998">
        <f t="shared" si="34"/>
        <v>0</v>
      </c>
      <c r="BD51" s="1998">
        <f t="shared" si="34"/>
        <v>0</v>
      </c>
      <c r="BE51" s="1998">
        <f t="shared" si="34"/>
        <v>0</v>
      </c>
      <c r="BF51" s="1998">
        <f t="shared" si="34"/>
        <v>0</v>
      </c>
      <c r="BG51" s="1998">
        <f t="shared" si="34"/>
        <v>0</v>
      </c>
      <c r="BH51" s="1998">
        <f t="shared" si="34"/>
        <v>0</v>
      </c>
      <c r="BI51" s="1998">
        <f t="shared" si="34"/>
        <v>0</v>
      </c>
      <c r="BJ51" s="1998">
        <f t="shared" si="34"/>
        <v>0</v>
      </c>
      <c r="BK51" s="1998">
        <f t="shared" si="34"/>
        <v>0</v>
      </c>
      <c r="BL51" s="1998">
        <f t="shared" si="34"/>
        <v>0</v>
      </c>
      <c r="BM51" s="1998">
        <f t="shared" si="34"/>
        <v>0</v>
      </c>
      <c r="BN51" s="1998">
        <f t="shared" si="34"/>
        <v>0</v>
      </c>
      <c r="BO51" s="1998">
        <f t="shared" si="34"/>
        <v>0</v>
      </c>
      <c r="BP51" s="1998">
        <f t="shared" si="34"/>
        <v>0</v>
      </c>
      <c r="BQ51" s="1998">
        <f t="shared" si="34"/>
        <v>0</v>
      </c>
      <c r="BR51" s="1998">
        <f t="shared" si="34"/>
        <v>0</v>
      </c>
      <c r="BS51" s="1998">
        <f t="shared" si="34"/>
        <v>0</v>
      </c>
      <c r="BT51" s="1998">
        <f t="shared" ref="BT51:EE51" si="35" xml:space="preserve">
IF(BT$25="休診日",0,
IF(BT53&gt;=VLOOKUP(BT$22&amp;$B51,$B$96:$D$191,2,FALSE),0,
IF(AND(BT53&lt;VLOOKUP(BT$22&amp;$B51,$B$96:$D$191,2,FALSE),BT52&lt;=VLOOKUP(BT$22&amp;$B51,$B$96:$D$191,2,FALSE)),IF(BT52-BT53&lt;0,0,BT52-BT53),
IF(AND(BT53&lt;VLOOKUP(BT$22&amp;$B51,$B$96:$D$191,2,FALSE),BT52&gt;VLOOKUP(BT$22&amp;$B51,$B$96:$D$191,2,FALSE)),VLOOKUP(BT$22&amp;$B51,$B$96:$D$191,2,FALSE)-BT53))))</f>
        <v>0</v>
      </c>
      <c r="BU51" s="1998">
        <f t="shared" si="35"/>
        <v>0</v>
      </c>
      <c r="BV51" s="1998">
        <f t="shared" si="35"/>
        <v>0</v>
      </c>
      <c r="BW51" s="1998">
        <f t="shared" si="35"/>
        <v>0</v>
      </c>
      <c r="BX51" s="1998">
        <f t="shared" si="35"/>
        <v>0</v>
      </c>
      <c r="BY51" s="1998">
        <f t="shared" si="35"/>
        <v>0</v>
      </c>
      <c r="BZ51" s="1998">
        <f t="shared" si="35"/>
        <v>0</v>
      </c>
      <c r="CA51" s="1998">
        <f t="shared" si="35"/>
        <v>0</v>
      </c>
      <c r="CB51" s="1998">
        <f t="shared" si="35"/>
        <v>0</v>
      </c>
      <c r="CC51" s="1998">
        <f t="shared" si="35"/>
        <v>0</v>
      </c>
      <c r="CD51" s="1998">
        <f t="shared" si="35"/>
        <v>0</v>
      </c>
      <c r="CE51" s="1998">
        <f t="shared" si="35"/>
        <v>0</v>
      </c>
      <c r="CF51" s="1998">
        <f t="shared" si="35"/>
        <v>0</v>
      </c>
      <c r="CG51" s="1998">
        <f t="shared" si="35"/>
        <v>0</v>
      </c>
      <c r="CH51" s="1998">
        <f t="shared" si="35"/>
        <v>0</v>
      </c>
      <c r="CI51" s="1998">
        <f t="shared" si="35"/>
        <v>0</v>
      </c>
      <c r="CJ51" s="1998">
        <f t="shared" si="35"/>
        <v>0</v>
      </c>
      <c r="CK51" s="1998">
        <f t="shared" si="35"/>
        <v>0</v>
      </c>
      <c r="CL51" s="1998">
        <f t="shared" si="35"/>
        <v>0</v>
      </c>
      <c r="CM51" s="1998">
        <f t="shared" si="35"/>
        <v>0</v>
      </c>
      <c r="CN51" s="1998">
        <f t="shared" si="35"/>
        <v>0</v>
      </c>
      <c r="CO51" s="1998">
        <f t="shared" si="35"/>
        <v>0</v>
      </c>
      <c r="CP51" s="1998">
        <f t="shared" si="35"/>
        <v>0</v>
      </c>
      <c r="CQ51" s="1998">
        <f t="shared" si="35"/>
        <v>0</v>
      </c>
      <c r="CR51" s="1998">
        <f t="shared" si="35"/>
        <v>0</v>
      </c>
      <c r="CS51" s="1998">
        <f t="shared" si="35"/>
        <v>0</v>
      </c>
      <c r="CT51" s="1998">
        <f t="shared" si="35"/>
        <v>0</v>
      </c>
      <c r="CU51" s="1998">
        <f t="shared" si="35"/>
        <v>0</v>
      </c>
      <c r="CV51" s="1998">
        <f t="shared" si="35"/>
        <v>0</v>
      </c>
      <c r="CW51" s="1998">
        <f t="shared" si="35"/>
        <v>0</v>
      </c>
      <c r="CX51" s="1998">
        <f t="shared" si="35"/>
        <v>0</v>
      </c>
      <c r="CY51" s="1998">
        <f t="shared" si="35"/>
        <v>0</v>
      </c>
      <c r="CZ51" s="1998">
        <f t="shared" si="35"/>
        <v>0</v>
      </c>
      <c r="DA51" s="1998">
        <f t="shared" si="35"/>
        <v>0</v>
      </c>
      <c r="DB51" s="1998">
        <f t="shared" si="35"/>
        <v>0</v>
      </c>
      <c r="DC51" s="1998">
        <f t="shared" si="35"/>
        <v>0</v>
      </c>
      <c r="DD51" s="1998">
        <f t="shared" si="35"/>
        <v>0</v>
      </c>
      <c r="DE51" s="1998">
        <f t="shared" si="35"/>
        <v>0</v>
      </c>
      <c r="DF51" s="1998">
        <f t="shared" si="35"/>
        <v>0</v>
      </c>
      <c r="DG51" s="1998">
        <f t="shared" si="35"/>
        <v>0</v>
      </c>
      <c r="DH51" s="1998">
        <f t="shared" si="35"/>
        <v>0</v>
      </c>
      <c r="DI51" s="1998">
        <f t="shared" si="35"/>
        <v>0</v>
      </c>
      <c r="DJ51" s="1998">
        <f t="shared" si="35"/>
        <v>0</v>
      </c>
      <c r="DK51" s="1998">
        <f t="shared" si="35"/>
        <v>0</v>
      </c>
      <c r="DL51" s="1998">
        <f t="shared" si="35"/>
        <v>0</v>
      </c>
      <c r="DM51" s="1998">
        <f t="shared" si="35"/>
        <v>0</v>
      </c>
      <c r="DN51" s="1998">
        <f t="shared" si="35"/>
        <v>0</v>
      </c>
      <c r="DO51" s="1998">
        <f t="shared" si="35"/>
        <v>0</v>
      </c>
      <c r="DP51" s="1998">
        <f t="shared" si="35"/>
        <v>0</v>
      </c>
      <c r="DQ51" s="1998">
        <f t="shared" si="35"/>
        <v>0</v>
      </c>
      <c r="DR51" s="1998">
        <f t="shared" si="35"/>
        <v>0</v>
      </c>
      <c r="DS51" s="1998">
        <f t="shared" si="35"/>
        <v>0</v>
      </c>
      <c r="DT51" s="1998">
        <f t="shared" si="35"/>
        <v>0</v>
      </c>
      <c r="DU51" s="1998">
        <f t="shared" si="35"/>
        <v>0</v>
      </c>
      <c r="DV51" s="1998">
        <f t="shared" si="35"/>
        <v>0</v>
      </c>
      <c r="DW51" s="1998">
        <f t="shared" si="35"/>
        <v>0</v>
      </c>
      <c r="DX51" s="1998">
        <f t="shared" si="35"/>
        <v>0</v>
      </c>
      <c r="DY51" s="1998">
        <f t="shared" si="35"/>
        <v>0</v>
      </c>
      <c r="DZ51" s="1998">
        <f t="shared" si="35"/>
        <v>0</v>
      </c>
      <c r="EA51" s="1998">
        <f t="shared" si="35"/>
        <v>0</v>
      </c>
      <c r="EB51" s="1998">
        <f t="shared" si="35"/>
        <v>0</v>
      </c>
      <c r="EC51" s="1998">
        <f t="shared" si="35"/>
        <v>0</v>
      </c>
      <c r="ED51" s="1998">
        <f t="shared" si="35"/>
        <v>0</v>
      </c>
      <c r="EE51" s="1998">
        <f t="shared" si="35"/>
        <v>0</v>
      </c>
      <c r="EF51" s="1998">
        <f t="shared" ref="EF51:GF51" si="36" xml:space="preserve">
IF(EF$25="休診日",0,
IF(EF53&gt;=VLOOKUP(EF$22&amp;$B51,$B$96:$D$191,2,FALSE),0,
IF(AND(EF53&lt;VLOOKUP(EF$22&amp;$B51,$B$96:$D$191,2,FALSE),EF52&lt;=VLOOKUP(EF$22&amp;$B51,$B$96:$D$191,2,FALSE)),IF(EF52-EF53&lt;0,0,EF52-EF53),
IF(AND(EF53&lt;VLOOKUP(EF$22&amp;$B51,$B$96:$D$191,2,FALSE),EF52&gt;VLOOKUP(EF$22&amp;$B51,$B$96:$D$191,2,FALSE)),VLOOKUP(EF$22&amp;$B51,$B$96:$D$191,2,FALSE)-EF53))))</f>
        <v>0</v>
      </c>
      <c r="EG51" s="1998">
        <f t="shared" si="36"/>
        <v>0</v>
      </c>
      <c r="EH51" s="1998">
        <f t="shared" si="36"/>
        <v>0</v>
      </c>
      <c r="EI51" s="1998">
        <f t="shared" si="36"/>
        <v>0</v>
      </c>
      <c r="EJ51" s="1998">
        <f t="shared" si="36"/>
        <v>0</v>
      </c>
      <c r="EK51" s="1998">
        <f t="shared" si="36"/>
        <v>0</v>
      </c>
      <c r="EL51" s="1998">
        <f t="shared" si="36"/>
        <v>0</v>
      </c>
      <c r="EM51" s="1998">
        <f t="shared" si="36"/>
        <v>0</v>
      </c>
      <c r="EN51" s="1998">
        <f t="shared" si="36"/>
        <v>0</v>
      </c>
      <c r="EO51" s="1998">
        <f t="shared" si="36"/>
        <v>0</v>
      </c>
      <c r="EP51" s="1998">
        <f t="shared" si="36"/>
        <v>0</v>
      </c>
      <c r="EQ51" s="1998">
        <f t="shared" si="36"/>
        <v>0</v>
      </c>
      <c r="ER51" s="1998">
        <f t="shared" si="36"/>
        <v>0</v>
      </c>
      <c r="ES51" s="1998">
        <f t="shared" si="36"/>
        <v>0</v>
      </c>
      <c r="ET51" s="1998">
        <f t="shared" si="36"/>
        <v>0</v>
      </c>
      <c r="EU51" s="1998">
        <f t="shared" si="36"/>
        <v>0</v>
      </c>
      <c r="EV51" s="1998">
        <f t="shared" si="36"/>
        <v>0</v>
      </c>
      <c r="EW51" s="1998">
        <f t="shared" si="36"/>
        <v>0</v>
      </c>
      <c r="EX51" s="1998">
        <f t="shared" si="36"/>
        <v>0</v>
      </c>
      <c r="EY51" s="1998">
        <f t="shared" si="36"/>
        <v>0</v>
      </c>
      <c r="EZ51" s="1998">
        <f t="shared" si="36"/>
        <v>0</v>
      </c>
      <c r="FA51" s="1998">
        <f t="shared" si="36"/>
        <v>0</v>
      </c>
      <c r="FB51" s="1998">
        <f t="shared" si="36"/>
        <v>0</v>
      </c>
      <c r="FC51" s="1998">
        <f t="shared" si="36"/>
        <v>0</v>
      </c>
      <c r="FD51" s="1998">
        <f t="shared" si="36"/>
        <v>0</v>
      </c>
      <c r="FE51" s="1998">
        <f t="shared" si="36"/>
        <v>0</v>
      </c>
      <c r="FF51" s="1998">
        <f t="shared" si="36"/>
        <v>0</v>
      </c>
      <c r="FG51" s="1998">
        <f t="shared" si="36"/>
        <v>0</v>
      </c>
      <c r="FH51" s="1998">
        <f t="shared" si="36"/>
        <v>0</v>
      </c>
      <c r="FI51" s="1998">
        <f t="shared" si="36"/>
        <v>0</v>
      </c>
      <c r="FJ51" s="1998">
        <f t="shared" si="36"/>
        <v>0</v>
      </c>
      <c r="FK51" s="1998">
        <f t="shared" si="36"/>
        <v>0</v>
      </c>
      <c r="FL51" s="1998">
        <f t="shared" si="36"/>
        <v>0</v>
      </c>
      <c r="FM51" s="1998">
        <f t="shared" si="36"/>
        <v>0</v>
      </c>
      <c r="FN51" s="1998">
        <f t="shared" si="36"/>
        <v>0</v>
      </c>
      <c r="FO51" s="1998">
        <f t="shared" si="36"/>
        <v>0</v>
      </c>
      <c r="FP51" s="1998">
        <f t="shared" si="36"/>
        <v>0</v>
      </c>
      <c r="FQ51" s="1998">
        <f t="shared" si="36"/>
        <v>0</v>
      </c>
      <c r="FR51" s="1998">
        <f t="shared" si="36"/>
        <v>0</v>
      </c>
      <c r="FS51" s="1998">
        <f t="shared" si="36"/>
        <v>0</v>
      </c>
      <c r="FT51" s="1998">
        <f t="shared" si="36"/>
        <v>0</v>
      </c>
      <c r="FU51" s="1998">
        <f t="shared" si="36"/>
        <v>0</v>
      </c>
      <c r="FV51" s="1998">
        <f t="shared" si="36"/>
        <v>0</v>
      </c>
      <c r="FW51" s="1998">
        <f t="shared" si="36"/>
        <v>0</v>
      </c>
      <c r="FX51" s="1998">
        <f t="shared" si="36"/>
        <v>0</v>
      </c>
      <c r="FY51" s="1998">
        <f t="shared" si="36"/>
        <v>0</v>
      </c>
      <c r="FZ51" s="1998">
        <f t="shared" si="36"/>
        <v>0</v>
      </c>
      <c r="GA51" s="1998">
        <f t="shared" si="36"/>
        <v>0</v>
      </c>
      <c r="GB51" s="1998">
        <f t="shared" si="36"/>
        <v>0</v>
      </c>
      <c r="GC51" s="1998">
        <f t="shared" si="36"/>
        <v>0</v>
      </c>
      <c r="GD51" s="1998">
        <f t="shared" si="36"/>
        <v>0</v>
      </c>
      <c r="GE51" s="1998">
        <f t="shared" si="36"/>
        <v>0</v>
      </c>
      <c r="GF51" s="1998">
        <f t="shared" si="36"/>
        <v>0</v>
      </c>
    </row>
    <row r="52" spans="1:188" s="639" customFormat="1" ht="15" customHeight="1" x14ac:dyDescent="0.4">
      <c r="A52" s="631"/>
      <c r="B52" s="639" t="s">
        <v>1265</v>
      </c>
      <c r="C52" s="1993" t="s">
        <v>1387</v>
      </c>
      <c r="D52" s="1994"/>
      <c r="E52" s="640"/>
      <c r="F52" s="1998">
        <f>SUM(
SUMIF(防護具!$B$31:$B$163,F$23&amp;"N95マスク",防護具!$S$31:$S$163),
SUMIF(防護具!$B$31:$B$163,F$23&amp;"ハイラックマスク",防護具!$S$31:$S$163))</f>
        <v>0</v>
      </c>
      <c r="G52" s="2000">
        <f>IFERROR(
SUM(F52,
SUMIF(防護具!$B$31:$B$163,G$23&amp;"N95マスク",防護具!$S$31:$S$163),
SUMIF(防護具!$B$31:$B$163,G$23&amp;"ハイラックマスク",防護具!$S$31:$S$163),
)-F51,0)</f>
        <v>0</v>
      </c>
      <c r="H52" s="2000">
        <f>IFERROR(
SUM(G52,
SUMIF(防護具!$B$31:$B$163,H$23&amp;"N95マスク",防護具!$S$31:$S$163),
SUMIF(防護具!$B$31:$B$163,H$23&amp;"ハイラックマスク",防護具!$S$31:$S$163),
)-G51,0)</f>
        <v>0</v>
      </c>
      <c r="I52" s="2000">
        <f>IFERROR(
SUM(H52,
SUMIF(防護具!$B$31:$B$163,I$23&amp;"N95マスク",防護具!$S$31:$S$163),
SUMIF(防護具!$B$31:$B$163,I$23&amp;"ハイラックマスク",防護具!$S$31:$S$163),
)-H51,0)</f>
        <v>0</v>
      </c>
      <c r="J52" s="2000">
        <f>IFERROR(
SUM(I52,
SUMIF(防護具!$B$31:$B$163,J$23&amp;"N95マスク",防護具!$S$31:$S$163),
SUMIF(防護具!$B$31:$B$163,J$23&amp;"ハイラックマスク",防護具!$S$31:$S$163),
)-I51,0)</f>
        <v>0</v>
      </c>
      <c r="K52" s="2000">
        <f>IFERROR(
SUM(J52,
SUMIF(防護具!$B$31:$B$163,K$23&amp;"N95マスク",防護具!$S$31:$S$163),
SUMIF(防護具!$B$31:$B$163,K$23&amp;"ハイラックマスク",防護具!$S$31:$S$163),
)-J51,0)</f>
        <v>0</v>
      </c>
      <c r="L52" s="2000">
        <f>IFERROR(
SUM(K52,
SUMIF(防護具!$B$31:$B$163,L$23&amp;"N95マスク",防護具!$S$31:$S$163),
SUMIF(防護具!$B$31:$B$163,L$23&amp;"ハイラックマスク",防護具!$S$31:$S$163),
)-K51,0)</f>
        <v>0</v>
      </c>
      <c r="M52" s="2000">
        <f>IFERROR(
SUM(L52,
SUMIF(防護具!$B$31:$B$163,M$23&amp;"N95マスク",防護具!$S$31:$S$163),
SUMIF(防護具!$B$31:$B$163,M$23&amp;"ハイラックマスク",防護具!$S$31:$S$163),
)-L51,0)</f>
        <v>0</v>
      </c>
      <c r="N52" s="2000">
        <f>IFERROR(
SUM(M52,
SUMIF(防護具!$B$31:$B$163,N$23&amp;"N95マスク",防護具!$S$31:$S$163),
SUMIF(防護具!$B$31:$B$163,N$23&amp;"ハイラックマスク",防護具!$S$31:$S$163),
)-M51,0)</f>
        <v>0</v>
      </c>
      <c r="O52" s="2000">
        <f>IFERROR(
SUM(N52,
SUMIF(防護具!$B$31:$B$163,O$23&amp;"N95マスク",防護具!$S$31:$S$163),
SUMIF(防護具!$B$31:$B$163,O$23&amp;"ハイラックマスク",防護具!$S$31:$S$163),
)-N51,0)</f>
        <v>0</v>
      </c>
      <c r="P52" s="2000">
        <f>IFERROR(
SUM(O52,
SUMIF(防護具!$B$31:$B$163,P$23&amp;"N95マスク",防護具!$S$31:$S$163),
SUMIF(防護具!$B$31:$B$163,P$23&amp;"ハイラックマスク",防護具!$S$31:$S$163),
)-O51,0)</f>
        <v>0</v>
      </c>
      <c r="Q52" s="2000">
        <f>IFERROR(
SUM(P52,
SUMIF(防護具!$B$31:$B$163,Q$23&amp;"N95マスク",防護具!$S$31:$S$163),
SUMIF(防護具!$B$31:$B$163,Q$23&amp;"ハイラックマスク",防護具!$S$31:$S$163),
)-P51,0)</f>
        <v>0</v>
      </c>
      <c r="R52" s="2000">
        <f>IFERROR(
SUM(Q52,
SUMIF(防護具!$B$31:$B$163,R$23&amp;"N95マスク",防護具!$S$31:$S$163),
SUMIF(防護具!$B$31:$B$163,R$23&amp;"ハイラックマスク",防護具!$S$31:$S$163),
)-Q51,0)</f>
        <v>0</v>
      </c>
      <c r="S52" s="2000">
        <f>IFERROR(
SUM(R52,
SUMIF(防護具!$B$31:$B$163,S$23&amp;"N95マスク",防護具!$S$31:$S$163),
SUMIF(防護具!$B$31:$B$163,S$23&amp;"ハイラックマスク",防護具!$S$31:$S$163),
)-R51,0)</f>
        <v>0</v>
      </c>
      <c r="T52" s="2000">
        <f>IFERROR(
SUM(S52,
SUMIF(防護具!$B$31:$B$163,T$23&amp;"N95マスク",防護具!$S$31:$S$163),
SUMIF(防護具!$B$31:$B$163,T$23&amp;"ハイラックマスク",防護具!$S$31:$S$163),
)-S51,0)</f>
        <v>0</v>
      </c>
      <c r="U52" s="2000">
        <f>IFERROR(
SUM(T52,
SUMIF(防護具!$B$31:$B$163,U$23&amp;"N95マスク",防護具!$S$31:$S$163),
SUMIF(防護具!$B$31:$B$163,U$23&amp;"ハイラックマスク",防護具!$S$31:$S$163),
)-T51,0)</f>
        <v>0</v>
      </c>
      <c r="V52" s="2000">
        <f>IFERROR(
SUM(U52,
SUMIF(防護具!$B$31:$B$163,V$23&amp;"N95マスク",防護具!$S$31:$S$163),
SUMIF(防護具!$B$31:$B$163,V$23&amp;"ハイラックマスク",防護具!$S$31:$S$163),
)-U51,0)</f>
        <v>0</v>
      </c>
      <c r="W52" s="2000">
        <f>IFERROR(
SUM(V52,
SUMIF(防護具!$B$31:$B$163,W$23&amp;"N95マスク",防護具!$S$31:$S$163),
SUMIF(防護具!$B$31:$B$163,W$23&amp;"ハイラックマスク",防護具!$S$31:$S$163),
)-V51,0)</f>
        <v>0</v>
      </c>
      <c r="X52" s="2000">
        <f>IFERROR(
SUM(W52,
SUMIF(防護具!$B$31:$B$163,X$23&amp;"N95マスク",防護具!$S$31:$S$163),
SUMIF(防護具!$B$31:$B$163,X$23&amp;"ハイラックマスク",防護具!$S$31:$S$163),
)-W51,0)</f>
        <v>0</v>
      </c>
      <c r="Y52" s="2000">
        <f>IFERROR(
SUM(X52,
SUMIF(防護具!$B$31:$B$163,Y$23&amp;"N95マスク",防護具!$S$31:$S$163),
SUMIF(防護具!$B$31:$B$163,Y$23&amp;"ハイラックマスク",防護具!$S$31:$S$163),
)-X51,0)</f>
        <v>0</v>
      </c>
      <c r="Z52" s="2000">
        <f>IFERROR(
SUM(Y52,
SUMIF(防護具!$B$31:$B$163,Z$23&amp;"N95マスク",防護具!$S$31:$S$163),
SUMIF(防護具!$B$31:$B$163,Z$23&amp;"ハイラックマスク",防護具!$S$31:$S$163),
)-Y51,0)</f>
        <v>0</v>
      </c>
      <c r="AA52" s="2000">
        <f>IFERROR(
SUM(Z52,
SUMIF(防護具!$B$31:$B$163,AA$23&amp;"N95マスク",防護具!$S$31:$S$163),
SUMIF(防護具!$B$31:$B$163,AA$23&amp;"ハイラックマスク",防護具!$S$31:$S$163),
)-Z51,0)</f>
        <v>0</v>
      </c>
      <c r="AB52" s="2000">
        <f>IFERROR(
SUM(AA52,
SUMIF(防護具!$B$31:$B$163,AB$23&amp;"N95マスク",防護具!$S$31:$S$163),
SUMIF(防護具!$B$31:$B$163,AB$23&amp;"ハイラックマスク",防護具!$S$31:$S$163),
)-AA51,0)</f>
        <v>0</v>
      </c>
      <c r="AC52" s="2000">
        <f>IFERROR(
SUM(AB52,
SUMIF(防護具!$B$31:$B$163,AC$23&amp;"N95マスク",防護具!$S$31:$S$163),
SUMIF(防護具!$B$31:$B$163,AC$23&amp;"ハイラックマスク",防護具!$S$31:$S$163),
)-AB51,0)</f>
        <v>0</v>
      </c>
      <c r="AD52" s="2000">
        <f>IFERROR(
SUM(AC52,
SUMIF(防護具!$B$31:$B$163,AD$23&amp;"N95マスク",防護具!$S$31:$S$163),
SUMIF(防護具!$B$31:$B$163,AD$23&amp;"ハイラックマスク",防護具!$S$31:$S$163),
)-AC51,0)</f>
        <v>0</v>
      </c>
      <c r="AE52" s="2000">
        <f>IFERROR(
SUM(AD52,
SUMIF(防護具!$B$31:$B$163,AE$23&amp;"N95マスク",防護具!$S$31:$S$163),
SUMIF(防護具!$B$31:$B$163,AE$23&amp;"ハイラックマスク",防護具!$S$31:$S$163),
)-AD51,0)</f>
        <v>0</v>
      </c>
      <c r="AF52" s="2000">
        <f>IFERROR(
SUM(AE52,
SUMIF(防護具!$B$31:$B$163,AF$23&amp;"N95マスク",防護具!$S$31:$S$163),
SUMIF(防護具!$B$31:$B$163,AF$23&amp;"ハイラックマスク",防護具!$S$31:$S$163),
)-AE51,0)</f>
        <v>0</v>
      </c>
      <c r="AG52" s="2000">
        <f>IFERROR(
SUM(AF52,
SUMIF(防護具!$B$31:$B$163,AG$23&amp;"N95マスク",防護具!$S$31:$S$163),
SUMIF(防護具!$B$31:$B$163,AG$23&amp;"ハイラックマスク",防護具!$S$31:$S$163),
)-AF51,0)</f>
        <v>0</v>
      </c>
      <c r="AH52" s="2000">
        <f>IFERROR(
SUM(AG52,
SUMIF(防護具!$B$31:$B$163,AH$23&amp;"N95マスク",防護具!$S$31:$S$163),
SUMIF(防護具!$B$31:$B$163,AH$23&amp;"ハイラックマスク",防護具!$S$31:$S$163),
)-AG51,0)</f>
        <v>0</v>
      </c>
      <c r="AI52" s="2000">
        <f>IFERROR(
SUM(AH52,
SUMIF(防護具!$B$31:$B$163,AI$23&amp;"N95マスク",防護具!$S$31:$S$163),
SUMIF(防護具!$B$31:$B$163,AI$23&amp;"ハイラックマスク",防護具!$S$31:$S$163),
)-AH51,0)</f>
        <v>0</v>
      </c>
      <c r="AJ52" s="2000">
        <f>IFERROR(
SUM(AI52,
SUMIF(防護具!$B$31:$B$163,AJ$23&amp;"N95マスク",防護具!$S$31:$S$163),
SUMIF(防護具!$B$31:$B$163,AJ$23&amp;"ハイラックマスク",防護具!$S$31:$S$163),
)-AI51,0)</f>
        <v>0</v>
      </c>
      <c r="AK52" s="2000">
        <f>IFERROR(
SUM(AJ52,
SUMIF(防護具!$B$31:$B$163,AK$23&amp;"N95マスク",防護具!$S$31:$S$163),
SUMIF(防護具!$B$31:$B$163,AK$23&amp;"ハイラックマスク",防護具!$S$31:$S$163),
)-AJ51,0)</f>
        <v>0</v>
      </c>
      <c r="AL52" s="2000">
        <f>IFERROR(
SUM(AK52,
SUMIF(防護具!$B$31:$B$163,AL$23&amp;"N95マスク",防護具!$S$31:$S$163),
SUMIF(防護具!$B$31:$B$163,AL$23&amp;"ハイラックマスク",防護具!$S$31:$S$163),
)-AK51,0)</f>
        <v>0</v>
      </c>
      <c r="AM52" s="2000">
        <f>IFERROR(
SUM(AL52,
SUMIF(防護具!$B$31:$B$163,AM$23&amp;"N95マスク",防護具!$S$31:$S$163),
SUMIF(防護具!$B$31:$B$163,AM$23&amp;"ハイラックマスク",防護具!$S$31:$S$163),
)-AL51,0)</f>
        <v>0</v>
      </c>
      <c r="AN52" s="2000">
        <f>IFERROR(
SUM(AM52,
SUMIF(防護具!$B$31:$B$163,AN$23&amp;"N95マスク",防護具!$S$31:$S$163),
SUMIF(防護具!$B$31:$B$163,AN$23&amp;"ハイラックマスク",防護具!$S$31:$S$163),
)-AM51,0)</f>
        <v>0</v>
      </c>
      <c r="AO52" s="2000">
        <f>IFERROR(
SUM(AN52,
SUMIF(防護具!$B$31:$B$163,AO$23&amp;"N95マスク",防護具!$S$31:$S$163),
SUMIF(防護具!$B$31:$B$163,AO$23&amp;"ハイラックマスク",防護具!$S$31:$S$163),
)-AN51,0)</f>
        <v>0</v>
      </c>
      <c r="AP52" s="2000">
        <f>IFERROR(
SUM(AO52,
SUMIF(防護具!$B$31:$B$163,AP$23&amp;"N95マスク",防護具!$S$31:$S$163),
SUMIF(防護具!$B$31:$B$163,AP$23&amp;"ハイラックマスク",防護具!$S$31:$S$163),
)-AO51,0)</f>
        <v>0</v>
      </c>
      <c r="AQ52" s="2000">
        <f>IFERROR(
SUM(AP52,
SUMIF(防護具!$B$31:$B$163,AQ$23&amp;"N95マスク",防護具!$S$31:$S$163),
SUMIF(防護具!$B$31:$B$163,AQ$23&amp;"ハイラックマスク",防護具!$S$31:$S$163),
)-AP51,0)</f>
        <v>0</v>
      </c>
      <c r="AR52" s="2000">
        <f>IFERROR(
SUM(AQ52,
SUMIF(防護具!$B$31:$B$163,AR$23&amp;"N95マスク",防護具!$S$31:$S$163),
SUMIF(防護具!$B$31:$B$163,AR$23&amp;"ハイラックマスク",防護具!$S$31:$S$163),
)-AQ51,0)</f>
        <v>0</v>
      </c>
      <c r="AS52" s="2000">
        <f>IFERROR(
SUM(AR52,
SUMIF(防護具!$B$31:$B$163,AS$23&amp;"N95マスク",防護具!$S$31:$S$163),
SUMIF(防護具!$B$31:$B$163,AS$23&amp;"ハイラックマスク",防護具!$S$31:$S$163),
)-AR51,0)</f>
        <v>0</v>
      </c>
      <c r="AT52" s="2000">
        <f>IFERROR(
SUM(AS52,
SUMIF(防護具!$B$31:$B$163,AT$23&amp;"N95マスク",防護具!$S$31:$S$163),
SUMIF(防護具!$B$31:$B$163,AT$23&amp;"ハイラックマスク",防護具!$S$31:$S$163),
)-AS51,0)</f>
        <v>0</v>
      </c>
      <c r="AU52" s="2000">
        <f>IFERROR(
SUM(AT52,
SUMIF(防護具!$B$31:$B$163,AU$23&amp;"N95マスク",防護具!$S$31:$S$163),
SUMIF(防護具!$B$31:$B$163,AU$23&amp;"ハイラックマスク",防護具!$S$31:$S$163),
)-AT51,0)</f>
        <v>0</v>
      </c>
      <c r="AV52" s="2000">
        <f>IFERROR(
SUM(AU52,
SUMIF(防護具!$B$31:$B$163,AV$23&amp;"N95マスク",防護具!$S$31:$S$163),
SUMIF(防護具!$B$31:$B$163,AV$23&amp;"ハイラックマスク",防護具!$S$31:$S$163),
)-AU51,0)</f>
        <v>0</v>
      </c>
      <c r="AW52" s="2000">
        <f>IFERROR(
SUM(AV52,
SUMIF(防護具!$B$31:$B$163,AW$23&amp;"N95マスク",防護具!$S$31:$S$163),
SUMIF(防護具!$B$31:$B$163,AW$23&amp;"ハイラックマスク",防護具!$S$31:$S$163),
)-AV51,0)</f>
        <v>0</v>
      </c>
      <c r="AX52" s="2000">
        <f>IFERROR(
SUM(AW52,
SUMIF(防護具!$B$31:$B$163,AX$23&amp;"N95マスク",防護具!$S$31:$S$163),
SUMIF(防護具!$B$31:$B$163,AX$23&amp;"ハイラックマスク",防護具!$S$31:$S$163),
)-AW51,0)</f>
        <v>0</v>
      </c>
      <c r="AY52" s="2000">
        <f>IFERROR(
SUM(AX52,
SUMIF(防護具!$B$31:$B$163,AY$23&amp;"N95マスク",防護具!$S$31:$S$163),
SUMIF(防護具!$B$31:$B$163,AY$23&amp;"ハイラックマスク",防護具!$S$31:$S$163),
)-AX51,0)</f>
        <v>0</v>
      </c>
      <c r="AZ52" s="2000">
        <f>IFERROR(
SUM(AY52,
SUMIF(防護具!$B$31:$B$163,AZ$23&amp;"N95マスク",防護具!$S$31:$S$163),
SUMIF(防護具!$B$31:$B$163,AZ$23&amp;"ハイラックマスク",防護具!$S$31:$S$163),
)-AY51,0)</f>
        <v>0</v>
      </c>
      <c r="BA52" s="2000">
        <f>IFERROR(
SUM(AZ52,
SUMIF(防護具!$B$31:$B$163,BA$23&amp;"N95マスク",防護具!$S$31:$S$163),
SUMIF(防護具!$B$31:$B$163,BA$23&amp;"ハイラックマスク",防護具!$S$31:$S$163),
)-AZ51,0)</f>
        <v>0</v>
      </c>
      <c r="BB52" s="2000">
        <f>IFERROR(
SUM(BA52,
SUMIF(防護具!$B$31:$B$163,BB$23&amp;"N95マスク",防護具!$S$31:$S$163),
SUMIF(防護具!$B$31:$B$163,BB$23&amp;"ハイラックマスク",防護具!$S$31:$S$163),
)-BA51,0)</f>
        <v>0</v>
      </c>
      <c r="BC52" s="2000">
        <f>IFERROR(
SUM(BB52,
SUMIF(防護具!$B$31:$B$163,BC$23&amp;"N95マスク",防護具!$S$31:$S$163),
SUMIF(防護具!$B$31:$B$163,BC$23&amp;"ハイラックマスク",防護具!$S$31:$S$163),
)-BB51,0)</f>
        <v>0</v>
      </c>
      <c r="BD52" s="2000">
        <f>IFERROR(
SUM(BC52,
SUMIF(防護具!$B$31:$B$163,BD$23&amp;"N95マスク",防護具!$S$31:$S$163),
SUMIF(防護具!$B$31:$B$163,BD$23&amp;"ハイラックマスク",防護具!$S$31:$S$163),
)-BC51,0)</f>
        <v>0</v>
      </c>
      <c r="BE52" s="2000">
        <f>IFERROR(
SUM(BD52,
SUMIF(防護具!$B$31:$B$163,BE$23&amp;"N95マスク",防護具!$S$31:$S$163),
SUMIF(防護具!$B$31:$B$163,BE$23&amp;"ハイラックマスク",防護具!$S$31:$S$163),
)-BD51,0)</f>
        <v>0</v>
      </c>
      <c r="BF52" s="2000">
        <f>IFERROR(
SUM(BE52,
SUMIF(防護具!$B$31:$B$163,BF$23&amp;"N95マスク",防護具!$S$31:$S$163),
SUMIF(防護具!$B$31:$B$163,BF$23&amp;"ハイラックマスク",防護具!$S$31:$S$163),
)-BE51,0)</f>
        <v>0</v>
      </c>
      <c r="BG52" s="2000">
        <f>IFERROR(
SUM(BF52,
SUMIF(防護具!$B$31:$B$163,BG$23&amp;"N95マスク",防護具!$S$31:$S$163),
SUMIF(防護具!$B$31:$B$163,BG$23&amp;"ハイラックマスク",防護具!$S$31:$S$163),
)-BF51,0)</f>
        <v>0</v>
      </c>
      <c r="BH52" s="2000">
        <f>IFERROR(
SUM(BG52,
SUMIF(防護具!$B$31:$B$163,BH$23&amp;"N95マスク",防護具!$S$31:$S$163),
SUMIF(防護具!$B$31:$B$163,BH$23&amp;"ハイラックマスク",防護具!$S$31:$S$163),
)-BG51,0)</f>
        <v>0</v>
      </c>
      <c r="BI52" s="2000">
        <f>IFERROR(
SUM(BH52,
SUMIF(防護具!$B$31:$B$163,BI$23&amp;"N95マスク",防護具!$S$31:$S$163),
SUMIF(防護具!$B$31:$B$163,BI$23&amp;"ハイラックマスク",防護具!$S$31:$S$163),
)-BH51,0)</f>
        <v>0</v>
      </c>
      <c r="BJ52" s="2000">
        <f>IFERROR(
SUM(BI52,
SUMIF(防護具!$B$31:$B$163,BJ$23&amp;"N95マスク",防護具!$S$31:$S$163),
SUMIF(防護具!$B$31:$B$163,BJ$23&amp;"ハイラックマスク",防護具!$S$31:$S$163),
)-BI51,0)</f>
        <v>0</v>
      </c>
      <c r="BK52" s="2000">
        <f>IFERROR(
SUM(BJ52,
SUMIF(防護具!$B$31:$B$163,BK$23&amp;"N95マスク",防護具!$S$31:$S$163),
SUMIF(防護具!$B$31:$B$163,BK$23&amp;"ハイラックマスク",防護具!$S$31:$S$163),
)-BJ51,0)</f>
        <v>0</v>
      </c>
      <c r="BL52" s="2000">
        <f>IFERROR(
SUM(BK52,
SUMIF(防護具!$B$31:$B$163,BL$23&amp;"N95マスク",防護具!$S$31:$S$163),
SUMIF(防護具!$B$31:$B$163,BL$23&amp;"ハイラックマスク",防護具!$S$31:$S$163),
)-BK51,0)</f>
        <v>0</v>
      </c>
      <c r="BM52" s="2000">
        <f>IFERROR(
SUM(BL52,
SUMIF(防護具!$B$31:$B$163,BM$23&amp;"N95マスク",防護具!$S$31:$S$163),
SUMIF(防護具!$B$31:$B$163,BM$23&amp;"ハイラックマスク",防護具!$S$31:$S$163),
)-BL51,0)</f>
        <v>0</v>
      </c>
      <c r="BN52" s="2000">
        <f>IFERROR(
SUM(BM52,
SUMIF(防護具!$B$31:$B$163,BN$23&amp;"N95マスク",防護具!$S$31:$S$163),
SUMIF(防護具!$B$31:$B$163,BN$23&amp;"ハイラックマスク",防護具!$S$31:$S$163),
)-BM51,0)</f>
        <v>0</v>
      </c>
      <c r="BO52" s="2000">
        <f>IFERROR(
SUM(BN52,
SUMIF(防護具!$B$31:$B$163,BO$23&amp;"N95マスク",防護具!$S$31:$S$163),
SUMIF(防護具!$B$31:$B$163,BO$23&amp;"ハイラックマスク",防護具!$S$31:$S$163),
)-BN51,0)</f>
        <v>0</v>
      </c>
      <c r="BP52" s="2000">
        <f>IFERROR(
SUM(BO52,
SUMIF(防護具!$B$31:$B$163,BP$23&amp;"N95マスク",防護具!$S$31:$S$163),
SUMIF(防護具!$B$31:$B$163,BP$23&amp;"ハイラックマスク",防護具!$S$31:$S$163),
)-BO51,0)</f>
        <v>0</v>
      </c>
      <c r="BQ52" s="2000">
        <f>IFERROR(
SUM(BP52,
SUMIF(防護具!$B$31:$B$163,BQ$23&amp;"N95マスク",防護具!$S$31:$S$163),
SUMIF(防護具!$B$31:$B$163,BQ$23&amp;"ハイラックマスク",防護具!$S$31:$S$163),
)-BP51,0)</f>
        <v>0</v>
      </c>
      <c r="BR52" s="2000">
        <f>IFERROR(
SUM(BQ52,
SUMIF(防護具!$B$31:$B$163,BR$23&amp;"N95マスク",防護具!$S$31:$S$163),
SUMIF(防護具!$B$31:$B$163,BR$23&amp;"ハイラックマスク",防護具!$S$31:$S$163),
)-BQ51,0)</f>
        <v>0</v>
      </c>
      <c r="BS52" s="2000">
        <f>IFERROR(
SUM(BR52,
SUMIF(防護具!$B$31:$B$163,BS$23&amp;"N95マスク",防護具!$S$31:$S$163),
SUMIF(防護具!$B$31:$B$163,BS$23&amp;"ハイラックマスク",防護具!$S$31:$S$163),
)-BR51,0)</f>
        <v>0</v>
      </c>
      <c r="BT52" s="2000">
        <f>IFERROR(
SUM(BS52,
SUMIF(防護具!$B$31:$B$163,BT$23&amp;"N95マスク",防護具!$S$31:$S$163),
SUMIF(防護具!$B$31:$B$163,BT$23&amp;"ハイラックマスク",防護具!$S$31:$S$163),
)-BS51,0)</f>
        <v>0</v>
      </c>
      <c r="BU52" s="2000">
        <f>IFERROR(
SUM(BT52,
SUMIF(防護具!$B$31:$B$163,BU$23&amp;"N95マスク",防護具!$S$31:$S$163),
SUMIF(防護具!$B$31:$B$163,BU$23&amp;"ハイラックマスク",防護具!$S$31:$S$163),
)-BT51,0)</f>
        <v>0</v>
      </c>
      <c r="BV52" s="2000">
        <f>IFERROR(
SUM(BU52,
SUMIF(防護具!$B$31:$B$163,BV$23&amp;"N95マスク",防護具!$S$31:$S$163),
SUMIF(防護具!$B$31:$B$163,BV$23&amp;"ハイラックマスク",防護具!$S$31:$S$163),
)-BU51,0)</f>
        <v>0</v>
      </c>
      <c r="BW52" s="2000">
        <f>IFERROR(
SUM(BV52,
SUMIF(防護具!$B$31:$B$163,BW$23&amp;"N95マスク",防護具!$S$31:$S$163),
SUMIF(防護具!$B$31:$B$163,BW$23&amp;"ハイラックマスク",防護具!$S$31:$S$163),
)-BV51,0)</f>
        <v>0</v>
      </c>
      <c r="BX52" s="2000">
        <f>IFERROR(
SUM(BW52,
SUMIF(防護具!$B$31:$B$163,BX$23&amp;"N95マスク",防護具!$S$31:$S$163),
SUMIF(防護具!$B$31:$B$163,BX$23&amp;"ハイラックマスク",防護具!$S$31:$S$163),
)-BW51,0)</f>
        <v>0</v>
      </c>
      <c r="BY52" s="2000">
        <f>IFERROR(
SUM(BX52,
SUMIF(防護具!$B$31:$B$163,BY$23&amp;"N95マスク",防護具!$S$31:$S$163),
SUMIF(防護具!$B$31:$B$163,BY$23&amp;"ハイラックマスク",防護具!$S$31:$S$163),
)-BX51,0)</f>
        <v>0</v>
      </c>
      <c r="BZ52" s="2000">
        <f>IFERROR(
SUM(BY52,
SUMIF(防護具!$B$31:$B$163,BZ$23&amp;"N95マスク",防護具!$S$31:$S$163),
SUMIF(防護具!$B$31:$B$163,BZ$23&amp;"ハイラックマスク",防護具!$S$31:$S$163),
)-BY51,0)</f>
        <v>0</v>
      </c>
      <c r="CA52" s="2000">
        <f>IFERROR(
SUM(BZ52,
SUMIF(防護具!$B$31:$B$163,CA$23&amp;"N95マスク",防護具!$S$31:$S$163),
SUMIF(防護具!$B$31:$B$163,CA$23&amp;"ハイラックマスク",防護具!$S$31:$S$163),
)-BZ51,0)</f>
        <v>0</v>
      </c>
      <c r="CB52" s="2000">
        <f>IFERROR(
SUM(CA52,
SUMIF(防護具!$B$31:$B$163,CB$23&amp;"N95マスク",防護具!$S$31:$S$163),
SUMIF(防護具!$B$31:$B$163,CB$23&amp;"ハイラックマスク",防護具!$S$31:$S$163),
)-CA51,0)</f>
        <v>0</v>
      </c>
      <c r="CC52" s="2000">
        <f>IFERROR(
SUM(CB52,
SUMIF(防護具!$B$31:$B$163,CC$23&amp;"N95マスク",防護具!$S$31:$S$163),
SUMIF(防護具!$B$31:$B$163,CC$23&amp;"ハイラックマスク",防護具!$S$31:$S$163),
)-CB51,0)</f>
        <v>0</v>
      </c>
      <c r="CD52" s="2000">
        <f>IFERROR(
SUM(CC52,
SUMIF(防護具!$B$31:$B$163,CD$23&amp;"N95マスク",防護具!$S$31:$S$163),
SUMIF(防護具!$B$31:$B$163,CD$23&amp;"ハイラックマスク",防護具!$S$31:$S$163),
)-CC51,0)</f>
        <v>0</v>
      </c>
      <c r="CE52" s="2000">
        <f>IFERROR(
SUM(CD52,
SUMIF(防護具!$B$31:$B$163,CE$23&amp;"N95マスク",防護具!$S$31:$S$163),
SUMIF(防護具!$B$31:$B$163,CE$23&amp;"ハイラックマスク",防護具!$S$31:$S$163),
)-CD51,0)</f>
        <v>0</v>
      </c>
      <c r="CF52" s="2000">
        <f>IFERROR(
SUM(CE52,
SUMIF(防護具!$B$31:$B$163,CF$23&amp;"N95マスク",防護具!$S$31:$S$163),
SUMIF(防護具!$B$31:$B$163,CF$23&amp;"ハイラックマスク",防護具!$S$31:$S$163),
)-CE51,0)</f>
        <v>0</v>
      </c>
      <c r="CG52" s="2000">
        <f>IFERROR(
SUM(CF52,
SUMIF(防護具!$B$31:$B$163,CG$23&amp;"N95マスク",防護具!$S$31:$S$163),
SUMIF(防護具!$B$31:$B$163,CG$23&amp;"ハイラックマスク",防護具!$S$31:$S$163),
)-CF51,0)</f>
        <v>0</v>
      </c>
      <c r="CH52" s="2000">
        <f>IFERROR(
SUM(CG52,
SUMIF(防護具!$B$31:$B$163,CH$23&amp;"N95マスク",防護具!$S$31:$S$163),
SUMIF(防護具!$B$31:$B$163,CH$23&amp;"ハイラックマスク",防護具!$S$31:$S$163),
)-CG51,0)</f>
        <v>0</v>
      </c>
      <c r="CI52" s="2000">
        <f>IFERROR(
SUM(CH52,
SUMIF(防護具!$B$31:$B$163,CI$23&amp;"N95マスク",防護具!$S$31:$S$163),
SUMIF(防護具!$B$31:$B$163,CI$23&amp;"ハイラックマスク",防護具!$S$31:$S$163),
)-CH51,0)</f>
        <v>0</v>
      </c>
      <c r="CJ52" s="2000">
        <f>IFERROR(
SUM(CI52,
SUMIF(防護具!$B$31:$B$163,CJ$23&amp;"N95マスク",防護具!$S$31:$S$163),
SUMIF(防護具!$B$31:$B$163,CJ$23&amp;"ハイラックマスク",防護具!$S$31:$S$163),
)-CI51,0)</f>
        <v>0</v>
      </c>
      <c r="CK52" s="2000">
        <f>IFERROR(
SUM(CJ52,
SUMIF(防護具!$B$31:$B$163,CK$23&amp;"N95マスク",防護具!$S$31:$S$163),
SUMIF(防護具!$B$31:$B$163,CK$23&amp;"ハイラックマスク",防護具!$S$31:$S$163),
)-CJ51,0)</f>
        <v>0</v>
      </c>
      <c r="CL52" s="2000">
        <f>IFERROR(
SUM(CK52,
SUMIF(防護具!$B$31:$B$163,CL$23&amp;"N95マスク",防護具!$S$31:$S$163),
SUMIF(防護具!$B$31:$B$163,CL$23&amp;"ハイラックマスク",防護具!$S$31:$S$163),
)-CK51,0)</f>
        <v>0</v>
      </c>
      <c r="CM52" s="2000">
        <f>IFERROR(
SUM(CL52,
SUMIF(防護具!$B$31:$B$163,CM$23&amp;"N95マスク",防護具!$S$31:$S$163),
SUMIF(防護具!$B$31:$B$163,CM$23&amp;"ハイラックマスク",防護具!$S$31:$S$163),
)-CL51,0)</f>
        <v>0</v>
      </c>
      <c r="CN52" s="2000">
        <f>IFERROR(
SUM(CM52,
SUMIF(防護具!$B$31:$B$163,CN$23&amp;"N95マスク",防護具!$S$31:$S$163),
SUMIF(防護具!$B$31:$B$163,CN$23&amp;"ハイラックマスク",防護具!$S$31:$S$163),
)-CM51,0)</f>
        <v>0</v>
      </c>
      <c r="CO52" s="2000">
        <f>IFERROR(
SUM(CN52,
SUMIF(防護具!$B$31:$B$163,CO$23&amp;"N95マスク",防護具!$S$31:$S$163),
SUMIF(防護具!$B$31:$B$163,CO$23&amp;"ハイラックマスク",防護具!$S$31:$S$163),
)-CN51,0)</f>
        <v>0</v>
      </c>
      <c r="CP52" s="2000">
        <f>IFERROR(
SUM(CO52,
SUMIF(防護具!$B$31:$B$163,CP$23&amp;"N95マスク",防護具!$S$31:$S$163),
SUMIF(防護具!$B$31:$B$163,CP$23&amp;"ハイラックマスク",防護具!$S$31:$S$163),
)-CO51,0)</f>
        <v>0</v>
      </c>
      <c r="CQ52" s="2000">
        <f>IFERROR(
SUM(CP52,
SUMIF(防護具!$B$31:$B$163,CQ$23&amp;"N95マスク",防護具!$S$31:$S$163),
SUMIF(防護具!$B$31:$B$163,CQ$23&amp;"ハイラックマスク",防護具!$S$31:$S$163),
)-CP51,0)</f>
        <v>0</v>
      </c>
      <c r="CR52" s="2000">
        <f>IFERROR(
SUM(CQ52,
SUMIF(防護具!$B$31:$B$163,CR$23&amp;"N95マスク",防護具!$S$31:$S$163),
SUMIF(防護具!$B$31:$B$163,CR$23&amp;"ハイラックマスク",防護具!$S$31:$S$163),
)-CQ51,0)</f>
        <v>0</v>
      </c>
      <c r="CS52" s="2000">
        <f>IFERROR(
SUM(CR52,
SUMIF(防護具!$B$31:$B$163,CS$23&amp;"N95マスク",防護具!$S$31:$S$163),
SUMIF(防護具!$B$31:$B$163,CS$23&amp;"ハイラックマスク",防護具!$S$31:$S$163),
)-CR51,0)</f>
        <v>0</v>
      </c>
      <c r="CT52" s="2000">
        <f>IFERROR(
SUM(CS52,
SUMIF(防護具!$B$31:$B$163,CT$23&amp;"N95マスク",防護具!$S$31:$S$163),
SUMIF(防護具!$B$31:$B$163,CT$23&amp;"ハイラックマスク",防護具!$S$31:$S$163),
)-CS51,0)</f>
        <v>0</v>
      </c>
      <c r="CU52" s="2000">
        <f>IFERROR(
SUM(CT52,
SUMIF(防護具!$B$31:$B$163,CU$23&amp;"N95マスク",防護具!$S$31:$S$163),
SUMIF(防護具!$B$31:$B$163,CU$23&amp;"ハイラックマスク",防護具!$S$31:$S$163),
)-CT51,0)</f>
        <v>0</v>
      </c>
      <c r="CV52" s="2000">
        <f>IFERROR(
SUM(CU52,
SUMIF(防護具!$B$31:$B$163,CV$23&amp;"N95マスク",防護具!$S$31:$S$163),
SUMIF(防護具!$B$31:$B$163,CV$23&amp;"ハイラックマスク",防護具!$S$31:$S$163),
)-CU51,0)</f>
        <v>0</v>
      </c>
      <c r="CW52" s="2000">
        <f>IFERROR(
SUM(CV52,
SUMIF(防護具!$B$31:$B$163,CW$23&amp;"N95マスク",防護具!$S$31:$S$163),
SUMIF(防護具!$B$31:$B$163,CW$23&amp;"ハイラックマスク",防護具!$S$31:$S$163),
)-CV51,0)</f>
        <v>0</v>
      </c>
      <c r="CX52" s="2000">
        <f>IFERROR(
SUM(CW52,
SUMIF(防護具!$B$31:$B$163,CX$23&amp;"N95マスク",防護具!$S$31:$S$163),
SUMIF(防護具!$B$31:$B$163,CX$23&amp;"ハイラックマスク",防護具!$S$31:$S$163),
)-CW51,0)</f>
        <v>0</v>
      </c>
      <c r="CY52" s="2000">
        <f>IFERROR(
SUM(CX52,
SUMIF(防護具!$B$31:$B$163,CY$23&amp;"N95マスク",防護具!$S$31:$S$163),
SUMIF(防護具!$B$31:$B$163,CY$23&amp;"ハイラックマスク",防護具!$S$31:$S$163),
)-CX51,0)</f>
        <v>0</v>
      </c>
      <c r="CZ52" s="2000">
        <f>IFERROR(
SUM(CY52,
SUMIF(防護具!$B$31:$B$163,CZ$23&amp;"N95マスク",防護具!$S$31:$S$163),
SUMIF(防護具!$B$31:$B$163,CZ$23&amp;"ハイラックマスク",防護具!$S$31:$S$163),
)-CY51,0)</f>
        <v>0</v>
      </c>
      <c r="DA52" s="2000">
        <f>IFERROR(
SUM(CZ52,
SUMIF(防護具!$B$31:$B$163,DA$23&amp;"N95マスク",防護具!$S$31:$S$163),
SUMIF(防護具!$B$31:$B$163,DA$23&amp;"ハイラックマスク",防護具!$S$31:$S$163),
)-CZ51,0)</f>
        <v>0</v>
      </c>
      <c r="DB52" s="2000">
        <f>IFERROR(
SUM(DA52,
SUMIF(防護具!$B$31:$B$163,DB$23&amp;"N95マスク",防護具!$S$31:$S$163),
SUMIF(防護具!$B$31:$B$163,DB$23&amp;"ハイラックマスク",防護具!$S$31:$S$163),
)-DA51,0)</f>
        <v>0</v>
      </c>
      <c r="DC52" s="2000">
        <f>IFERROR(
SUM(DB52,
SUMIF(防護具!$B$31:$B$163,DC$23&amp;"N95マスク",防護具!$S$31:$S$163),
SUMIF(防護具!$B$31:$B$163,DC$23&amp;"ハイラックマスク",防護具!$S$31:$S$163),
)-DB51,0)</f>
        <v>0</v>
      </c>
      <c r="DD52" s="2000">
        <f>IFERROR(
SUM(DC52,
SUMIF(防護具!$B$31:$B$163,DD$23&amp;"N95マスク",防護具!$S$31:$S$163),
SUMIF(防護具!$B$31:$B$163,DD$23&amp;"ハイラックマスク",防護具!$S$31:$S$163),
)-DC51,0)</f>
        <v>0</v>
      </c>
      <c r="DE52" s="2000">
        <f>IFERROR(
SUM(DD52,
SUMIF(防護具!$B$31:$B$163,DE$23&amp;"N95マスク",防護具!$S$31:$S$163),
SUMIF(防護具!$B$31:$B$163,DE$23&amp;"ハイラックマスク",防護具!$S$31:$S$163),
)-DD51,0)</f>
        <v>0</v>
      </c>
      <c r="DF52" s="2000">
        <f>IFERROR(
SUM(DE52,
SUMIF(防護具!$B$31:$B$163,DF$23&amp;"N95マスク",防護具!$S$31:$S$163),
SUMIF(防護具!$B$31:$B$163,DF$23&amp;"ハイラックマスク",防護具!$S$31:$S$163),
)-DE51,0)</f>
        <v>0</v>
      </c>
      <c r="DG52" s="2000">
        <f>IFERROR(
SUM(DF52,
SUMIF(防護具!$B$31:$B$163,DG$23&amp;"N95マスク",防護具!$S$31:$S$163),
SUMIF(防護具!$B$31:$B$163,DG$23&amp;"ハイラックマスク",防護具!$S$31:$S$163),
)-DF51,0)</f>
        <v>0</v>
      </c>
      <c r="DH52" s="2000">
        <f>IFERROR(
SUM(DG52,
SUMIF(防護具!$B$31:$B$163,DH$23&amp;"N95マスク",防護具!$S$31:$S$163),
SUMIF(防護具!$B$31:$B$163,DH$23&amp;"ハイラックマスク",防護具!$S$31:$S$163),
)-DG51,0)</f>
        <v>0</v>
      </c>
      <c r="DI52" s="2000">
        <f>IFERROR(
SUM(DH52,
SUMIF(防護具!$B$31:$B$163,DI$23&amp;"N95マスク",防護具!$S$31:$S$163),
SUMIF(防護具!$B$31:$B$163,DI$23&amp;"ハイラックマスク",防護具!$S$31:$S$163),
)-DH51,0)</f>
        <v>0</v>
      </c>
      <c r="DJ52" s="2000">
        <f>IFERROR(
SUM(DI52,
SUMIF(防護具!$B$31:$B$163,DJ$23&amp;"N95マスク",防護具!$S$31:$S$163),
SUMIF(防護具!$B$31:$B$163,DJ$23&amp;"ハイラックマスク",防護具!$S$31:$S$163),
)-DI51,0)</f>
        <v>0</v>
      </c>
      <c r="DK52" s="2000">
        <f>IFERROR(
SUM(DJ52,
SUMIF(防護具!$B$31:$B$163,DK$23&amp;"N95マスク",防護具!$S$31:$S$163),
SUMIF(防護具!$B$31:$B$163,DK$23&amp;"ハイラックマスク",防護具!$S$31:$S$163),
)-DJ51,0)</f>
        <v>0</v>
      </c>
      <c r="DL52" s="2000">
        <f>IFERROR(
SUM(DK52,
SUMIF(防護具!$B$31:$B$163,DL$23&amp;"N95マスク",防護具!$S$31:$S$163),
SUMIF(防護具!$B$31:$B$163,DL$23&amp;"ハイラックマスク",防護具!$S$31:$S$163),
)-DK51,0)</f>
        <v>0</v>
      </c>
      <c r="DM52" s="2000">
        <f>IFERROR(
SUM(DL52,
SUMIF(防護具!$B$31:$B$163,DM$23&amp;"N95マスク",防護具!$S$31:$S$163),
SUMIF(防護具!$B$31:$B$163,DM$23&amp;"ハイラックマスク",防護具!$S$31:$S$163),
)-DL51,0)</f>
        <v>0</v>
      </c>
      <c r="DN52" s="2000">
        <f>IFERROR(
SUM(DM52,
SUMIF(防護具!$B$31:$B$163,DN$23&amp;"N95マスク",防護具!$S$31:$S$163),
SUMIF(防護具!$B$31:$B$163,DN$23&amp;"ハイラックマスク",防護具!$S$31:$S$163),
)-DM51,0)</f>
        <v>0</v>
      </c>
      <c r="DO52" s="2000">
        <f>IFERROR(
SUM(DN52,
SUMIF(防護具!$B$31:$B$163,DO$23&amp;"N95マスク",防護具!$S$31:$S$163),
SUMIF(防護具!$B$31:$B$163,DO$23&amp;"ハイラックマスク",防護具!$S$31:$S$163),
)-DN51,0)</f>
        <v>0</v>
      </c>
      <c r="DP52" s="2000">
        <f>IFERROR(
SUM(DO52,
SUMIF(防護具!$B$31:$B$163,DP$23&amp;"N95マスク",防護具!$S$31:$S$163),
SUMIF(防護具!$B$31:$B$163,DP$23&amp;"ハイラックマスク",防護具!$S$31:$S$163),
)-DO51,0)</f>
        <v>0</v>
      </c>
      <c r="DQ52" s="2000">
        <f>IFERROR(
SUM(DP52,
SUMIF(防護具!$B$31:$B$163,DQ$23&amp;"N95マスク",防護具!$S$31:$S$163),
SUMIF(防護具!$B$31:$B$163,DQ$23&amp;"ハイラックマスク",防護具!$S$31:$S$163),
)-DP51,0)</f>
        <v>0</v>
      </c>
      <c r="DR52" s="2000">
        <f>IFERROR(
SUM(DQ52,
SUMIF(防護具!$B$31:$B$163,DR$23&amp;"N95マスク",防護具!$S$31:$S$163),
SUMIF(防護具!$B$31:$B$163,DR$23&amp;"ハイラックマスク",防護具!$S$31:$S$163),
)-DQ51,0)</f>
        <v>0</v>
      </c>
      <c r="DS52" s="2000">
        <f>IFERROR(
SUM(DR52,
SUMIF(防護具!$B$31:$B$163,DS$23&amp;"N95マスク",防護具!$S$31:$S$163),
SUMIF(防護具!$B$31:$B$163,DS$23&amp;"ハイラックマスク",防護具!$S$31:$S$163),
)-DR51,0)</f>
        <v>0</v>
      </c>
      <c r="DT52" s="2000">
        <f>IFERROR(
SUM(DS52,
SUMIF(防護具!$B$31:$B$163,DT$23&amp;"N95マスク",防護具!$S$31:$S$163),
SUMIF(防護具!$B$31:$B$163,DT$23&amp;"ハイラックマスク",防護具!$S$31:$S$163),
)-DS51,0)</f>
        <v>0</v>
      </c>
      <c r="DU52" s="2000">
        <f>IFERROR(
SUM(DT52,
SUMIF(防護具!$B$31:$B$163,DU$23&amp;"N95マスク",防護具!$S$31:$S$163),
SUMIF(防護具!$B$31:$B$163,DU$23&amp;"ハイラックマスク",防護具!$S$31:$S$163),
)-DT51,0)</f>
        <v>0</v>
      </c>
      <c r="DV52" s="2000">
        <f>IFERROR(
SUM(DU52,
SUMIF(防護具!$B$31:$B$163,DV$23&amp;"N95マスク",防護具!$S$31:$S$163),
SUMIF(防護具!$B$31:$B$163,DV$23&amp;"ハイラックマスク",防護具!$S$31:$S$163),
)-DU51,0)</f>
        <v>0</v>
      </c>
      <c r="DW52" s="2000">
        <f>IFERROR(
SUM(DV52,
SUMIF(防護具!$B$31:$B$163,DW$23&amp;"N95マスク",防護具!$S$31:$S$163),
SUMIF(防護具!$B$31:$B$163,DW$23&amp;"ハイラックマスク",防護具!$S$31:$S$163),
)-DV51,0)</f>
        <v>0</v>
      </c>
      <c r="DX52" s="2000">
        <f>IFERROR(
SUM(DW52,
SUMIF(防護具!$B$31:$B$163,DX$23&amp;"N95マスク",防護具!$S$31:$S$163),
SUMIF(防護具!$B$31:$B$163,DX$23&amp;"ハイラックマスク",防護具!$S$31:$S$163),
)-DW51,0)</f>
        <v>0</v>
      </c>
      <c r="DY52" s="2000">
        <f>IFERROR(
SUM(DX52,
SUMIF(防護具!$B$31:$B$163,DY$23&amp;"N95マスク",防護具!$S$31:$S$163),
SUMIF(防護具!$B$31:$B$163,DY$23&amp;"ハイラックマスク",防護具!$S$31:$S$163),
)-DX51,0)</f>
        <v>0</v>
      </c>
      <c r="DZ52" s="2000">
        <f>IFERROR(
SUM(DY52,
SUMIF(防護具!$B$31:$B$163,DZ$23&amp;"N95マスク",防護具!$S$31:$S$163),
SUMIF(防護具!$B$31:$B$163,DZ$23&amp;"ハイラックマスク",防護具!$S$31:$S$163),
)-DY51,0)</f>
        <v>0</v>
      </c>
      <c r="EA52" s="2000">
        <f>IFERROR(
SUM(DZ52,
SUMIF(防護具!$B$31:$B$163,EA$23&amp;"N95マスク",防護具!$S$31:$S$163),
SUMIF(防護具!$B$31:$B$163,EA$23&amp;"ハイラックマスク",防護具!$S$31:$S$163),
)-DZ51,0)</f>
        <v>0</v>
      </c>
      <c r="EB52" s="2000">
        <f>IFERROR(
SUM(EA52,
SUMIF(防護具!$B$31:$B$163,EB$23&amp;"N95マスク",防護具!$S$31:$S$163),
SUMIF(防護具!$B$31:$B$163,EB$23&amp;"ハイラックマスク",防護具!$S$31:$S$163),
)-EA51,0)</f>
        <v>0</v>
      </c>
      <c r="EC52" s="2000">
        <f>IFERROR(
SUM(EB52,
SUMIF(防護具!$B$31:$B$163,EC$23&amp;"N95マスク",防護具!$S$31:$S$163),
SUMIF(防護具!$B$31:$B$163,EC$23&amp;"ハイラックマスク",防護具!$S$31:$S$163),
)-EB51,0)</f>
        <v>0</v>
      </c>
      <c r="ED52" s="2000">
        <f>IFERROR(
SUM(EC52,
SUMIF(防護具!$B$31:$B$163,ED$23&amp;"N95マスク",防護具!$S$31:$S$163),
SUMIF(防護具!$B$31:$B$163,ED$23&amp;"ハイラックマスク",防護具!$S$31:$S$163),
)-EC51,0)</f>
        <v>0</v>
      </c>
      <c r="EE52" s="2000">
        <f>IFERROR(
SUM(ED52,
SUMIF(防護具!$B$31:$B$163,EE$23&amp;"N95マスク",防護具!$S$31:$S$163),
SUMIF(防護具!$B$31:$B$163,EE$23&amp;"ハイラックマスク",防護具!$S$31:$S$163),
)-ED51,0)</f>
        <v>0</v>
      </c>
      <c r="EF52" s="2000">
        <f>IFERROR(
SUM(EE52,
SUMIF(防護具!$B$31:$B$163,EF$23&amp;"N95マスク",防護具!$S$31:$S$163),
SUMIF(防護具!$B$31:$B$163,EF$23&amp;"ハイラックマスク",防護具!$S$31:$S$163),
)-EE51,0)</f>
        <v>0</v>
      </c>
      <c r="EG52" s="2000">
        <f>IFERROR(
SUM(EF52,
SUMIF(防護具!$B$31:$B$163,EG$23&amp;"N95マスク",防護具!$S$31:$S$163),
SUMIF(防護具!$B$31:$B$163,EG$23&amp;"ハイラックマスク",防護具!$S$31:$S$163),
)-EF51,0)</f>
        <v>0</v>
      </c>
      <c r="EH52" s="2000">
        <f>IFERROR(
SUM(EG52,
SUMIF(防護具!$B$31:$B$163,EH$23&amp;"N95マスク",防護具!$S$31:$S$163),
SUMIF(防護具!$B$31:$B$163,EH$23&amp;"ハイラックマスク",防護具!$S$31:$S$163),
)-EG51,0)</f>
        <v>0</v>
      </c>
      <c r="EI52" s="2000">
        <f>IFERROR(
SUM(EH52,
SUMIF(防護具!$B$31:$B$163,EI$23&amp;"N95マスク",防護具!$S$31:$S$163),
SUMIF(防護具!$B$31:$B$163,EI$23&amp;"ハイラックマスク",防護具!$S$31:$S$163),
)-EH51,0)</f>
        <v>0</v>
      </c>
      <c r="EJ52" s="2000">
        <f>IFERROR(
SUM(EI52,
SUMIF(防護具!$B$31:$B$163,EJ$23&amp;"N95マスク",防護具!$S$31:$S$163),
SUMIF(防護具!$B$31:$B$163,EJ$23&amp;"ハイラックマスク",防護具!$S$31:$S$163),
)-EI51,0)</f>
        <v>0</v>
      </c>
      <c r="EK52" s="2000">
        <f>IFERROR(
SUM(EJ52,
SUMIF(防護具!$B$31:$B$163,EK$23&amp;"N95マスク",防護具!$S$31:$S$163),
SUMIF(防護具!$B$31:$B$163,EK$23&amp;"ハイラックマスク",防護具!$S$31:$S$163),
)-EJ51,0)</f>
        <v>0</v>
      </c>
      <c r="EL52" s="2000">
        <f>IFERROR(
SUM(EK52,
SUMIF(防護具!$B$31:$B$163,EL$23&amp;"N95マスク",防護具!$S$31:$S$163),
SUMIF(防護具!$B$31:$B$163,EL$23&amp;"ハイラックマスク",防護具!$S$31:$S$163),
)-EK51,0)</f>
        <v>0</v>
      </c>
      <c r="EM52" s="2000">
        <f>IFERROR(
SUM(EL52,
SUMIF(防護具!$B$31:$B$163,EM$23&amp;"N95マスク",防護具!$S$31:$S$163),
SUMIF(防護具!$B$31:$B$163,EM$23&amp;"ハイラックマスク",防護具!$S$31:$S$163),
)-EL51,0)</f>
        <v>0</v>
      </c>
      <c r="EN52" s="2000">
        <f>IFERROR(
SUM(EM52,
SUMIF(防護具!$B$31:$B$163,EN$23&amp;"N95マスク",防護具!$S$31:$S$163),
SUMIF(防護具!$B$31:$B$163,EN$23&amp;"ハイラックマスク",防護具!$S$31:$S$163),
)-EM51,0)</f>
        <v>0</v>
      </c>
      <c r="EO52" s="2000">
        <f>IFERROR(
SUM(EN52,
SUMIF(防護具!$B$31:$B$163,EO$23&amp;"N95マスク",防護具!$S$31:$S$163),
SUMIF(防護具!$B$31:$B$163,EO$23&amp;"ハイラックマスク",防護具!$S$31:$S$163),
)-EN51,0)</f>
        <v>0</v>
      </c>
      <c r="EP52" s="2000">
        <f>IFERROR(
SUM(EO52,
SUMIF(防護具!$B$31:$B$163,EP$23&amp;"N95マスク",防護具!$S$31:$S$163),
SUMIF(防護具!$B$31:$B$163,EP$23&amp;"ハイラックマスク",防護具!$S$31:$S$163),
)-EO51,0)</f>
        <v>0</v>
      </c>
      <c r="EQ52" s="2000">
        <f>IFERROR(
SUM(EP52,
SUMIF(防護具!$B$31:$B$163,EQ$23&amp;"N95マスク",防護具!$S$31:$S$163),
SUMIF(防護具!$B$31:$B$163,EQ$23&amp;"ハイラックマスク",防護具!$S$31:$S$163),
)-EP51,0)</f>
        <v>0</v>
      </c>
      <c r="ER52" s="2000">
        <f>IFERROR(
SUM(EQ52,
SUMIF(防護具!$B$31:$B$163,ER$23&amp;"N95マスク",防護具!$S$31:$S$163),
SUMIF(防護具!$B$31:$B$163,ER$23&amp;"ハイラックマスク",防護具!$S$31:$S$163),
)-EQ51,0)</f>
        <v>0</v>
      </c>
      <c r="ES52" s="2000">
        <f>IFERROR(
SUM(ER52,
SUMIF(防護具!$B$31:$B$163,ES$23&amp;"N95マスク",防護具!$S$31:$S$163),
SUMIF(防護具!$B$31:$B$163,ES$23&amp;"ハイラックマスク",防護具!$S$31:$S$163),
)-ER51,0)</f>
        <v>0</v>
      </c>
      <c r="ET52" s="2000">
        <f>IFERROR(
SUM(ES52,
SUMIF(防護具!$B$31:$B$163,ET$23&amp;"N95マスク",防護具!$S$31:$S$163),
SUMIF(防護具!$B$31:$B$163,ET$23&amp;"ハイラックマスク",防護具!$S$31:$S$163),
)-ES51,0)</f>
        <v>0</v>
      </c>
      <c r="EU52" s="2000">
        <f>IFERROR(
SUM(ET52,
SUMIF(防護具!$B$31:$B$163,EU$23&amp;"N95マスク",防護具!$S$31:$S$163),
SUMIF(防護具!$B$31:$B$163,EU$23&amp;"ハイラックマスク",防護具!$S$31:$S$163),
)-ET51,0)</f>
        <v>0</v>
      </c>
      <c r="EV52" s="2000">
        <f>IFERROR(
SUM(EU52,
SUMIF(防護具!$B$31:$B$163,EV$23&amp;"N95マスク",防護具!$S$31:$S$163),
SUMIF(防護具!$B$31:$B$163,EV$23&amp;"ハイラックマスク",防護具!$S$31:$S$163),
)-EU51,0)</f>
        <v>0</v>
      </c>
      <c r="EW52" s="2000">
        <f>IFERROR(
SUM(EV52,
SUMIF(防護具!$B$31:$B$163,EW$23&amp;"N95マスク",防護具!$S$31:$S$163),
SUMIF(防護具!$B$31:$B$163,EW$23&amp;"ハイラックマスク",防護具!$S$31:$S$163),
)-EV51,0)</f>
        <v>0</v>
      </c>
      <c r="EX52" s="2000">
        <f>IFERROR(
SUM(EW52,
SUMIF(防護具!$B$31:$B$163,EX$23&amp;"N95マスク",防護具!$S$31:$S$163),
SUMIF(防護具!$B$31:$B$163,EX$23&amp;"ハイラックマスク",防護具!$S$31:$S$163),
)-EW51,0)</f>
        <v>0</v>
      </c>
      <c r="EY52" s="2000">
        <f>IFERROR(
SUM(EX52,
SUMIF(防護具!$B$31:$B$163,EY$23&amp;"N95マスク",防護具!$S$31:$S$163),
SUMIF(防護具!$B$31:$B$163,EY$23&amp;"ハイラックマスク",防護具!$S$31:$S$163),
)-EX51,0)</f>
        <v>0</v>
      </c>
      <c r="EZ52" s="2000">
        <f>IFERROR(
SUM(EY52,
SUMIF(防護具!$B$31:$B$163,EZ$23&amp;"N95マスク",防護具!$S$31:$S$163),
SUMIF(防護具!$B$31:$B$163,EZ$23&amp;"ハイラックマスク",防護具!$S$31:$S$163),
)-EY51,0)</f>
        <v>0</v>
      </c>
      <c r="FA52" s="2000">
        <f>IFERROR(
SUM(EZ52,
SUMIF(防護具!$B$31:$B$163,FA$23&amp;"N95マスク",防護具!$S$31:$S$163),
SUMIF(防護具!$B$31:$B$163,FA$23&amp;"ハイラックマスク",防護具!$S$31:$S$163),
)-EZ51,0)</f>
        <v>0</v>
      </c>
      <c r="FB52" s="2000">
        <f>IFERROR(
SUM(FA52,
SUMIF(防護具!$B$31:$B$163,FB$23&amp;"N95マスク",防護具!$S$31:$S$163),
SUMIF(防護具!$B$31:$B$163,FB$23&amp;"ハイラックマスク",防護具!$S$31:$S$163),
)-FA51,0)</f>
        <v>0</v>
      </c>
      <c r="FC52" s="2000">
        <f>IFERROR(
SUM(FB52,
SUMIF(防護具!$B$31:$B$163,FC$23&amp;"N95マスク",防護具!$S$31:$S$163),
SUMIF(防護具!$B$31:$B$163,FC$23&amp;"ハイラックマスク",防護具!$S$31:$S$163),
)-FB51,0)</f>
        <v>0</v>
      </c>
      <c r="FD52" s="2000">
        <f>IFERROR(
SUM(FC52,
SUMIF(防護具!$B$31:$B$163,FD$23&amp;"N95マスク",防護具!$S$31:$S$163),
SUMIF(防護具!$B$31:$B$163,FD$23&amp;"ハイラックマスク",防護具!$S$31:$S$163),
)-FC51,0)</f>
        <v>0</v>
      </c>
      <c r="FE52" s="2000">
        <f>IFERROR(
SUM(FD52,
SUMIF(防護具!$B$31:$B$163,FE$23&amp;"N95マスク",防護具!$S$31:$S$163),
SUMIF(防護具!$B$31:$B$163,FE$23&amp;"ハイラックマスク",防護具!$S$31:$S$163),
)-FD51,0)</f>
        <v>0</v>
      </c>
      <c r="FF52" s="2000">
        <f>IFERROR(
SUM(FE52,
SUMIF(防護具!$B$31:$B$163,FF$23&amp;"N95マスク",防護具!$S$31:$S$163),
SUMIF(防護具!$B$31:$B$163,FF$23&amp;"ハイラックマスク",防護具!$S$31:$S$163),
)-FE51,0)</f>
        <v>0</v>
      </c>
      <c r="FG52" s="2000">
        <f>IFERROR(
SUM(FF52,
SUMIF(防護具!$B$31:$B$163,FG$23&amp;"N95マスク",防護具!$S$31:$S$163),
SUMIF(防護具!$B$31:$B$163,FG$23&amp;"ハイラックマスク",防護具!$S$31:$S$163),
)-FF51,0)</f>
        <v>0</v>
      </c>
      <c r="FH52" s="2000">
        <f>IFERROR(
SUM(FG52,
SUMIF(防護具!$B$31:$B$163,FH$23&amp;"N95マスク",防護具!$S$31:$S$163),
SUMIF(防護具!$B$31:$B$163,FH$23&amp;"ハイラックマスク",防護具!$S$31:$S$163),
)-FG51,0)</f>
        <v>0</v>
      </c>
      <c r="FI52" s="2000">
        <f>IFERROR(
SUM(FH52,
SUMIF(防護具!$B$31:$B$163,FI$23&amp;"N95マスク",防護具!$S$31:$S$163),
SUMIF(防護具!$B$31:$B$163,FI$23&amp;"ハイラックマスク",防護具!$S$31:$S$163),
)-FH51,0)</f>
        <v>0</v>
      </c>
      <c r="FJ52" s="2000">
        <f>IFERROR(
SUM(FI52,
SUMIF(防護具!$B$31:$B$163,FJ$23&amp;"N95マスク",防護具!$S$31:$S$163),
SUMIF(防護具!$B$31:$B$163,FJ$23&amp;"ハイラックマスク",防護具!$S$31:$S$163),
)-FI51,0)</f>
        <v>0</v>
      </c>
      <c r="FK52" s="2000">
        <f>IFERROR(
SUM(FJ52,
SUMIF(防護具!$B$31:$B$163,FK$23&amp;"N95マスク",防護具!$S$31:$S$163),
SUMIF(防護具!$B$31:$B$163,FK$23&amp;"ハイラックマスク",防護具!$S$31:$S$163),
)-FJ51,0)</f>
        <v>0</v>
      </c>
      <c r="FL52" s="2000">
        <f>IFERROR(
SUM(FK52,
SUMIF(防護具!$B$31:$B$163,FL$23&amp;"N95マスク",防護具!$S$31:$S$163),
SUMIF(防護具!$B$31:$B$163,FL$23&amp;"ハイラックマスク",防護具!$S$31:$S$163),
)-FK51,0)</f>
        <v>0</v>
      </c>
      <c r="FM52" s="2000">
        <f>IFERROR(
SUM(FL52,
SUMIF(防護具!$B$31:$B$163,FM$23&amp;"N95マスク",防護具!$S$31:$S$163),
SUMIF(防護具!$B$31:$B$163,FM$23&amp;"ハイラックマスク",防護具!$S$31:$S$163),
)-FL51,0)</f>
        <v>0</v>
      </c>
      <c r="FN52" s="2000">
        <f>IFERROR(
SUM(FM52,
SUMIF(防護具!$B$31:$B$163,FN$23&amp;"N95マスク",防護具!$S$31:$S$163),
SUMIF(防護具!$B$31:$B$163,FN$23&amp;"ハイラックマスク",防護具!$S$31:$S$163),
)-FM51,0)</f>
        <v>0</v>
      </c>
      <c r="FO52" s="2000">
        <f>IFERROR(
SUM(FN52,
SUMIF(防護具!$B$31:$B$163,FO$23&amp;"N95マスク",防護具!$S$31:$S$163),
SUMIF(防護具!$B$31:$B$163,FO$23&amp;"ハイラックマスク",防護具!$S$31:$S$163),
)-FN51,0)</f>
        <v>0</v>
      </c>
      <c r="FP52" s="2000">
        <f>IFERROR(
SUM(FO52,
SUMIF(防護具!$B$31:$B$163,FP$23&amp;"N95マスク",防護具!$S$31:$S$163),
SUMIF(防護具!$B$31:$B$163,FP$23&amp;"ハイラックマスク",防護具!$S$31:$S$163),
)-FO51,0)</f>
        <v>0</v>
      </c>
      <c r="FQ52" s="2000">
        <f>IFERROR(
SUM(FP52,
SUMIF(防護具!$B$31:$B$163,FQ$23&amp;"N95マスク",防護具!$S$31:$S$163),
SUMIF(防護具!$B$31:$B$163,FQ$23&amp;"ハイラックマスク",防護具!$S$31:$S$163),
)-FP51,0)</f>
        <v>0</v>
      </c>
      <c r="FR52" s="2000">
        <f>IFERROR(
SUM(FQ52,
SUMIF(防護具!$B$31:$B$163,FR$23&amp;"N95マスク",防護具!$S$31:$S$163),
SUMIF(防護具!$B$31:$B$163,FR$23&amp;"ハイラックマスク",防護具!$S$31:$S$163),
)-FQ51,0)</f>
        <v>0</v>
      </c>
      <c r="FS52" s="2000">
        <f>IFERROR(
SUM(FR52,
SUMIF(防護具!$B$31:$B$163,FS$23&amp;"N95マスク",防護具!$S$31:$S$163),
SUMIF(防護具!$B$31:$B$163,FS$23&amp;"ハイラックマスク",防護具!$S$31:$S$163),
)-FR51,0)</f>
        <v>0</v>
      </c>
      <c r="FT52" s="2000">
        <f>IFERROR(
SUM(FS52,
SUMIF(防護具!$B$31:$B$163,FT$23&amp;"N95マスク",防護具!$S$31:$S$163),
SUMIF(防護具!$B$31:$B$163,FT$23&amp;"ハイラックマスク",防護具!$S$31:$S$163),
)-FS51,0)</f>
        <v>0</v>
      </c>
      <c r="FU52" s="2000">
        <f>IFERROR(
SUM(FT52,
SUMIF(防護具!$B$31:$B$163,FU$23&amp;"N95マスク",防護具!$S$31:$S$163),
SUMIF(防護具!$B$31:$B$163,FU$23&amp;"ハイラックマスク",防護具!$S$31:$S$163),
)-FT51,0)</f>
        <v>0</v>
      </c>
      <c r="FV52" s="2000">
        <f>IFERROR(
SUM(FU52,
SUMIF(防護具!$B$31:$B$163,FV$23&amp;"N95マスク",防護具!$S$31:$S$163),
SUMIF(防護具!$B$31:$B$163,FV$23&amp;"ハイラックマスク",防護具!$S$31:$S$163),
)-FU51,0)</f>
        <v>0</v>
      </c>
      <c r="FW52" s="2000">
        <f>IFERROR(
SUM(FV52,
SUMIF(防護具!$B$31:$B$163,FW$23&amp;"N95マスク",防護具!$S$31:$S$163),
SUMIF(防護具!$B$31:$B$163,FW$23&amp;"ハイラックマスク",防護具!$S$31:$S$163),
)-FV51,0)</f>
        <v>0</v>
      </c>
      <c r="FX52" s="2000">
        <f>IFERROR(
SUM(FW52,
SUMIF(防護具!$B$31:$B$163,FX$23&amp;"N95マスク",防護具!$S$31:$S$163),
SUMIF(防護具!$B$31:$B$163,FX$23&amp;"ハイラックマスク",防護具!$S$31:$S$163),
)-FW51,0)</f>
        <v>0</v>
      </c>
      <c r="FY52" s="2000">
        <f>IFERROR(
SUM(FX52,
SUMIF(防護具!$B$31:$B$163,FY$23&amp;"N95マスク",防護具!$S$31:$S$163),
SUMIF(防護具!$B$31:$B$163,FY$23&amp;"ハイラックマスク",防護具!$S$31:$S$163),
)-FX51,0)</f>
        <v>0</v>
      </c>
      <c r="FZ52" s="2000">
        <f>IFERROR(
SUM(FY52,
SUMIF(防護具!$B$31:$B$163,FZ$23&amp;"N95マスク",防護具!$S$31:$S$163),
SUMIF(防護具!$B$31:$B$163,FZ$23&amp;"ハイラックマスク",防護具!$S$31:$S$163),
)-FY51,0)</f>
        <v>0</v>
      </c>
      <c r="GA52" s="2000">
        <f>IFERROR(
SUM(FZ52,
SUMIF(防護具!$B$31:$B$163,GA$23&amp;"N95マスク",防護具!$S$31:$S$163),
SUMIF(防護具!$B$31:$B$163,GA$23&amp;"ハイラックマスク",防護具!$S$31:$S$163),
)-FZ51,0)</f>
        <v>0</v>
      </c>
      <c r="GB52" s="2000">
        <f>IFERROR(
SUM(GA52,
SUMIF(防護具!$B$31:$B$163,GB$23&amp;"N95マスク",防護具!$S$31:$S$163),
SUMIF(防護具!$B$31:$B$163,GB$23&amp;"ハイラックマスク",防護具!$S$31:$S$163),
)-GA51,0)</f>
        <v>0</v>
      </c>
      <c r="GC52" s="2000">
        <f>IFERROR(
SUM(GB52,
SUMIF(防護具!$B$31:$B$163,GC$23&amp;"N95マスク",防護具!$S$31:$S$163),
SUMIF(防護具!$B$31:$B$163,GC$23&amp;"ハイラックマスク",防護具!$S$31:$S$163),
)-GB51,0)</f>
        <v>0</v>
      </c>
      <c r="GD52" s="2000">
        <f>IFERROR(
SUM(GC52,
SUMIF(防護具!$B$31:$B$163,GD$23&amp;"N95マスク",防護具!$S$31:$S$163),
SUMIF(防護具!$B$31:$B$163,GD$23&amp;"ハイラックマスク",防護具!$S$31:$S$163),
)-GC51,0)</f>
        <v>0</v>
      </c>
      <c r="GE52" s="2000">
        <f>IFERROR(
SUM(GD52,
SUMIF(防護具!$B$31:$B$163,GE$23&amp;"N95マスク",防護具!$S$31:$S$163),
SUMIF(防護具!$B$31:$B$163,GE$23&amp;"ハイラックマスク",防護具!$S$31:$S$163),
)-GD51,0)</f>
        <v>0</v>
      </c>
      <c r="GF52" s="2000">
        <f>IFERROR(
SUM(GE52,
SUMIF(防護具!$B$31:$B$163,GF$23&amp;"N95マスク",防護具!$S$31:$S$163),
SUMIF(防護具!$B$31:$B$163,GF$23&amp;"ハイラックマスク",防護具!$S$31:$S$163),
)-GE51,0)</f>
        <v>0</v>
      </c>
    </row>
    <row r="53" spans="1:188" s="639" customFormat="1" ht="15" customHeight="1" x14ac:dyDescent="0.4">
      <c r="A53" s="631"/>
      <c r="B53" s="639" t="s">
        <v>1264</v>
      </c>
      <c r="C53" s="1993" t="s">
        <v>1388</v>
      </c>
      <c r="D53" s="1994"/>
      <c r="E53" s="640"/>
      <c r="F53" s="2000">
        <f>SUM(
SUMIF(防護具!$B$14:$B$30,F$23&amp;"N95マスク",防護具!$S$14:$S$30),
SUMIF(防護具!$B$14:$B$30,F$23&amp;"ハイラックマスク",防護具!$S$14:$S$30))</f>
        <v>0</v>
      </c>
      <c r="G53" s="2000">
        <f xml:space="preserve">
IF(G$25="休診日",F53,
IF(F53-VLOOKUP(F$22&amp;$B51,$B$96:$D$191,2,FALSE)&lt;0,0,F53-VLOOKUP(F$22&amp;$B51,$B$96:$D$191,2,FALSE)))</f>
        <v>0</v>
      </c>
      <c r="H53" s="2000">
        <f t="shared" ref="H53:BS53" si="37" xml:space="preserve">
IF(H$25="休診日",G53,
IF(G53-VLOOKUP(G$22&amp;$B51,$B$96:$D$191,2,FALSE)&lt;0,0,G53-VLOOKUP(G$22&amp;$B51,$B$96:$D$191,2,FALSE)))</f>
        <v>0</v>
      </c>
      <c r="I53" s="2000">
        <f t="shared" si="37"/>
        <v>0</v>
      </c>
      <c r="J53" s="2000">
        <f t="shared" si="37"/>
        <v>0</v>
      </c>
      <c r="K53" s="2000">
        <f t="shared" si="37"/>
        <v>0</v>
      </c>
      <c r="L53" s="2000">
        <f t="shared" si="37"/>
        <v>0</v>
      </c>
      <c r="M53" s="2000">
        <f t="shared" si="37"/>
        <v>0</v>
      </c>
      <c r="N53" s="2000">
        <f t="shared" si="37"/>
        <v>0</v>
      </c>
      <c r="O53" s="2000">
        <f t="shared" si="37"/>
        <v>0</v>
      </c>
      <c r="P53" s="2000">
        <f t="shared" si="37"/>
        <v>0</v>
      </c>
      <c r="Q53" s="2000">
        <f t="shared" si="37"/>
        <v>0</v>
      </c>
      <c r="R53" s="2000">
        <f t="shared" si="37"/>
        <v>0</v>
      </c>
      <c r="S53" s="2000">
        <f t="shared" si="37"/>
        <v>0</v>
      </c>
      <c r="T53" s="2000">
        <f t="shared" si="37"/>
        <v>0</v>
      </c>
      <c r="U53" s="2000">
        <f t="shared" si="37"/>
        <v>0</v>
      </c>
      <c r="V53" s="2000">
        <f t="shared" si="37"/>
        <v>0</v>
      </c>
      <c r="W53" s="2000">
        <f t="shared" si="37"/>
        <v>0</v>
      </c>
      <c r="X53" s="2000">
        <f t="shared" si="37"/>
        <v>0</v>
      </c>
      <c r="Y53" s="2000">
        <f t="shared" si="37"/>
        <v>0</v>
      </c>
      <c r="Z53" s="2000">
        <f t="shared" si="37"/>
        <v>0</v>
      </c>
      <c r="AA53" s="2000">
        <f t="shared" si="37"/>
        <v>0</v>
      </c>
      <c r="AB53" s="2000">
        <f t="shared" si="37"/>
        <v>0</v>
      </c>
      <c r="AC53" s="2000">
        <f t="shared" si="37"/>
        <v>0</v>
      </c>
      <c r="AD53" s="2000">
        <f t="shared" si="37"/>
        <v>0</v>
      </c>
      <c r="AE53" s="2000">
        <f t="shared" si="37"/>
        <v>0</v>
      </c>
      <c r="AF53" s="2000">
        <f t="shared" si="37"/>
        <v>0</v>
      </c>
      <c r="AG53" s="2000">
        <f t="shared" si="37"/>
        <v>0</v>
      </c>
      <c r="AH53" s="2000">
        <f t="shared" si="37"/>
        <v>0</v>
      </c>
      <c r="AI53" s="2000">
        <f t="shared" si="37"/>
        <v>0</v>
      </c>
      <c r="AJ53" s="2000">
        <f t="shared" si="37"/>
        <v>0</v>
      </c>
      <c r="AK53" s="2000">
        <f t="shared" si="37"/>
        <v>0</v>
      </c>
      <c r="AL53" s="2000">
        <f t="shared" si="37"/>
        <v>0</v>
      </c>
      <c r="AM53" s="2000">
        <f t="shared" si="37"/>
        <v>0</v>
      </c>
      <c r="AN53" s="2000">
        <f t="shared" si="37"/>
        <v>0</v>
      </c>
      <c r="AO53" s="2000">
        <f t="shared" si="37"/>
        <v>0</v>
      </c>
      <c r="AP53" s="2000">
        <f t="shared" si="37"/>
        <v>0</v>
      </c>
      <c r="AQ53" s="2000">
        <f t="shared" si="37"/>
        <v>0</v>
      </c>
      <c r="AR53" s="2000">
        <f t="shared" si="37"/>
        <v>0</v>
      </c>
      <c r="AS53" s="2000">
        <f t="shared" si="37"/>
        <v>0</v>
      </c>
      <c r="AT53" s="2000">
        <f t="shared" si="37"/>
        <v>0</v>
      </c>
      <c r="AU53" s="2000">
        <f t="shared" si="37"/>
        <v>0</v>
      </c>
      <c r="AV53" s="2000">
        <f t="shared" si="37"/>
        <v>0</v>
      </c>
      <c r="AW53" s="2000">
        <f t="shared" si="37"/>
        <v>0</v>
      </c>
      <c r="AX53" s="2000">
        <f t="shared" si="37"/>
        <v>0</v>
      </c>
      <c r="AY53" s="2000">
        <f t="shared" si="37"/>
        <v>0</v>
      </c>
      <c r="AZ53" s="2000">
        <f t="shared" si="37"/>
        <v>0</v>
      </c>
      <c r="BA53" s="2000">
        <f t="shared" si="37"/>
        <v>0</v>
      </c>
      <c r="BB53" s="2000">
        <f t="shared" si="37"/>
        <v>0</v>
      </c>
      <c r="BC53" s="2000">
        <f t="shared" si="37"/>
        <v>0</v>
      </c>
      <c r="BD53" s="2000">
        <f t="shared" si="37"/>
        <v>0</v>
      </c>
      <c r="BE53" s="2000">
        <f t="shared" si="37"/>
        <v>0</v>
      </c>
      <c r="BF53" s="2000">
        <f t="shared" si="37"/>
        <v>0</v>
      </c>
      <c r="BG53" s="2000">
        <f t="shared" si="37"/>
        <v>0</v>
      </c>
      <c r="BH53" s="2000">
        <f t="shared" si="37"/>
        <v>0</v>
      </c>
      <c r="BI53" s="2000">
        <f t="shared" si="37"/>
        <v>0</v>
      </c>
      <c r="BJ53" s="2000">
        <f t="shared" si="37"/>
        <v>0</v>
      </c>
      <c r="BK53" s="2000">
        <f t="shared" si="37"/>
        <v>0</v>
      </c>
      <c r="BL53" s="2000">
        <f t="shared" si="37"/>
        <v>0</v>
      </c>
      <c r="BM53" s="2000">
        <f t="shared" si="37"/>
        <v>0</v>
      </c>
      <c r="BN53" s="2000">
        <f t="shared" si="37"/>
        <v>0</v>
      </c>
      <c r="BO53" s="2000">
        <f t="shared" si="37"/>
        <v>0</v>
      </c>
      <c r="BP53" s="2000">
        <f t="shared" si="37"/>
        <v>0</v>
      </c>
      <c r="BQ53" s="2000">
        <f t="shared" si="37"/>
        <v>0</v>
      </c>
      <c r="BR53" s="2000">
        <f t="shared" si="37"/>
        <v>0</v>
      </c>
      <c r="BS53" s="2000">
        <f t="shared" si="37"/>
        <v>0</v>
      </c>
      <c r="BT53" s="2000">
        <f t="shared" ref="BT53:EE53" si="38" xml:space="preserve">
IF(BT$25="休診日",BS53,
IF(BS53-VLOOKUP(BS$22&amp;$B51,$B$96:$D$191,2,FALSE)&lt;0,0,BS53-VLOOKUP(BS$22&amp;$B51,$B$96:$D$191,2,FALSE)))</f>
        <v>0</v>
      </c>
      <c r="BU53" s="2000">
        <f t="shared" si="38"/>
        <v>0</v>
      </c>
      <c r="BV53" s="2000">
        <f t="shared" si="38"/>
        <v>0</v>
      </c>
      <c r="BW53" s="2000">
        <f t="shared" si="38"/>
        <v>0</v>
      </c>
      <c r="BX53" s="2000">
        <f t="shared" si="38"/>
        <v>0</v>
      </c>
      <c r="BY53" s="2000">
        <f t="shared" si="38"/>
        <v>0</v>
      </c>
      <c r="BZ53" s="2000">
        <f t="shared" si="38"/>
        <v>0</v>
      </c>
      <c r="CA53" s="2000">
        <f t="shared" si="38"/>
        <v>0</v>
      </c>
      <c r="CB53" s="2000">
        <f t="shared" si="38"/>
        <v>0</v>
      </c>
      <c r="CC53" s="2000">
        <f t="shared" si="38"/>
        <v>0</v>
      </c>
      <c r="CD53" s="2000">
        <f t="shared" si="38"/>
        <v>0</v>
      </c>
      <c r="CE53" s="2000">
        <f t="shared" si="38"/>
        <v>0</v>
      </c>
      <c r="CF53" s="2000">
        <f t="shared" si="38"/>
        <v>0</v>
      </c>
      <c r="CG53" s="2000">
        <f t="shared" si="38"/>
        <v>0</v>
      </c>
      <c r="CH53" s="2000">
        <f t="shared" si="38"/>
        <v>0</v>
      </c>
      <c r="CI53" s="2000">
        <f t="shared" si="38"/>
        <v>0</v>
      </c>
      <c r="CJ53" s="2000">
        <f t="shared" si="38"/>
        <v>0</v>
      </c>
      <c r="CK53" s="2000">
        <f t="shared" si="38"/>
        <v>0</v>
      </c>
      <c r="CL53" s="2000">
        <f t="shared" si="38"/>
        <v>0</v>
      </c>
      <c r="CM53" s="2000">
        <f t="shared" si="38"/>
        <v>0</v>
      </c>
      <c r="CN53" s="2000">
        <f t="shared" si="38"/>
        <v>0</v>
      </c>
      <c r="CO53" s="2000">
        <f t="shared" si="38"/>
        <v>0</v>
      </c>
      <c r="CP53" s="2000">
        <f t="shared" si="38"/>
        <v>0</v>
      </c>
      <c r="CQ53" s="2000">
        <f t="shared" si="38"/>
        <v>0</v>
      </c>
      <c r="CR53" s="2000">
        <f t="shared" si="38"/>
        <v>0</v>
      </c>
      <c r="CS53" s="2000">
        <f t="shared" si="38"/>
        <v>0</v>
      </c>
      <c r="CT53" s="2000">
        <f t="shared" si="38"/>
        <v>0</v>
      </c>
      <c r="CU53" s="2000">
        <f t="shared" si="38"/>
        <v>0</v>
      </c>
      <c r="CV53" s="2000">
        <f t="shared" si="38"/>
        <v>0</v>
      </c>
      <c r="CW53" s="2000">
        <f t="shared" si="38"/>
        <v>0</v>
      </c>
      <c r="CX53" s="2000">
        <f t="shared" si="38"/>
        <v>0</v>
      </c>
      <c r="CY53" s="2000">
        <f t="shared" si="38"/>
        <v>0</v>
      </c>
      <c r="CZ53" s="2000">
        <f t="shared" si="38"/>
        <v>0</v>
      </c>
      <c r="DA53" s="2000">
        <f t="shared" si="38"/>
        <v>0</v>
      </c>
      <c r="DB53" s="2000">
        <f t="shared" si="38"/>
        <v>0</v>
      </c>
      <c r="DC53" s="2000">
        <f t="shared" si="38"/>
        <v>0</v>
      </c>
      <c r="DD53" s="2000">
        <f t="shared" si="38"/>
        <v>0</v>
      </c>
      <c r="DE53" s="2000">
        <f t="shared" si="38"/>
        <v>0</v>
      </c>
      <c r="DF53" s="2000">
        <f t="shared" si="38"/>
        <v>0</v>
      </c>
      <c r="DG53" s="2000">
        <f t="shared" si="38"/>
        <v>0</v>
      </c>
      <c r="DH53" s="2000">
        <f t="shared" si="38"/>
        <v>0</v>
      </c>
      <c r="DI53" s="2000">
        <f t="shared" si="38"/>
        <v>0</v>
      </c>
      <c r="DJ53" s="2000">
        <f t="shared" si="38"/>
        <v>0</v>
      </c>
      <c r="DK53" s="2000">
        <f t="shared" si="38"/>
        <v>0</v>
      </c>
      <c r="DL53" s="2000">
        <f t="shared" si="38"/>
        <v>0</v>
      </c>
      <c r="DM53" s="2000">
        <f t="shared" si="38"/>
        <v>0</v>
      </c>
      <c r="DN53" s="2000">
        <f t="shared" si="38"/>
        <v>0</v>
      </c>
      <c r="DO53" s="2000">
        <f t="shared" si="38"/>
        <v>0</v>
      </c>
      <c r="DP53" s="2000">
        <f t="shared" si="38"/>
        <v>0</v>
      </c>
      <c r="DQ53" s="2000">
        <f t="shared" si="38"/>
        <v>0</v>
      </c>
      <c r="DR53" s="2000">
        <f t="shared" si="38"/>
        <v>0</v>
      </c>
      <c r="DS53" s="2000">
        <f t="shared" si="38"/>
        <v>0</v>
      </c>
      <c r="DT53" s="2000">
        <f t="shared" si="38"/>
        <v>0</v>
      </c>
      <c r="DU53" s="2000">
        <f t="shared" si="38"/>
        <v>0</v>
      </c>
      <c r="DV53" s="2000">
        <f t="shared" si="38"/>
        <v>0</v>
      </c>
      <c r="DW53" s="2000">
        <f t="shared" si="38"/>
        <v>0</v>
      </c>
      <c r="DX53" s="2000">
        <f t="shared" si="38"/>
        <v>0</v>
      </c>
      <c r="DY53" s="2000">
        <f t="shared" si="38"/>
        <v>0</v>
      </c>
      <c r="DZ53" s="2000">
        <f t="shared" si="38"/>
        <v>0</v>
      </c>
      <c r="EA53" s="2000">
        <f t="shared" si="38"/>
        <v>0</v>
      </c>
      <c r="EB53" s="2000">
        <f t="shared" si="38"/>
        <v>0</v>
      </c>
      <c r="EC53" s="2000">
        <f t="shared" si="38"/>
        <v>0</v>
      </c>
      <c r="ED53" s="2000">
        <f t="shared" si="38"/>
        <v>0</v>
      </c>
      <c r="EE53" s="2000">
        <f t="shared" si="38"/>
        <v>0</v>
      </c>
      <c r="EF53" s="2000">
        <f t="shared" ref="EF53:GF53" si="39" xml:space="preserve">
IF(EF$25="休診日",EE53,
IF(EE53-VLOOKUP(EE$22&amp;$B51,$B$96:$D$191,2,FALSE)&lt;0,0,EE53-VLOOKUP(EE$22&amp;$B51,$B$96:$D$191,2,FALSE)))</f>
        <v>0</v>
      </c>
      <c r="EG53" s="2000">
        <f t="shared" si="39"/>
        <v>0</v>
      </c>
      <c r="EH53" s="2000">
        <f t="shared" si="39"/>
        <v>0</v>
      </c>
      <c r="EI53" s="2000">
        <f t="shared" si="39"/>
        <v>0</v>
      </c>
      <c r="EJ53" s="2000">
        <f t="shared" si="39"/>
        <v>0</v>
      </c>
      <c r="EK53" s="2000">
        <f t="shared" si="39"/>
        <v>0</v>
      </c>
      <c r="EL53" s="2000">
        <f t="shared" si="39"/>
        <v>0</v>
      </c>
      <c r="EM53" s="2000">
        <f t="shared" si="39"/>
        <v>0</v>
      </c>
      <c r="EN53" s="2000">
        <f t="shared" si="39"/>
        <v>0</v>
      </c>
      <c r="EO53" s="2000">
        <f t="shared" si="39"/>
        <v>0</v>
      </c>
      <c r="EP53" s="2000">
        <f t="shared" si="39"/>
        <v>0</v>
      </c>
      <c r="EQ53" s="2000">
        <f t="shared" si="39"/>
        <v>0</v>
      </c>
      <c r="ER53" s="2000">
        <f t="shared" si="39"/>
        <v>0</v>
      </c>
      <c r="ES53" s="2000">
        <f t="shared" si="39"/>
        <v>0</v>
      </c>
      <c r="ET53" s="2000">
        <f t="shared" si="39"/>
        <v>0</v>
      </c>
      <c r="EU53" s="2000">
        <f t="shared" si="39"/>
        <v>0</v>
      </c>
      <c r="EV53" s="2000">
        <f t="shared" si="39"/>
        <v>0</v>
      </c>
      <c r="EW53" s="2000">
        <f t="shared" si="39"/>
        <v>0</v>
      </c>
      <c r="EX53" s="2000">
        <f t="shared" si="39"/>
        <v>0</v>
      </c>
      <c r="EY53" s="2000">
        <f t="shared" si="39"/>
        <v>0</v>
      </c>
      <c r="EZ53" s="2000">
        <f t="shared" si="39"/>
        <v>0</v>
      </c>
      <c r="FA53" s="2000">
        <f t="shared" si="39"/>
        <v>0</v>
      </c>
      <c r="FB53" s="2000">
        <f t="shared" si="39"/>
        <v>0</v>
      </c>
      <c r="FC53" s="2000">
        <f t="shared" si="39"/>
        <v>0</v>
      </c>
      <c r="FD53" s="2000">
        <f t="shared" si="39"/>
        <v>0</v>
      </c>
      <c r="FE53" s="2000">
        <f t="shared" si="39"/>
        <v>0</v>
      </c>
      <c r="FF53" s="2000">
        <f t="shared" si="39"/>
        <v>0</v>
      </c>
      <c r="FG53" s="2000">
        <f t="shared" si="39"/>
        <v>0</v>
      </c>
      <c r="FH53" s="2000">
        <f t="shared" si="39"/>
        <v>0</v>
      </c>
      <c r="FI53" s="2000">
        <f t="shared" si="39"/>
        <v>0</v>
      </c>
      <c r="FJ53" s="2000">
        <f t="shared" si="39"/>
        <v>0</v>
      </c>
      <c r="FK53" s="2000">
        <f t="shared" si="39"/>
        <v>0</v>
      </c>
      <c r="FL53" s="2000">
        <f t="shared" si="39"/>
        <v>0</v>
      </c>
      <c r="FM53" s="2000">
        <f t="shared" si="39"/>
        <v>0</v>
      </c>
      <c r="FN53" s="2000">
        <f t="shared" si="39"/>
        <v>0</v>
      </c>
      <c r="FO53" s="2000">
        <f t="shared" si="39"/>
        <v>0</v>
      </c>
      <c r="FP53" s="2000">
        <f t="shared" si="39"/>
        <v>0</v>
      </c>
      <c r="FQ53" s="2000">
        <f t="shared" si="39"/>
        <v>0</v>
      </c>
      <c r="FR53" s="2000">
        <f t="shared" si="39"/>
        <v>0</v>
      </c>
      <c r="FS53" s="2000">
        <f t="shared" si="39"/>
        <v>0</v>
      </c>
      <c r="FT53" s="2000">
        <f t="shared" si="39"/>
        <v>0</v>
      </c>
      <c r="FU53" s="2000">
        <f t="shared" si="39"/>
        <v>0</v>
      </c>
      <c r="FV53" s="2000">
        <f t="shared" si="39"/>
        <v>0</v>
      </c>
      <c r="FW53" s="2000">
        <f t="shared" si="39"/>
        <v>0</v>
      </c>
      <c r="FX53" s="2000">
        <f t="shared" si="39"/>
        <v>0</v>
      </c>
      <c r="FY53" s="2000">
        <f t="shared" si="39"/>
        <v>0</v>
      </c>
      <c r="FZ53" s="2000">
        <f t="shared" si="39"/>
        <v>0</v>
      </c>
      <c r="GA53" s="2000">
        <f t="shared" si="39"/>
        <v>0</v>
      </c>
      <c r="GB53" s="2000">
        <f t="shared" si="39"/>
        <v>0</v>
      </c>
      <c r="GC53" s="2000">
        <f t="shared" si="39"/>
        <v>0</v>
      </c>
      <c r="GD53" s="2000">
        <f t="shared" si="39"/>
        <v>0</v>
      </c>
      <c r="GE53" s="2000">
        <f t="shared" si="39"/>
        <v>0</v>
      </c>
      <c r="GF53" s="2000">
        <f t="shared" si="39"/>
        <v>0</v>
      </c>
    </row>
    <row r="54" spans="1:188" s="641" customFormat="1" ht="15" customHeight="1" x14ac:dyDescent="0.4">
      <c r="A54" s="631"/>
      <c r="B54" s="641" t="s">
        <v>1258</v>
      </c>
      <c r="C54" s="1989" t="s">
        <v>1386</v>
      </c>
      <c r="D54" s="1992"/>
      <c r="E54" s="642"/>
      <c r="F54" s="1998">
        <f xml:space="preserve">
IF($F$25="休診日",0,
MIN(F55,IF((VLOOKUP($F$22&amp;$B54,$B$96:$D$191,2,FALSE)-F56)&lt;0,0,VLOOKUP($F$22&amp;$B54,$B$96:$D$191,2,FALSE)-F56)))</f>
        <v>0</v>
      </c>
      <c r="G54" s="1998">
        <f xml:space="preserve">
IF(G$25="休診日",0,
IF(G56&gt;=VLOOKUP(G$22&amp;$B54,$B$96:$D$191,2,FALSE),0,
IF(AND(G56&lt;VLOOKUP(G$22&amp;$B54,$B$96:$D$191,2,FALSE),G55&lt;=VLOOKUP(G$22&amp;$B54,$B$96:$D$191,2,FALSE)),IF(G55-G56&lt;0,0,G55-G56),
IF(AND(G56&lt;VLOOKUP(G$22&amp;$B54,$B$96:$D$191,2,FALSE),G55&gt;VLOOKUP(G$22&amp;$B54,$B$96:$D$191,2,FALSE)),VLOOKUP(G$22&amp;$B54,$B$96:$D$191,2,FALSE)-G56))))</f>
        <v>0</v>
      </c>
      <c r="H54" s="1998">
        <f t="shared" ref="H54:BS54" si="40" xml:space="preserve">
IF(H$25="休診日",0,
IF(H56&gt;=VLOOKUP(H$22&amp;$B54,$B$96:$D$191,2,FALSE),0,
IF(AND(H56&lt;VLOOKUP(H$22&amp;$B54,$B$96:$D$191,2,FALSE),H55&lt;=VLOOKUP(H$22&amp;$B54,$B$96:$D$191,2,FALSE)),IF(H55-H56&lt;0,0,H55-H56),
IF(AND(H56&lt;VLOOKUP(H$22&amp;$B54,$B$96:$D$191,2,FALSE),H55&gt;VLOOKUP(H$22&amp;$B54,$B$96:$D$191,2,FALSE)),VLOOKUP(H$22&amp;$B54,$B$96:$D$191,2,FALSE)-H56))))</f>
        <v>0</v>
      </c>
      <c r="I54" s="1998">
        <f t="shared" si="40"/>
        <v>0</v>
      </c>
      <c r="J54" s="1998">
        <f t="shared" si="40"/>
        <v>0</v>
      </c>
      <c r="K54" s="1998">
        <f t="shared" si="40"/>
        <v>0</v>
      </c>
      <c r="L54" s="1998">
        <f t="shared" si="40"/>
        <v>0</v>
      </c>
      <c r="M54" s="1998">
        <f t="shared" si="40"/>
        <v>0</v>
      </c>
      <c r="N54" s="1998">
        <f t="shared" si="40"/>
        <v>0</v>
      </c>
      <c r="O54" s="1998">
        <f t="shared" si="40"/>
        <v>0</v>
      </c>
      <c r="P54" s="1998">
        <f t="shared" si="40"/>
        <v>0</v>
      </c>
      <c r="Q54" s="1998">
        <f t="shared" si="40"/>
        <v>0</v>
      </c>
      <c r="R54" s="1998">
        <f t="shared" si="40"/>
        <v>0</v>
      </c>
      <c r="S54" s="1998">
        <f t="shared" si="40"/>
        <v>0</v>
      </c>
      <c r="T54" s="1998">
        <f t="shared" si="40"/>
        <v>0</v>
      </c>
      <c r="U54" s="1998">
        <f t="shared" si="40"/>
        <v>0</v>
      </c>
      <c r="V54" s="1998">
        <f t="shared" si="40"/>
        <v>0</v>
      </c>
      <c r="W54" s="1998">
        <f t="shared" si="40"/>
        <v>0</v>
      </c>
      <c r="X54" s="1998">
        <f t="shared" si="40"/>
        <v>0</v>
      </c>
      <c r="Y54" s="1998">
        <f t="shared" si="40"/>
        <v>0</v>
      </c>
      <c r="Z54" s="1998">
        <f t="shared" si="40"/>
        <v>0</v>
      </c>
      <c r="AA54" s="1998">
        <f t="shared" si="40"/>
        <v>0</v>
      </c>
      <c r="AB54" s="1998">
        <f t="shared" si="40"/>
        <v>0</v>
      </c>
      <c r="AC54" s="1998">
        <f t="shared" si="40"/>
        <v>0</v>
      </c>
      <c r="AD54" s="1998">
        <f t="shared" si="40"/>
        <v>0</v>
      </c>
      <c r="AE54" s="1998">
        <f t="shared" si="40"/>
        <v>0</v>
      </c>
      <c r="AF54" s="1998">
        <f t="shared" si="40"/>
        <v>0</v>
      </c>
      <c r="AG54" s="1998">
        <f t="shared" si="40"/>
        <v>0</v>
      </c>
      <c r="AH54" s="1998">
        <f t="shared" si="40"/>
        <v>0</v>
      </c>
      <c r="AI54" s="1998">
        <f t="shared" si="40"/>
        <v>0</v>
      </c>
      <c r="AJ54" s="1998">
        <f t="shared" si="40"/>
        <v>0</v>
      </c>
      <c r="AK54" s="1998">
        <f t="shared" si="40"/>
        <v>0</v>
      </c>
      <c r="AL54" s="1998">
        <f t="shared" si="40"/>
        <v>0</v>
      </c>
      <c r="AM54" s="1998">
        <f t="shared" si="40"/>
        <v>0</v>
      </c>
      <c r="AN54" s="1998">
        <f t="shared" si="40"/>
        <v>0</v>
      </c>
      <c r="AO54" s="1998">
        <f t="shared" si="40"/>
        <v>0</v>
      </c>
      <c r="AP54" s="1998">
        <f t="shared" si="40"/>
        <v>0</v>
      </c>
      <c r="AQ54" s="1998">
        <f t="shared" si="40"/>
        <v>0</v>
      </c>
      <c r="AR54" s="1998">
        <f t="shared" si="40"/>
        <v>0</v>
      </c>
      <c r="AS54" s="1998">
        <f t="shared" si="40"/>
        <v>0</v>
      </c>
      <c r="AT54" s="1998">
        <f t="shared" si="40"/>
        <v>0</v>
      </c>
      <c r="AU54" s="1998">
        <f t="shared" si="40"/>
        <v>0</v>
      </c>
      <c r="AV54" s="1998">
        <f t="shared" si="40"/>
        <v>0</v>
      </c>
      <c r="AW54" s="1998">
        <f t="shared" si="40"/>
        <v>0</v>
      </c>
      <c r="AX54" s="1998">
        <f t="shared" si="40"/>
        <v>0</v>
      </c>
      <c r="AY54" s="1998">
        <f t="shared" si="40"/>
        <v>0</v>
      </c>
      <c r="AZ54" s="1998">
        <f t="shared" si="40"/>
        <v>0</v>
      </c>
      <c r="BA54" s="1998">
        <f t="shared" si="40"/>
        <v>0</v>
      </c>
      <c r="BB54" s="1998">
        <f t="shared" si="40"/>
        <v>0</v>
      </c>
      <c r="BC54" s="1998">
        <f t="shared" si="40"/>
        <v>0</v>
      </c>
      <c r="BD54" s="1998">
        <f t="shared" si="40"/>
        <v>0</v>
      </c>
      <c r="BE54" s="1998">
        <f t="shared" si="40"/>
        <v>0</v>
      </c>
      <c r="BF54" s="1998">
        <f t="shared" si="40"/>
        <v>0</v>
      </c>
      <c r="BG54" s="1998">
        <f t="shared" si="40"/>
        <v>0</v>
      </c>
      <c r="BH54" s="1998">
        <f t="shared" si="40"/>
        <v>0</v>
      </c>
      <c r="BI54" s="1998">
        <f t="shared" si="40"/>
        <v>0</v>
      </c>
      <c r="BJ54" s="1998">
        <f t="shared" si="40"/>
        <v>0</v>
      </c>
      <c r="BK54" s="1998">
        <f t="shared" si="40"/>
        <v>0</v>
      </c>
      <c r="BL54" s="1998">
        <f t="shared" si="40"/>
        <v>0</v>
      </c>
      <c r="BM54" s="1998">
        <f t="shared" si="40"/>
        <v>0</v>
      </c>
      <c r="BN54" s="1998">
        <f t="shared" si="40"/>
        <v>0</v>
      </c>
      <c r="BO54" s="1998">
        <f t="shared" si="40"/>
        <v>0</v>
      </c>
      <c r="BP54" s="1998">
        <f t="shared" si="40"/>
        <v>0</v>
      </c>
      <c r="BQ54" s="1998">
        <f t="shared" si="40"/>
        <v>0</v>
      </c>
      <c r="BR54" s="1998">
        <f t="shared" si="40"/>
        <v>0</v>
      </c>
      <c r="BS54" s="1998">
        <f t="shared" si="40"/>
        <v>0</v>
      </c>
      <c r="BT54" s="1998">
        <f t="shared" ref="BT54:EE54" si="41" xml:space="preserve">
IF(BT$25="休診日",0,
IF(BT56&gt;=VLOOKUP(BT$22&amp;$B54,$B$96:$D$191,2,FALSE),0,
IF(AND(BT56&lt;VLOOKUP(BT$22&amp;$B54,$B$96:$D$191,2,FALSE),BT55&lt;=VLOOKUP(BT$22&amp;$B54,$B$96:$D$191,2,FALSE)),IF(BT55-BT56&lt;0,0,BT55-BT56),
IF(AND(BT56&lt;VLOOKUP(BT$22&amp;$B54,$B$96:$D$191,2,FALSE),BT55&gt;VLOOKUP(BT$22&amp;$B54,$B$96:$D$191,2,FALSE)),VLOOKUP(BT$22&amp;$B54,$B$96:$D$191,2,FALSE)-BT56))))</f>
        <v>0</v>
      </c>
      <c r="BU54" s="1998">
        <f t="shared" si="41"/>
        <v>0</v>
      </c>
      <c r="BV54" s="1998">
        <f t="shared" si="41"/>
        <v>0</v>
      </c>
      <c r="BW54" s="1998">
        <f t="shared" si="41"/>
        <v>0</v>
      </c>
      <c r="BX54" s="1998">
        <f t="shared" si="41"/>
        <v>0</v>
      </c>
      <c r="BY54" s="1998">
        <f t="shared" si="41"/>
        <v>0</v>
      </c>
      <c r="BZ54" s="1998">
        <f t="shared" si="41"/>
        <v>0</v>
      </c>
      <c r="CA54" s="1998">
        <f t="shared" si="41"/>
        <v>0</v>
      </c>
      <c r="CB54" s="1998">
        <f t="shared" si="41"/>
        <v>0</v>
      </c>
      <c r="CC54" s="1998">
        <f t="shared" si="41"/>
        <v>0</v>
      </c>
      <c r="CD54" s="1998">
        <f t="shared" si="41"/>
        <v>0</v>
      </c>
      <c r="CE54" s="1998">
        <f t="shared" si="41"/>
        <v>0</v>
      </c>
      <c r="CF54" s="1998">
        <f t="shared" si="41"/>
        <v>0</v>
      </c>
      <c r="CG54" s="1998">
        <f t="shared" si="41"/>
        <v>0</v>
      </c>
      <c r="CH54" s="1998">
        <f t="shared" si="41"/>
        <v>0</v>
      </c>
      <c r="CI54" s="1998">
        <f t="shared" si="41"/>
        <v>0</v>
      </c>
      <c r="CJ54" s="1998">
        <f t="shared" si="41"/>
        <v>0</v>
      </c>
      <c r="CK54" s="1998">
        <f t="shared" si="41"/>
        <v>0</v>
      </c>
      <c r="CL54" s="1998">
        <f t="shared" si="41"/>
        <v>0</v>
      </c>
      <c r="CM54" s="1998">
        <f t="shared" si="41"/>
        <v>0</v>
      </c>
      <c r="CN54" s="1998">
        <f t="shared" si="41"/>
        <v>0</v>
      </c>
      <c r="CO54" s="1998">
        <f t="shared" si="41"/>
        <v>0</v>
      </c>
      <c r="CP54" s="1998">
        <f t="shared" si="41"/>
        <v>0</v>
      </c>
      <c r="CQ54" s="1998">
        <f t="shared" si="41"/>
        <v>0</v>
      </c>
      <c r="CR54" s="1998">
        <f t="shared" si="41"/>
        <v>0</v>
      </c>
      <c r="CS54" s="1998">
        <f t="shared" si="41"/>
        <v>0</v>
      </c>
      <c r="CT54" s="1998">
        <f t="shared" si="41"/>
        <v>0</v>
      </c>
      <c r="CU54" s="1998">
        <f t="shared" si="41"/>
        <v>0</v>
      </c>
      <c r="CV54" s="1998">
        <f t="shared" si="41"/>
        <v>0</v>
      </c>
      <c r="CW54" s="1998">
        <f t="shared" si="41"/>
        <v>0</v>
      </c>
      <c r="CX54" s="1998">
        <f t="shared" si="41"/>
        <v>0</v>
      </c>
      <c r="CY54" s="1998">
        <f t="shared" si="41"/>
        <v>0</v>
      </c>
      <c r="CZ54" s="1998">
        <f t="shared" si="41"/>
        <v>0</v>
      </c>
      <c r="DA54" s="1998">
        <f t="shared" si="41"/>
        <v>0</v>
      </c>
      <c r="DB54" s="1998">
        <f t="shared" si="41"/>
        <v>0</v>
      </c>
      <c r="DC54" s="1998">
        <f t="shared" si="41"/>
        <v>0</v>
      </c>
      <c r="DD54" s="1998">
        <f t="shared" si="41"/>
        <v>0</v>
      </c>
      <c r="DE54" s="1998">
        <f t="shared" si="41"/>
        <v>0</v>
      </c>
      <c r="DF54" s="1998">
        <f t="shared" si="41"/>
        <v>0</v>
      </c>
      <c r="DG54" s="1998">
        <f t="shared" si="41"/>
        <v>0</v>
      </c>
      <c r="DH54" s="1998">
        <f t="shared" si="41"/>
        <v>0</v>
      </c>
      <c r="DI54" s="1998">
        <f t="shared" si="41"/>
        <v>0</v>
      </c>
      <c r="DJ54" s="1998">
        <f t="shared" si="41"/>
        <v>0</v>
      </c>
      <c r="DK54" s="1998">
        <f t="shared" si="41"/>
        <v>0</v>
      </c>
      <c r="DL54" s="1998">
        <f t="shared" si="41"/>
        <v>0</v>
      </c>
      <c r="DM54" s="1998">
        <f t="shared" si="41"/>
        <v>0</v>
      </c>
      <c r="DN54" s="1998">
        <f t="shared" si="41"/>
        <v>0</v>
      </c>
      <c r="DO54" s="1998">
        <f t="shared" si="41"/>
        <v>0</v>
      </c>
      <c r="DP54" s="1998">
        <f t="shared" si="41"/>
        <v>0</v>
      </c>
      <c r="DQ54" s="1998">
        <f t="shared" si="41"/>
        <v>0</v>
      </c>
      <c r="DR54" s="1998">
        <f t="shared" si="41"/>
        <v>0</v>
      </c>
      <c r="DS54" s="1998">
        <f t="shared" si="41"/>
        <v>0</v>
      </c>
      <c r="DT54" s="1998">
        <f t="shared" si="41"/>
        <v>0</v>
      </c>
      <c r="DU54" s="1998">
        <f t="shared" si="41"/>
        <v>0</v>
      </c>
      <c r="DV54" s="1998">
        <f t="shared" si="41"/>
        <v>0</v>
      </c>
      <c r="DW54" s="1998">
        <f t="shared" si="41"/>
        <v>0</v>
      </c>
      <c r="DX54" s="1998">
        <f t="shared" si="41"/>
        <v>0</v>
      </c>
      <c r="DY54" s="1998">
        <f t="shared" si="41"/>
        <v>0</v>
      </c>
      <c r="DZ54" s="1998">
        <f t="shared" si="41"/>
        <v>0</v>
      </c>
      <c r="EA54" s="1998">
        <f t="shared" si="41"/>
        <v>0</v>
      </c>
      <c r="EB54" s="1998">
        <f t="shared" si="41"/>
        <v>0</v>
      </c>
      <c r="EC54" s="1998">
        <f t="shared" si="41"/>
        <v>0</v>
      </c>
      <c r="ED54" s="1998">
        <f t="shared" si="41"/>
        <v>0</v>
      </c>
      <c r="EE54" s="1998">
        <f t="shared" si="41"/>
        <v>0</v>
      </c>
      <c r="EF54" s="1998">
        <f t="shared" ref="EF54:GF54" si="42" xml:space="preserve">
IF(EF$25="休診日",0,
IF(EF56&gt;=VLOOKUP(EF$22&amp;$B54,$B$96:$D$191,2,FALSE),0,
IF(AND(EF56&lt;VLOOKUP(EF$22&amp;$B54,$B$96:$D$191,2,FALSE),EF55&lt;=VLOOKUP(EF$22&amp;$B54,$B$96:$D$191,2,FALSE)),IF(EF55-EF56&lt;0,0,EF55-EF56),
IF(AND(EF56&lt;VLOOKUP(EF$22&amp;$B54,$B$96:$D$191,2,FALSE),EF55&gt;VLOOKUP(EF$22&amp;$B54,$B$96:$D$191,2,FALSE)),VLOOKUP(EF$22&amp;$B54,$B$96:$D$191,2,FALSE)-EF56))))</f>
        <v>0</v>
      </c>
      <c r="EG54" s="1998">
        <f t="shared" si="42"/>
        <v>0</v>
      </c>
      <c r="EH54" s="1998">
        <f t="shared" si="42"/>
        <v>0</v>
      </c>
      <c r="EI54" s="1998">
        <f t="shared" si="42"/>
        <v>0</v>
      </c>
      <c r="EJ54" s="1998">
        <f t="shared" si="42"/>
        <v>0</v>
      </c>
      <c r="EK54" s="1998">
        <f t="shared" si="42"/>
        <v>0</v>
      </c>
      <c r="EL54" s="1998">
        <f t="shared" si="42"/>
        <v>0</v>
      </c>
      <c r="EM54" s="1998">
        <f t="shared" si="42"/>
        <v>0</v>
      </c>
      <c r="EN54" s="1998">
        <f t="shared" si="42"/>
        <v>0</v>
      </c>
      <c r="EO54" s="1998">
        <f t="shared" si="42"/>
        <v>0</v>
      </c>
      <c r="EP54" s="1998">
        <f t="shared" si="42"/>
        <v>0</v>
      </c>
      <c r="EQ54" s="1998">
        <f t="shared" si="42"/>
        <v>0</v>
      </c>
      <c r="ER54" s="1998">
        <f t="shared" si="42"/>
        <v>0</v>
      </c>
      <c r="ES54" s="1998">
        <f t="shared" si="42"/>
        <v>0</v>
      </c>
      <c r="ET54" s="1998">
        <f t="shared" si="42"/>
        <v>0</v>
      </c>
      <c r="EU54" s="1998">
        <f t="shared" si="42"/>
        <v>0</v>
      </c>
      <c r="EV54" s="1998">
        <f t="shared" si="42"/>
        <v>0</v>
      </c>
      <c r="EW54" s="1998">
        <f t="shared" si="42"/>
        <v>0</v>
      </c>
      <c r="EX54" s="1998">
        <f t="shared" si="42"/>
        <v>0</v>
      </c>
      <c r="EY54" s="1998">
        <f t="shared" si="42"/>
        <v>0</v>
      </c>
      <c r="EZ54" s="1998">
        <f t="shared" si="42"/>
        <v>0</v>
      </c>
      <c r="FA54" s="1998">
        <f t="shared" si="42"/>
        <v>0</v>
      </c>
      <c r="FB54" s="1998">
        <f t="shared" si="42"/>
        <v>0</v>
      </c>
      <c r="FC54" s="1998">
        <f t="shared" si="42"/>
        <v>0</v>
      </c>
      <c r="FD54" s="1998">
        <f t="shared" si="42"/>
        <v>0</v>
      </c>
      <c r="FE54" s="1998">
        <f t="shared" si="42"/>
        <v>0</v>
      </c>
      <c r="FF54" s="1998">
        <f t="shared" si="42"/>
        <v>0</v>
      </c>
      <c r="FG54" s="1998">
        <f t="shared" si="42"/>
        <v>0</v>
      </c>
      <c r="FH54" s="1998">
        <f t="shared" si="42"/>
        <v>0</v>
      </c>
      <c r="FI54" s="1998">
        <f t="shared" si="42"/>
        <v>0</v>
      </c>
      <c r="FJ54" s="1998">
        <f t="shared" si="42"/>
        <v>0</v>
      </c>
      <c r="FK54" s="1998">
        <f t="shared" si="42"/>
        <v>0</v>
      </c>
      <c r="FL54" s="1998">
        <f t="shared" si="42"/>
        <v>0</v>
      </c>
      <c r="FM54" s="1998">
        <f t="shared" si="42"/>
        <v>0</v>
      </c>
      <c r="FN54" s="1998">
        <f t="shared" si="42"/>
        <v>0</v>
      </c>
      <c r="FO54" s="1998">
        <f t="shared" si="42"/>
        <v>0</v>
      </c>
      <c r="FP54" s="1998">
        <f t="shared" si="42"/>
        <v>0</v>
      </c>
      <c r="FQ54" s="1998">
        <f t="shared" si="42"/>
        <v>0</v>
      </c>
      <c r="FR54" s="1998">
        <f t="shared" si="42"/>
        <v>0</v>
      </c>
      <c r="FS54" s="1998">
        <f t="shared" si="42"/>
        <v>0</v>
      </c>
      <c r="FT54" s="1998">
        <f t="shared" si="42"/>
        <v>0</v>
      </c>
      <c r="FU54" s="1998">
        <f t="shared" si="42"/>
        <v>0</v>
      </c>
      <c r="FV54" s="1998">
        <f t="shared" si="42"/>
        <v>0</v>
      </c>
      <c r="FW54" s="1998">
        <f t="shared" si="42"/>
        <v>0</v>
      </c>
      <c r="FX54" s="1998">
        <f t="shared" si="42"/>
        <v>0</v>
      </c>
      <c r="FY54" s="1998">
        <f t="shared" si="42"/>
        <v>0</v>
      </c>
      <c r="FZ54" s="1998">
        <f t="shared" si="42"/>
        <v>0</v>
      </c>
      <c r="GA54" s="1998">
        <f t="shared" si="42"/>
        <v>0</v>
      </c>
      <c r="GB54" s="1998">
        <f t="shared" si="42"/>
        <v>0</v>
      </c>
      <c r="GC54" s="1998">
        <f t="shared" si="42"/>
        <v>0</v>
      </c>
      <c r="GD54" s="1998">
        <f t="shared" si="42"/>
        <v>0</v>
      </c>
      <c r="GE54" s="1998">
        <f t="shared" si="42"/>
        <v>0</v>
      </c>
      <c r="GF54" s="1998">
        <f t="shared" si="42"/>
        <v>0</v>
      </c>
    </row>
    <row r="55" spans="1:188" s="641" customFormat="1" ht="15" customHeight="1" x14ac:dyDescent="0.4">
      <c r="A55" s="631"/>
      <c r="B55" s="641" t="s">
        <v>1265</v>
      </c>
      <c r="C55" s="1989" t="s">
        <v>1387</v>
      </c>
      <c r="D55" s="1992"/>
      <c r="E55" s="642"/>
      <c r="F55" s="1998">
        <f>SUMIF(防護具!$B$31:$B$163,F$23&amp;$B54,防護具!$S$31:$S$163)</f>
        <v>0</v>
      </c>
      <c r="G55" s="2000">
        <f>IFERROR(
SUM(F55,SUMIF(防護具!$B$31:$B$163,G$23&amp;$B54,防護具!$S$31:$S$163))-F54,0)</f>
        <v>0</v>
      </c>
      <c r="H55" s="2000">
        <f>IFERROR(
SUM(G55,SUMIF(防護具!$B$31:$B$163,H$23&amp;$B54,防護具!$S$31:$S$163))-G54,0)</f>
        <v>0</v>
      </c>
      <c r="I55" s="2000">
        <f>IFERROR(
SUM(H55,SUMIF(防護具!$B$31:$B$163,I$23&amp;$B54,防護具!$S$31:$S$163))-H54,0)</f>
        <v>0</v>
      </c>
      <c r="J55" s="2000">
        <f>IFERROR(
SUM(I55,SUMIF(防護具!$B$31:$B$163,J$23&amp;$B54,防護具!$S$31:$S$163))-I54,0)</f>
        <v>0</v>
      </c>
      <c r="K55" s="2000">
        <f>IFERROR(
SUM(J55,SUMIF(防護具!$B$31:$B$163,K$23&amp;$B54,防護具!$S$31:$S$163))-J54,0)</f>
        <v>0</v>
      </c>
      <c r="L55" s="2000">
        <f>IFERROR(
SUM(K55,SUMIF(防護具!$B$31:$B$163,L$23&amp;$B54,防護具!$S$31:$S$163))-K54,0)</f>
        <v>0</v>
      </c>
      <c r="M55" s="2000">
        <f>IFERROR(
SUM(L55,SUMIF(防護具!$B$31:$B$163,M$23&amp;$B54,防護具!$S$31:$S$163))-L54,0)</f>
        <v>0</v>
      </c>
      <c r="N55" s="2000">
        <f>IFERROR(
SUM(M55,SUMIF(防護具!$B$31:$B$163,N$23&amp;$B54,防護具!$S$31:$S$163))-M54,0)</f>
        <v>0</v>
      </c>
      <c r="O55" s="2000">
        <f>IFERROR(
SUM(N55,SUMIF(防護具!$B$31:$B$163,O$23&amp;$B54,防護具!$S$31:$S$163))-N54,0)</f>
        <v>0</v>
      </c>
      <c r="P55" s="2000">
        <f>IFERROR(
SUM(O55,SUMIF(防護具!$B$31:$B$163,P$23&amp;$B54,防護具!$S$31:$S$163))-O54,0)</f>
        <v>0</v>
      </c>
      <c r="Q55" s="2000">
        <f>IFERROR(
SUM(P55,SUMIF(防護具!$B$31:$B$163,Q$23&amp;$B54,防護具!$S$31:$S$163))-P54,0)</f>
        <v>0</v>
      </c>
      <c r="R55" s="2000">
        <f>IFERROR(
SUM(Q55,SUMIF(防護具!$B$31:$B$163,R$23&amp;$B54,防護具!$S$31:$S$163))-Q54,0)</f>
        <v>0</v>
      </c>
      <c r="S55" s="2000">
        <f>IFERROR(
SUM(R55,SUMIF(防護具!$B$31:$B$163,S$23&amp;$B54,防護具!$S$31:$S$163))-R54,0)</f>
        <v>0</v>
      </c>
      <c r="T55" s="2000">
        <f>IFERROR(
SUM(S55,SUMIF(防護具!$B$31:$B$163,T$23&amp;$B54,防護具!$S$31:$S$163))-S54,0)</f>
        <v>0</v>
      </c>
      <c r="U55" s="2000">
        <f>IFERROR(
SUM(T55,SUMIF(防護具!$B$31:$B$163,U$23&amp;$B54,防護具!$S$31:$S$163))-T54,0)</f>
        <v>0</v>
      </c>
      <c r="V55" s="2000">
        <f>IFERROR(
SUM(U55,SUMIF(防護具!$B$31:$B$163,V$23&amp;$B54,防護具!$S$31:$S$163))-U54,0)</f>
        <v>0</v>
      </c>
      <c r="W55" s="2000">
        <f>IFERROR(
SUM(V55,SUMIF(防護具!$B$31:$B$163,W$23&amp;$B54,防護具!$S$31:$S$163))-V54,0)</f>
        <v>0</v>
      </c>
      <c r="X55" s="2000">
        <f>IFERROR(
SUM(W55,SUMIF(防護具!$B$31:$B$163,X$23&amp;$B54,防護具!$S$31:$S$163))-W54,0)</f>
        <v>0</v>
      </c>
      <c r="Y55" s="2000">
        <f>IFERROR(
SUM(X55,SUMIF(防護具!$B$31:$B$163,Y$23&amp;$B54,防護具!$S$31:$S$163))-X54,0)</f>
        <v>0</v>
      </c>
      <c r="Z55" s="2000">
        <f>IFERROR(
SUM(Y55,SUMIF(防護具!$B$31:$B$163,Z$23&amp;$B54,防護具!$S$31:$S$163))-Y54,0)</f>
        <v>0</v>
      </c>
      <c r="AA55" s="2000">
        <f>IFERROR(
SUM(Z55,SUMIF(防護具!$B$31:$B$163,AA$23&amp;$B54,防護具!$S$31:$S$163))-Z54,0)</f>
        <v>0</v>
      </c>
      <c r="AB55" s="2000">
        <f>IFERROR(
SUM(AA55,SUMIF(防護具!$B$31:$B$163,AB$23&amp;$B54,防護具!$S$31:$S$163))-AA54,0)</f>
        <v>0</v>
      </c>
      <c r="AC55" s="2000">
        <f>IFERROR(
SUM(AB55,SUMIF(防護具!$B$31:$B$163,AC$23&amp;$B54,防護具!$S$31:$S$163))-AB54,0)</f>
        <v>0</v>
      </c>
      <c r="AD55" s="2000">
        <f>IFERROR(
SUM(AC55,SUMIF(防護具!$B$31:$B$163,AD$23&amp;$B54,防護具!$S$31:$S$163))-AC54,0)</f>
        <v>0</v>
      </c>
      <c r="AE55" s="2000">
        <f>IFERROR(
SUM(AD55,SUMIF(防護具!$B$31:$B$163,AE$23&amp;$B54,防護具!$S$31:$S$163))-AD54,0)</f>
        <v>0</v>
      </c>
      <c r="AF55" s="2000">
        <f>IFERROR(
SUM(AE55,SUMIF(防護具!$B$31:$B$163,AF$23&amp;$B54,防護具!$S$31:$S$163))-AE54,0)</f>
        <v>0</v>
      </c>
      <c r="AG55" s="2000">
        <f>IFERROR(
SUM(AF55,SUMIF(防護具!$B$31:$B$163,AG$23&amp;$B54,防護具!$S$31:$S$163))-AF54,0)</f>
        <v>0</v>
      </c>
      <c r="AH55" s="2000">
        <f>IFERROR(
SUM(AG55,SUMIF(防護具!$B$31:$B$163,AH$23&amp;$B54,防護具!$S$31:$S$163))-AG54,0)</f>
        <v>0</v>
      </c>
      <c r="AI55" s="2000">
        <f>IFERROR(
SUM(AH55,SUMIF(防護具!$B$31:$B$163,AI$23&amp;$B54,防護具!$S$31:$S$163))-AH54,0)</f>
        <v>0</v>
      </c>
      <c r="AJ55" s="2000">
        <f>IFERROR(
SUM(AI55,SUMIF(防護具!$B$31:$B$163,AJ$23&amp;$B54,防護具!$S$31:$S$163))-AI54,0)</f>
        <v>0</v>
      </c>
      <c r="AK55" s="2000">
        <f>IFERROR(
SUM(AJ55,SUMIF(防護具!$B$31:$B$163,AK$23&amp;$B54,防護具!$S$31:$S$163))-AJ54,0)</f>
        <v>0</v>
      </c>
      <c r="AL55" s="2000">
        <f>IFERROR(
SUM(AK55,SUMIF(防護具!$B$31:$B$163,AL$23&amp;$B54,防護具!$S$31:$S$163))-AK54,0)</f>
        <v>0</v>
      </c>
      <c r="AM55" s="2000">
        <f>IFERROR(
SUM(AL55,SUMIF(防護具!$B$31:$B$163,AM$23&amp;$B54,防護具!$S$31:$S$163))-AL54,0)</f>
        <v>0</v>
      </c>
      <c r="AN55" s="2000">
        <f>IFERROR(
SUM(AM55,SUMIF(防護具!$B$31:$B$163,AN$23&amp;$B54,防護具!$S$31:$S$163))-AM54,0)</f>
        <v>0</v>
      </c>
      <c r="AO55" s="2000">
        <f>IFERROR(
SUM(AN55,SUMIF(防護具!$B$31:$B$163,AO$23&amp;$B54,防護具!$S$31:$S$163))-AN54,0)</f>
        <v>0</v>
      </c>
      <c r="AP55" s="2000">
        <f>IFERROR(
SUM(AO55,SUMIF(防護具!$B$31:$B$163,AP$23&amp;$B54,防護具!$S$31:$S$163))-AO54,0)</f>
        <v>0</v>
      </c>
      <c r="AQ55" s="2000">
        <f>IFERROR(
SUM(AP55,SUMIF(防護具!$B$31:$B$163,AQ$23&amp;$B54,防護具!$S$31:$S$163))-AP54,0)</f>
        <v>0</v>
      </c>
      <c r="AR55" s="2000">
        <f>IFERROR(
SUM(AQ55,SUMIF(防護具!$B$31:$B$163,AR$23&amp;$B54,防護具!$S$31:$S$163))-AQ54,0)</f>
        <v>0</v>
      </c>
      <c r="AS55" s="2000">
        <f>IFERROR(
SUM(AR55,SUMIF(防護具!$B$31:$B$163,AS$23&amp;$B54,防護具!$S$31:$S$163))-AR54,0)</f>
        <v>0</v>
      </c>
      <c r="AT55" s="2000">
        <f>IFERROR(
SUM(AS55,SUMIF(防護具!$B$31:$B$163,AT$23&amp;$B54,防護具!$S$31:$S$163))-AS54,0)</f>
        <v>0</v>
      </c>
      <c r="AU55" s="2000">
        <f>IFERROR(
SUM(AT55,SUMIF(防護具!$B$31:$B$163,AU$23&amp;$B54,防護具!$S$31:$S$163))-AT54,0)</f>
        <v>0</v>
      </c>
      <c r="AV55" s="2000">
        <f>IFERROR(
SUM(AU55,SUMIF(防護具!$B$31:$B$163,AV$23&amp;$B54,防護具!$S$31:$S$163))-AU54,0)</f>
        <v>0</v>
      </c>
      <c r="AW55" s="2000">
        <f>IFERROR(
SUM(AV55,SUMIF(防護具!$B$31:$B$163,AW$23&amp;$B54,防護具!$S$31:$S$163))-AV54,0)</f>
        <v>0</v>
      </c>
      <c r="AX55" s="2000">
        <f>IFERROR(
SUM(AW55,SUMIF(防護具!$B$31:$B$163,AX$23&amp;$B54,防護具!$S$31:$S$163))-AW54,0)</f>
        <v>0</v>
      </c>
      <c r="AY55" s="2000">
        <f>IFERROR(
SUM(AX55,SUMIF(防護具!$B$31:$B$163,AY$23&amp;$B54,防護具!$S$31:$S$163))-AX54,0)</f>
        <v>0</v>
      </c>
      <c r="AZ55" s="2000">
        <f>IFERROR(
SUM(AY55,SUMIF(防護具!$B$31:$B$163,AZ$23&amp;$B54,防護具!$S$31:$S$163))-AY54,0)</f>
        <v>0</v>
      </c>
      <c r="BA55" s="2000">
        <f>IFERROR(
SUM(AZ55,SUMIF(防護具!$B$31:$B$163,BA$23&amp;$B54,防護具!$S$31:$S$163))-AZ54,0)</f>
        <v>0</v>
      </c>
      <c r="BB55" s="2000">
        <f>IFERROR(
SUM(BA55,SUMIF(防護具!$B$31:$B$163,BB$23&amp;$B54,防護具!$S$31:$S$163))-BA54,0)</f>
        <v>0</v>
      </c>
      <c r="BC55" s="2000">
        <f>IFERROR(
SUM(BB55,SUMIF(防護具!$B$31:$B$163,BC$23&amp;$B54,防護具!$S$31:$S$163))-BB54,0)</f>
        <v>0</v>
      </c>
      <c r="BD55" s="2000">
        <f>IFERROR(
SUM(BC55,SUMIF(防護具!$B$31:$B$163,BD$23&amp;$B54,防護具!$S$31:$S$163))-BC54,0)</f>
        <v>0</v>
      </c>
      <c r="BE55" s="2000">
        <f>IFERROR(
SUM(BD55,SUMIF(防護具!$B$31:$B$163,BE$23&amp;$B54,防護具!$S$31:$S$163))-BD54,0)</f>
        <v>0</v>
      </c>
      <c r="BF55" s="2000">
        <f>IFERROR(
SUM(BE55,SUMIF(防護具!$B$31:$B$163,BF$23&amp;$B54,防護具!$S$31:$S$163))-BE54,0)</f>
        <v>0</v>
      </c>
      <c r="BG55" s="2000">
        <f>IFERROR(
SUM(BF55,SUMIF(防護具!$B$31:$B$163,BG$23&amp;$B54,防護具!$S$31:$S$163))-BF54,0)</f>
        <v>0</v>
      </c>
      <c r="BH55" s="2000">
        <f>IFERROR(
SUM(BG55,SUMIF(防護具!$B$31:$B$163,BH$23&amp;$B54,防護具!$S$31:$S$163))-BG54,0)</f>
        <v>0</v>
      </c>
      <c r="BI55" s="2000">
        <f>IFERROR(
SUM(BH55,SUMIF(防護具!$B$31:$B$163,BI$23&amp;$B54,防護具!$S$31:$S$163))-BH54,0)</f>
        <v>0</v>
      </c>
      <c r="BJ55" s="2000">
        <f>IFERROR(
SUM(BI55,SUMIF(防護具!$B$31:$B$163,BJ$23&amp;$B54,防護具!$S$31:$S$163))-BI54,0)</f>
        <v>0</v>
      </c>
      <c r="BK55" s="2000">
        <f>IFERROR(
SUM(BJ55,SUMIF(防護具!$B$31:$B$163,BK$23&amp;$B54,防護具!$S$31:$S$163))-BJ54,0)</f>
        <v>0</v>
      </c>
      <c r="BL55" s="2000">
        <f>IFERROR(
SUM(BK55,SUMIF(防護具!$B$31:$B$163,BL$23&amp;$B54,防護具!$S$31:$S$163))-BK54,0)</f>
        <v>0</v>
      </c>
      <c r="BM55" s="2000">
        <f>IFERROR(
SUM(BL55,SUMIF(防護具!$B$31:$B$163,BM$23&amp;$B54,防護具!$S$31:$S$163))-BL54,0)</f>
        <v>0</v>
      </c>
      <c r="BN55" s="2000">
        <f>IFERROR(
SUM(BM55,SUMIF(防護具!$B$31:$B$163,BN$23&amp;$B54,防護具!$S$31:$S$163))-BM54,0)</f>
        <v>0</v>
      </c>
      <c r="BO55" s="2000">
        <f>IFERROR(
SUM(BN55,SUMIF(防護具!$B$31:$B$163,BO$23&amp;$B54,防護具!$S$31:$S$163))-BN54,0)</f>
        <v>0</v>
      </c>
      <c r="BP55" s="2000">
        <f>IFERROR(
SUM(BO55,SUMIF(防護具!$B$31:$B$163,BP$23&amp;$B54,防護具!$S$31:$S$163))-BO54,0)</f>
        <v>0</v>
      </c>
      <c r="BQ55" s="2000">
        <f>IFERROR(
SUM(BP55,SUMIF(防護具!$B$31:$B$163,BQ$23&amp;$B54,防護具!$S$31:$S$163))-BP54,0)</f>
        <v>0</v>
      </c>
      <c r="BR55" s="2000">
        <f>IFERROR(
SUM(BQ55,SUMIF(防護具!$B$31:$B$163,BR$23&amp;$B54,防護具!$S$31:$S$163))-BQ54,0)</f>
        <v>0</v>
      </c>
      <c r="BS55" s="2000">
        <f>IFERROR(
SUM(BR55,SUMIF(防護具!$B$31:$B$163,BS$23&amp;$B54,防護具!$S$31:$S$163))-BR54,0)</f>
        <v>0</v>
      </c>
      <c r="BT55" s="2000">
        <f>IFERROR(
SUM(BS55,SUMIF(防護具!$B$31:$B$163,BT$23&amp;$B54,防護具!$S$31:$S$163))-BS54,0)</f>
        <v>0</v>
      </c>
      <c r="BU55" s="2000">
        <f>IFERROR(
SUM(BT55,SUMIF(防護具!$B$31:$B$163,BU$23&amp;$B54,防護具!$S$31:$S$163))-BT54,0)</f>
        <v>0</v>
      </c>
      <c r="BV55" s="2000">
        <f>IFERROR(
SUM(BU55,SUMIF(防護具!$B$31:$B$163,BV$23&amp;$B54,防護具!$S$31:$S$163))-BU54,0)</f>
        <v>0</v>
      </c>
      <c r="BW55" s="2000">
        <f>IFERROR(
SUM(BV55,SUMIF(防護具!$B$31:$B$163,BW$23&amp;$B54,防護具!$S$31:$S$163))-BV54,0)</f>
        <v>0</v>
      </c>
      <c r="BX55" s="2000">
        <f>IFERROR(
SUM(BW55,SUMIF(防護具!$B$31:$B$163,BX$23&amp;$B54,防護具!$S$31:$S$163))-BW54,0)</f>
        <v>0</v>
      </c>
      <c r="BY55" s="2000">
        <f>IFERROR(
SUM(BX55,SUMIF(防護具!$B$31:$B$163,BY$23&amp;$B54,防護具!$S$31:$S$163))-BX54,0)</f>
        <v>0</v>
      </c>
      <c r="BZ55" s="2000">
        <f>IFERROR(
SUM(BY55,SUMIF(防護具!$B$31:$B$163,BZ$23&amp;$B54,防護具!$S$31:$S$163))-BY54,0)</f>
        <v>0</v>
      </c>
      <c r="CA55" s="2000">
        <f>IFERROR(
SUM(BZ55,SUMIF(防護具!$B$31:$B$163,CA$23&amp;$B54,防護具!$S$31:$S$163))-BZ54,0)</f>
        <v>0</v>
      </c>
      <c r="CB55" s="2000">
        <f>IFERROR(
SUM(CA55,SUMIF(防護具!$B$31:$B$163,CB$23&amp;$B54,防護具!$S$31:$S$163))-CA54,0)</f>
        <v>0</v>
      </c>
      <c r="CC55" s="2000">
        <f>IFERROR(
SUM(CB55,SUMIF(防護具!$B$31:$B$163,CC$23&amp;$B54,防護具!$S$31:$S$163))-CB54,0)</f>
        <v>0</v>
      </c>
      <c r="CD55" s="2000">
        <f>IFERROR(
SUM(CC55,SUMIF(防護具!$B$31:$B$163,CD$23&amp;$B54,防護具!$S$31:$S$163))-CC54,0)</f>
        <v>0</v>
      </c>
      <c r="CE55" s="2000">
        <f>IFERROR(
SUM(CD55,SUMIF(防護具!$B$31:$B$163,CE$23&amp;$B54,防護具!$S$31:$S$163))-CD54,0)</f>
        <v>0</v>
      </c>
      <c r="CF55" s="2000">
        <f>IFERROR(
SUM(CE55,SUMIF(防護具!$B$31:$B$163,CF$23&amp;$B54,防護具!$S$31:$S$163))-CE54,0)</f>
        <v>0</v>
      </c>
      <c r="CG55" s="2000">
        <f>IFERROR(
SUM(CF55,SUMIF(防護具!$B$31:$B$163,CG$23&amp;$B54,防護具!$S$31:$S$163))-CF54,0)</f>
        <v>0</v>
      </c>
      <c r="CH55" s="2000">
        <f>IFERROR(
SUM(CG55,SUMIF(防護具!$B$31:$B$163,CH$23&amp;$B54,防護具!$S$31:$S$163))-CG54,0)</f>
        <v>0</v>
      </c>
      <c r="CI55" s="2000">
        <f>IFERROR(
SUM(CH55,SUMIF(防護具!$B$31:$B$163,CI$23&amp;$B54,防護具!$S$31:$S$163))-CH54,0)</f>
        <v>0</v>
      </c>
      <c r="CJ55" s="2000">
        <f>IFERROR(
SUM(CI55,SUMIF(防護具!$B$31:$B$163,CJ$23&amp;$B54,防護具!$S$31:$S$163))-CI54,0)</f>
        <v>0</v>
      </c>
      <c r="CK55" s="2000">
        <f>IFERROR(
SUM(CJ55,SUMIF(防護具!$B$31:$B$163,CK$23&amp;$B54,防護具!$S$31:$S$163))-CJ54,0)</f>
        <v>0</v>
      </c>
      <c r="CL55" s="2000">
        <f>IFERROR(
SUM(CK55,SUMIF(防護具!$B$31:$B$163,CL$23&amp;$B54,防護具!$S$31:$S$163))-CK54,0)</f>
        <v>0</v>
      </c>
      <c r="CM55" s="2000">
        <f>IFERROR(
SUM(CL55,SUMIF(防護具!$B$31:$B$163,CM$23&amp;$B54,防護具!$S$31:$S$163))-CL54,0)</f>
        <v>0</v>
      </c>
      <c r="CN55" s="2000">
        <f>IFERROR(
SUM(CM55,SUMIF(防護具!$B$31:$B$163,CN$23&amp;$B54,防護具!$S$31:$S$163))-CM54,0)</f>
        <v>0</v>
      </c>
      <c r="CO55" s="2000">
        <f>IFERROR(
SUM(CN55,SUMIF(防護具!$B$31:$B$163,CO$23&amp;$B54,防護具!$S$31:$S$163))-CN54,0)</f>
        <v>0</v>
      </c>
      <c r="CP55" s="2000">
        <f>IFERROR(
SUM(CO55,SUMIF(防護具!$B$31:$B$163,CP$23&amp;$B54,防護具!$S$31:$S$163))-CO54,0)</f>
        <v>0</v>
      </c>
      <c r="CQ55" s="2000">
        <f>IFERROR(
SUM(CP55,SUMIF(防護具!$B$31:$B$163,CQ$23&amp;$B54,防護具!$S$31:$S$163))-CP54,0)</f>
        <v>0</v>
      </c>
      <c r="CR55" s="2000">
        <f>IFERROR(
SUM(CQ55,SUMIF(防護具!$B$31:$B$163,CR$23&amp;$B54,防護具!$S$31:$S$163))-CQ54,0)</f>
        <v>0</v>
      </c>
      <c r="CS55" s="2000">
        <f>IFERROR(
SUM(CR55,SUMIF(防護具!$B$31:$B$163,CS$23&amp;$B54,防護具!$S$31:$S$163))-CR54,0)</f>
        <v>0</v>
      </c>
      <c r="CT55" s="2000">
        <f>IFERROR(
SUM(CS55,SUMIF(防護具!$B$31:$B$163,CT$23&amp;$B54,防護具!$S$31:$S$163))-CS54,0)</f>
        <v>0</v>
      </c>
      <c r="CU55" s="2000">
        <f>IFERROR(
SUM(CT55,SUMIF(防護具!$B$31:$B$163,CU$23&amp;$B54,防護具!$S$31:$S$163))-CT54,0)</f>
        <v>0</v>
      </c>
      <c r="CV55" s="2000">
        <f>IFERROR(
SUM(CU55,SUMIF(防護具!$B$31:$B$163,CV$23&amp;$B54,防護具!$S$31:$S$163))-CU54,0)</f>
        <v>0</v>
      </c>
      <c r="CW55" s="2000">
        <f>IFERROR(
SUM(CV55,SUMIF(防護具!$B$31:$B$163,CW$23&amp;$B54,防護具!$S$31:$S$163))-CV54,0)</f>
        <v>0</v>
      </c>
      <c r="CX55" s="2000">
        <f>IFERROR(
SUM(CW55,SUMIF(防護具!$B$31:$B$163,CX$23&amp;$B54,防護具!$S$31:$S$163))-CW54,0)</f>
        <v>0</v>
      </c>
      <c r="CY55" s="2000">
        <f>IFERROR(
SUM(CX55,SUMIF(防護具!$B$31:$B$163,CY$23&amp;$B54,防護具!$S$31:$S$163))-CX54,0)</f>
        <v>0</v>
      </c>
      <c r="CZ55" s="2000">
        <f>IFERROR(
SUM(CY55,SUMIF(防護具!$B$31:$B$163,CZ$23&amp;$B54,防護具!$S$31:$S$163))-CY54,0)</f>
        <v>0</v>
      </c>
      <c r="DA55" s="2000">
        <f>IFERROR(
SUM(CZ55,SUMIF(防護具!$B$31:$B$163,DA$23&amp;$B54,防護具!$S$31:$S$163))-CZ54,0)</f>
        <v>0</v>
      </c>
      <c r="DB55" s="2000">
        <f>IFERROR(
SUM(DA55,SUMIF(防護具!$B$31:$B$163,DB$23&amp;$B54,防護具!$S$31:$S$163))-DA54,0)</f>
        <v>0</v>
      </c>
      <c r="DC55" s="2000">
        <f>IFERROR(
SUM(DB55,SUMIF(防護具!$B$31:$B$163,DC$23&amp;$B54,防護具!$S$31:$S$163))-DB54,0)</f>
        <v>0</v>
      </c>
      <c r="DD55" s="2000">
        <f>IFERROR(
SUM(DC55,SUMIF(防護具!$B$31:$B$163,DD$23&amp;$B54,防護具!$S$31:$S$163))-DC54,0)</f>
        <v>0</v>
      </c>
      <c r="DE55" s="2000">
        <f>IFERROR(
SUM(DD55,SUMIF(防護具!$B$31:$B$163,DE$23&amp;$B54,防護具!$S$31:$S$163))-DD54,0)</f>
        <v>0</v>
      </c>
      <c r="DF55" s="2000">
        <f>IFERROR(
SUM(DE55,SUMIF(防護具!$B$31:$B$163,DF$23&amp;$B54,防護具!$S$31:$S$163))-DE54,0)</f>
        <v>0</v>
      </c>
      <c r="DG55" s="2000">
        <f>IFERROR(
SUM(DF55,SUMIF(防護具!$B$31:$B$163,DG$23&amp;$B54,防護具!$S$31:$S$163))-DF54,0)</f>
        <v>0</v>
      </c>
      <c r="DH55" s="2000">
        <f>IFERROR(
SUM(DG55,SUMIF(防護具!$B$31:$B$163,DH$23&amp;$B54,防護具!$S$31:$S$163))-DG54,0)</f>
        <v>0</v>
      </c>
      <c r="DI55" s="2000">
        <f>IFERROR(
SUM(DH55,SUMIF(防護具!$B$31:$B$163,DI$23&amp;$B54,防護具!$S$31:$S$163))-DH54,0)</f>
        <v>0</v>
      </c>
      <c r="DJ55" s="2000">
        <f>IFERROR(
SUM(DI55,SUMIF(防護具!$B$31:$B$163,DJ$23&amp;$B54,防護具!$S$31:$S$163))-DI54,0)</f>
        <v>0</v>
      </c>
      <c r="DK55" s="2000">
        <f>IFERROR(
SUM(DJ55,SUMIF(防護具!$B$31:$B$163,DK$23&amp;$B54,防護具!$S$31:$S$163))-DJ54,0)</f>
        <v>0</v>
      </c>
      <c r="DL55" s="2000">
        <f>IFERROR(
SUM(DK55,SUMIF(防護具!$B$31:$B$163,DL$23&amp;$B54,防護具!$S$31:$S$163))-DK54,0)</f>
        <v>0</v>
      </c>
      <c r="DM55" s="2000">
        <f>IFERROR(
SUM(DL55,SUMIF(防護具!$B$31:$B$163,DM$23&amp;$B54,防護具!$S$31:$S$163))-DL54,0)</f>
        <v>0</v>
      </c>
      <c r="DN55" s="2000">
        <f>IFERROR(
SUM(DM55,SUMIF(防護具!$B$31:$B$163,DN$23&amp;$B54,防護具!$S$31:$S$163))-DM54,0)</f>
        <v>0</v>
      </c>
      <c r="DO55" s="2000">
        <f>IFERROR(
SUM(DN55,SUMIF(防護具!$B$31:$B$163,DO$23&amp;$B54,防護具!$S$31:$S$163))-DN54,0)</f>
        <v>0</v>
      </c>
      <c r="DP55" s="2000">
        <f>IFERROR(
SUM(DO55,SUMIF(防護具!$B$31:$B$163,DP$23&amp;$B54,防護具!$S$31:$S$163))-DO54,0)</f>
        <v>0</v>
      </c>
      <c r="DQ55" s="2000">
        <f>IFERROR(
SUM(DP55,SUMIF(防護具!$B$31:$B$163,DQ$23&amp;$B54,防護具!$S$31:$S$163))-DP54,0)</f>
        <v>0</v>
      </c>
      <c r="DR55" s="2000">
        <f>IFERROR(
SUM(DQ55,SUMIF(防護具!$B$31:$B$163,DR$23&amp;$B54,防護具!$S$31:$S$163))-DQ54,0)</f>
        <v>0</v>
      </c>
      <c r="DS55" s="2000">
        <f>IFERROR(
SUM(DR55,SUMIF(防護具!$B$31:$B$163,DS$23&amp;$B54,防護具!$S$31:$S$163))-DR54,0)</f>
        <v>0</v>
      </c>
      <c r="DT55" s="2000">
        <f>IFERROR(
SUM(DS55,SUMIF(防護具!$B$31:$B$163,DT$23&amp;$B54,防護具!$S$31:$S$163))-DS54,0)</f>
        <v>0</v>
      </c>
      <c r="DU55" s="2000">
        <f>IFERROR(
SUM(DT55,SUMIF(防護具!$B$31:$B$163,DU$23&amp;$B54,防護具!$S$31:$S$163))-DT54,0)</f>
        <v>0</v>
      </c>
      <c r="DV55" s="2000">
        <f>IFERROR(
SUM(DU55,SUMIF(防護具!$B$31:$B$163,DV$23&amp;$B54,防護具!$S$31:$S$163))-DU54,0)</f>
        <v>0</v>
      </c>
      <c r="DW55" s="2000">
        <f>IFERROR(
SUM(DV55,SUMIF(防護具!$B$31:$B$163,DW$23&amp;$B54,防護具!$S$31:$S$163))-DV54,0)</f>
        <v>0</v>
      </c>
      <c r="DX55" s="2000">
        <f>IFERROR(
SUM(DW55,SUMIF(防護具!$B$31:$B$163,DX$23&amp;$B54,防護具!$S$31:$S$163))-DW54,0)</f>
        <v>0</v>
      </c>
      <c r="DY55" s="2000">
        <f>IFERROR(
SUM(DX55,SUMIF(防護具!$B$31:$B$163,DY$23&amp;$B54,防護具!$S$31:$S$163))-DX54,0)</f>
        <v>0</v>
      </c>
      <c r="DZ55" s="2000">
        <f>IFERROR(
SUM(DY55,SUMIF(防護具!$B$31:$B$163,DZ$23&amp;$B54,防護具!$S$31:$S$163))-DY54,0)</f>
        <v>0</v>
      </c>
      <c r="EA55" s="2000">
        <f>IFERROR(
SUM(DZ55,SUMIF(防護具!$B$31:$B$163,EA$23&amp;$B54,防護具!$S$31:$S$163))-DZ54,0)</f>
        <v>0</v>
      </c>
      <c r="EB55" s="2000">
        <f>IFERROR(
SUM(EA55,SUMIF(防護具!$B$31:$B$163,EB$23&amp;$B54,防護具!$S$31:$S$163))-EA54,0)</f>
        <v>0</v>
      </c>
      <c r="EC55" s="2000">
        <f>IFERROR(
SUM(EB55,SUMIF(防護具!$B$31:$B$163,EC$23&amp;$B54,防護具!$S$31:$S$163))-EB54,0)</f>
        <v>0</v>
      </c>
      <c r="ED55" s="2000">
        <f>IFERROR(
SUM(EC55,SUMIF(防護具!$B$31:$B$163,ED$23&amp;$B54,防護具!$S$31:$S$163))-EC54,0)</f>
        <v>0</v>
      </c>
      <c r="EE55" s="2000">
        <f>IFERROR(
SUM(ED55,SUMIF(防護具!$B$31:$B$163,EE$23&amp;$B54,防護具!$S$31:$S$163))-ED54,0)</f>
        <v>0</v>
      </c>
      <c r="EF55" s="2000">
        <f>IFERROR(
SUM(EE55,SUMIF(防護具!$B$31:$B$163,EF$23&amp;$B54,防護具!$S$31:$S$163))-EE54,0)</f>
        <v>0</v>
      </c>
      <c r="EG55" s="2000">
        <f>IFERROR(
SUM(EF55,SUMIF(防護具!$B$31:$B$163,EG$23&amp;$B54,防護具!$S$31:$S$163))-EF54,0)</f>
        <v>0</v>
      </c>
      <c r="EH55" s="2000">
        <f>IFERROR(
SUM(EG55,SUMIF(防護具!$B$31:$B$163,EH$23&amp;$B54,防護具!$S$31:$S$163))-EG54,0)</f>
        <v>0</v>
      </c>
      <c r="EI55" s="2000">
        <f>IFERROR(
SUM(EH55,SUMIF(防護具!$B$31:$B$163,EI$23&amp;$B54,防護具!$S$31:$S$163))-EH54,0)</f>
        <v>0</v>
      </c>
      <c r="EJ55" s="2000">
        <f>IFERROR(
SUM(EI55,SUMIF(防護具!$B$31:$B$163,EJ$23&amp;$B54,防護具!$S$31:$S$163))-EI54,0)</f>
        <v>0</v>
      </c>
      <c r="EK55" s="2000">
        <f>IFERROR(
SUM(EJ55,SUMIF(防護具!$B$31:$B$163,EK$23&amp;$B54,防護具!$S$31:$S$163))-EJ54,0)</f>
        <v>0</v>
      </c>
      <c r="EL55" s="2000">
        <f>IFERROR(
SUM(EK55,SUMIF(防護具!$B$31:$B$163,EL$23&amp;$B54,防護具!$S$31:$S$163))-EK54,0)</f>
        <v>0</v>
      </c>
      <c r="EM55" s="2000">
        <f>IFERROR(
SUM(EL55,SUMIF(防護具!$B$31:$B$163,EM$23&amp;$B54,防護具!$S$31:$S$163))-EL54,0)</f>
        <v>0</v>
      </c>
      <c r="EN55" s="2000">
        <f>IFERROR(
SUM(EM55,SUMIF(防護具!$B$31:$B$163,EN$23&amp;$B54,防護具!$S$31:$S$163))-EM54,0)</f>
        <v>0</v>
      </c>
      <c r="EO55" s="2000">
        <f>IFERROR(
SUM(EN55,SUMIF(防護具!$B$31:$B$163,EO$23&amp;$B54,防護具!$S$31:$S$163))-EN54,0)</f>
        <v>0</v>
      </c>
      <c r="EP55" s="2000">
        <f>IFERROR(
SUM(EO55,SUMIF(防護具!$B$31:$B$163,EP$23&amp;$B54,防護具!$S$31:$S$163))-EO54,0)</f>
        <v>0</v>
      </c>
      <c r="EQ55" s="2000">
        <f>IFERROR(
SUM(EP55,SUMIF(防護具!$B$31:$B$163,EQ$23&amp;$B54,防護具!$S$31:$S$163))-EP54,0)</f>
        <v>0</v>
      </c>
      <c r="ER55" s="2000">
        <f>IFERROR(
SUM(EQ55,SUMIF(防護具!$B$31:$B$163,ER$23&amp;$B54,防護具!$S$31:$S$163))-EQ54,0)</f>
        <v>0</v>
      </c>
      <c r="ES55" s="2000">
        <f>IFERROR(
SUM(ER55,SUMIF(防護具!$B$31:$B$163,ES$23&amp;$B54,防護具!$S$31:$S$163))-ER54,0)</f>
        <v>0</v>
      </c>
      <c r="ET55" s="2000">
        <f>IFERROR(
SUM(ES55,SUMIF(防護具!$B$31:$B$163,ET$23&amp;$B54,防護具!$S$31:$S$163))-ES54,0)</f>
        <v>0</v>
      </c>
      <c r="EU55" s="2000">
        <f>IFERROR(
SUM(ET55,SUMIF(防護具!$B$31:$B$163,EU$23&amp;$B54,防護具!$S$31:$S$163))-ET54,0)</f>
        <v>0</v>
      </c>
      <c r="EV55" s="2000">
        <f>IFERROR(
SUM(EU55,SUMIF(防護具!$B$31:$B$163,EV$23&amp;$B54,防護具!$S$31:$S$163))-EU54,0)</f>
        <v>0</v>
      </c>
      <c r="EW55" s="2000">
        <f>IFERROR(
SUM(EV55,SUMIF(防護具!$B$31:$B$163,EW$23&amp;$B54,防護具!$S$31:$S$163))-EV54,0)</f>
        <v>0</v>
      </c>
      <c r="EX55" s="2000">
        <f>IFERROR(
SUM(EW55,SUMIF(防護具!$B$31:$B$163,EX$23&amp;$B54,防護具!$S$31:$S$163))-EW54,0)</f>
        <v>0</v>
      </c>
      <c r="EY55" s="2000">
        <f>IFERROR(
SUM(EX55,SUMIF(防護具!$B$31:$B$163,EY$23&amp;$B54,防護具!$S$31:$S$163))-EX54,0)</f>
        <v>0</v>
      </c>
      <c r="EZ55" s="2000">
        <f>IFERROR(
SUM(EY55,SUMIF(防護具!$B$31:$B$163,EZ$23&amp;$B54,防護具!$S$31:$S$163))-EY54,0)</f>
        <v>0</v>
      </c>
      <c r="FA55" s="2000">
        <f>IFERROR(
SUM(EZ55,SUMIF(防護具!$B$31:$B$163,FA$23&amp;$B54,防護具!$S$31:$S$163))-EZ54,0)</f>
        <v>0</v>
      </c>
      <c r="FB55" s="2000">
        <f>IFERROR(
SUM(FA55,SUMIF(防護具!$B$31:$B$163,FB$23&amp;$B54,防護具!$S$31:$S$163))-FA54,0)</f>
        <v>0</v>
      </c>
      <c r="FC55" s="2000">
        <f>IFERROR(
SUM(FB55,SUMIF(防護具!$B$31:$B$163,FC$23&amp;$B54,防護具!$S$31:$S$163))-FB54,0)</f>
        <v>0</v>
      </c>
      <c r="FD55" s="2000">
        <f>IFERROR(
SUM(FC55,SUMIF(防護具!$B$31:$B$163,FD$23&amp;$B54,防護具!$S$31:$S$163))-FC54,0)</f>
        <v>0</v>
      </c>
      <c r="FE55" s="2000">
        <f>IFERROR(
SUM(FD55,SUMIF(防護具!$B$31:$B$163,FE$23&amp;$B54,防護具!$S$31:$S$163))-FD54,0)</f>
        <v>0</v>
      </c>
      <c r="FF55" s="2000">
        <f>IFERROR(
SUM(FE55,SUMIF(防護具!$B$31:$B$163,FF$23&amp;$B54,防護具!$S$31:$S$163))-FE54,0)</f>
        <v>0</v>
      </c>
      <c r="FG55" s="2000">
        <f>IFERROR(
SUM(FF55,SUMIF(防護具!$B$31:$B$163,FG$23&amp;$B54,防護具!$S$31:$S$163))-FF54,0)</f>
        <v>0</v>
      </c>
      <c r="FH55" s="2000">
        <f>IFERROR(
SUM(FG55,SUMIF(防護具!$B$31:$B$163,FH$23&amp;$B54,防護具!$S$31:$S$163))-FG54,0)</f>
        <v>0</v>
      </c>
      <c r="FI55" s="2000">
        <f>IFERROR(
SUM(FH55,SUMIF(防護具!$B$31:$B$163,FI$23&amp;$B54,防護具!$S$31:$S$163))-FH54,0)</f>
        <v>0</v>
      </c>
      <c r="FJ55" s="2000">
        <f>IFERROR(
SUM(FI55,SUMIF(防護具!$B$31:$B$163,FJ$23&amp;$B54,防護具!$S$31:$S$163))-FI54,0)</f>
        <v>0</v>
      </c>
      <c r="FK55" s="2000">
        <f>IFERROR(
SUM(FJ55,SUMIF(防護具!$B$31:$B$163,FK$23&amp;$B54,防護具!$S$31:$S$163))-FJ54,0)</f>
        <v>0</v>
      </c>
      <c r="FL55" s="2000">
        <f>IFERROR(
SUM(FK55,SUMIF(防護具!$B$31:$B$163,FL$23&amp;$B54,防護具!$S$31:$S$163))-FK54,0)</f>
        <v>0</v>
      </c>
      <c r="FM55" s="2000">
        <f>IFERROR(
SUM(FL55,SUMIF(防護具!$B$31:$B$163,FM$23&amp;$B54,防護具!$S$31:$S$163))-FL54,0)</f>
        <v>0</v>
      </c>
      <c r="FN55" s="2000">
        <f>IFERROR(
SUM(FM55,SUMIF(防護具!$B$31:$B$163,FN$23&amp;$B54,防護具!$S$31:$S$163))-FM54,0)</f>
        <v>0</v>
      </c>
      <c r="FO55" s="2000">
        <f>IFERROR(
SUM(FN55,SUMIF(防護具!$B$31:$B$163,FO$23&amp;$B54,防護具!$S$31:$S$163))-FN54,0)</f>
        <v>0</v>
      </c>
      <c r="FP55" s="2000">
        <f>IFERROR(
SUM(FO55,SUMIF(防護具!$B$31:$B$163,FP$23&amp;$B54,防護具!$S$31:$S$163))-FO54,0)</f>
        <v>0</v>
      </c>
      <c r="FQ55" s="2000">
        <f>IFERROR(
SUM(FP55,SUMIF(防護具!$B$31:$B$163,FQ$23&amp;$B54,防護具!$S$31:$S$163))-FP54,0)</f>
        <v>0</v>
      </c>
      <c r="FR55" s="2000">
        <f>IFERROR(
SUM(FQ55,SUMIF(防護具!$B$31:$B$163,FR$23&amp;$B54,防護具!$S$31:$S$163))-FQ54,0)</f>
        <v>0</v>
      </c>
      <c r="FS55" s="2000">
        <f>IFERROR(
SUM(FR55,SUMIF(防護具!$B$31:$B$163,FS$23&amp;$B54,防護具!$S$31:$S$163))-FR54,0)</f>
        <v>0</v>
      </c>
      <c r="FT55" s="2000">
        <f>IFERROR(
SUM(FS55,SUMIF(防護具!$B$31:$B$163,FT$23&amp;$B54,防護具!$S$31:$S$163))-FS54,0)</f>
        <v>0</v>
      </c>
      <c r="FU55" s="2000">
        <f>IFERROR(
SUM(FT55,SUMIF(防護具!$B$31:$B$163,FU$23&amp;$B54,防護具!$S$31:$S$163))-FT54,0)</f>
        <v>0</v>
      </c>
      <c r="FV55" s="2000">
        <f>IFERROR(
SUM(FU55,SUMIF(防護具!$B$31:$B$163,FV$23&amp;$B54,防護具!$S$31:$S$163))-FU54,0)</f>
        <v>0</v>
      </c>
      <c r="FW55" s="2000">
        <f>IFERROR(
SUM(FV55,SUMIF(防護具!$B$31:$B$163,FW$23&amp;$B54,防護具!$S$31:$S$163))-FV54,0)</f>
        <v>0</v>
      </c>
      <c r="FX55" s="2000">
        <f>IFERROR(
SUM(FW55,SUMIF(防護具!$B$31:$B$163,FX$23&amp;$B54,防護具!$S$31:$S$163))-FW54,0)</f>
        <v>0</v>
      </c>
      <c r="FY55" s="2000">
        <f>IFERROR(
SUM(FX55,SUMIF(防護具!$B$31:$B$163,FY$23&amp;$B54,防護具!$S$31:$S$163))-FX54,0)</f>
        <v>0</v>
      </c>
      <c r="FZ55" s="2000">
        <f>IFERROR(
SUM(FY55,SUMIF(防護具!$B$31:$B$163,FZ$23&amp;$B54,防護具!$S$31:$S$163))-FY54,0)</f>
        <v>0</v>
      </c>
      <c r="GA55" s="2000">
        <f>IFERROR(
SUM(FZ55,SUMIF(防護具!$B$31:$B$163,GA$23&amp;$B54,防護具!$S$31:$S$163))-FZ54,0)</f>
        <v>0</v>
      </c>
      <c r="GB55" s="2000">
        <f>IFERROR(
SUM(GA55,SUMIF(防護具!$B$31:$B$163,GB$23&amp;$B54,防護具!$S$31:$S$163))-GA54,0)</f>
        <v>0</v>
      </c>
      <c r="GC55" s="2000">
        <f>IFERROR(
SUM(GB55,SUMIF(防護具!$B$31:$B$163,GC$23&amp;$B54,防護具!$S$31:$S$163))-GB54,0)</f>
        <v>0</v>
      </c>
      <c r="GD55" s="2000">
        <f>IFERROR(
SUM(GC55,SUMIF(防護具!$B$31:$B$163,GD$23&amp;$B54,防護具!$S$31:$S$163))-GC54,0)</f>
        <v>0</v>
      </c>
      <c r="GE55" s="2000">
        <f>IFERROR(
SUM(GD55,SUMIF(防護具!$B$31:$B$163,GE$23&amp;$B54,防護具!$S$31:$S$163))-GD54,0)</f>
        <v>0</v>
      </c>
      <c r="GF55" s="2000">
        <f>IFERROR(
SUM(GE55,SUMIF(防護具!$B$31:$B$163,GF$23&amp;$B54,防護具!$S$31:$S$163))-GE54,0)</f>
        <v>0</v>
      </c>
    </row>
    <row r="56" spans="1:188" s="641" customFormat="1" ht="15" customHeight="1" x14ac:dyDescent="0.4">
      <c r="A56" s="631"/>
      <c r="B56" s="641" t="s">
        <v>1264</v>
      </c>
      <c r="C56" s="1989" t="s">
        <v>1388</v>
      </c>
      <c r="D56" s="1992"/>
      <c r="E56" s="642"/>
      <c r="F56" s="2000">
        <f>SUMIF(防護具!$B$14:$B$30,F$23&amp;B54,防護具!$S$14:$S$30)</f>
        <v>0</v>
      </c>
      <c r="G56" s="2000">
        <f xml:space="preserve">
IF(G$25="休診日",F56,
IF(F56-VLOOKUP(F$22&amp;$B54,$B$96:$D$191,2,FALSE)&lt;0,0,F56-VLOOKUP(F$22&amp;$B54,$B$96:$D$191,2,FALSE)))</f>
        <v>0</v>
      </c>
      <c r="H56" s="2000">
        <f t="shared" ref="H56:BS56" si="43" xml:space="preserve">
IF(H$25="休診日",G56,
IF(G56-VLOOKUP(G$22&amp;$B54,$B$96:$D$191,2,FALSE)&lt;0,0,G56-VLOOKUP(G$22&amp;$B54,$B$96:$D$191,2,FALSE)))</f>
        <v>0</v>
      </c>
      <c r="I56" s="2000">
        <f t="shared" si="43"/>
        <v>0</v>
      </c>
      <c r="J56" s="2000">
        <f t="shared" si="43"/>
        <v>0</v>
      </c>
      <c r="K56" s="2000">
        <f t="shared" si="43"/>
        <v>0</v>
      </c>
      <c r="L56" s="2000">
        <f t="shared" si="43"/>
        <v>0</v>
      </c>
      <c r="M56" s="2000">
        <f t="shared" si="43"/>
        <v>0</v>
      </c>
      <c r="N56" s="2000">
        <f t="shared" si="43"/>
        <v>0</v>
      </c>
      <c r="O56" s="2000">
        <f t="shared" si="43"/>
        <v>0</v>
      </c>
      <c r="P56" s="2000">
        <f t="shared" si="43"/>
        <v>0</v>
      </c>
      <c r="Q56" s="2000">
        <f t="shared" si="43"/>
        <v>0</v>
      </c>
      <c r="R56" s="2000">
        <f t="shared" si="43"/>
        <v>0</v>
      </c>
      <c r="S56" s="2000">
        <f t="shared" si="43"/>
        <v>0</v>
      </c>
      <c r="T56" s="2000">
        <f t="shared" si="43"/>
        <v>0</v>
      </c>
      <c r="U56" s="2000">
        <f t="shared" si="43"/>
        <v>0</v>
      </c>
      <c r="V56" s="2000">
        <f t="shared" si="43"/>
        <v>0</v>
      </c>
      <c r="W56" s="2000">
        <f t="shared" si="43"/>
        <v>0</v>
      </c>
      <c r="X56" s="2000">
        <f t="shared" si="43"/>
        <v>0</v>
      </c>
      <c r="Y56" s="2000">
        <f t="shared" si="43"/>
        <v>0</v>
      </c>
      <c r="Z56" s="2000">
        <f t="shared" si="43"/>
        <v>0</v>
      </c>
      <c r="AA56" s="2000">
        <f t="shared" si="43"/>
        <v>0</v>
      </c>
      <c r="AB56" s="2000">
        <f t="shared" si="43"/>
        <v>0</v>
      </c>
      <c r="AC56" s="2000">
        <f t="shared" si="43"/>
        <v>0</v>
      </c>
      <c r="AD56" s="2000">
        <f t="shared" si="43"/>
        <v>0</v>
      </c>
      <c r="AE56" s="2000">
        <f t="shared" si="43"/>
        <v>0</v>
      </c>
      <c r="AF56" s="2000">
        <f t="shared" si="43"/>
        <v>0</v>
      </c>
      <c r="AG56" s="2000">
        <f t="shared" si="43"/>
        <v>0</v>
      </c>
      <c r="AH56" s="2000">
        <f t="shared" si="43"/>
        <v>0</v>
      </c>
      <c r="AI56" s="2000">
        <f t="shared" si="43"/>
        <v>0</v>
      </c>
      <c r="AJ56" s="2000">
        <f t="shared" si="43"/>
        <v>0</v>
      </c>
      <c r="AK56" s="2000">
        <f t="shared" si="43"/>
        <v>0</v>
      </c>
      <c r="AL56" s="2000">
        <f t="shared" si="43"/>
        <v>0</v>
      </c>
      <c r="AM56" s="2000">
        <f t="shared" si="43"/>
        <v>0</v>
      </c>
      <c r="AN56" s="2000">
        <f t="shared" si="43"/>
        <v>0</v>
      </c>
      <c r="AO56" s="2000">
        <f t="shared" si="43"/>
        <v>0</v>
      </c>
      <c r="AP56" s="2000">
        <f t="shared" si="43"/>
        <v>0</v>
      </c>
      <c r="AQ56" s="2000">
        <f t="shared" si="43"/>
        <v>0</v>
      </c>
      <c r="AR56" s="2000">
        <f t="shared" si="43"/>
        <v>0</v>
      </c>
      <c r="AS56" s="2000">
        <f t="shared" si="43"/>
        <v>0</v>
      </c>
      <c r="AT56" s="2000">
        <f t="shared" si="43"/>
        <v>0</v>
      </c>
      <c r="AU56" s="2000">
        <f t="shared" si="43"/>
        <v>0</v>
      </c>
      <c r="AV56" s="2000">
        <f t="shared" si="43"/>
        <v>0</v>
      </c>
      <c r="AW56" s="2000">
        <f t="shared" si="43"/>
        <v>0</v>
      </c>
      <c r="AX56" s="2000">
        <f t="shared" si="43"/>
        <v>0</v>
      </c>
      <c r="AY56" s="2000">
        <f t="shared" si="43"/>
        <v>0</v>
      </c>
      <c r="AZ56" s="2000">
        <f t="shared" si="43"/>
        <v>0</v>
      </c>
      <c r="BA56" s="2000">
        <f t="shared" si="43"/>
        <v>0</v>
      </c>
      <c r="BB56" s="2000">
        <f t="shared" si="43"/>
        <v>0</v>
      </c>
      <c r="BC56" s="2000">
        <f t="shared" si="43"/>
        <v>0</v>
      </c>
      <c r="BD56" s="2000">
        <f t="shared" si="43"/>
        <v>0</v>
      </c>
      <c r="BE56" s="2000">
        <f t="shared" si="43"/>
        <v>0</v>
      </c>
      <c r="BF56" s="2000">
        <f t="shared" si="43"/>
        <v>0</v>
      </c>
      <c r="BG56" s="2000">
        <f t="shared" si="43"/>
        <v>0</v>
      </c>
      <c r="BH56" s="2000">
        <f t="shared" si="43"/>
        <v>0</v>
      </c>
      <c r="BI56" s="2000">
        <f t="shared" si="43"/>
        <v>0</v>
      </c>
      <c r="BJ56" s="2000">
        <f t="shared" si="43"/>
        <v>0</v>
      </c>
      <c r="BK56" s="2000">
        <f t="shared" si="43"/>
        <v>0</v>
      </c>
      <c r="BL56" s="2000">
        <f t="shared" si="43"/>
        <v>0</v>
      </c>
      <c r="BM56" s="2000">
        <f t="shared" si="43"/>
        <v>0</v>
      </c>
      <c r="BN56" s="2000">
        <f t="shared" si="43"/>
        <v>0</v>
      </c>
      <c r="BO56" s="2000">
        <f t="shared" si="43"/>
        <v>0</v>
      </c>
      <c r="BP56" s="2000">
        <f t="shared" si="43"/>
        <v>0</v>
      </c>
      <c r="BQ56" s="2000">
        <f t="shared" si="43"/>
        <v>0</v>
      </c>
      <c r="BR56" s="2000">
        <f t="shared" si="43"/>
        <v>0</v>
      </c>
      <c r="BS56" s="2000">
        <f t="shared" si="43"/>
        <v>0</v>
      </c>
      <c r="BT56" s="2000">
        <f t="shared" ref="BT56:EE56" si="44" xml:space="preserve">
IF(BT$25="休診日",BS56,
IF(BS56-VLOOKUP(BS$22&amp;$B54,$B$96:$D$191,2,FALSE)&lt;0,0,BS56-VLOOKUP(BS$22&amp;$B54,$B$96:$D$191,2,FALSE)))</f>
        <v>0</v>
      </c>
      <c r="BU56" s="2000">
        <f t="shared" si="44"/>
        <v>0</v>
      </c>
      <c r="BV56" s="2000">
        <f t="shared" si="44"/>
        <v>0</v>
      </c>
      <c r="BW56" s="2000">
        <f t="shared" si="44"/>
        <v>0</v>
      </c>
      <c r="BX56" s="2000">
        <f t="shared" si="44"/>
        <v>0</v>
      </c>
      <c r="BY56" s="2000">
        <f t="shared" si="44"/>
        <v>0</v>
      </c>
      <c r="BZ56" s="2000">
        <f t="shared" si="44"/>
        <v>0</v>
      </c>
      <c r="CA56" s="2000">
        <f t="shared" si="44"/>
        <v>0</v>
      </c>
      <c r="CB56" s="2000">
        <f t="shared" si="44"/>
        <v>0</v>
      </c>
      <c r="CC56" s="2000">
        <f t="shared" si="44"/>
        <v>0</v>
      </c>
      <c r="CD56" s="2000">
        <f t="shared" si="44"/>
        <v>0</v>
      </c>
      <c r="CE56" s="2000">
        <f t="shared" si="44"/>
        <v>0</v>
      </c>
      <c r="CF56" s="2000">
        <f t="shared" si="44"/>
        <v>0</v>
      </c>
      <c r="CG56" s="2000">
        <f t="shared" si="44"/>
        <v>0</v>
      </c>
      <c r="CH56" s="2000">
        <f t="shared" si="44"/>
        <v>0</v>
      </c>
      <c r="CI56" s="2000">
        <f t="shared" si="44"/>
        <v>0</v>
      </c>
      <c r="CJ56" s="2000">
        <f t="shared" si="44"/>
        <v>0</v>
      </c>
      <c r="CK56" s="2000">
        <f t="shared" si="44"/>
        <v>0</v>
      </c>
      <c r="CL56" s="2000">
        <f t="shared" si="44"/>
        <v>0</v>
      </c>
      <c r="CM56" s="2000">
        <f t="shared" si="44"/>
        <v>0</v>
      </c>
      <c r="CN56" s="2000">
        <f t="shared" si="44"/>
        <v>0</v>
      </c>
      <c r="CO56" s="2000">
        <f t="shared" si="44"/>
        <v>0</v>
      </c>
      <c r="CP56" s="2000">
        <f t="shared" si="44"/>
        <v>0</v>
      </c>
      <c r="CQ56" s="2000">
        <f t="shared" si="44"/>
        <v>0</v>
      </c>
      <c r="CR56" s="2000">
        <f t="shared" si="44"/>
        <v>0</v>
      </c>
      <c r="CS56" s="2000">
        <f t="shared" si="44"/>
        <v>0</v>
      </c>
      <c r="CT56" s="2000">
        <f t="shared" si="44"/>
        <v>0</v>
      </c>
      <c r="CU56" s="2000">
        <f t="shared" si="44"/>
        <v>0</v>
      </c>
      <c r="CV56" s="2000">
        <f t="shared" si="44"/>
        <v>0</v>
      </c>
      <c r="CW56" s="2000">
        <f t="shared" si="44"/>
        <v>0</v>
      </c>
      <c r="CX56" s="2000">
        <f t="shared" si="44"/>
        <v>0</v>
      </c>
      <c r="CY56" s="2000">
        <f t="shared" si="44"/>
        <v>0</v>
      </c>
      <c r="CZ56" s="2000">
        <f t="shared" si="44"/>
        <v>0</v>
      </c>
      <c r="DA56" s="2000">
        <f t="shared" si="44"/>
        <v>0</v>
      </c>
      <c r="DB56" s="2000">
        <f t="shared" si="44"/>
        <v>0</v>
      </c>
      <c r="DC56" s="2000">
        <f t="shared" si="44"/>
        <v>0</v>
      </c>
      <c r="DD56" s="2000">
        <f t="shared" si="44"/>
        <v>0</v>
      </c>
      <c r="DE56" s="2000">
        <f t="shared" si="44"/>
        <v>0</v>
      </c>
      <c r="DF56" s="2000">
        <f t="shared" si="44"/>
        <v>0</v>
      </c>
      <c r="DG56" s="2000">
        <f t="shared" si="44"/>
        <v>0</v>
      </c>
      <c r="DH56" s="2000">
        <f t="shared" si="44"/>
        <v>0</v>
      </c>
      <c r="DI56" s="2000">
        <f t="shared" si="44"/>
        <v>0</v>
      </c>
      <c r="DJ56" s="2000">
        <f t="shared" si="44"/>
        <v>0</v>
      </c>
      <c r="DK56" s="2000">
        <f t="shared" si="44"/>
        <v>0</v>
      </c>
      <c r="DL56" s="2000">
        <f t="shared" si="44"/>
        <v>0</v>
      </c>
      <c r="DM56" s="2000">
        <f t="shared" si="44"/>
        <v>0</v>
      </c>
      <c r="DN56" s="2000">
        <f t="shared" si="44"/>
        <v>0</v>
      </c>
      <c r="DO56" s="2000">
        <f t="shared" si="44"/>
        <v>0</v>
      </c>
      <c r="DP56" s="2000">
        <f t="shared" si="44"/>
        <v>0</v>
      </c>
      <c r="DQ56" s="2000">
        <f t="shared" si="44"/>
        <v>0</v>
      </c>
      <c r="DR56" s="2000">
        <f t="shared" si="44"/>
        <v>0</v>
      </c>
      <c r="DS56" s="2000">
        <f t="shared" si="44"/>
        <v>0</v>
      </c>
      <c r="DT56" s="2000">
        <f t="shared" si="44"/>
        <v>0</v>
      </c>
      <c r="DU56" s="2000">
        <f t="shared" si="44"/>
        <v>0</v>
      </c>
      <c r="DV56" s="2000">
        <f t="shared" si="44"/>
        <v>0</v>
      </c>
      <c r="DW56" s="2000">
        <f t="shared" si="44"/>
        <v>0</v>
      </c>
      <c r="DX56" s="2000">
        <f t="shared" si="44"/>
        <v>0</v>
      </c>
      <c r="DY56" s="2000">
        <f t="shared" si="44"/>
        <v>0</v>
      </c>
      <c r="DZ56" s="2000">
        <f t="shared" si="44"/>
        <v>0</v>
      </c>
      <c r="EA56" s="2000">
        <f t="shared" si="44"/>
        <v>0</v>
      </c>
      <c r="EB56" s="2000">
        <f t="shared" si="44"/>
        <v>0</v>
      </c>
      <c r="EC56" s="2000">
        <f t="shared" si="44"/>
        <v>0</v>
      </c>
      <c r="ED56" s="2000">
        <f t="shared" si="44"/>
        <v>0</v>
      </c>
      <c r="EE56" s="2000">
        <f t="shared" si="44"/>
        <v>0</v>
      </c>
      <c r="EF56" s="2000">
        <f t="shared" ref="EF56:GF56" si="45" xml:space="preserve">
IF(EF$25="休診日",EE56,
IF(EE56-VLOOKUP(EE$22&amp;$B54,$B$96:$D$191,2,FALSE)&lt;0,0,EE56-VLOOKUP(EE$22&amp;$B54,$B$96:$D$191,2,FALSE)))</f>
        <v>0</v>
      </c>
      <c r="EG56" s="2000">
        <f t="shared" si="45"/>
        <v>0</v>
      </c>
      <c r="EH56" s="2000">
        <f t="shared" si="45"/>
        <v>0</v>
      </c>
      <c r="EI56" s="2000">
        <f t="shared" si="45"/>
        <v>0</v>
      </c>
      <c r="EJ56" s="2000">
        <f t="shared" si="45"/>
        <v>0</v>
      </c>
      <c r="EK56" s="2000">
        <f t="shared" si="45"/>
        <v>0</v>
      </c>
      <c r="EL56" s="2000">
        <f t="shared" si="45"/>
        <v>0</v>
      </c>
      <c r="EM56" s="2000">
        <f t="shared" si="45"/>
        <v>0</v>
      </c>
      <c r="EN56" s="2000">
        <f t="shared" si="45"/>
        <v>0</v>
      </c>
      <c r="EO56" s="2000">
        <f t="shared" si="45"/>
        <v>0</v>
      </c>
      <c r="EP56" s="2000">
        <f t="shared" si="45"/>
        <v>0</v>
      </c>
      <c r="EQ56" s="2000">
        <f t="shared" si="45"/>
        <v>0</v>
      </c>
      <c r="ER56" s="2000">
        <f t="shared" si="45"/>
        <v>0</v>
      </c>
      <c r="ES56" s="2000">
        <f t="shared" si="45"/>
        <v>0</v>
      </c>
      <c r="ET56" s="2000">
        <f t="shared" si="45"/>
        <v>0</v>
      </c>
      <c r="EU56" s="2000">
        <f t="shared" si="45"/>
        <v>0</v>
      </c>
      <c r="EV56" s="2000">
        <f t="shared" si="45"/>
        <v>0</v>
      </c>
      <c r="EW56" s="2000">
        <f t="shared" si="45"/>
        <v>0</v>
      </c>
      <c r="EX56" s="2000">
        <f t="shared" si="45"/>
        <v>0</v>
      </c>
      <c r="EY56" s="2000">
        <f t="shared" si="45"/>
        <v>0</v>
      </c>
      <c r="EZ56" s="2000">
        <f t="shared" si="45"/>
        <v>0</v>
      </c>
      <c r="FA56" s="2000">
        <f t="shared" si="45"/>
        <v>0</v>
      </c>
      <c r="FB56" s="2000">
        <f t="shared" si="45"/>
        <v>0</v>
      </c>
      <c r="FC56" s="2000">
        <f t="shared" si="45"/>
        <v>0</v>
      </c>
      <c r="FD56" s="2000">
        <f t="shared" si="45"/>
        <v>0</v>
      </c>
      <c r="FE56" s="2000">
        <f t="shared" si="45"/>
        <v>0</v>
      </c>
      <c r="FF56" s="2000">
        <f t="shared" si="45"/>
        <v>0</v>
      </c>
      <c r="FG56" s="2000">
        <f t="shared" si="45"/>
        <v>0</v>
      </c>
      <c r="FH56" s="2000">
        <f t="shared" si="45"/>
        <v>0</v>
      </c>
      <c r="FI56" s="2000">
        <f t="shared" si="45"/>
        <v>0</v>
      </c>
      <c r="FJ56" s="2000">
        <f t="shared" si="45"/>
        <v>0</v>
      </c>
      <c r="FK56" s="2000">
        <f t="shared" si="45"/>
        <v>0</v>
      </c>
      <c r="FL56" s="2000">
        <f t="shared" si="45"/>
        <v>0</v>
      </c>
      <c r="FM56" s="2000">
        <f t="shared" si="45"/>
        <v>0</v>
      </c>
      <c r="FN56" s="2000">
        <f t="shared" si="45"/>
        <v>0</v>
      </c>
      <c r="FO56" s="2000">
        <f t="shared" si="45"/>
        <v>0</v>
      </c>
      <c r="FP56" s="2000">
        <f t="shared" si="45"/>
        <v>0</v>
      </c>
      <c r="FQ56" s="2000">
        <f t="shared" si="45"/>
        <v>0</v>
      </c>
      <c r="FR56" s="2000">
        <f t="shared" si="45"/>
        <v>0</v>
      </c>
      <c r="FS56" s="2000">
        <f t="shared" si="45"/>
        <v>0</v>
      </c>
      <c r="FT56" s="2000">
        <f t="shared" si="45"/>
        <v>0</v>
      </c>
      <c r="FU56" s="2000">
        <f t="shared" si="45"/>
        <v>0</v>
      </c>
      <c r="FV56" s="2000">
        <f t="shared" si="45"/>
        <v>0</v>
      </c>
      <c r="FW56" s="2000">
        <f t="shared" si="45"/>
        <v>0</v>
      </c>
      <c r="FX56" s="2000">
        <f t="shared" si="45"/>
        <v>0</v>
      </c>
      <c r="FY56" s="2000">
        <f t="shared" si="45"/>
        <v>0</v>
      </c>
      <c r="FZ56" s="2000">
        <f t="shared" si="45"/>
        <v>0</v>
      </c>
      <c r="GA56" s="2000">
        <f t="shared" si="45"/>
        <v>0</v>
      </c>
      <c r="GB56" s="2000">
        <f t="shared" si="45"/>
        <v>0</v>
      </c>
      <c r="GC56" s="2000">
        <f t="shared" si="45"/>
        <v>0</v>
      </c>
      <c r="GD56" s="2000">
        <f t="shared" si="45"/>
        <v>0</v>
      </c>
      <c r="GE56" s="2000">
        <f t="shared" si="45"/>
        <v>0</v>
      </c>
      <c r="GF56" s="2000">
        <f t="shared" si="45"/>
        <v>0</v>
      </c>
    </row>
    <row r="57" spans="1:188" s="639" customFormat="1" ht="15" customHeight="1" x14ac:dyDescent="0.4">
      <c r="A57" s="631"/>
      <c r="B57" s="639" t="s">
        <v>1013</v>
      </c>
      <c r="C57" s="1995" t="s">
        <v>1386</v>
      </c>
      <c r="D57" s="1996"/>
      <c r="E57" s="640"/>
      <c r="F57" s="1998">
        <f xml:space="preserve">
IF($F$25="休診日",0,
MIN(F58,IF((VLOOKUP($F$22&amp;$B57,$B$96:$D$191,2,FALSE)-F59)&lt;0,0,VLOOKUP($F$22&amp;$B57,$B$96:$D$191,2,FALSE)-F59)))</f>
        <v>0</v>
      </c>
      <c r="G57" s="1998">
        <f xml:space="preserve">
IF(G$25="休診日",0,
IF(G59&gt;=VLOOKUP(G$22&amp;$B57,$B$96:$D$191,2,FALSE),0,
IF(AND(G59&lt;VLOOKUP(G$22&amp;$B57,$B$96:$D$191,2,FALSE),G58&lt;=VLOOKUP(G$22&amp;$B57,$B$96:$D$191,2,FALSE)),IF(G58-G59&lt;0,0,G58-G59),
IF(AND(G59&lt;VLOOKUP(G$22&amp;$B57,$B$96:$D$191,2,FALSE),G58&gt;VLOOKUP(G$22&amp;$B57,$B$96:$D$191,2,FALSE)),VLOOKUP(G$22&amp;$B57,$B$96:$D$191,2,FALSE)-G59))))</f>
        <v>0</v>
      </c>
      <c r="H57" s="1998">
        <f t="shared" ref="H57:BS57" si="46" xml:space="preserve">
IF(H$25="休診日",0,
IF(H59&gt;=VLOOKUP(H$22&amp;$B57,$B$96:$D$191,2,FALSE),0,
IF(AND(H59&lt;VLOOKUP(H$22&amp;$B57,$B$96:$D$191,2,FALSE),H58&lt;=VLOOKUP(H$22&amp;$B57,$B$96:$D$191,2,FALSE)),IF(H58-H59&lt;0,0,H58-H59),
IF(AND(H59&lt;VLOOKUP(H$22&amp;$B57,$B$96:$D$191,2,FALSE),H58&gt;VLOOKUP(H$22&amp;$B57,$B$96:$D$191,2,FALSE)),VLOOKUP(H$22&amp;$B57,$B$96:$D$191,2,FALSE)-H59))))</f>
        <v>0</v>
      </c>
      <c r="I57" s="1998">
        <f t="shared" si="46"/>
        <v>0</v>
      </c>
      <c r="J57" s="1998">
        <f t="shared" si="46"/>
        <v>0</v>
      </c>
      <c r="K57" s="1998">
        <f t="shared" si="46"/>
        <v>0</v>
      </c>
      <c r="L57" s="1998">
        <f t="shared" si="46"/>
        <v>0</v>
      </c>
      <c r="M57" s="1998">
        <f t="shared" si="46"/>
        <v>0</v>
      </c>
      <c r="N57" s="1998">
        <f t="shared" si="46"/>
        <v>0</v>
      </c>
      <c r="O57" s="1998">
        <f t="shared" si="46"/>
        <v>0</v>
      </c>
      <c r="P57" s="1998">
        <f t="shared" si="46"/>
        <v>0</v>
      </c>
      <c r="Q57" s="1998">
        <f t="shared" si="46"/>
        <v>0</v>
      </c>
      <c r="R57" s="1998">
        <f t="shared" si="46"/>
        <v>0</v>
      </c>
      <c r="S57" s="1998">
        <f t="shared" si="46"/>
        <v>0</v>
      </c>
      <c r="T57" s="1998">
        <f t="shared" si="46"/>
        <v>0</v>
      </c>
      <c r="U57" s="1998">
        <f t="shared" si="46"/>
        <v>0</v>
      </c>
      <c r="V57" s="1998">
        <f t="shared" si="46"/>
        <v>0</v>
      </c>
      <c r="W57" s="1998">
        <f t="shared" si="46"/>
        <v>0</v>
      </c>
      <c r="X57" s="1998">
        <f t="shared" si="46"/>
        <v>0</v>
      </c>
      <c r="Y57" s="1998">
        <f t="shared" si="46"/>
        <v>0</v>
      </c>
      <c r="Z57" s="1998">
        <f t="shared" si="46"/>
        <v>0</v>
      </c>
      <c r="AA57" s="1998">
        <f t="shared" si="46"/>
        <v>0</v>
      </c>
      <c r="AB57" s="1998">
        <f t="shared" si="46"/>
        <v>0</v>
      </c>
      <c r="AC57" s="1998">
        <f t="shared" si="46"/>
        <v>0</v>
      </c>
      <c r="AD57" s="1998">
        <f t="shared" si="46"/>
        <v>0</v>
      </c>
      <c r="AE57" s="1998">
        <f t="shared" si="46"/>
        <v>0</v>
      </c>
      <c r="AF57" s="1998">
        <f t="shared" si="46"/>
        <v>0</v>
      </c>
      <c r="AG57" s="1998">
        <f t="shared" si="46"/>
        <v>0</v>
      </c>
      <c r="AH57" s="1998">
        <f t="shared" si="46"/>
        <v>0</v>
      </c>
      <c r="AI57" s="1998">
        <f t="shared" si="46"/>
        <v>0</v>
      </c>
      <c r="AJ57" s="1998">
        <f t="shared" si="46"/>
        <v>0</v>
      </c>
      <c r="AK57" s="1998">
        <f t="shared" si="46"/>
        <v>0</v>
      </c>
      <c r="AL57" s="1998">
        <f t="shared" si="46"/>
        <v>0</v>
      </c>
      <c r="AM57" s="1998">
        <f t="shared" si="46"/>
        <v>0</v>
      </c>
      <c r="AN57" s="1998">
        <f t="shared" si="46"/>
        <v>0</v>
      </c>
      <c r="AO57" s="1998">
        <f t="shared" si="46"/>
        <v>0</v>
      </c>
      <c r="AP57" s="1998">
        <f t="shared" si="46"/>
        <v>0</v>
      </c>
      <c r="AQ57" s="1998">
        <f t="shared" si="46"/>
        <v>0</v>
      </c>
      <c r="AR57" s="1998">
        <f t="shared" si="46"/>
        <v>0</v>
      </c>
      <c r="AS57" s="1998">
        <f t="shared" si="46"/>
        <v>0</v>
      </c>
      <c r="AT57" s="1998">
        <f t="shared" si="46"/>
        <v>0</v>
      </c>
      <c r="AU57" s="1998">
        <f t="shared" si="46"/>
        <v>0</v>
      </c>
      <c r="AV57" s="1998">
        <f t="shared" si="46"/>
        <v>0</v>
      </c>
      <c r="AW57" s="1998">
        <f t="shared" si="46"/>
        <v>0</v>
      </c>
      <c r="AX57" s="1998">
        <f t="shared" si="46"/>
        <v>0</v>
      </c>
      <c r="AY57" s="1998">
        <f t="shared" si="46"/>
        <v>0</v>
      </c>
      <c r="AZ57" s="1998">
        <f t="shared" si="46"/>
        <v>0</v>
      </c>
      <c r="BA57" s="1998">
        <f t="shared" si="46"/>
        <v>0</v>
      </c>
      <c r="BB57" s="1998">
        <f t="shared" si="46"/>
        <v>0</v>
      </c>
      <c r="BC57" s="1998">
        <f t="shared" si="46"/>
        <v>0</v>
      </c>
      <c r="BD57" s="1998">
        <f t="shared" si="46"/>
        <v>0</v>
      </c>
      <c r="BE57" s="1998">
        <f t="shared" si="46"/>
        <v>0</v>
      </c>
      <c r="BF57" s="1998">
        <f t="shared" si="46"/>
        <v>0</v>
      </c>
      <c r="BG57" s="1998">
        <f t="shared" si="46"/>
        <v>0</v>
      </c>
      <c r="BH57" s="1998">
        <f t="shared" si="46"/>
        <v>0</v>
      </c>
      <c r="BI57" s="1998">
        <f t="shared" si="46"/>
        <v>0</v>
      </c>
      <c r="BJ57" s="1998">
        <f t="shared" si="46"/>
        <v>0</v>
      </c>
      <c r="BK57" s="1998">
        <f t="shared" si="46"/>
        <v>0</v>
      </c>
      <c r="BL57" s="1998">
        <f t="shared" si="46"/>
        <v>0</v>
      </c>
      <c r="BM57" s="1998">
        <f t="shared" si="46"/>
        <v>0</v>
      </c>
      <c r="BN57" s="1998">
        <f t="shared" si="46"/>
        <v>0</v>
      </c>
      <c r="BO57" s="1998">
        <f t="shared" si="46"/>
        <v>0</v>
      </c>
      <c r="BP57" s="1998">
        <f t="shared" si="46"/>
        <v>0</v>
      </c>
      <c r="BQ57" s="1998">
        <f t="shared" si="46"/>
        <v>0</v>
      </c>
      <c r="BR57" s="1998">
        <f t="shared" si="46"/>
        <v>0</v>
      </c>
      <c r="BS57" s="1998">
        <f t="shared" si="46"/>
        <v>0</v>
      </c>
      <c r="BT57" s="1998">
        <f t="shared" ref="BT57:EE57" si="47" xml:space="preserve">
IF(BT$25="休診日",0,
IF(BT59&gt;=VLOOKUP(BT$22&amp;$B57,$B$96:$D$191,2,FALSE),0,
IF(AND(BT59&lt;VLOOKUP(BT$22&amp;$B57,$B$96:$D$191,2,FALSE),BT58&lt;=VLOOKUP(BT$22&amp;$B57,$B$96:$D$191,2,FALSE)),IF(BT58-BT59&lt;0,0,BT58-BT59),
IF(AND(BT59&lt;VLOOKUP(BT$22&amp;$B57,$B$96:$D$191,2,FALSE),BT58&gt;VLOOKUP(BT$22&amp;$B57,$B$96:$D$191,2,FALSE)),VLOOKUP(BT$22&amp;$B57,$B$96:$D$191,2,FALSE)-BT59))))</f>
        <v>0</v>
      </c>
      <c r="BU57" s="1998">
        <f t="shared" si="47"/>
        <v>0</v>
      </c>
      <c r="BV57" s="1998">
        <f t="shared" si="47"/>
        <v>0</v>
      </c>
      <c r="BW57" s="1998">
        <f t="shared" si="47"/>
        <v>0</v>
      </c>
      <c r="BX57" s="1998">
        <f t="shared" si="47"/>
        <v>0</v>
      </c>
      <c r="BY57" s="1998">
        <f t="shared" si="47"/>
        <v>0</v>
      </c>
      <c r="BZ57" s="1998">
        <f t="shared" si="47"/>
        <v>0</v>
      </c>
      <c r="CA57" s="1998">
        <f t="shared" si="47"/>
        <v>0</v>
      </c>
      <c r="CB57" s="1998">
        <f t="shared" si="47"/>
        <v>0</v>
      </c>
      <c r="CC57" s="1998">
        <f t="shared" si="47"/>
        <v>0</v>
      </c>
      <c r="CD57" s="1998">
        <f t="shared" si="47"/>
        <v>0</v>
      </c>
      <c r="CE57" s="1998">
        <f t="shared" si="47"/>
        <v>0</v>
      </c>
      <c r="CF57" s="1998">
        <f t="shared" si="47"/>
        <v>0</v>
      </c>
      <c r="CG57" s="1998">
        <f t="shared" si="47"/>
        <v>0</v>
      </c>
      <c r="CH57" s="1998">
        <f t="shared" si="47"/>
        <v>0</v>
      </c>
      <c r="CI57" s="1998">
        <f t="shared" si="47"/>
        <v>0</v>
      </c>
      <c r="CJ57" s="1998">
        <f t="shared" si="47"/>
        <v>0</v>
      </c>
      <c r="CK57" s="1998">
        <f t="shared" si="47"/>
        <v>0</v>
      </c>
      <c r="CL57" s="1998">
        <f t="shared" si="47"/>
        <v>0</v>
      </c>
      <c r="CM57" s="1998">
        <f t="shared" si="47"/>
        <v>0</v>
      </c>
      <c r="CN57" s="1998">
        <f t="shared" si="47"/>
        <v>0</v>
      </c>
      <c r="CO57" s="1998">
        <f t="shared" si="47"/>
        <v>0</v>
      </c>
      <c r="CP57" s="1998">
        <f t="shared" si="47"/>
        <v>0</v>
      </c>
      <c r="CQ57" s="1998">
        <f t="shared" si="47"/>
        <v>0</v>
      </c>
      <c r="CR57" s="1998">
        <f t="shared" si="47"/>
        <v>0</v>
      </c>
      <c r="CS57" s="1998">
        <f t="shared" si="47"/>
        <v>0</v>
      </c>
      <c r="CT57" s="1998">
        <f t="shared" si="47"/>
        <v>0</v>
      </c>
      <c r="CU57" s="1998">
        <f t="shared" si="47"/>
        <v>0</v>
      </c>
      <c r="CV57" s="1998">
        <f t="shared" si="47"/>
        <v>0</v>
      </c>
      <c r="CW57" s="1998">
        <f t="shared" si="47"/>
        <v>0</v>
      </c>
      <c r="CX57" s="1998">
        <f t="shared" si="47"/>
        <v>0</v>
      </c>
      <c r="CY57" s="1998">
        <f t="shared" si="47"/>
        <v>0</v>
      </c>
      <c r="CZ57" s="1998">
        <f t="shared" si="47"/>
        <v>0</v>
      </c>
      <c r="DA57" s="1998">
        <f t="shared" si="47"/>
        <v>0</v>
      </c>
      <c r="DB57" s="1998">
        <f t="shared" si="47"/>
        <v>0</v>
      </c>
      <c r="DC57" s="1998">
        <f t="shared" si="47"/>
        <v>0</v>
      </c>
      <c r="DD57" s="1998">
        <f t="shared" si="47"/>
        <v>0</v>
      </c>
      <c r="DE57" s="1998">
        <f t="shared" si="47"/>
        <v>0</v>
      </c>
      <c r="DF57" s="1998">
        <f t="shared" si="47"/>
        <v>0</v>
      </c>
      <c r="DG57" s="1998">
        <f t="shared" si="47"/>
        <v>0</v>
      </c>
      <c r="DH57" s="1998">
        <f t="shared" si="47"/>
        <v>0</v>
      </c>
      <c r="DI57" s="1998">
        <f t="shared" si="47"/>
        <v>0</v>
      </c>
      <c r="DJ57" s="1998">
        <f t="shared" si="47"/>
        <v>0</v>
      </c>
      <c r="DK57" s="1998">
        <f t="shared" si="47"/>
        <v>0</v>
      </c>
      <c r="DL57" s="1998">
        <f t="shared" si="47"/>
        <v>0</v>
      </c>
      <c r="DM57" s="1998">
        <f t="shared" si="47"/>
        <v>0</v>
      </c>
      <c r="DN57" s="1998">
        <f t="shared" si="47"/>
        <v>0</v>
      </c>
      <c r="DO57" s="1998">
        <f t="shared" si="47"/>
        <v>0</v>
      </c>
      <c r="DP57" s="1998">
        <f t="shared" si="47"/>
        <v>0</v>
      </c>
      <c r="DQ57" s="1998">
        <f t="shared" si="47"/>
        <v>0</v>
      </c>
      <c r="DR57" s="1998">
        <f t="shared" si="47"/>
        <v>0</v>
      </c>
      <c r="DS57" s="1998">
        <f t="shared" si="47"/>
        <v>0</v>
      </c>
      <c r="DT57" s="1998">
        <f t="shared" si="47"/>
        <v>0</v>
      </c>
      <c r="DU57" s="1998">
        <f t="shared" si="47"/>
        <v>0</v>
      </c>
      <c r="DV57" s="1998">
        <f t="shared" si="47"/>
        <v>0</v>
      </c>
      <c r="DW57" s="1998">
        <f t="shared" si="47"/>
        <v>0</v>
      </c>
      <c r="DX57" s="1998">
        <f t="shared" si="47"/>
        <v>0</v>
      </c>
      <c r="DY57" s="1998">
        <f t="shared" si="47"/>
        <v>0</v>
      </c>
      <c r="DZ57" s="1998">
        <f t="shared" si="47"/>
        <v>0</v>
      </c>
      <c r="EA57" s="1998">
        <f t="shared" si="47"/>
        <v>0</v>
      </c>
      <c r="EB57" s="1998">
        <f t="shared" si="47"/>
        <v>0</v>
      </c>
      <c r="EC57" s="1998">
        <f t="shared" si="47"/>
        <v>0</v>
      </c>
      <c r="ED57" s="1998">
        <f t="shared" si="47"/>
        <v>0</v>
      </c>
      <c r="EE57" s="1998">
        <f t="shared" si="47"/>
        <v>0</v>
      </c>
      <c r="EF57" s="1998">
        <f t="shared" ref="EF57:GF57" si="48" xml:space="preserve">
IF(EF$25="休診日",0,
IF(EF59&gt;=VLOOKUP(EF$22&amp;$B57,$B$96:$D$191,2,FALSE),0,
IF(AND(EF59&lt;VLOOKUP(EF$22&amp;$B57,$B$96:$D$191,2,FALSE),EF58&lt;=VLOOKUP(EF$22&amp;$B57,$B$96:$D$191,2,FALSE)),IF(EF58-EF59&lt;0,0,EF58-EF59),
IF(AND(EF59&lt;VLOOKUP(EF$22&amp;$B57,$B$96:$D$191,2,FALSE),EF58&gt;VLOOKUP(EF$22&amp;$B57,$B$96:$D$191,2,FALSE)),VLOOKUP(EF$22&amp;$B57,$B$96:$D$191,2,FALSE)-EF59))))</f>
        <v>0</v>
      </c>
      <c r="EG57" s="1998">
        <f t="shared" si="48"/>
        <v>0</v>
      </c>
      <c r="EH57" s="1998">
        <f t="shared" si="48"/>
        <v>0</v>
      </c>
      <c r="EI57" s="1998">
        <f t="shared" si="48"/>
        <v>0</v>
      </c>
      <c r="EJ57" s="1998">
        <f t="shared" si="48"/>
        <v>0</v>
      </c>
      <c r="EK57" s="1998">
        <f t="shared" si="48"/>
        <v>0</v>
      </c>
      <c r="EL57" s="1998">
        <f t="shared" si="48"/>
        <v>0</v>
      </c>
      <c r="EM57" s="1998">
        <f t="shared" si="48"/>
        <v>0</v>
      </c>
      <c r="EN57" s="1998">
        <f t="shared" si="48"/>
        <v>0</v>
      </c>
      <c r="EO57" s="1998">
        <f t="shared" si="48"/>
        <v>0</v>
      </c>
      <c r="EP57" s="1998">
        <f t="shared" si="48"/>
        <v>0</v>
      </c>
      <c r="EQ57" s="1998">
        <f t="shared" si="48"/>
        <v>0</v>
      </c>
      <c r="ER57" s="1998">
        <f t="shared" si="48"/>
        <v>0</v>
      </c>
      <c r="ES57" s="1998">
        <f t="shared" si="48"/>
        <v>0</v>
      </c>
      <c r="ET57" s="1998">
        <f t="shared" si="48"/>
        <v>0</v>
      </c>
      <c r="EU57" s="1998">
        <f t="shared" si="48"/>
        <v>0</v>
      </c>
      <c r="EV57" s="1998">
        <f t="shared" si="48"/>
        <v>0</v>
      </c>
      <c r="EW57" s="1998">
        <f t="shared" si="48"/>
        <v>0</v>
      </c>
      <c r="EX57" s="1998">
        <f t="shared" si="48"/>
        <v>0</v>
      </c>
      <c r="EY57" s="1998">
        <f t="shared" si="48"/>
        <v>0</v>
      </c>
      <c r="EZ57" s="1998">
        <f t="shared" si="48"/>
        <v>0</v>
      </c>
      <c r="FA57" s="1998">
        <f t="shared" si="48"/>
        <v>0</v>
      </c>
      <c r="FB57" s="1998">
        <f t="shared" si="48"/>
        <v>0</v>
      </c>
      <c r="FC57" s="1998">
        <f t="shared" si="48"/>
        <v>0</v>
      </c>
      <c r="FD57" s="1998">
        <f t="shared" si="48"/>
        <v>0</v>
      </c>
      <c r="FE57" s="1998">
        <f t="shared" si="48"/>
        <v>0</v>
      </c>
      <c r="FF57" s="1998">
        <f t="shared" si="48"/>
        <v>0</v>
      </c>
      <c r="FG57" s="1998">
        <f t="shared" si="48"/>
        <v>0</v>
      </c>
      <c r="FH57" s="1998">
        <f t="shared" si="48"/>
        <v>0</v>
      </c>
      <c r="FI57" s="1998">
        <f t="shared" si="48"/>
        <v>0</v>
      </c>
      <c r="FJ57" s="1998">
        <f t="shared" si="48"/>
        <v>0</v>
      </c>
      <c r="FK57" s="1998">
        <f t="shared" si="48"/>
        <v>0</v>
      </c>
      <c r="FL57" s="1998">
        <f t="shared" si="48"/>
        <v>0</v>
      </c>
      <c r="FM57" s="1998">
        <f t="shared" si="48"/>
        <v>0</v>
      </c>
      <c r="FN57" s="1998">
        <f t="shared" si="48"/>
        <v>0</v>
      </c>
      <c r="FO57" s="1998">
        <f t="shared" si="48"/>
        <v>0</v>
      </c>
      <c r="FP57" s="1998">
        <f t="shared" si="48"/>
        <v>0</v>
      </c>
      <c r="FQ57" s="1998">
        <f t="shared" si="48"/>
        <v>0</v>
      </c>
      <c r="FR57" s="1998">
        <f t="shared" si="48"/>
        <v>0</v>
      </c>
      <c r="FS57" s="1998">
        <f t="shared" si="48"/>
        <v>0</v>
      </c>
      <c r="FT57" s="1998">
        <f t="shared" si="48"/>
        <v>0</v>
      </c>
      <c r="FU57" s="1998">
        <f t="shared" si="48"/>
        <v>0</v>
      </c>
      <c r="FV57" s="1998">
        <f t="shared" si="48"/>
        <v>0</v>
      </c>
      <c r="FW57" s="1998">
        <f t="shared" si="48"/>
        <v>0</v>
      </c>
      <c r="FX57" s="1998">
        <f t="shared" si="48"/>
        <v>0</v>
      </c>
      <c r="FY57" s="1998">
        <f t="shared" si="48"/>
        <v>0</v>
      </c>
      <c r="FZ57" s="1998">
        <f t="shared" si="48"/>
        <v>0</v>
      </c>
      <c r="GA57" s="1998">
        <f t="shared" si="48"/>
        <v>0</v>
      </c>
      <c r="GB57" s="1998">
        <f t="shared" si="48"/>
        <v>0</v>
      </c>
      <c r="GC57" s="1998">
        <f t="shared" si="48"/>
        <v>0</v>
      </c>
      <c r="GD57" s="1998">
        <f t="shared" si="48"/>
        <v>0</v>
      </c>
      <c r="GE57" s="1998">
        <f t="shared" si="48"/>
        <v>0</v>
      </c>
      <c r="GF57" s="1998">
        <f t="shared" si="48"/>
        <v>0</v>
      </c>
    </row>
    <row r="58" spans="1:188" s="639" customFormat="1" ht="15" customHeight="1" x14ac:dyDescent="0.4">
      <c r="A58" s="631"/>
      <c r="B58" s="639" t="s">
        <v>1265</v>
      </c>
      <c r="C58" s="1995" t="s">
        <v>1387</v>
      </c>
      <c r="D58" s="1996"/>
      <c r="E58" s="640"/>
      <c r="F58" s="1998">
        <f>SUMIF(防護具!$B$31:$B$163,F$23&amp;$B57,防護具!$S$31:$S$163)</f>
        <v>0</v>
      </c>
      <c r="G58" s="2000">
        <f>IFERROR(
SUM(F58,SUMIF(防護具!$B$31:$B$163,G$23&amp;$B57,防護具!$S$31:$S$163))-F57,0)</f>
        <v>0</v>
      </c>
      <c r="H58" s="2000">
        <f>IFERROR(
SUM(G58,SUMIF(防護具!$B$31:$B$163,H$23&amp;$B57,防護具!$S$31:$S$163))-G57,0)</f>
        <v>0</v>
      </c>
      <c r="I58" s="2000">
        <f>IFERROR(
SUM(H58,SUMIF(防護具!$B$31:$B$163,I$23&amp;$B57,防護具!$S$31:$S$163))-H57,0)</f>
        <v>0</v>
      </c>
      <c r="J58" s="2000">
        <f>IFERROR(
SUM(I58,SUMIF(防護具!$B$31:$B$163,J$23&amp;$B57,防護具!$S$31:$S$163))-I57,0)</f>
        <v>0</v>
      </c>
      <c r="K58" s="2000">
        <f>IFERROR(
SUM(J58,SUMIF(防護具!$B$31:$B$163,K$23&amp;$B57,防護具!$S$31:$S$163))-J57,0)</f>
        <v>0</v>
      </c>
      <c r="L58" s="2000">
        <f>IFERROR(
SUM(K58,SUMIF(防護具!$B$31:$B$163,L$23&amp;$B57,防護具!$S$31:$S$163))-K57,0)</f>
        <v>0</v>
      </c>
      <c r="M58" s="2000">
        <f>IFERROR(
SUM(L58,SUMIF(防護具!$B$31:$B$163,M$23&amp;$B57,防護具!$S$31:$S$163))-L57,0)</f>
        <v>0</v>
      </c>
      <c r="N58" s="2000">
        <f>IFERROR(
SUM(M58,SUMIF(防護具!$B$31:$B$163,N$23&amp;$B57,防護具!$S$31:$S$163))-M57,0)</f>
        <v>0</v>
      </c>
      <c r="O58" s="2000">
        <f>IFERROR(
SUM(N58,SUMIF(防護具!$B$31:$B$163,O$23&amp;$B57,防護具!$S$31:$S$163))-N57,0)</f>
        <v>0</v>
      </c>
      <c r="P58" s="2000">
        <f>IFERROR(
SUM(O58,SUMIF(防護具!$B$31:$B$163,P$23&amp;$B57,防護具!$S$31:$S$163))-O57,0)</f>
        <v>0</v>
      </c>
      <c r="Q58" s="2000">
        <f>IFERROR(
SUM(P58,SUMIF(防護具!$B$31:$B$163,Q$23&amp;$B57,防護具!$S$31:$S$163))-P57,0)</f>
        <v>0</v>
      </c>
      <c r="R58" s="2000">
        <f>IFERROR(
SUM(Q58,SUMIF(防護具!$B$31:$B$163,R$23&amp;$B57,防護具!$S$31:$S$163))-Q57,0)</f>
        <v>0</v>
      </c>
      <c r="S58" s="2000">
        <f>IFERROR(
SUM(R58,SUMIF(防護具!$B$31:$B$163,S$23&amp;$B57,防護具!$S$31:$S$163))-R57,0)</f>
        <v>0</v>
      </c>
      <c r="T58" s="2000">
        <f>IFERROR(
SUM(S58,SUMIF(防護具!$B$31:$B$163,T$23&amp;$B57,防護具!$S$31:$S$163))-S57,0)</f>
        <v>0</v>
      </c>
      <c r="U58" s="2000">
        <f>IFERROR(
SUM(T58,SUMIF(防護具!$B$31:$B$163,U$23&amp;$B57,防護具!$S$31:$S$163))-T57,0)</f>
        <v>0</v>
      </c>
      <c r="V58" s="2000">
        <f>IFERROR(
SUM(U58,SUMIF(防護具!$B$31:$B$163,V$23&amp;$B57,防護具!$S$31:$S$163))-U57,0)</f>
        <v>0</v>
      </c>
      <c r="W58" s="2000">
        <f>IFERROR(
SUM(V58,SUMIF(防護具!$B$31:$B$163,W$23&amp;$B57,防護具!$S$31:$S$163))-V57,0)</f>
        <v>0</v>
      </c>
      <c r="X58" s="2000">
        <f>IFERROR(
SUM(W58,SUMIF(防護具!$B$31:$B$163,X$23&amp;$B57,防護具!$S$31:$S$163))-W57,0)</f>
        <v>0</v>
      </c>
      <c r="Y58" s="2000">
        <f>IFERROR(
SUM(X58,SUMIF(防護具!$B$31:$B$163,Y$23&amp;$B57,防護具!$S$31:$S$163))-X57,0)</f>
        <v>0</v>
      </c>
      <c r="Z58" s="2000">
        <f>IFERROR(
SUM(Y58,SUMIF(防護具!$B$31:$B$163,Z$23&amp;$B57,防護具!$S$31:$S$163))-Y57,0)</f>
        <v>0</v>
      </c>
      <c r="AA58" s="2000">
        <f>IFERROR(
SUM(Z58,SUMIF(防護具!$B$31:$B$163,AA$23&amp;$B57,防護具!$S$31:$S$163))-Z57,0)</f>
        <v>0</v>
      </c>
      <c r="AB58" s="2000">
        <f>IFERROR(
SUM(AA58,SUMIF(防護具!$B$31:$B$163,AB$23&amp;$B57,防護具!$S$31:$S$163))-AA57,0)</f>
        <v>0</v>
      </c>
      <c r="AC58" s="2000">
        <f>IFERROR(
SUM(AB58,SUMIF(防護具!$B$31:$B$163,AC$23&amp;$B57,防護具!$S$31:$S$163))-AB57,0)</f>
        <v>0</v>
      </c>
      <c r="AD58" s="2000">
        <f>IFERROR(
SUM(AC58,SUMIF(防護具!$B$31:$B$163,AD$23&amp;$B57,防護具!$S$31:$S$163))-AC57,0)</f>
        <v>0</v>
      </c>
      <c r="AE58" s="2000">
        <f>IFERROR(
SUM(AD58,SUMIF(防護具!$B$31:$B$163,AE$23&amp;$B57,防護具!$S$31:$S$163))-AD57,0)</f>
        <v>0</v>
      </c>
      <c r="AF58" s="2000">
        <f>IFERROR(
SUM(AE58,SUMIF(防護具!$B$31:$B$163,AF$23&amp;$B57,防護具!$S$31:$S$163))-AE57,0)</f>
        <v>0</v>
      </c>
      <c r="AG58" s="2000">
        <f>IFERROR(
SUM(AF58,SUMIF(防護具!$B$31:$B$163,AG$23&amp;$B57,防護具!$S$31:$S$163))-AF57,0)</f>
        <v>0</v>
      </c>
      <c r="AH58" s="2000">
        <f>IFERROR(
SUM(AG58,SUMIF(防護具!$B$31:$B$163,AH$23&amp;$B57,防護具!$S$31:$S$163))-AG57,0)</f>
        <v>0</v>
      </c>
      <c r="AI58" s="2000">
        <f>IFERROR(
SUM(AH58,SUMIF(防護具!$B$31:$B$163,AI$23&amp;$B57,防護具!$S$31:$S$163))-AH57,0)</f>
        <v>0</v>
      </c>
      <c r="AJ58" s="2000">
        <f>IFERROR(
SUM(AI58,SUMIF(防護具!$B$31:$B$163,AJ$23&amp;$B57,防護具!$S$31:$S$163))-AI57,0)</f>
        <v>0</v>
      </c>
      <c r="AK58" s="2000">
        <f>IFERROR(
SUM(AJ58,SUMIF(防護具!$B$31:$B$163,AK$23&amp;$B57,防護具!$S$31:$S$163))-AJ57,0)</f>
        <v>0</v>
      </c>
      <c r="AL58" s="2000">
        <f>IFERROR(
SUM(AK58,SUMIF(防護具!$B$31:$B$163,AL$23&amp;$B57,防護具!$S$31:$S$163))-AK57,0)</f>
        <v>0</v>
      </c>
      <c r="AM58" s="2000">
        <f>IFERROR(
SUM(AL58,SUMIF(防護具!$B$31:$B$163,AM$23&amp;$B57,防護具!$S$31:$S$163))-AL57,0)</f>
        <v>0</v>
      </c>
      <c r="AN58" s="2000">
        <f>IFERROR(
SUM(AM58,SUMIF(防護具!$B$31:$B$163,AN$23&amp;$B57,防護具!$S$31:$S$163))-AM57,0)</f>
        <v>0</v>
      </c>
      <c r="AO58" s="2000">
        <f>IFERROR(
SUM(AN58,SUMIF(防護具!$B$31:$B$163,AO$23&amp;$B57,防護具!$S$31:$S$163))-AN57,0)</f>
        <v>0</v>
      </c>
      <c r="AP58" s="2000">
        <f>IFERROR(
SUM(AO58,SUMIF(防護具!$B$31:$B$163,AP$23&amp;$B57,防護具!$S$31:$S$163))-AO57,0)</f>
        <v>0</v>
      </c>
      <c r="AQ58" s="2000">
        <f>IFERROR(
SUM(AP58,SUMIF(防護具!$B$31:$B$163,AQ$23&amp;$B57,防護具!$S$31:$S$163))-AP57,0)</f>
        <v>0</v>
      </c>
      <c r="AR58" s="2000">
        <f>IFERROR(
SUM(AQ58,SUMIF(防護具!$B$31:$B$163,AR$23&amp;$B57,防護具!$S$31:$S$163))-AQ57,0)</f>
        <v>0</v>
      </c>
      <c r="AS58" s="2000">
        <f>IFERROR(
SUM(AR58,SUMIF(防護具!$B$31:$B$163,AS$23&amp;$B57,防護具!$S$31:$S$163))-AR57,0)</f>
        <v>0</v>
      </c>
      <c r="AT58" s="2000">
        <f>IFERROR(
SUM(AS58,SUMIF(防護具!$B$31:$B$163,AT$23&amp;$B57,防護具!$S$31:$S$163))-AS57,0)</f>
        <v>0</v>
      </c>
      <c r="AU58" s="2000">
        <f>IFERROR(
SUM(AT58,SUMIF(防護具!$B$31:$B$163,AU$23&amp;$B57,防護具!$S$31:$S$163))-AT57,0)</f>
        <v>0</v>
      </c>
      <c r="AV58" s="2000">
        <f>IFERROR(
SUM(AU58,SUMIF(防護具!$B$31:$B$163,AV$23&amp;$B57,防護具!$S$31:$S$163))-AU57,0)</f>
        <v>0</v>
      </c>
      <c r="AW58" s="2000">
        <f>IFERROR(
SUM(AV58,SUMIF(防護具!$B$31:$B$163,AW$23&amp;$B57,防護具!$S$31:$S$163))-AV57,0)</f>
        <v>0</v>
      </c>
      <c r="AX58" s="2000">
        <f>IFERROR(
SUM(AW58,SUMIF(防護具!$B$31:$B$163,AX$23&amp;$B57,防護具!$S$31:$S$163))-AW57,0)</f>
        <v>0</v>
      </c>
      <c r="AY58" s="2000">
        <f>IFERROR(
SUM(AX58,SUMIF(防護具!$B$31:$B$163,AY$23&amp;$B57,防護具!$S$31:$S$163))-AX57,0)</f>
        <v>0</v>
      </c>
      <c r="AZ58" s="2000">
        <f>IFERROR(
SUM(AY58,SUMIF(防護具!$B$31:$B$163,AZ$23&amp;$B57,防護具!$S$31:$S$163))-AY57,0)</f>
        <v>0</v>
      </c>
      <c r="BA58" s="2000">
        <f>IFERROR(
SUM(AZ58,SUMIF(防護具!$B$31:$B$163,BA$23&amp;$B57,防護具!$S$31:$S$163))-AZ57,0)</f>
        <v>0</v>
      </c>
      <c r="BB58" s="2000">
        <f>IFERROR(
SUM(BA58,SUMIF(防護具!$B$31:$B$163,BB$23&amp;$B57,防護具!$S$31:$S$163))-BA57,0)</f>
        <v>0</v>
      </c>
      <c r="BC58" s="2000">
        <f>IFERROR(
SUM(BB58,SUMIF(防護具!$B$31:$B$163,BC$23&amp;$B57,防護具!$S$31:$S$163))-BB57,0)</f>
        <v>0</v>
      </c>
      <c r="BD58" s="2000">
        <f>IFERROR(
SUM(BC58,SUMIF(防護具!$B$31:$B$163,BD$23&amp;$B57,防護具!$S$31:$S$163))-BC57,0)</f>
        <v>0</v>
      </c>
      <c r="BE58" s="2000">
        <f>IFERROR(
SUM(BD58,SUMIF(防護具!$B$31:$B$163,BE$23&amp;$B57,防護具!$S$31:$S$163))-BD57,0)</f>
        <v>0</v>
      </c>
      <c r="BF58" s="2000">
        <f>IFERROR(
SUM(BE58,SUMIF(防護具!$B$31:$B$163,BF$23&amp;$B57,防護具!$S$31:$S$163))-BE57,0)</f>
        <v>0</v>
      </c>
      <c r="BG58" s="2000">
        <f>IFERROR(
SUM(BF58,SUMIF(防護具!$B$31:$B$163,BG$23&amp;$B57,防護具!$S$31:$S$163))-BF57,0)</f>
        <v>0</v>
      </c>
      <c r="BH58" s="2000">
        <f>IFERROR(
SUM(BG58,SUMIF(防護具!$B$31:$B$163,BH$23&amp;$B57,防護具!$S$31:$S$163))-BG57,0)</f>
        <v>0</v>
      </c>
      <c r="BI58" s="2000">
        <f>IFERROR(
SUM(BH58,SUMIF(防護具!$B$31:$B$163,BI$23&amp;$B57,防護具!$S$31:$S$163))-BH57,0)</f>
        <v>0</v>
      </c>
      <c r="BJ58" s="2000">
        <f>IFERROR(
SUM(BI58,SUMIF(防護具!$B$31:$B$163,BJ$23&amp;$B57,防護具!$S$31:$S$163))-BI57,0)</f>
        <v>0</v>
      </c>
      <c r="BK58" s="2000">
        <f>IFERROR(
SUM(BJ58,SUMIF(防護具!$B$31:$B$163,BK$23&amp;$B57,防護具!$S$31:$S$163))-BJ57,0)</f>
        <v>0</v>
      </c>
      <c r="BL58" s="2000">
        <f>IFERROR(
SUM(BK58,SUMIF(防護具!$B$31:$B$163,BL$23&amp;$B57,防護具!$S$31:$S$163))-BK57,0)</f>
        <v>0</v>
      </c>
      <c r="BM58" s="2000">
        <f>IFERROR(
SUM(BL58,SUMIF(防護具!$B$31:$B$163,BM$23&amp;$B57,防護具!$S$31:$S$163))-BL57,0)</f>
        <v>0</v>
      </c>
      <c r="BN58" s="2000">
        <f>IFERROR(
SUM(BM58,SUMIF(防護具!$B$31:$B$163,BN$23&amp;$B57,防護具!$S$31:$S$163))-BM57,0)</f>
        <v>0</v>
      </c>
      <c r="BO58" s="2000">
        <f>IFERROR(
SUM(BN58,SUMIF(防護具!$B$31:$B$163,BO$23&amp;$B57,防護具!$S$31:$S$163))-BN57,0)</f>
        <v>0</v>
      </c>
      <c r="BP58" s="2000">
        <f>IFERROR(
SUM(BO58,SUMIF(防護具!$B$31:$B$163,BP$23&amp;$B57,防護具!$S$31:$S$163))-BO57,0)</f>
        <v>0</v>
      </c>
      <c r="BQ58" s="2000">
        <f>IFERROR(
SUM(BP58,SUMIF(防護具!$B$31:$B$163,BQ$23&amp;$B57,防護具!$S$31:$S$163))-BP57,0)</f>
        <v>0</v>
      </c>
      <c r="BR58" s="2000">
        <f>IFERROR(
SUM(BQ58,SUMIF(防護具!$B$31:$B$163,BR$23&amp;$B57,防護具!$S$31:$S$163))-BQ57,0)</f>
        <v>0</v>
      </c>
      <c r="BS58" s="2000">
        <f>IFERROR(
SUM(BR58,SUMIF(防護具!$B$31:$B$163,BS$23&amp;$B57,防護具!$S$31:$S$163))-BR57,0)</f>
        <v>0</v>
      </c>
      <c r="BT58" s="2000">
        <f>IFERROR(
SUM(BS58,SUMIF(防護具!$B$31:$B$163,BT$23&amp;$B57,防護具!$S$31:$S$163))-BS57,0)</f>
        <v>0</v>
      </c>
      <c r="BU58" s="2000">
        <f>IFERROR(
SUM(BT58,SUMIF(防護具!$B$31:$B$163,BU$23&amp;$B57,防護具!$S$31:$S$163))-BT57,0)</f>
        <v>0</v>
      </c>
      <c r="BV58" s="2000">
        <f>IFERROR(
SUM(BU58,SUMIF(防護具!$B$31:$B$163,BV$23&amp;$B57,防護具!$S$31:$S$163))-BU57,0)</f>
        <v>0</v>
      </c>
      <c r="BW58" s="2000">
        <f>IFERROR(
SUM(BV58,SUMIF(防護具!$B$31:$B$163,BW$23&amp;$B57,防護具!$S$31:$S$163))-BV57,0)</f>
        <v>0</v>
      </c>
      <c r="BX58" s="2000">
        <f>IFERROR(
SUM(BW58,SUMIF(防護具!$B$31:$B$163,BX$23&amp;$B57,防護具!$S$31:$S$163))-BW57,0)</f>
        <v>0</v>
      </c>
      <c r="BY58" s="2000">
        <f>IFERROR(
SUM(BX58,SUMIF(防護具!$B$31:$B$163,BY$23&amp;$B57,防護具!$S$31:$S$163))-BX57,0)</f>
        <v>0</v>
      </c>
      <c r="BZ58" s="2000">
        <f>IFERROR(
SUM(BY58,SUMIF(防護具!$B$31:$B$163,BZ$23&amp;$B57,防護具!$S$31:$S$163))-BY57,0)</f>
        <v>0</v>
      </c>
      <c r="CA58" s="2000">
        <f>IFERROR(
SUM(BZ58,SUMIF(防護具!$B$31:$B$163,CA$23&amp;$B57,防護具!$S$31:$S$163))-BZ57,0)</f>
        <v>0</v>
      </c>
      <c r="CB58" s="2000">
        <f>IFERROR(
SUM(CA58,SUMIF(防護具!$B$31:$B$163,CB$23&amp;$B57,防護具!$S$31:$S$163))-CA57,0)</f>
        <v>0</v>
      </c>
      <c r="CC58" s="2000">
        <f>IFERROR(
SUM(CB58,SUMIF(防護具!$B$31:$B$163,CC$23&amp;$B57,防護具!$S$31:$S$163))-CB57,0)</f>
        <v>0</v>
      </c>
      <c r="CD58" s="2000">
        <f>IFERROR(
SUM(CC58,SUMIF(防護具!$B$31:$B$163,CD$23&amp;$B57,防護具!$S$31:$S$163))-CC57,0)</f>
        <v>0</v>
      </c>
      <c r="CE58" s="2000">
        <f>IFERROR(
SUM(CD58,SUMIF(防護具!$B$31:$B$163,CE$23&amp;$B57,防護具!$S$31:$S$163))-CD57,0)</f>
        <v>0</v>
      </c>
      <c r="CF58" s="2000">
        <f>IFERROR(
SUM(CE58,SUMIF(防護具!$B$31:$B$163,CF$23&amp;$B57,防護具!$S$31:$S$163))-CE57,0)</f>
        <v>0</v>
      </c>
      <c r="CG58" s="2000">
        <f>IFERROR(
SUM(CF58,SUMIF(防護具!$B$31:$B$163,CG$23&amp;$B57,防護具!$S$31:$S$163))-CF57,0)</f>
        <v>0</v>
      </c>
      <c r="CH58" s="2000">
        <f>IFERROR(
SUM(CG58,SUMIF(防護具!$B$31:$B$163,CH$23&amp;$B57,防護具!$S$31:$S$163))-CG57,0)</f>
        <v>0</v>
      </c>
      <c r="CI58" s="2000">
        <f>IFERROR(
SUM(CH58,SUMIF(防護具!$B$31:$B$163,CI$23&amp;$B57,防護具!$S$31:$S$163))-CH57,0)</f>
        <v>0</v>
      </c>
      <c r="CJ58" s="2000">
        <f>IFERROR(
SUM(CI58,SUMIF(防護具!$B$31:$B$163,CJ$23&amp;$B57,防護具!$S$31:$S$163))-CI57,0)</f>
        <v>0</v>
      </c>
      <c r="CK58" s="2000">
        <f>IFERROR(
SUM(CJ58,SUMIF(防護具!$B$31:$B$163,CK$23&amp;$B57,防護具!$S$31:$S$163))-CJ57,0)</f>
        <v>0</v>
      </c>
      <c r="CL58" s="2000">
        <f>IFERROR(
SUM(CK58,SUMIF(防護具!$B$31:$B$163,CL$23&amp;$B57,防護具!$S$31:$S$163))-CK57,0)</f>
        <v>0</v>
      </c>
      <c r="CM58" s="2000">
        <f>IFERROR(
SUM(CL58,SUMIF(防護具!$B$31:$B$163,CM$23&amp;$B57,防護具!$S$31:$S$163))-CL57,0)</f>
        <v>0</v>
      </c>
      <c r="CN58" s="2000">
        <f>IFERROR(
SUM(CM58,SUMIF(防護具!$B$31:$B$163,CN$23&amp;$B57,防護具!$S$31:$S$163))-CM57,0)</f>
        <v>0</v>
      </c>
      <c r="CO58" s="2000">
        <f>IFERROR(
SUM(CN58,SUMIF(防護具!$B$31:$B$163,CO$23&amp;$B57,防護具!$S$31:$S$163))-CN57,0)</f>
        <v>0</v>
      </c>
      <c r="CP58" s="2000">
        <f>IFERROR(
SUM(CO58,SUMIF(防護具!$B$31:$B$163,CP$23&amp;$B57,防護具!$S$31:$S$163))-CO57,0)</f>
        <v>0</v>
      </c>
      <c r="CQ58" s="2000">
        <f>IFERROR(
SUM(CP58,SUMIF(防護具!$B$31:$B$163,CQ$23&amp;$B57,防護具!$S$31:$S$163))-CP57,0)</f>
        <v>0</v>
      </c>
      <c r="CR58" s="2000">
        <f>IFERROR(
SUM(CQ58,SUMIF(防護具!$B$31:$B$163,CR$23&amp;$B57,防護具!$S$31:$S$163))-CQ57,0)</f>
        <v>0</v>
      </c>
      <c r="CS58" s="2000">
        <f>IFERROR(
SUM(CR58,SUMIF(防護具!$B$31:$B$163,CS$23&amp;$B57,防護具!$S$31:$S$163))-CR57,0)</f>
        <v>0</v>
      </c>
      <c r="CT58" s="2000">
        <f>IFERROR(
SUM(CS58,SUMIF(防護具!$B$31:$B$163,CT$23&amp;$B57,防護具!$S$31:$S$163))-CS57,0)</f>
        <v>0</v>
      </c>
      <c r="CU58" s="2000">
        <f>IFERROR(
SUM(CT58,SUMIF(防護具!$B$31:$B$163,CU$23&amp;$B57,防護具!$S$31:$S$163))-CT57,0)</f>
        <v>0</v>
      </c>
      <c r="CV58" s="2000">
        <f>IFERROR(
SUM(CU58,SUMIF(防護具!$B$31:$B$163,CV$23&amp;$B57,防護具!$S$31:$S$163))-CU57,0)</f>
        <v>0</v>
      </c>
      <c r="CW58" s="2000">
        <f>IFERROR(
SUM(CV58,SUMIF(防護具!$B$31:$B$163,CW$23&amp;$B57,防護具!$S$31:$S$163))-CV57,0)</f>
        <v>0</v>
      </c>
      <c r="CX58" s="2000">
        <f>IFERROR(
SUM(CW58,SUMIF(防護具!$B$31:$B$163,CX$23&amp;$B57,防護具!$S$31:$S$163))-CW57,0)</f>
        <v>0</v>
      </c>
      <c r="CY58" s="2000">
        <f>IFERROR(
SUM(CX58,SUMIF(防護具!$B$31:$B$163,CY$23&amp;$B57,防護具!$S$31:$S$163))-CX57,0)</f>
        <v>0</v>
      </c>
      <c r="CZ58" s="2000">
        <f>IFERROR(
SUM(CY58,SUMIF(防護具!$B$31:$B$163,CZ$23&amp;$B57,防護具!$S$31:$S$163))-CY57,0)</f>
        <v>0</v>
      </c>
      <c r="DA58" s="2000">
        <f>IFERROR(
SUM(CZ58,SUMIF(防護具!$B$31:$B$163,DA$23&amp;$B57,防護具!$S$31:$S$163))-CZ57,0)</f>
        <v>0</v>
      </c>
      <c r="DB58" s="2000">
        <f>IFERROR(
SUM(DA58,SUMIF(防護具!$B$31:$B$163,DB$23&amp;$B57,防護具!$S$31:$S$163))-DA57,0)</f>
        <v>0</v>
      </c>
      <c r="DC58" s="2000">
        <f>IFERROR(
SUM(DB58,SUMIF(防護具!$B$31:$B$163,DC$23&amp;$B57,防護具!$S$31:$S$163))-DB57,0)</f>
        <v>0</v>
      </c>
      <c r="DD58" s="2000">
        <f>IFERROR(
SUM(DC58,SUMIF(防護具!$B$31:$B$163,DD$23&amp;$B57,防護具!$S$31:$S$163))-DC57,0)</f>
        <v>0</v>
      </c>
      <c r="DE58" s="2000">
        <f>IFERROR(
SUM(DD58,SUMIF(防護具!$B$31:$B$163,DE$23&amp;$B57,防護具!$S$31:$S$163))-DD57,0)</f>
        <v>0</v>
      </c>
      <c r="DF58" s="2000">
        <f>IFERROR(
SUM(DE58,SUMIF(防護具!$B$31:$B$163,DF$23&amp;$B57,防護具!$S$31:$S$163))-DE57,0)</f>
        <v>0</v>
      </c>
      <c r="DG58" s="2000">
        <f>IFERROR(
SUM(DF58,SUMIF(防護具!$B$31:$B$163,DG$23&amp;$B57,防護具!$S$31:$S$163))-DF57,0)</f>
        <v>0</v>
      </c>
      <c r="DH58" s="2000">
        <f>IFERROR(
SUM(DG58,SUMIF(防護具!$B$31:$B$163,DH$23&amp;$B57,防護具!$S$31:$S$163))-DG57,0)</f>
        <v>0</v>
      </c>
      <c r="DI58" s="2000">
        <f>IFERROR(
SUM(DH58,SUMIF(防護具!$B$31:$B$163,DI$23&amp;$B57,防護具!$S$31:$S$163))-DH57,0)</f>
        <v>0</v>
      </c>
      <c r="DJ58" s="2000">
        <f>IFERROR(
SUM(DI58,SUMIF(防護具!$B$31:$B$163,DJ$23&amp;$B57,防護具!$S$31:$S$163))-DI57,0)</f>
        <v>0</v>
      </c>
      <c r="DK58" s="2000">
        <f>IFERROR(
SUM(DJ58,SUMIF(防護具!$B$31:$B$163,DK$23&amp;$B57,防護具!$S$31:$S$163))-DJ57,0)</f>
        <v>0</v>
      </c>
      <c r="DL58" s="2000">
        <f>IFERROR(
SUM(DK58,SUMIF(防護具!$B$31:$B$163,DL$23&amp;$B57,防護具!$S$31:$S$163))-DK57,0)</f>
        <v>0</v>
      </c>
      <c r="DM58" s="2000">
        <f>IFERROR(
SUM(DL58,SUMIF(防護具!$B$31:$B$163,DM$23&amp;$B57,防護具!$S$31:$S$163))-DL57,0)</f>
        <v>0</v>
      </c>
      <c r="DN58" s="2000">
        <f>IFERROR(
SUM(DM58,SUMIF(防護具!$B$31:$B$163,DN$23&amp;$B57,防護具!$S$31:$S$163))-DM57,0)</f>
        <v>0</v>
      </c>
      <c r="DO58" s="2000">
        <f>IFERROR(
SUM(DN58,SUMIF(防護具!$B$31:$B$163,DO$23&amp;$B57,防護具!$S$31:$S$163))-DN57,0)</f>
        <v>0</v>
      </c>
      <c r="DP58" s="2000">
        <f>IFERROR(
SUM(DO58,SUMIF(防護具!$B$31:$B$163,DP$23&amp;$B57,防護具!$S$31:$S$163))-DO57,0)</f>
        <v>0</v>
      </c>
      <c r="DQ58" s="2000">
        <f>IFERROR(
SUM(DP58,SUMIF(防護具!$B$31:$B$163,DQ$23&amp;$B57,防護具!$S$31:$S$163))-DP57,0)</f>
        <v>0</v>
      </c>
      <c r="DR58" s="2000">
        <f>IFERROR(
SUM(DQ58,SUMIF(防護具!$B$31:$B$163,DR$23&amp;$B57,防護具!$S$31:$S$163))-DQ57,0)</f>
        <v>0</v>
      </c>
      <c r="DS58" s="2000">
        <f>IFERROR(
SUM(DR58,SUMIF(防護具!$B$31:$B$163,DS$23&amp;$B57,防護具!$S$31:$S$163))-DR57,0)</f>
        <v>0</v>
      </c>
      <c r="DT58" s="2000">
        <f>IFERROR(
SUM(DS58,SUMIF(防護具!$B$31:$B$163,DT$23&amp;$B57,防護具!$S$31:$S$163))-DS57,0)</f>
        <v>0</v>
      </c>
      <c r="DU58" s="2000">
        <f>IFERROR(
SUM(DT58,SUMIF(防護具!$B$31:$B$163,DU$23&amp;$B57,防護具!$S$31:$S$163))-DT57,0)</f>
        <v>0</v>
      </c>
      <c r="DV58" s="2000">
        <f>IFERROR(
SUM(DU58,SUMIF(防護具!$B$31:$B$163,DV$23&amp;$B57,防護具!$S$31:$S$163))-DU57,0)</f>
        <v>0</v>
      </c>
      <c r="DW58" s="2000">
        <f>IFERROR(
SUM(DV58,SUMIF(防護具!$B$31:$B$163,DW$23&amp;$B57,防護具!$S$31:$S$163))-DV57,0)</f>
        <v>0</v>
      </c>
      <c r="DX58" s="2000">
        <f>IFERROR(
SUM(DW58,SUMIF(防護具!$B$31:$B$163,DX$23&amp;$B57,防護具!$S$31:$S$163))-DW57,0)</f>
        <v>0</v>
      </c>
      <c r="DY58" s="2000">
        <f>IFERROR(
SUM(DX58,SUMIF(防護具!$B$31:$B$163,DY$23&amp;$B57,防護具!$S$31:$S$163))-DX57,0)</f>
        <v>0</v>
      </c>
      <c r="DZ58" s="2000">
        <f>IFERROR(
SUM(DY58,SUMIF(防護具!$B$31:$B$163,DZ$23&amp;$B57,防護具!$S$31:$S$163))-DY57,0)</f>
        <v>0</v>
      </c>
      <c r="EA58" s="2000">
        <f>IFERROR(
SUM(DZ58,SUMIF(防護具!$B$31:$B$163,EA$23&amp;$B57,防護具!$S$31:$S$163))-DZ57,0)</f>
        <v>0</v>
      </c>
      <c r="EB58" s="2000">
        <f>IFERROR(
SUM(EA58,SUMIF(防護具!$B$31:$B$163,EB$23&amp;$B57,防護具!$S$31:$S$163))-EA57,0)</f>
        <v>0</v>
      </c>
      <c r="EC58" s="2000">
        <f>IFERROR(
SUM(EB58,SUMIF(防護具!$B$31:$B$163,EC$23&amp;$B57,防護具!$S$31:$S$163))-EB57,0)</f>
        <v>0</v>
      </c>
      <c r="ED58" s="2000">
        <f>IFERROR(
SUM(EC58,SUMIF(防護具!$B$31:$B$163,ED$23&amp;$B57,防護具!$S$31:$S$163))-EC57,0)</f>
        <v>0</v>
      </c>
      <c r="EE58" s="2000">
        <f>IFERROR(
SUM(ED58,SUMIF(防護具!$B$31:$B$163,EE$23&amp;$B57,防護具!$S$31:$S$163))-ED57,0)</f>
        <v>0</v>
      </c>
      <c r="EF58" s="2000">
        <f>IFERROR(
SUM(EE58,SUMIF(防護具!$B$31:$B$163,EF$23&amp;$B57,防護具!$S$31:$S$163))-EE57,0)</f>
        <v>0</v>
      </c>
      <c r="EG58" s="2000">
        <f>IFERROR(
SUM(EF58,SUMIF(防護具!$B$31:$B$163,EG$23&amp;$B57,防護具!$S$31:$S$163))-EF57,0)</f>
        <v>0</v>
      </c>
      <c r="EH58" s="2000">
        <f>IFERROR(
SUM(EG58,SUMIF(防護具!$B$31:$B$163,EH$23&amp;$B57,防護具!$S$31:$S$163))-EG57,0)</f>
        <v>0</v>
      </c>
      <c r="EI58" s="2000">
        <f>IFERROR(
SUM(EH58,SUMIF(防護具!$B$31:$B$163,EI$23&amp;$B57,防護具!$S$31:$S$163))-EH57,0)</f>
        <v>0</v>
      </c>
      <c r="EJ58" s="2000">
        <f>IFERROR(
SUM(EI58,SUMIF(防護具!$B$31:$B$163,EJ$23&amp;$B57,防護具!$S$31:$S$163))-EI57,0)</f>
        <v>0</v>
      </c>
      <c r="EK58" s="2000">
        <f>IFERROR(
SUM(EJ58,SUMIF(防護具!$B$31:$B$163,EK$23&amp;$B57,防護具!$S$31:$S$163))-EJ57,0)</f>
        <v>0</v>
      </c>
      <c r="EL58" s="2000">
        <f>IFERROR(
SUM(EK58,SUMIF(防護具!$B$31:$B$163,EL$23&amp;$B57,防護具!$S$31:$S$163))-EK57,0)</f>
        <v>0</v>
      </c>
      <c r="EM58" s="2000">
        <f>IFERROR(
SUM(EL58,SUMIF(防護具!$B$31:$B$163,EM$23&amp;$B57,防護具!$S$31:$S$163))-EL57,0)</f>
        <v>0</v>
      </c>
      <c r="EN58" s="2000">
        <f>IFERROR(
SUM(EM58,SUMIF(防護具!$B$31:$B$163,EN$23&amp;$B57,防護具!$S$31:$S$163))-EM57,0)</f>
        <v>0</v>
      </c>
      <c r="EO58" s="2000">
        <f>IFERROR(
SUM(EN58,SUMIF(防護具!$B$31:$B$163,EO$23&amp;$B57,防護具!$S$31:$S$163))-EN57,0)</f>
        <v>0</v>
      </c>
      <c r="EP58" s="2000">
        <f>IFERROR(
SUM(EO58,SUMIF(防護具!$B$31:$B$163,EP$23&amp;$B57,防護具!$S$31:$S$163))-EO57,0)</f>
        <v>0</v>
      </c>
      <c r="EQ58" s="2000">
        <f>IFERROR(
SUM(EP58,SUMIF(防護具!$B$31:$B$163,EQ$23&amp;$B57,防護具!$S$31:$S$163))-EP57,0)</f>
        <v>0</v>
      </c>
      <c r="ER58" s="2000">
        <f>IFERROR(
SUM(EQ58,SUMIF(防護具!$B$31:$B$163,ER$23&amp;$B57,防護具!$S$31:$S$163))-EQ57,0)</f>
        <v>0</v>
      </c>
      <c r="ES58" s="2000">
        <f>IFERROR(
SUM(ER58,SUMIF(防護具!$B$31:$B$163,ES$23&amp;$B57,防護具!$S$31:$S$163))-ER57,0)</f>
        <v>0</v>
      </c>
      <c r="ET58" s="2000">
        <f>IFERROR(
SUM(ES58,SUMIF(防護具!$B$31:$B$163,ET$23&amp;$B57,防護具!$S$31:$S$163))-ES57,0)</f>
        <v>0</v>
      </c>
      <c r="EU58" s="2000">
        <f>IFERROR(
SUM(ET58,SUMIF(防護具!$B$31:$B$163,EU$23&amp;$B57,防護具!$S$31:$S$163))-ET57,0)</f>
        <v>0</v>
      </c>
      <c r="EV58" s="2000">
        <f>IFERROR(
SUM(EU58,SUMIF(防護具!$B$31:$B$163,EV$23&amp;$B57,防護具!$S$31:$S$163))-EU57,0)</f>
        <v>0</v>
      </c>
      <c r="EW58" s="2000">
        <f>IFERROR(
SUM(EV58,SUMIF(防護具!$B$31:$B$163,EW$23&amp;$B57,防護具!$S$31:$S$163))-EV57,0)</f>
        <v>0</v>
      </c>
      <c r="EX58" s="2000">
        <f>IFERROR(
SUM(EW58,SUMIF(防護具!$B$31:$B$163,EX$23&amp;$B57,防護具!$S$31:$S$163))-EW57,0)</f>
        <v>0</v>
      </c>
      <c r="EY58" s="2000">
        <f>IFERROR(
SUM(EX58,SUMIF(防護具!$B$31:$B$163,EY$23&amp;$B57,防護具!$S$31:$S$163))-EX57,0)</f>
        <v>0</v>
      </c>
      <c r="EZ58" s="2000">
        <f>IFERROR(
SUM(EY58,SUMIF(防護具!$B$31:$B$163,EZ$23&amp;$B57,防護具!$S$31:$S$163))-EY57,0)</f>
        <v>0</v>
      </c>
      <c r="FA58" s="2000">
        <f>IFERROR(
SUM(EZ58,SUMIF(防護具!$B$31:$B$163,FA$23&amp;$B57,防護具!$S$31:$S$163))-EZ57,0)</f>
        <v>0</v>
      </c>
      <c r="FB58" s="2000">
        <f>IFERROR(
SUM(FA58,SUMIF(防護具!$B$31:$B$163,FB$23&amp;$B57,防護具!$S$31:$S$163))-FA57,0)</f>
        <v>0</v>
      </c>
      <c r="FC58" s="2000">
        <f>IFERROR(
SUM(FB58,SUMIF(防護具!$B$31:$B$163,FC$23&amp;$B57,防護具!$S$31:$S$163))-FB57,0)</f>
        <v>0</v>
      </c>
      <c r="FD58" s="2000">
        <f>IFERROR(
SUM(FC58,SUMIF(防護具!$B$31:$B$163,FD$23&amp;$B57,防護具!$S$31:$S$163))-FC57,0)</f>
        <v>0</v>
      </c>
      <c r="FE58" s="2000">
        <f>IFERROR(
SUM(FD58,SUMIF(防護具!$B$31:$B$163,FE$23&amp;$B57,防護具!$S$31:$S$163))-FD57,0)</f>
        <v>0</v>
      </c>
      <c r="FF58" s="2000">
        <f>IFERROR(
SUM(FE58,SUMIF(防護具!$B$31:$B$163,FF$23&amp;$B57,防護具!$S$31:$S$163))-FE57,0)</f>
        <v>0</v>
      </c>
      <c r="FG58" s="2000">
        <f>IFERROR(
SUM(FF58,SUMIF(防護具!$B$31:$B$163,FG$23&amp;$B57,防護具!$S$31:$S$163))-FF57,0)</f>
        <v>0</v>
      </c>
      <c r="FH58" s="2000">
        <f>IFERROR(
SUM(FG58,SUMIF(防護具!$B$31:$B$163,FH$23&amp;$B57,防護具!$S$31:$S$163))-FG57,0)</f>
        <v>0</v>
      </c>
      <c r="FI58" s="2000">
        <f>IFERROR(
SUM(FH58,SUMIF(防護具!$B$31:$B$163,FI$23&amp;$B57,防護具!$S$31:$S$163))-FH57,0)</f>
        <v>0</v>
      </c>
      <c r="FJ58" s="2000">
        <f>IFERROR(
SUM(FI58,SUMIF(防護具!$B$31:$B$163,FJ$23&amp;$B57,防護具!$S$31:$S$163))-FI57,0)</f>
        <v>0</v>
      </c>
      <c r="FK58" s="2000">
        <f>IFERROR(
SUM(FJ58,SUMIF(防護具!$B$31:$B$163,FK$23&amp;$B57,防護具!$S$31:$S$163))-FJ57,0)</f>
        <v>0</v>
      </c>
      <c r="FL58" s="2000">
        <f>IFERROR(
SUM(FK58,SUMIF(防護具!$B$31:$B$163,FL$23&amp;$B57,防護具!$S$31:$S$163))-FK57,0)</f>
        <v>0</v>
      </c>
      <c r="FM58" s="2000">
        <f>IFERROR(
SUM(FL58,SUMIF(防護具!$B$31:$B$163,FM$23&amp;$B57,防護具!$S$31:$S$163))-FL57,0)</f>
        <v>0</v>
      </c>
      <c r="FN58" s="2000">
        <f>IFERROR(
SUM(FM58,SUMIF(防護具!$B$31:$B$163,FN$23&amp;$B57,防護具!$S$31:$S$163))-FM57,0)</f>
        <v>0</v>
      </c>
      <c r="FO58" s="2000">
        <f>IFERROR(
SUM(FN58,SUMIF(防護具!$B$31:$B$163,FO$23&amp;$B57,防護具!$S$31:$S$163))-FN57,0)</f>
        <v>0</v>
      </c>
      <c r="FP58" s="2000">
        <f>IFERROR(
SUM(FO58,SUMIF(防護具!$B$31:$B$163,FP$23&amp;$B57,防護具!$S$31:$S$163))-FO57,0)</f>
        <v>0</v>
      </c>
      <c r="FQ58" s="2000">
        <f>IFERROR(
SUM(FP58,SUMIF(防護具!$B$31:$B$163,FQ$23&amp;$B57,防護具!$S$31:$S$163))-FP57,0)</f>
        <v>0</v>
      </c>
      <c r="FR58" s="2000">
        <f>IFERROR(
SUM(FQ58,SUMIF(防護具!$B$31:$B$163,FR$23&amp;$B57,防護具!$S$31:$S$163))-FQ57,0)</f>
        <v>0</v>
      </c>
      <c r="FS58" s="2000">
        <f>IFERROR(
SUM(FR58,SUMIF(防護具!$B$31:$B$163,FS$23&amp;$B57,防護具!$S$31:$S$163))-FR57,0)</f>
        <v>0</v>
      </c>
      <c r="FT58" s="2000">
        <f>IFERROR(
SUM(FS58,SUMIF(防護具!$B$31:$B$163,FT$23&amp;$B57,防護具!$S$31:$S$163))-FS57,0)</f>
        <v>0</v>
      </c>
      <c r="FU58" s="2000">
        <f>IFERROR(
SUM(FT58,SUMIF(防護具!$B$31:$B$163,FU$23&amp;$B57,防護具!$S$31:$S$163))-FT57,0)</f>
        <v>0</v>
      </c>
      <c r="FV58" s="2000">
        <f>IFERROR(
SUM(FU58,SUMIF(防護具!$B$31:$B$163,FV$23&amp;$B57,防護具!$S$31:$S$163))-FU57,0)</f>
        <v>0</v>
      </c>
      <c r="FW58" s="2000">
        <f>IFERROR(
SUM(FV58,SUMIF(防護具!$B$31:$B$163,FW$23&amp;$B57,防護具!$S$31:$S$163))-FV57,0)</f>
        <v>0</v>
      </c>
      <c r="FX58" s="2000">
        <f>IFERROR(
SUM(FW58,SUMIF(防護具!$B$31:$B$163,FX$23&amp;$B57,防護具!$S$31:$S$163))-FW57,0)</f>
        <v>0</v>
      </c>
      <c r="FY58" s="2000">
        <f>IFERROR(
SUM(FX58,SUMIF(防護具!$B$31:$B$163,FY$23&amp;$B57,防護具!$S$31:$S$163))-FX57,0)</f>
        <v>0</v>
      </c>
      <c r="FZ58" s="2000">
        <f>IFERROR(
SUM(FY58,SUMIF(防護具!$B$31:$B$163,FZ$23&amp;$B57,防護具!$S$31:$S$163))-FY57,0)</f>
        <v>0</v>
      </c>
      <c r="GA58" s="2000">
        <f>IFERROR(
SUM(FZ58,SUMIF(防護具!$B$31:$B$163,GA$23&amp;$B57,防護具!$S$31:$S$163))-FZ57,0)</f>
        <v>0</v>
      </c>
      <c r="GB58" s="2000">
        <f>IFERROR(
SUM(GA58,SUMIF(防護具!$B$31:$B$163,GB$23&amp;$B57,防護具!$S$31:$S$163))-GA57,0)</f>
        <v>0</v>
      </c>
      <c r="GC58" s="2000">
        <f>IFERROR(
SUM(GB58,SUMIF(防護具!$B$31:$B$163,GC$23&amp;$B57,防護具!$S$31:$S$163))-GB57,0)</f>
        <v>0</v>
      </c>
      <c r="GD58" s="2000">
        <f>IFERROR(
SUM(GC58,SUMIF(防護具!$B$31:$B$163,GD$23&amp;$B57,防護具!$S$31:$S$163))-GC57,0)</f>
        <v>0</v>
      </c>
      <c r="GE58" s="2000">
        <f>IFERROR(
SUM(GD58,SUMIF(防護具!$B$31:$B$163,GE$23&amp;$B57,防護具!$S$31:$S$163))-GD57,0)</f>
        <v>0</v>
      </c>
      <c r="GF58" s="2000">
        <f>IFERROR(
SUM(GE58,SUMIF(防護具!$B$31:$B$163,GF$23&amp;$B57,防護具!$S$31:$S$163))-GE57,0)</f>
        <v>0</v>
      </c>
    </row>
    <row r="59" spans="1:188" s="639" customFormat="1" ht="15" customHeight="1" x14ac:dyDescent="0.4">
      <c r="A59" s="631"/>
      <c r="B59" s="639" t="s">
        <v>1264</v>
      </c>
      <c r="C59" s="1995" t="s">
        <v>1388</v>
      </c>
      <c r="D59" s="1996"/>
      <c r="E59" s="640"/>
      <c r="F59" s="2000">
        <f>SUMIF(防護具!$B$14:$B$30,F$23&amp;B57,防護具!$S$14:$S$30)</f>
        <v>0</v>
      </c>
      <c r="G59" s="2000">
        <f xml:space="preserve">
IF(G$25="休診日",F59,
IF(F59-VLOOKUP(F$22&amp;$B57,$B$96:$D$191,2,FALSE)&lt;0,0,F59-VLOOKUP(F$22&amp;$B57,$B$96:$D$191,2,FALSE)))</f>
        <v>0</v>
      </c>
      <c r="H59" s="2000">
        <f t="shared" ref="H59:BS59" si="49" xml:space="preserve">
IF(H$25="休診日",G59,
IF(G59-VLOOKUP(G$22&amp;$B57,$B$96:$D$191,2,FALSE)&lt;0,0,G59-VLOOKUP(G$22&amp;$B57,$B$96:$D$191,2,FALSE)))</f>
        <v>0</v>
      </c>
      <c r="I59" s="2000">
        <f t="shared" si="49"/>
        <v>0</v>
      </c>
      <c r="J59" s="2000">
        <f t="shared" si="49"/>
        <v>0</v>
      </c>
      <c r="K59" s="2000">
        <f t="shared" si="49"/>
        <v>0</v>
      </c>
      <c r="L59" s="2000">
        <f t="shared" si="49"/>
        <v>0</v>
      </c>
      <c r="M59" s="2000">
        <f t="shared" si="49"/>
        <v>0</v>
      </c>
      <c r="N59" s="2000">
        <f t="shared" si="49"/>
        <v>0</v>
      </c>
      <c r="O59" s="2000">
        <f t="shared" si="49"/>
        <v>0</v>
      </c>
      <c r="P59" s="2000">
        <f t="shared" si="49"/>
        <v>0</v>
      </c>
      <c r="Q59" s="2000">
        <f t="shared" si="49"/>
        <v>0</v>
      </c>
      <c r="R59" s="2000">
        <f t="shared" si="49"/>
        <v>0</v>
      </c>
      <c r="S59" s="2000">
        <f t="shared" si="49"/>
        <v>0</v>
      </c>
      <c r="T59" s="2000">
        <f t="shared" si="49"/>
        <v>0</v>
      </c>
      <c r="U59" s="2000">
        <f t="shared" si="49"/>
        <v>0</v>
      </c>
      <c r="V59" s="2000">
        <f t="shared" si="49"/>
        <v>0</v>
      </c>
      <c r="W59" s="2000">
        <f t="shared" si="49"/>
        <v>0</v>
      </c>
      <c r="X59" s="2000">
        <f t="shared" si="49"/>
        <v>0</v>
      </c>
      <c r="Y59" s="2000">
        <f t="shared" si="49"/>
        <v>0</v>
      </c>
      <c r="Z59" s="2000">
        <f t="shared" si="49"/>
        <v>0</v>
      </c>
      <c r="AA59" s="2000">
        <f t="shared" si="49"/>
        <v>0</v>
      </c>
      <c r="AB59" s="2000">
        <f t="shared" si="49"/>
        <v>0</v>
      </c>
      <c r="AC59" s="2000">
        <f t="shared" si="49"/>
        <v>0</v>
      </c>
      <c r="AD59" s="2000">
        <f t="shared" si="49"/>
        <v>0</v>
      </c>
      <c r="AE59" s="2000">
        <f t="shared" si="49"/>
        <v>0</v>
      </c>
      <c r="AF59" s="2000">
        <f t="shared" si="49"/>
        <v>0</v>
      </c>
      <c r="AG59" s="2000">
        <f t="shared" si="49"/>
        <v>0</v>
      </c>
      <c r="AH59" s="2000">
        <f t="shared" si="49"/>
        <v>0</v>
      </c>
      <c r="AI59" s="2000">
        <f t="shared" si="49"/>
        <v>0</v>
      </c>
      <c r="AJ59" s="2000">
        <f t="shared" si="49"/>
        <v>0</v>
      </c>
      <c r="AK59" s="2000">
        <f t="shared" si="49"/>
        <v>0</v>
      </c>
      <c r="AL59" s="2000">
        <f t="shared" si="49"/>
        <v>0</v>
      </c>
      <c r="AM59" s="2000">
        <f t="shared" si="49"/>
        <v>0</v>
      </c>
      <c r="AN59" s="2000">
        <f t="shared" si="49"/>
        <v>0</v>
      </c>
      <c r="AO59" s="2000">
        <f t="shared" si="49"/>
        <v>0</v>
      </c>
      <c r="AP59" s="2000">
        <f t="shared" si="49"/>
        <v>0</v>
      </c>
      <c r="AQ59" s="2000">
        <f t="shared" si="49"/>
        <v>0</v>
      </c>
      <c r="AR59" s="2000">
        <f t="shared" si="49"/>
        <v>0</v>
      </c>
      <c r="AS59" s="2000">
        <f t="shared" si="49"/>
        <v>0</v>
      </c>
      <c r="AT59" s="2000">
        <f t="shared" si="49"/>
        <v>0</v>
      </c>
      <c r="AU59" s="2000">
        <f t="shared" si="49"/>
        <v>0</v>
      </c>
      <c r="AV59" s="2000">
        <f t="shared" si="49"/>
        <v>0</v>
      </c>
      <c r="AW59" s="2000">
        <f t="shared" si="49"/>
        <v>0</v>
      </c>
      <c r="AX59" s="2000">
        <f t="shared" si="49"/>
        <v>0</v>
      </c>
      <c r="AY59" s="2000">
        <f t="shared" si="49"/>
        <v>0</v>
      </c>
      <c r="AZ59" s="2000">
        <f t="shared" si="49"/>
        <v>0</v>
      </c>
      <c r="BA59" s="2000">
        <f t="shared" si="49"/>
        <v>0</v>
      </c>
      <c r="BB59" s="2000">
        <f t="shared" si="49"/>
        <v>0</v>
      </c>
      <c r="BC59" s="2000">
        <f t="shared" si="49"/>
        <v>0</v>
      </c>
      <c r="BD59" s="2000">
        <f t="shared" si="49"/>
        <v>0</v>
      </c>
      <c r="BE59" s="2000">
        <f t="shared" si="49"/>
        <v>0</v>
      </c>
      <c r="BF59" s="2000">
        <f t="shared" si="49"/>
        <v>0</v>
      </c>
      <c r="BG59" s="2000">
        <f t="shared" si="49"/>
        <v>0</v>
      </c>
      <c r="BH59" s="2000">
        <f t="shared" si="49"/>
        <v>0</v>
      </c>
      <c r="BI59" s="2000">
        <f t="shared" si="49"/>
        <v>0</v>
      </c>
      <c r="BJ59" s="2000">
        <f t="shared" si="49"/>
        <v>0</v>
      </c>
      <c r="BK59" s="2000">
        <f t="shared" si="49"/>
        <v>0</v>
      </c>
      <c r="BL59" s="2000">
        <f t="shared" si="49"/>
        <v>0</v>
      </c>
      <c r="BM59" s="2000">
        <f t="shared" si="49"/>
        <v>0</v>
      </c>
      <c r="BN59" s="2000">
        <f t="shared" si="49"/>
        <v>0</v>
      </c>
      <c r="BO59" s="2000">
        <f t="shared" si="49"/>
        <v>0</v>
      </c>
      <c r="BP59" s="2000">
        <f t="shared" si="49"/>
        <v>0</v>
      </c>
      <c r="BQ59" s="2000">
        <f t="shared" si="49"/>
        <v>0</v>
      </c>
      <c r="BR59" s="2000">
        <f t="shared" si="49"/>
        <v>0</v>
      </c>
      <c r="BS59" s="2000">
        <f t="shared" si="49"/>
        <v>0</v>
      </c>
      <c r="BT59" s="2000">
        <f t="shared" ref="BT59:EE59" si="50" xml:space="preserve">
IF(BT$25="休診日",BS59,
IF(BS59-VLOOKUP(BS$22&amp;$B57,$B$96:$D$191,2,FALSE)&lt;0,0,BS59-VLOOKUP(BS$22&amp;$B57,$B$96:$D$191,2,FALSE)))</f>
        <v>0</v>
      </c>
      <c r="BU59" s="2000">
        <f t="shared" si="50"/>
        <v>0</v>
      </c>
      <c r="BV59" s="2000">
        <f t="shared" si="50"/>
        <v>0</v>
      </c>
      <c r="BW59" s="2000">
        <f t="shared" si="50"/>
        <v>0</v>
      </c>
      <c r="BX59" s="2000">
        <f t="shared" si="50"/>
        <v>0</v>
      </c>
      <c r="BY59" s="2000">
        <f t="shared" si="50"/>
        <v>0</v>
      </c>
      <c r="BZ59" s="2000">
        <f t="shared" si="50"/>
        <v>0</v>
      </c>
      <c r="CA59" s="2000">
        <f t="shared" si="50"/>
        <v>0</v>
      </c>
      <c r="CB59" s="2000">
        <f t="shared" si="50"/>
        <v>0</v>
      </c>
      <c r="CC59" s="2000">
        <f t="shared" si="50"/>
        <v>0</v>
      </c>
      <c r="CD59" s="2000">
        <f t="shared" si="50"/>
        <v>0</v>
      </c>
      <c r="CE59" s="2000">
        <f t="shared" si="50"/>
        <v>0</v>
      </c>
      <c r="CF59" s="2000">
        <f t="shared" si="50"/>
        <v>0</v>
      </c>
      <c r="CG59" s="2000">
        <f t="shared" si="50"/>
        <v>0</v>
      </c>
      <c r="CH59" s="2000">
        <f t="shared" si="50"/>
        <v>0</v>
      </c>
      <c r="CI59" s="2000">
        <f t="shared" si="50"/>
        <v>0</v>
      </c>
      <c r="CJ59" s="2000">
        <f t="shared" si="50"/>
        <v>0</v>
      </c>
      <c r="CK59" s="2000">
        <f t="shared" si="50"/>
        <v>0</v>
      </c>
      <c r="CL59" s="2000">
        <f t="shared" si="50"/>
        <v>0</v>
      </c>
      <c r="CM59" s="2000">
        <f t="shared" si="50"/>
        <v>0</v>
      </c>
      <c r="CN59" s="2000">
        <f t="shared" si="50"/>
        <v>0</v>
      </c>
      <c r="CO59" s="2000">
        <f t="shared" si="50"/>
        <v>0</v>
      </c>
      <c r="CP59" s="2000">
        <f t="shared" si="50"/>
        <v>0</v>
      </c>
      <c r="CQ59" s="2000">
        <f t="shared" si="50"/>
        <v>0</v>
      </c>
      <c r="CR59" s="2000">
        <f t="shared" si="50"/>
        <v>0</v>
      </c>
      <c r="CS59" s="2000">
        <f t="shared" si="50"/>
        <v>0</v>
      </c>
      <c r="CT59" s="2000">
        <f t="shared" si="50"/>
        <v>0</v>
      </c>
      <c r="CU59" s="2000">
        <f t="shared" si="50"/>
        <v>0</v>
      </c>
      <c r="CV59" s="2000">
        <f t="shared" si="50"/>
        <v>0</v>
      </c>
      <c r="CW59" s="2000">
        <f t="shared" si="50"/>
        <v>0</v>
      </c>
      <c r="CX59" s="2000">
        <f t="shared" si="50"/>
        <v>0</v>
      </c>
      <c r="CY59" s="2000">
        <f t="shared" si="50"/>
        <v>0</v>
      </c>
      <c r="CZ59" s="2000">
        <f t="shared" si="50"/>
        <v>0</v>
      </c>
      <c r="DA59" s="2000">
        <f t="shared" si="50"/>
        <v>0</v>
      </c>
      <c r="DB59" s="2000">
        <f t="shared" si="50"/>
        <v>0</v>
      </c>
      <c r="DC59" s="2000">
        <f t="shared" si="50"/>
        <v>0</v>
      </c>
      <c r="DD59" s="2000">
        <f t="shared" si="50"/>
        <v>0</v>
      </c>
      <c r="DE59" s="2000">
        <f t="shared" si="50"/>
        <v>0</v>
      </c>
      <c r="DF59" s="2000">
        <f t="shared" si="50"/>
        <v>0</v>
      </c>
      <c r="DG59" s="2000">
        <f t="shared" si="50"/>
        <v>0</v>
      </c>
      <c r="DH59" s="2000">
        <f t="shared" si="50"/>
        <v>0</v>
      </c>
      <c r="DI59" s="2000">
        <f t="shared" si="50"/>
        <v>0</v>
      </c>
      <c r="DJ59" s="2000">
        <f t="shared" si="50"/>
        <v>0</v>
      </c>
      <c r="DK59" s="2000">
        <f t="shared" si="50"/>
        <v>0</v>
      </c>
      <c r="DL59" s="2000">
        <f t="shared" si="50"/>
        <v>0</v>
      </c>
      <c r="DM59" s="2000">
        <f t="shared" si="50"/>
        <v>0</v>
      </c>
      <c r="DN59" s="2000">
        <f t="shared" si="50"/>
        <v>0</v>
      </c>
      <c r="DO59" s="2000">
        <f t="shared" si="50"/>
        <v>0</v>
      </c>
      <c r="DP59" s="2000">
        <f t="shared" si="50"/>
        <v>0</v>
      </c>
      <c r="DQ59" s="2000">
        <f t="shared" si="50"/>
        <v>0</v>
      </c>
      <c r="DR59" s="2000">
        <f t="shared" si="50"/>
        <v>0</v>
      </c>
      <c r="DS59" s="2000">
        <f t="shared" si="50"/>
        <v>0</v>
      </c>
      <c r="DT59" s="2000">
        <f t="shared" si="50"/>
        <v>0</v>
      </c>
      <c r="DU59" s="2000">
        <f t="shared" si="50"/>
        <v>0</v>
      </c>
      <c r="DV59" s="2000">
        <f t="shared" si="50"/>
        <v>0</v>
      </c>
      <c r="DW59" s="2000">
        <f t="shared" si="50"/>
        <v>0</v>
      </c>
      <c r="DX59" s="2000">
        <f t="shared" si="50"/>
        <v>0</v>
      </c>
      <c r="DY59" s="2000">
        <f t="shared" si="50"/>
        <v>0</v>
      </c>
      <c r="DZ59" s="2000">
        <f t="shared" si="50"/>
        <v>0</v>
      </c>
      <c r="EA59" s="2000">
        <f t="shared" si="50"/>
        <v>0</v>
      </c>
      <c r="EB59" s="2000">
        <f t="shared" si="50"/>
        <v>0</v>
      </c>
      <c r="EC59" s="2000">
        <f t="shared" si="50"/>
        <v>0</v>
      </c>
      <c r="ED59" s="2000">
        <f t="shared" si="50"/>
        <v>0</v>
      </c>
      <c r="EE59" s="2000">
        <f t="shared" si="50"/>
        <v>0</v>
      </c>
      <c r="EF59" s="2000">
        <f t="shared" ref="EF59:GF59" si="51" xml:space="preserve">
IF(EF$25="休診日",EE59,
IF(EE59-VLOOKUP(EE$22&amp;$B57,$B$96:$D$191,2,FALSE)&lt;0,0,EE59-VLOOKUP(EE$22&amp;$B57,$B$96:$D$191,2,FALSE)))</f>
        <v>0</v>
      </c>
      <c r="EG59" s="2000">
        <f t="shared" si="51"/>
        <v>0</v>
      </c>
      <c r="EH59" s="2000">
        <f t="shared" si="51"/>
        <v>0</v>
      </c>
      <c r="EI59" s="2000">
        <f t="shared" si="51"/>
        <v>0</v>
      </c>
      <c r="EJ59" s="2000">
        <f t="shared" si="51"/>
        <v>0</v>
      </c>
      <c r="EK59" s="2000">
        <f t="shared" si="51"/>
        <v>0</v>
      </c>
      <c r="EL59" s="2000">
        <f t="shared" si="51"/>
        <v>0</v>
      </c>
      <c r="EM59" s="2000">
        <f t="shared" si="51"/>
        <v>0</v>
      </c>
      <c r="EN59" s="2000">
        <f t="shared" si="51"/>
        <v>0</v>
      </c>
      <c r="EO59" s="2000">
        <f t="shared" si="51"/>
        <v>0</v>
      </c>
      <c r="EP59" s="2000">
        <f t="shared" si="51"/>
        <v>0</v>
      </c>
      <c r="EQ59" s="2000">
        <f t="shared" si="51"/>
        <v>0</v>
      </c>
      <c r="ER59" s="2000">
        <f t="shared" si="51"/>
        <v>0</v>
      </c>
      <c r="ES59" s="2000">
        <f t="shared" si="51"/>
        <v>0</v>
      </c>
      <c r="ET59" s="2000">
        <f t="shared" si="51"/>
        <v>0</v>
      </c>
      <c r="EU59" s="2000">
        <f t="shared" si="51"/>
        <v>0</v>
      </c>
      <c r="EV59" s="2000">
        <f t="shared" si="51"/>
        <v>0</v>
      </c>
      <c r="EW59" s="2000">
        <f t="shared" si="51"/>
        <v>0</v>
      </c>
      <c r="EX59" s="2000">
        <f t="shared" si="51"/>
        <v>0</v>
      </c>
      <c r="EY59" s="2000">
        <f t="shared" si="51"/>
        <v>0</v>
      </c>
      <c r="EZ59" s="2000">
        <f t="shared" si="51"/>
        <v>0</v>
      </c>
      <c r="FA59" s="2000">
        <f t="shared" si="51"/>
        <v>0</v>
      </c>
      <c r="FB59" s="2000">
        <f t="shared" si="51"/>
        <v>0</v>
      </c>
      <c r="FC59" s="2000">
        <f t="shared" si="51"/>
        <v>0</v>
      </c>
      <c r="FD59" s="2000">
        <f t="shared" si="51"/>
        <v>0</v>
      </c>
      <c r="FE59" s="2000">
        <f t="shared" si="51"/>
        <v>0</v>
      </c>
      <c r="FF59" s="2000">
        <f t="shared" si="51"/>
        <v>0</v>
      </c>
      <c r="FG59" s="2000">
        <f t="shared" si="51"/>
        <v>0</v>
      </c>
      <c r="FH59" s="2000">
        <f t="shared" si="51"/>
        <v>0</v>
      </c>
      <c r="FI59" s="2000">
        <f t="shared" si="51"/>
        <v>0</v>
      </c>
      <c r="FJ59" s="2000">
        <f t="shared" si="51"/>
        <v>0</v>
      </c>
      <c r="FK59" s="2000">
        <f t="shared" si="51"/>
        <v>0</v>
      </c>
      <c r="FL59" s="2000">
        <f t="shared" si="51"/>
        <v>0</v>
      </c>
      <c r="FM59" s="2000">
        <f t="shared" si="51"/>
        <v>0</v>
      </c>
      <c r="FN59" s="2000">
        <f t="shared" si="51"/>
        <v>0</v>
      </c>
      <c r="FO59" s="2000">
        <f t="shared" si="51"/>
        <v>0</v>
      </c>
      <c r="FP59" s="2000">
        <f t="shared" si="51"/>
        <v>0</v>
      </c>
      <c r="FQ59" s="2000">
        <f t="shared" si="51"/>
        <v>0</v>
      </c>
      <c r="FR59" s="2000">
        <f t="shared" si="51"/>
        <v>0</v>
      </c>
      <c r="FS59" s="2000">
        <f t="shared" si="51"/>
        <v>0</v>
      </c>
      <c r="FT59" s="2000">
        <f t="shared" si="51"/>
        <v>0</v>
      </c>
      <c r="FU59" s="2000">
        <f t="shared" si="51"/>
        <v>0</v>
      </c>
      <c r="FV59" s="2000">
        <f t="shared" si="51"/>
        <v>0</v>
      </c>
      <c r="FW59" s="2000">
        <f t="shared" si="51"/>
        <v>0</v>
      </c>
      <c r="FX59" s="2000">
        <f t="shared" si="51"/>
        <v>0</v>
      </c>
      <c r="FY59" s="2000">
        <f t="shared" si="51"/>
        <v>0</v>
      </c>
      <c r="FZ59" s="2000">
        <f t="shared" si="51"/>
        <v>0</v>
      </c>
      <c r="GA59" s="2000">
        <f t="shared" si="51"/>
        <v>0</v>
      </c>
      <c r="GB59" s="2000">
        <f t="shared" si="51"/>
        <v>0</v>
      </c>
      <c r="GC59" s="2000">
        <f t="shared" si="51"/>
        <v>0</v>
      </c>
      <c r="GD59" s="2000">
        <f t="shared" si="51"/>
        <v>0</v>
      </c>
      <c r="GE59" s="2000">
        <f t="shared" si="51"/>
        <v>0</v>
      </c>
      <c r="GF59" s="2000">
        <f t="shared" si="51"/>
        <v>0</v>
      </c>
    </row>
    <row r="60" spans="1:188" s="641" customFormat="1" ht="15" customHeight="1" x14ac:dyDescent="0.4">
      <c r="A60" s="631"/>
      <c r="B60" s="641" t="s">
        <v>1014</v>
      </c>
      <c r="C60" s="1989" t="s">
        <v>1386</v>
      </c>
      <c r="D60" s="1992"/>
      <c r="E60" s="642"/>
      <c r="F60" s="1998">
        <f xml:space="preserve">
IF($F$25="休診日",0,
MIN(F61,IF((VLOOKUP($F$22&amp;$B60,$B$96:$D$191,2,FALSE)-F62)&lt;0,0,VLOOKUP($F$22&amp;$B60,$B$96:$D$191,2,FALSE)-F62)))</f>
        <v>0</v>
      </c>
      <c r="G60" s="1998">
        <f xml:space="preserve">
IF(G$25="休診日",0,
IF(G62&gt;=VLOOKUP(G$22&amp;$B60,$B$96:$D$191,2,FALSE),0,
IF(AND(G62&lt;VLOOKUP(G$22&amp;$B60,$B$96:$D$191,2,FALSE),G61&lt;=VLOOKUP(G$22&amp;$B60,$B$96:$D$191,2,FALSE)),IF(G61-G62&lt;0,0,G61-G62),
IF(AND(G62&lt;VLOOKUP(G$22&amp;$B60,$B$96:$D$191,2,FALSE),G61&gt;VLOOKUP(G$22&amp;$B60,$B$96:$D$191,2,FALSE)),VLOOKUP(G$22&amp;$B60,$B$96:$D$191,2,FALSE)-G62))))</f>
        <v>0</v>
      </c>
      <c r="H60" s="1998">
        <f t="shared" ref="H60:BS60" si="52" xml:space="preserve">
IF(H$25="休診日",0,
IF(H62&gt;=VLOOKUP(H$22&amp;$B60,$B$96:$D$191,2,FALSE),0,
IF(AND(H62&lt;VLOOKUP(H$22&amp;$B60,$B$96:$D$191,2,FALSE),H61&lt;=VLOOKUP(H$22&amp;$B60,$B$96:$D$191,2,FALSE)),IF(H61-H62&lt;0,0,H61-H62),
IF(AND(H62&lt;VLOOKUP(H$22&amp;$B60,$B$96:$D$191,2,FALSE),H61&gt;VLOOKUP(H$22&amp;$B60,$B$96:$D$191,2,FALSE)),VLOOKUP(H$22&amp;$B60,$B$96:$D$191,2,FALSE)-H62))))</f>
        <v>0</v>
      </c>
      <c r="I60" s="1998">
        <f t="shared" si="52"/>
        <v>0</v>
      </c>
      <c r="J60" s="1998">
        <f t="shared" si="52"/>
        <v>0</v>
      </c>
      <c r="K60" s="1998">
        <f t="shared" si="52"/>
        <v>0</v>
      </c>
      <c r="L60" s="1998">
        <f t="shared" si="52"/>
        <v>0</v>
      </c>
      <c r="M60" s="1998">
        <f t="shared" si="52"/>
        <v>0</v>
      </c>
      <c r="N60" s="1998">
        <f t="shared" si="52"/>
        <v>0</v>
      </c>
      <c r="O60" s="1998">
        <f t="shared" si="52"/>
        <v>0</v>
      </c>
      <c r="P60" s="1998">
        <f t="shared" si="52"/>
        <v>0</v>
      </c>
      <c r="Q60" s="1998">
        <f t="shared" si="52"/>
        <v>0</v>
      </c>
      <c r="R60" s="1998">
        <f t="shared" si="52"/>
        <v>0</v>
      </c>
      <c r="S60" s="1998">
        <f t="shared" si="52"/>
        <v>0</v>
      </c>
      <c r="T60" s="1998">
        <f t="shared" si="52"/>
        <v>0</v>
      </c>
      <c r="U60" s="1998">
        <f t="shared" si="52"/>
        <v>0</v>
      </c>
      <c r="V60" s="1998">
        <f t="shared" si="52"/>
        <v>0</v>
      </c>
      <c r="W60" s="1998">
        <f t="shared" si="52"/>
        <v>0</v>
      </c>
      <c r="X60" s="1998">
        <f t="shared" si="52"/>
        <v>0</v>
      </c>
      <c r="Y60" s="1998">
        <f t="shared" si="52"/>
        <v>0</v>
      </c>
      <c r="Z60" s="1998">
        <f t="shared" si="52"/>
        <v>0</v>
      </c>
      <c r="AA60" s="1998">
        <f t="shared" si="52"/>
        <v>0</v>
      </c>
      <c r="AB60" s="1998">
        <f t="shared" si="52"/>
        <v>0</v>
      </c>
      <c r="AC60" s="1998">
        <f t="shared" si="52"/>
        <v>0</v>
      </c>
      <c r="AD60" s="1998">
        <f t="shared" si="52"/>
        <v>0</v>
      </c>
      <c r="AE60" s="1998">
        <f t="shared" si="52"/>
        <v>0</v>
      </c>
      <c r="AF60" s="1998">
        <f t="shared" si="52"/>
        <v>0</v>
      </c>
      <c r="AG60" s="1998">
        <f t="shared" si="52"/>
        <v>0</v>
      </c>
      <c r="AH60" s="1998">
        <f t="shared" si="52"/>
        <v>0</v>
      </c>
      <c r="AI60" s="1998">
        <f t="shared" si="52"/>
        <v>0</v>
      </c>
      <c r="AJ60" s="1998">
        <f t="shared" si="52"/>
        <v>0</v>
      </c>
      <c r="AK60" s="1998">
        <f t="shared" si="52"/>
        <v>0</v>
      </c>
      <c r="AL60" s="1998">
        <f t="shared" si="52"/>
        <v>0</v>
      </c>
      <c r="AM60" s="1998">
        <f t="shared" si="52"/>
        <v>0</v>
      </c>
      <c r="AN60" s="1998">
        <f t="shared" si="52"/>
        <v>0</v>
      </c>
      <c r="AO60" s="1998">
        <f t="shared" si="52"/>
        <v>0</v>
      </c>
      <c r="AP60" s="1998">
        <f t="shared" si="52"/>
        <v>0</v>
      </c>
      <c r="AQ60" s="1998">
        <f t="shared" si="52"/>
        <v>0</v>
      </c>
      <c r="AR60" s="1998">
        <f t="shared" si="52"/>
        <v>0</v>
      </c>
      <c r="AS60" s="1998">
        <f t="shared" si="52"/>
        <v>0</v>
      </c>
      <c r="AT60" s="1998">
        <f t="shared" si="52"/>
        <v>0</v>
      </c>
      <c r="AU60" s="1998">
        <f t="shared" si="52"/>
        <v>0</v>
      </c>
      <c r="AV60" s="1998">
        <f t="shared" si="52"/>
        <v>0</v>
      </c>
      <c r="AW60" s="1998">
        <f t="shared" si="52"/>
        <v>0</v>
      </c>
      <c r="AX60" s="1998">
        <f t="shared" si="52"/>
        <v>0</v>
      </c>
      <c r="AY60" s="1998">
        <f t="shared" si="52"/>
        <v>0</v>
      </c>
      <c r="AZ60" s="1998">
        <f t="shared" si="52"/>
        <v>0</v>
      </c>
      <c r="BA60" s="1998">
        <f t="shared" si="52"/>
        <v>0</v>
      </c>
      <c r="BB60" s="1998">
        <f t="shared" si="52"/>
        <v>0</v>
      </c>
      <c r="BC60" s="1998">
        <f t="shared" si="52"/>
        <v>0</v>
      </c>
      <c r="BD60" s="1998">
        <f t="shared" si="52"/>
        <v>0</v>
      </c>
      <c r="BE60" s="1998">
        <f t="shared" si="52"/>
        <v>0</v>
      </c>
      <c r="BF60" s="1998">
        <f t="shared" si="52"/>
        <v>0</v>
      </c>
      <c r="BG60" s="1998">
        <f t="shared" si="52"/>
        <v>0</v>
      </c>
      <c r="BH60" s="1998">
        <f t="shared" si="52"/>
        <v>0</v>
      </c>
      <c r="BI60" s="1998">
        <f t="shared" si="52"/>
        <v>0</v>
      </c>
      <c r="BJ60" s="1998">
        <f t="shared" si="52"/>
        <v>0</v>
      </c>
      <c r="BK60" s="1998">
        <f t="shared" si="52"/>
        <v>0</v>
      </c>
      <c r="BL60" s="1998">
        <f t="shared" si="52"/>
        <v>0</v>
      </c>
      <c r="BM60" s="1998">
        <f t="shared" si="52"/>
        <v>0</v>
      </c>
      <c r="BN60" s="1998">
        <f t="shared" si="52"/>
        <v>0</v>
      </c>
      <c r="BO60" s="1998">
        <f t="shared" si="52"/>
        <v>0</v>
      </c>
      <c r="BP60" s="1998">
        <f t="shared" si="52"/>
        <v>0</v>
      </c>
      <c r="BQ60" s="1998">
        <f t="shared" si="52"/>
        <v>0</v>
      </c>
      <c r="BR60" s="1998">
        <f t="shared" si="52"/>
        <v>0</v>
      </c>
      <c r="BS60" s="1998">
        <f t="shared" si="52"/>
        <v>0</v>
      </c>
      <c r="BT60" s="1998">
        <f t="shared" ref="BT60:EE60" si="53" xml:space="preserve">
IF(BT$25="休診日",0,
IF(BT62&gt;=VLOOKUP(BT$22&amp;$B60,$B$96:$D$191,2,FALSE),0,
IF(AND(BT62&lt;VLOOKUP(BT$22&amp;$B60,$B$96:$D$191,2,FALSE),BT61&lt;=VLOOKUP(BT$22&amp;$B60,$B$96:$D$191,2,FALSE)),IF(BT61-BT62&lt;0,0,BT61-BT62),
IF(AND(BT62&lt;VLOOKUP(BT$22&amp;$B60,$B$96:$D$191,2,FALSE),BT61&gt;VLOOKUP(BT$22&amp;$B60,$B$96:$D$191,2,FALSE)),VLOOKUP(BT$22&amp;$B60,$B$96:$D$191,2,FALSE)-BT62))))</f>
        <v>0</v>
      </c>
      <c r="BU60" s="1998">
        <f t="shared" si="53"/>
        <v>0</v>
      </c>
      <c r="BV60" s="1998">
        <f t="shared" si="53"/>
        <v>0</v>
      </c>
      <c r="BW60" s="1998">
        <f t="shared" si="53"/>
        <v>0</v>
      </c>
      <c r="BX60" s="1998">
        <f t="shared" si="53"/>
        <v>0</v>
      </c>
      <c r="BY60" s="1998">
        <f t="shared" si="53"/>
        <v>0</v>
      </c>
      <c r="BZ60" s="1998">
        <f t="shared" si="53"/>
        <v>0</v>
      </c>
      <c r="CA60" s="1998">
        <f t="shared" si="53"/>
        <v>0</v>
      </c>
      <c r="CB60" s="1998">
        <f t="shared" si="53"/>
        <v>0</v>
      </c>
      <c r="CC60" s="1998">
        <f t="shared" si="53"/>
        <v>0</v>
      </c>
      <c r="CD60" s="1998">
        <f t="shared" si="53"/>
        <v>0</v>
      </c>
      <c r="CE60" s="1998">
        <f t="shared" si="53"/>
        <v>0</v>
      </c>
      <c r="CF60" s="1998">
        <f t="shared" si="53"/>
        <v>0</v>
      </c>
      <c r="CG60" s="1998">
        <f t="shared" si="53"/>
        <v>0</v>
      </c>
      <c r="CH60" s="1998">
        <f t="shared" si="53"/>
        <v>0</v>
      </c>
      <c r="CI60" s="1998">
        <f t="shared" si="53"/>
        <v>0</v>
      </c>
      <c r="CJ60" s="1998">
        <f t="shared" si="53"/>
        <v>0</v>
      </c>
      <c r="CK60" s="1998">
        <f t="shared" si="53"/>
        <v>0</v>
      </c>
      <c r="CL60" s="1998">
        <f t="shared" si="53"/>
        <v>0</v>
      </c>
      <c r="CM60" s="1998">
        <f t="shared" si="53"/>
        <v>0</v>
      </c>
      <c r="CN60" s="1998">
        <f t="shared" si="53"/>
        <v>0</v>
      </c>
      <c r="CO60" s="1998">
        <f t="shared" si="53"/>
        <v>0</v>
      </c>
      <c r="CP60" s="1998">
        <f t="shared" si="53"/>
        <v>0</v>
      </c>
      <c r="CQ60" s="1998">
        <f t="shared" si="53"/>
        <v>0</v>
      </c>
      <c r="CR60" s="1998">
        <f t="shared" si="53"/>
        <v>0</v>
      </c>
      <c r="CS60" s="1998">
        <f t="shared" si="53"/>
        <v>0</v>
      </c>
      <c r="CT60" s="1998">
        <f t="shared" si="53"/>
        <v>0</v>
      </c>
      <c r="CU60" s="1998">
        <f t="shared" si="53"/>
        <v>0</v>
      </c>
      <c r="CV60" s="1998">
        <f t="shared" si="53"/>
        <v>0</v>
      </c>
      <c r="CW60" s="1998">
        <f t="shared" si="53"/>
        <v>0</v>
      </c>
      <c r="CX60" s="1998">
        <f t="shared" si="53"/>
        <v>0</v>
      </c>
      <c r="CY60" s="1998">
        <f t="shared" si="53"/>
        <v>0</v>
      </c>
      <c r="CZ60" s="1998">
        <f t="shared" si="53"/>
        <v>0</v>
      </c>
      <c r="DA60" s="1998">
        <f t="shared" si="53"/>
        <v>0</v>
      </c>
      <c r="DB60" s="1998">
        <f t="shared" si="53"/>
        <v>0</v>
      </c>
      <c r="DC60" s="1998">
        <f t="shared" si="53"/>
        <v>0</v>
      </c>
      <c r="DD60" s="1998">
        <f t="shared" si="53"/>
        <v>0</v>
      </c>
      <c r="DE60" s="1998">
        <f t="shared" si="53"/>
        <v>0</v>
      </c>
      <c r="DF60" s="1998">
        <f t="shared" si="53"/>
        <v>0</v>
      </c>
      <c r="DG60" s="1998">
        <f t="shared" si="53"/>
        <v>0</v>
      </c>
      <c r="DH60" s="1998">
        <f t="shared" si="53"/>
        <v>0</v>
      </c>
      <c r="DI60" s="1998">
        <f t="shared" si="53"/>
        <v>0</v>
      </c>
      <c r="DJ60" s="1998">
        <f t="shared" si="53"/>
        <v>0</v>
      </c>
      <c r="DK60" s="1998">
        <f t="shared" si="53"/>
        <v>0</v>
      </c>
      <c r="DL60" s="1998">
        <f t="shared" si="53"/>
        <v>0</v>
      </c>
      <c r="DM60" s="1998">
        <f t="shared" si="53"/>
        <v>0</v>
      </c>
      <c r="DN60" s="1998">
        <f t="shared" si="53"/>
        <v>0</v>
      </c>
      <c r="DO60" s="1998">
        <f t="shared" si="53"/>
        <v>0</v>
      </c>
      <c r="DP60" s="1998">
        <f t="shared" si="53"/>
        <v>0</v>
      </c>
      <c r="DQ60" s="1998">
        <f t="shared" si="53"/>
        <v>0</v>
      </c>
      <c r="DR60" s="1998">
        <f t="shared" si="53"/>
        <v>0</v>
      </c>
      <c r="DS60" s="1998">
        <f t="shared" si="53"/>
        <v>0</v>
      </c>
      <c r="DT60" s="1998">
        <f t="shared" si="53"/>
        <v>0</v>
      </c>
      <c r="DU60" s="1998">
        <f t="shared" si="53"/>
        <v>0</v>
      </c>
      <c r="DV60" s="1998">
        <f t="shared" si="53"/>
        <v>0</v>
      </c>
      <c r="DW60" s="1998">
        <f t="shared" si="53"/>
        <v>0</v>
      </c>
      <c r="DX60" s="1998">
        <f t="shared" si="53"/>
        <v>0</v>
      </c>
      <c r="DY60" s="1998">
        <f t="shared" si="53"/>
        <v>0</v>
      </c>
      <c r="DZ60" s="1998">
        <f t="shared" si="53"/>
        <v>0</v>
      </c>
      <c r="EA60" s="1998">
        <f t="shared" si="53"/>
        <v>0</v>
      </c>
      <c r="EB60" s="1998">
        <f t="shared" si="53"/>
        <v>0</v>
      </c>
      <c r="EC60" s="1998">
        <f t="shared" si="53"/>
        <v>0</v>
      </c>
      <c r="ED60" s="1998">
        <f t="shared" si="53"/>
        <v>0</v>
      </c>
      <c r="EE60" s="1998">
        <f t="shared" si="53"/>
        <v>0</v>
      </c>
      <c r="EF60" s="1998">
        <f t="shared" ref="EF60:GF60" si="54" xml:space="preserve">
IF(EF$25="休診日",0,
IF(EF62&gt;=VLOOKUP(EF$22&amp;$B60,$B$96:$D$191,2,FALSE),0,
IF(AND(EF62&lt;VLOOKUP(EF$22&amp;$B60,$B$96:$D$191,2,FALSE),EF61&lt;=VLOOKUP(EF$22&amp;$B60,$B$96:$D$191,2,FALSE)),IF(EF61-EF62&lt;0,0,EF61-EF62),
IF(AND(EF62&lt;VLOOKUP(EF$22&amp;$B60,$B$96:$D$191,2,FALSE),EF61&gt;VLOOKUP(EF$22&amp;$B60,$B$96:$D$191,2,FALSE)),VLOOKUP(EF$22&amp;$B60,$B$96:$D$191,2,FALSE)-EF62))))</f>
        <v>0</v>
      </c>
      <c r="EG60" s="1998">
        <f t="shared" si="54"/>
        <v>0</v>
      </c>
      <c r="EH60" s="1998">
        <f t="shared" si="54"/>
        <v>0</v>
      </c>
      <c r="EI60" s="1998">
        <f t="shared" si="54"/>
        <v>0</v>
      </c>
      <c r="EJ60" s="1998">
        <f t="shared" si="54"/>
        <v>0</v>
      </c>
      <c r="EK60" s="1998">
        <f t="shared" si="54"/>
        <v>0</v>
      </c>
      <c r="EL60" s="1998">
        <f t="shared" si="54"/>
        <v>0</v>
      </c>
      <c r="EM60" s="1998">
        <f t="shared" si="54"/>
        <v>0</v>
      </c>
      <c r="EN60" s="1998">
        <f t="shared" si="54"/>
        <v>0</v>
      </c>
      <c r="EO60" s="1998">
        <f t="shared" si="54"/>
        <v>0</v>
      </c>
      <c r="EP60" s="1998">
        <f t="shared" si="54"/>
        <v>0</v>
      </c>
      <c r="EQ60" s="1998">
        <f t="shared" si="54"/>
        <v>0</v>
      </c>
      <c r="ER60" s="1998">
        <f t="shared" si="54"/>
        <v>0</v>
      </c>
      <c r="ES60" s="1998">
        <f t="shared" si="54"/>
        <v>0</v>
      </c>
      <c r="ET60" s="1998">
        <f t="shared" si="54"/>
        <v>0</v>
      </c>
      <c r="EU60" s="1998">
        <f t="shared" si="54"/>
        <v>0</v>
      </c>
      <c r="EV60" s="1998">
        <f t="shared" si="54"/>
        <v>0</v>
      </c>
      <c r="EW60" s="1998">
        <f t="shared" si="54"/>
        <v>0</v>
      </c>
      <c r="EX60" s="1998">
        <f t="shared" si="54"/>
        <v>0</v>
      </c>
      <c r="EY60" s="1998">
        <f t="shared" si="54"/>
        <v>0</v>
      </c>
      <c r="EZ60" s="1998">
        <f t="shared" si="54"/>
        <v>0</v>
      </c>
      <c r="FA60" s="1998">
        <f t="shared" si="54"/>
        <v>0</v>
      </c>
      <c r="FB60" s="1998">
        <f t="shared" si="54"/>
        <v>0</v>
      </c>
      <c r="FC60" s="1998">
        <f t="shared" si="54"/>
        <v>0</v>
      </c>
      <c r="FD60" s="1998">
        <f t="shared" si="54"/>
        <v>0</v>
      </c>
      <c r="FE60" s="1998">
        <f t="shared" si="54"/>
        <v>0</v>
      </c>
      <c r="FF60" s="1998">
        <f t="shared" si="54"/>
        <v>0</v>
      </c>
      <c r="FG60" s="1998">
        <f t="shared" si="54"/>
        <v>0</v>
      </c>
      <c r="FH60" s="1998">
        <f t="shared" si="54"/>
        <v>0</v>
      </c>
      <c r="FI60" s="1998">
        <f t="shared" si="54"/>
        <v>0</v>
      </c>
      <c r="FJ60" s="1998">
        <f t="shared" si="54"/>
        <v>0</v>
      </c>
      <c r="FK60" s="1998">
        <f t="shared" si="54"/>
        <v>0</v>
      </c>
      <c r="FL60" s="1998">
        <f t="shared" si="54"/>
        <v>0</v>
      </c>
      <c r="FM60" s="1998">
        <f t="shared" si="54"/>
        <v>0</v>
      </c>
      <c r="FN60" s="1998">
        <f t="shared" si="54"/>
        <v>0</v>
      </c>
      <c r="FO60" s="1998">
        <f t="shared" si="54"/>
        <v>0</v>
      </c>
      <c r="FP60" s="1998">
        <f t="shared" si="54"/>
        <v>0</v>
      </c>
      <c r="FQ60" s="1998">
        <f t="shared" si="54"/>
        <v>0</v>
      </c>
      <c r="FR60" s="1998">
        <f t="shared" si="54"/>
        <v>0</v>
      </c>
      <c r="FS60" s="1998">
        <f t="shared" si="54"/>
        <v>0</v>
      </c>
      <c r="FT60" s="1998">
        <f t="shared" si="54"/>
        <v>0</v>
      </c>
      <c r="FU60" s="1998">
        <f t="shared" si="54"/>
        <v>0</v>
      </c>
      <c r="FV60" s="1998">
        <f t="shared" si="54"/>
        <v>0</v>
      </c>
      <c r="FW60" s="1998">
        <f t="shared" si="54"/>
        <v>0</v>
      </c>
      <c r="FX60" s="1998">
        <f t="shared" si="54"/>
        <v>0</v>
      </c>
      <c r="FY60" s="1998">
        <f t="shared" si="54"/>
        <v>0</v>
      </c>
      <c r="FZ60" s="1998">
        <f t="shared" si="54"/>
        <v>0</v>
      </c>
      <c r="GA60" s="1998">
        <f t="shared" si="54"/>
        <v>0</v>
      </c>
      <c r="GB60" s="1998">
        <f t="shared" si="54"/>
        <v>0</v>
      </c>
      <c r="GC60" s="1998">
        <f t="shared" si="54"/>
        <v>0</v>
      </c>
      <c r="GD60" s="1998">
        <f t="shared" si="54"/>
        <v>0</v>
      </c>
      <c r="GE60" s="1998">
        <f t="shared" si="54"/>
        <v>0</v>
      </c>
      <c r="GF60" s="1998">
        <f t="shared" si="54"/>
        <v>0</v>
      </c>
    </row>
    <row r="61" spans="1:188" s="641" customFormat="1" ht="15" customHeight="1" x14ac:dyDescent="0.4">
      <c r="A61" s="631"/>
      <c r="B61" s="641" t="s">
        <v>1265</v>
      </c>
      <c r="C61" s="1989" t="s">
        <v>1387</v>
      </c>
      <c r="D61" s="1992"/>
      <c r="E61" s="642"/>
      <c r="F61" s="1998">
        <f>SUMIF(防護具!$B$31:$B$163,F$23&amp;$B60,防護具!$S$31:$S$163)</f>
        <v>0</v>
      </c>
      <c r="G61" s="2000">
        <f>IFERROR(
SUM(F61,SUMIF(防護具!$B$31:$B$163,G$23&amp;$B60,防護具!$S$31:$S$163))-F60,0)</f>
        <v>0</v>
      </c>
      <c r="H61" s="2000">
        <f>IFERROR(
SUM(G61,SUMIF(防護具!$B$31:$B$163,H$23&amp;$B60,防護具!$S$31:$S$163))-G60,0)</f>
        <v>0</v>
      </c>
      <c r="I61" s="2000">
        <f>IFERROR(
SUM(H61,SUMIF(防護具!$B$31:$B$163,I$23&amp;$B60,防護具!$S$31:$S$163))-H60,0)</f>
        <v>0</v>
      </c>
      <c r="J61" s="2000">
        <f>IFERROR(
SUM(I61,SUMIF(防護具!$B$31:$B$163,J$23&amp;$B60,防護具!$S$31:$S$163))-I60,0)</f>
        <v>0</v>
      </c>
      <c r="K61" s="2000">
        <f>IFERROR(
SUM(J61,SUMIF(防護具!$B$31:$B$163,K$23&amp;$B60,防護具!$S$31:$S$163))-J60,0)</f>
        <v>0</v>
      </c>
      <c r="L61" s="2000">
        <f>IFERROR(
SUM(K61,SUMIF(防護具!$B$31:$B$163,L$23&amp;$B60,防護具!$S$31:$S$163))-K60,0)</f>
        <v>0</v>
      </c>
      <c r="M61" s="2000">
        <f>IFERROR(
SUM(L61,SUMIF(防護具!$B$31:$B$163,M$23&amp;$B60,防護具!$S$31:$S$163))-L60,0)</f>
        <v>0</v>
      </c>
      <c r="N61" s="2000">
        <f>IFERROR(
SUM(M61,SUMIF(防護具!$B$31:$B$163,N$23&amp;$B60,防護具!$S$31:$S$163))-M60,0)</f>
        <v>0</v>
      </c>
      <c r="O61" s="2000">
        <f>IFERROR(
SUM(N61,SUMIF(防護具!$B$31:$B$163,O$23&amp;$B60,防護具!$S$31:$S$163))-N60,0)</f>
        <v>0</v>
      </c>
      <c r="P61" s="2000">
        <f>IFERROR(
SUM(O61,SUMIF(防護具!$B$31:$B$163,P$23&amp;$B60,防護具!$S$31:$S$163))-O60,0)</f>
        <v>0</v>
      </c>
      <c r="Q61" s="2000">
        <f>IFERROR(
SUM(P61,SUMIF(防護具!$B$31:$B$163,Q$23&amp;$B60,防護具!$S$31:$S$163))-P60,0)</f>
        <v>0</v>
      </c>
      <c r="R61" s="2000">
        <f>IFERROR(
SUM(Q61,SUMIF(防護具!$B$31:$B$163,R$23&amp;$B60,防護具!$S$31:$S$163))-Q60,0)</f>
        <v>0</v>
      </c>
      <c r="S61" s="2000">
        <f>IFERROR(
SUM(R61,SUMIF(防護具!$B$31:$B$163,S$23&amp;$B60,防護具!$S$31:$S$163))-R60,0)</f>
        <v>0</v>
      </c>
      <c r="T61" s="2000">
        <f>IFERROR(
SUM(S61,SUMIF(防護具!$B$31:$B$163,T$23&amp;$B60,防護具!$S$31:$S$163))-S60,0)</f>
        <v>0</v>
      </c>
      <c r="U61" s="2000">
        <f>IFERROR(
SUM(T61,SUMIF(防護具!$B$31:$B$163,U$23&amp;$B60,防護具!$S$31:$S$163))-T60,0)</f>
        <v>0</v>
      </c>
      <c r="V61" s="2000">
        <f>IFERROR(
SUM(U61,SUMIF(防護具!$B$31:$B$163,V$23&amp;$B60,防護具!$S$31:$S$163))-U60,0)</f>
        <v>0</v>
      </c>
      <c r="W61" s="2000">
        <f>IFERROR(
SUM(V61,SUMIF(防護具!$B$31:$B$163,W$23&amp;$B60,防護具!$S$31:$S$163))-V60,0)</f>
        <v>0</v>
      </c>
      <c r="X61" s="2000">
        <f>IFERROR(
SUM(W61,SUMIF(防護具!$B$31:$B$163,X$23&amp;$B60,防護具!$S$31:$S$163))-W60,0)</f>
        <v>0</v>
      </c>
      <c r="Y61" s="2000">
        <f>IFERROR(
SUM(X61,SUMIF(防護具!$B$31:$B$163,Y$23&amp;$B60,防護具!$S$31:$S$163))-X60,0)</f>
        <v>0</v>
      </c>
      <c r="Z61" s="2000">
        <f>IFERROR(
SUM(Y61,SUMIF(防護具!$B$31:$B$163,Z$23&amp;$B60,防護具!$S$31:$S$163))-Y60,0)</f>
        <v>0</v>
      </c>
      <c r="AA61" s="2000">
        <f>IFERROR(
SUM(Z61,SUMIF(防護具!$B$31:$B$163,AA$23&amp;$B60,防護具!$S$31:$S$163))-Z60,0)</f>
        <v>0</v>
      </c>
      <c r="AB61" s="2000">
        <f>IFERROR(
SUM(AA61,SUMIF(防護具!$B$31:$B$163,AB$23&amp;$B60,防護具!$S$31:$S$163))-AA60,0)</f>
        <v>0</v>
      </c>
      <c r="AC61" s="2000">
        <f>IFERROR(
SUM(AB61,SUMIF(防護具!$B$31:$B$163,AC$23&amp;$B60,防護具!$S$31:$S$163))-AB60,0)</f>
        <v>0</v>
      </c>
      <c r="AD61" s="2000">
        <f>IFERROR(
SUM(AC61,SUMIF(防護具!$B$31:$B$163,AD$23&amp;$B60,防護具!$S$31:$S$163))-AC60,0)</f>
        <v>0</v>
      </c>
      <c r="AE61" s="2000">
        <f>IFERROR(
SUM(AD61,SUMIF(防護具!$B$31:$B$163,AE$23&amp;$B60,防護具!$S$31:$S$163))-AD60,0)</f>
        <v>0</v>
      </c>
      <c r="AF61" s="2000">
        <f>IFERROR(
SUM(AE61,SUMIF(防護具!$B$31:$B$163,AF$23&amp;$B60,防護具!$S$31:$S$163))-AE60,0)</f>
        <v>0</v>
      </c>
      <c r="AG61" s="2000">
        <f>IFERROR(
SUM(AF61,SUMIF(防護具!$B$31:$B$163,AG$23&amp;$B60,防護具!$S$31:$S$163))-AF60,0)</f>
        <v>0</v>
      </c>
      <c r="AH61" s="2000">
        <f>IFERROR(
SUM(AG61,SUMIF(防護具!$B$31:$B$163,AH$23&amp;$B60,防護具!$S$31:$S$163))-AG60,0)</f>
        <v>0</v>
      </c>
      <c r="AI61" s="2000">
        <f>IFERROR(
SUM(AH61,SUMIF(防護具!$B$31:$B$163,AI$23&amp;$B60,防護具!$S$31:$S$163))-AH60,0)</f>
        <v>0</v>
      </c>
      <c r="AJ61" s="2000">
        <f>IFERROR(
SUM(AI61,SUMIF(防護具!$B$31:$B$163,AJ$23&amp;$B60,防護具!$S$31:$S$163))-AI60,0)</f>
        <v>0</v>
      </c>
      <c r="AK61" s="2000">
        <f>IFERROR(
SUM(AJ61,SUMIF(防護具!$B$31:$B$163,AK$23&amp;$B60,防護具!$S$31:$S$163))-AJ60,0)</f>
        <v>0</v>
      </c>
      <c r="AL61" s="2000">
        <f>IFERROR(
SUM(AK61,SUMIF(防護具!$B$31:$B$163,AL$23&amp;$B60,防護具!$S$31:$S$163))-AK60,0)</f>
        <v>0</v>
      </c>
      <c r="AM61" s="2000">
        <f>IFERROR(
SUM(AL61,SUMIF(防護具!$B$31:$B$163,AM$23&amp;$B60,防護具!$S$31:$S$163))-AL60,0)</f>
        <v>0</v>
      </c>
      <c r="AN61" s="2000">
        <f>IFERROR(
SUM(AM61,SUMIF(防護具!$B$31:$B$163,AN$23&amp;$B60,防護具!$S$31:$S$163))-AM60,0)</f>
        <v>0</v>
      </c>
      <c r="AO61" s="2000">
        <f>IFERROR(
SUM(AN61,SUMIF(防護具!$B$31:$B$163,AO$23&amp;$B60,防護具!$S$31:$S$163))-AN60,0)</f>
        <v>0</v>
      </c>
      <c r="AP61" s="2000">
        <f>IFERROR(
SUM(AO61,SUMIF(防護具!$B$31:$B$163,AP$23&amp;$B60,防護具!$S$31:$S$163))-AO60,0)</f>
        <v>0</v>
      </c>
      <c r="AQ61" s="2000">
        <f>IFERROR(
SUM(AP61,SUMIF(防護具!$B$31:$B$163,AQ$23&amp;$B60,防護具!$S$31:$S$163))-AP60,0)</f>
        <v>0</v>
      </c>
      <c r="AR61" s="2000">
        <f>IFERROR(
SUM(AQ61,SUMIF(防護具!$B$31:$B$163,AR$23&amp;$B60,防護具!$S$31:$S$163))-AQ60,0)</f>
        <v>0</v>
      </c>
      <c r="AS61" s="2000">
        <f>IFERROR(
SUM(AR61,SUMIF(防護具!$B$31:$B$163,AS$23&amp;$B60,防護具!$S$31:$S$163))-AR60,0)</f>
        <v>0</v>
      </c>
      <c r="AT61" s="2000">
        <f>IFERROR(
SUM(AS61,SUMIF(防護具!$B$31:$B$163,AT$23&amp;$B60,防護具!$S$31:$S$163))-AS60,0)</f>
        <v>0</v>
      </c>
      <c r="AU61" s="2000">
        <f>IFERROR(
SUM(AT61,SUMIF(防護具!$B$31:$B$163,AU$23&amp;$B60,防護具!$S$31:$S$163))-AT60,0)</f>
        <v>0</v>
      </c>
      <c r="AV61" s="2000">
        <f>IFERROR(
SUM(AU61,SUMIF(防護具!$B$31:$B$163,AV$23&amp;$B60,防護具!$S$31:$S$163))-AU60,0)</f>
        <v>0</v>
      </c>
      <c r="AW61" s="2000">
        <f>IFERROR(
SUM(AV61,SUMIF(防護具!$B$31:$B$163,AW$23&amp;$B60,防護具!$S$31:$S$163))-AV60,0)</f>
        <v>0</v>
      </c>
      <c r="AX61" s="2000">
        <f>IFERROR(
SUM(AW61,SUMIF(防護具!$B$31:$B$163,AX$23&amp;$B60,防護具!$S$31:$S$163))-AW60,0)</f>
        <v>0</v>
      </c>
      <c r="AY61" s="2000">
        <f>IFERROR(
SUM(AX61,SUMIF(防護具!$B$31:$B$163,AY$23&amp;$B60,防護具!$S$31:$S$163))-AX60,0)</f>
        <v>0</v>
      </c>
      <c r="AZ61" s="2000">
        <f>IFERROR(
SUM(AY61,SUMIF(防護具!$B$31:$B$163,AZ$23&amp;$B60,防護具!$S$31:$S$163))-AY60,0)</f>
        <v>0</v>
      </c>
      <c r="BA61" s="2000">
        <f>IFERROR(
SUM(AZ61,SUMIF(防護具!$B$31:$B$163,BA$23&amp;$B60,防護具!$S$31:$S$163))-AZ60,0)</f>
        <v>0</v>
      </c>
      <c r="BB61" s="2000">
        <f>IFERROR(
SUM(BA61,SUMIF(防護具!$B$31:$B$163,BB$23&amp;$B60,防護具!$S$31:$S$163))-BA60,0)</f>
        <v>0</v>
      </c>
      <c r="BC61" s="2000">
        <f>IFERROR(
SUM(BB61,SUMIF(防護具!$B$31:$B$163,BC$23&amp;$B60,防護具!$S$31:$S$163))-BB60,0)</f>
        <v>0</v>
      </c>
      <c r="BD61" s="2000">
        <f>IFERROR(
SUM(BC61,SUMIF(防護具!$B$31:$B$163,BD$23&amp;$B60,防護具!$S$31:$S$163))-BC60,0)</f>
        <v>0</v>
      </c>
      <c r="BE61" s="2000">
        <f>IFERROR(
SUM(BD61,SUMIF(防護具!$B$31:$B$163,BE$23&amp;$B60,防護具!$S$31:$S$163))-BD60,0)</f>
        <v>0</v>
      </c>
      <c r="BF61" s="2000">
        <f>IFERROR(
SUM(BE61,SUMIF(防護具!$B$31:$B$163,BF$23&amp;$B60,防護具!$S$31:$S$163))-BE60,0)</f>
        <v>0</v>
      </c>
      <c r="BG61" s="2000">
        <f>IFERROR(
SUM(BF61,SUMIF(防護具!$B$31:$B$163,BG$23&amp;$B60,防護具!$S$31:$S$163))-BF60,0)</f>
        <v>0</v>
      </c>
      <c r="BH61" s="2000">
        <f>IFERROR(
SUM(BG61,SUMIF(防護具!$B$31:$B$163,BH$23&amp;$B60,防護具!$S$31:$S$163))-BG60,0)</f>
        <v>0</v>
      </c>
      <c r="BI61" s="2000">
        <f>IFERROR(
SUM(BH61,SUMIF(防護具!$B$31:$B$163,BI$23&amp;$B60,防護具!$S$31:$S$163))-BH60,0)</f>
        <v>0</v>
      </c>
      <c r="BJ61" s="2000">
        <f>IFERROR(
SUM(BI61,SUMIF(防護具!$B$31:$B$163,BJ$23&amp;$B60,防護具!$S$31:$S$163))-BI60,0)</f>
        <v>0</v>
      </c>
      <c r="BK61" s="2000">
        <f>IFERROR(
SUM(BJ61,SUMIF(防護具!$B$31:$B$163,BK$23&amp;$B60,防護具!$S$31:$S$163))-BJ60,0)</f>
        <v>0</v>
      </c>
      <c r="BL61" s="2000">
        <f>IFERROR(
SUM(BK61,SUMIF(防護具!$B$31:$B$163,BL$23&amp;$B60,防護具!$S$31:$S$163))-BK60,0)</f>
        <v>0</v>
      </c>
      <c r="BM61" s="2000">
        <f>IFERROR(
SUM(BL61,SUMIF(防護具!$B$31:$B$163,BM$23&amp;$B60,防護具!$S$31:$S$163))-BL60,0)</f>
        <v>0</v>
      </c>
      <c r="BN61" s="2000">
        <f>IFERROR(
SUM(BM61,SUMIF(防護具!$B$31:$B$163,BN$23&amp;$B60,防護具!$S$31:$S$163))-BM60,0)</f>
        <v>0</v>
      </c>
      <c r="BO61" s="2000">
        <f>IFERROR(
SUM(BN61,SUMIF(防護具!$B$31:$B$163,BO$23&amp;$B60,防護具!$S$31:$S$163))-BN60,0)</f>
        <v>0</v>
      </c>
      <c r="BP61" s="2000">
        <f>IFERROR(
SUM(BO61,SUMIF(防護具!$B$31:$B$163,BP$23&amp;$B60,防護具!$S$31:$S$163))-BO60,0)</f>
        <v>0</v>
      </c>
      <c r="BQ61" s="2000">
        <f>IFERROR(
SUM(BP61,SUMIF(防護具!$B$31:$B$163,BQ$23&amp;$B60,防護具!$S$31:$S$163))-BP60,0)</f>
        <v>0</v>
      </c>
      <c r="BR61" s="2000">
        <f>IFERROR(
SUM(BQ61,SUMIF(防護具!$B$31:$B$163,BR$23&amp;$B60,防護具!$S$31:$S$163))-BQ60,0)</f>
        <v>0</v>
      </c>
      <c r="BS61" s="2000">
        <f>IFERROR(
SUM(BR61,SUMIF(防護具!$B$31:$B$163,BS$23&amp;$B60,防護具!$S$31:$S$163))-BR60,0)</f>
        <v>0</v>
      </c>
      <c r="BT61" s="2000">
        <f>IFERROR(
SUM(BS61,SUMIF(防護具!$B$31:$B$163,BT$23&amp;$B60,防護具!$S$31:$S$163))-BS60,0)</f>
        <v>0</v>
      </c>
      <c r="BU61" s="2000">
        <f>IFERROR(
SUM(BT61,SUMIF(防護具!$B$31:$B$163,BU$23&amp;$B60,防護具!$S$31:$S$163))-BT60,0)</f>
        <v>0</v>
      </c>
      <c r="BV61" s="2000">
        <f>IFERROR(
SUM(BU61,SUMIF(防護具!$B$31:$B$163,BV$23&amp;$B60,防護具!$S$31:$S$163))-BU60,0)</f>
        <v>0</v>
      </c>
      <c r="BW61" s="2000">
        <f>IFERROR(
SUM(BV61,SUMIF(防護具!$B$31:$B$163,BW$23&amp;$B60,防護具!$S$31:$S$163))-BV60,0)</f>
        <v>0</v>
      </c>
      <c r="BX61" s="2000">
        <f>IFERROR(
SUM(BW61,SUMIF(防護具!$B$31:$B$163,BX$23&amp;$B60,防護具!$S$31:$S$163))-BW60,0)</f>
        <v>0</v>
      </c>
      <c r="BY61" s="2000">
        <f>IFERROR(
SUM(BX61,SUMIF(防護具!$B$31:$B$163,BY$23&amp;$B60,防護具!$S$31:$S$163))-BX60,0)</f>
        <v>0</v>
      </c>
      <c r="BZ61" s="2000">
        <f>IFERROR(
SUM(BY61,SUMIF(防護具!$B$31:$B$163,BZ$23&amp;$B60,防護具!$S$31:$S$163))-BY60,0)</f>
        <v>0</v>
      </c>
      <c r="CA61" s="2000">
        <f>IFERROR(
SUM(BZ61,SUMIF(防護具!$B$31:$B$163,CA$23&amp;$B60,防護具!$S$31:$S$163))-BZ60,0)</f>
        <v>0</v>
      </c>
      <c r="CB61" s="2000">
        <f>IFERROR(
SUM(CA61,SUMIF(防護具!$B$31:$B$163,CB$23&amp;$B60,防護具!$S$31:$S$163))-CA60,0)</f>
        <v>0</v>
      </c>
      <c r="CC61" s="2000">
        <f>IFERROR(
SUM(CB61,SUMIF(防護具!$B$31:$B$163,CC$23&amp;$B60,防護具!$S$31:$S$163))-CB60,0)</f>
        <v>0</v>
      </c>
      <c r="CD61" s="2000">
        <f>IFERROR(
SUM(CC61,SUMIF(防護具!$B$31:$B$163,CD$23&amp;$B60,防護具!$S$31:$S$163))-CC60,0)</f>
        <v>0</v>
      </c>
      <c r="CE61" s="2000">
        <f>IFERROR(
SUM(CD61,SUMIF(防護具!$B$31:$B$163,CE$23&amp;$B60,防護具!$S$31:$S$163))-CD60,0)</f>
        <v>0</v>
      </c>
      <c r="CF61" s="2000">
        <f>IFERROR(
SUM(CE61,SUMIF(防護具!$B$31:$B$163,CF$23&amp;$B60,防護具!$S$31:$S$163))-CE60,0)</f>
        <v>0</v>
      </c>
      <c r="CG61" s="2000">
        <f>IFERROR(
SUM(CF61,SUMIF(防護具!$B$31:$B$163,CG$23&amp;$B60,防護具!$S$31:$S$163))-CF60,0)</f>
        <v>0</v>
      </c>
      <c r="CH61" s="2000">
        <f>IFERROR(
SUM(CG61,SUMIF(防護具!$B$31:$B$163,CH$23&amp;$B60,防護具!$S$31:$S$163))-CG60,0)</f>
        <v>0</v>
      </c>
      <c r="CI61" s="2000">
        <f>IFERROR(
SUM(CH61,SUMIF(防護具!$B$31:$B$163,CI$23&amp;$B60,防護具!$S$31:$S$163))-CH60,0)</f>
        <v>0</v>
      </c>
      <c r="CJ61" s="2000">
        <f>IFERROR(
SUM(CI61,SUMIF(防護具!$B$31:$B$163,CJ$23&amp;$B60,防護具!$S$31:$S$163))-CI60,0)</f>
        <v>0</v>
      </c>
      <c r="CK61" s="2000">
        <f>IFERROR(
SUM(CJ61,SUMIF(防護具!$B$31:$B$163,CK$23&amp;$B60,防護具!$S$31:$S$163))-CJ60,0)</f>
        <v>0</v>
      </c>
      <c r="CL61" s="2000">
        <f>IFERROR(
SUM(CK61,SUMIF(防護具!$B$31:$B$163,CL$23&amp;$B60,防護具!$S$31:$S$163))-CK60,0)</f>
        <v>0</v>
      </c>
      <c r="CM61" s="2000">
        <f>IFERROR(
SUM(CL61,SUMIF(防護具!$B$31:$B$163,CM$23&amp;$B60,防護具!$S$31:$S$163))-CL60,0)</f>
        <v>0</v>
      </c>
      <c r="CN61" s="2000">
        <f>IFERROR(
SUM(CM61,SUMIF(防護具!$B$31:$B$163,CN$23&amp;$B60,防護具!$S$31:$S$163))-CM60,0)</f>
        <v>0</v>
      </c>
      <c r="CO61" s="2000">
        <f>IFERROR(
SUM(CN61,SUMIF(防護具!$B$31:$B$163,CO$23&amp;$B60,防護具!$S$31:$S$163))-CN60,0)</f>
        <v>0</v>
      </c>
      <c r="CP61" s="2000">
        <f>IFERROR(
SUM(CO61,SUMIF(防護具!$B$31:$B$163,CP$23&amp;$B60,防護具!$S$31:$S$163))-CO60,0)</f>
        <v>0</v>
      </c>
      <c r="CQ61" s="2000">
        <f>IFERROR(
SUM(CP61,SUMIF(防護具!$B$31:$B$163,CQ$23&amp;$B60,防護具!$S$31:$S$163))-CP60,0)</f>
        <v>0</v>
      </c>
      <c r="CR61" s="2000">
        <f>IFERROR(
SUM(CQ61,SUMIF(防護具!$B$31:$B$163,CR$23&amp;$B60,防護具!$S$31:$S$163))-CQ60,0)</f>
        <v>0</v>
      </c>
      <c r="CS61" s="2000">
        <f>IFERROR(
SUM(CR61,SUMIF(防護具!$B$31:$B$163,CS$23&amp;$B60,防護具!$S$31:$S$163))-CR60,0)</f>
        <v>0</v>
      </c>
      <c r="CT61" s="2000">
        <f>IFERROR(
SUM(CS61,SUMIF(防護具!$B$31:$B$163,CT$23&amp;$B60,防護具!$S$31:$S$163))-CS60,0)</f>
        <v>0</v>
      </c>
      <c r="CU61" s="2000">
        <f>IFERROR(
SUM(CT61,SUMIF(防護具!$B$31:$B$163,CU$23&amp;$B60,防護具!$S$31:$S$163))-CT60,0)</f>
        <v>0</v>
      </c>
      <c r="CV61" s="2000">
        <f>IFERROR(
SUM(CU61,SUMIF(防護具!$B$31:$B$163,CV$23&amp;$B60,防護具!$S$31:$S$163))-CU60,0)</f>
        <v>0</v>
      </c>
      <c r="CW61" s="2000">
        <f>IFERROR(
SUM(CV61,SUMIF(防護具!$B$31:$B$163,CW$23&amp;$B60,防護具!$S$31:$S$163))-CV60,0)</f>
        <v>0</v>
      </c>
      <c r="CX61" s="2000">
        <f>IFERROR(
SUM(CW61,SUMIF(防護具!$B$31:$B$163,CX$23&amp;$B60,防護具!$S$31:$S$163))-CW60,0)</f>
        <v>0</v>
      </c>
      <c r="CY61" s="2000">
        <f>IFERROR(
SUM(CX61,SUMIF(防護具!$B$31:$B$163,CY$23&amp;$B60,防護具!$S$31:$S$163))-CX60,0)</f>
        <v>0</v>
      </c>
      <c r="CZ61" s="2000">
        <f>IFERROR(
SUM(CY61,SUMIF(防護具!$B$31:$B$163,CZ$23&amp;$B60,防護具!$S$31:$S$163))-CY60,0)</f>
        <v>0</v>
      </c>
      <c r="DA61" s="2000">
        <f>IFERROR(
SUM(CZ61,SUMIF(防護具!$B$31:$B$163,DA$23&amp;$B60,防護具!$S$31:$S$163))-CZ60,0)</f>
        <v>0</v>
      </c>
      <c r="DB61" s="2000">
        <f>IFERROR(
SUM(DA61,SUMIF(防護具!$B$31:$B$163,DB$23&amp;$B60,防護具!$S$31:$S$163))-DA60,0)</f>
        <v>0</v>
      </c>
      <c r="DC61" s="2000">
        <f>IFERROR(
SUM(DB61,SUMIF(防護具!$B$31:$B$163,DC$23&amp;$B60,防護具!$S$31:$S$163))-DB60,0)</f>
        <v>0</v>
      </c>
      <c r="DD61" s="2000">
        <f>IFERROR(
SUM(DC61,SUMIF(防護具!$B$31:$B$163,DD$23&amp;$B60,防護具!$S$31:$S$163))-DC60,0)</f>
        <v>0</v>
      </c>
      <c r="DE61" s="2000">
        <f>IFERROR(
SUM(DD61,SUMIF(防護具!$B$31:$B$163,DE$23&amp;$B60,防護具!$S$31:$S$163))-DD60,0)</f>
        <v>0</v>
      </c>
      <c r="DF61" s="2000">
        <f>IFERROR(
SUM(DE61,SUMIF(防護具!$B$31:$B$163,DF$23&amp;$B60,防護具!$S$31:$S$163))-DE60,0)</f>
        <v>0</v>
      </c>
      <c r="DG61" s="2000">
        <f>IFERROR(
SUM(DF61,SUMIF(防護具!$B$31:$B$163,DG$23&amp;$B60,防護具!$S$31:$S$163))-DF60,0)</f>
        <v>0</v>
      </c>
      <c r="DH61" s="2000">
        <f>IFERROR(
SUM(DG61,SUMIF(防護具!$B$31:$B$163,DH$23&amp;$B60,防護具!$S$31:$S$163))-DG60,0)</f>
        <v>0</v>
      </c>
      <c r="DI61" s="2000">
        <f>IFERROR(
SUM(DH61,SUMIF(防護具!$B$31:$B$163,DI$23&amp;$B60,防護具!$S$31:$S$163))-DH60,0)</f>
        <v>0</v>
      </c>
      <c r="DJ61" s="2000">
        <f>IFERROR(
SUM(DI61,SUMIF(防護具!$B$31:$B$163,DJ$23&amp;$B60,防護具!$S$31:$S$163))-DI60,0)</f>
        <v>0</v>
      </c>
      <c r="DK61" s="2000">
        <f>IFERROR(
SUM(DJ61,SUMIF(防護具!$B$31:$B$163,DK$23&amp;$B60,防護具!$S$31:$S$163))-DJ60,0)</f>
        <v>0</v>
      </c>
      <c r="DL61" s="2000">
        <f>IFERROR(
SUM(DK61,SUMIF(防護具!$B$31:$B$163,DL$23&amp;$B60,防護具!$S$31:$S$163))-DK60,0)</f>
        <v>0</v>
      </c>
      <c r="DM61" s="2000">
        <f>IFERROR(
SUM(DL61,SUMIF(防護具!$B$31:$B$163,DM$23&amp;$B60,防護具!$S$31:$S$163))-DL60,0)</f>
        <v>0</v>
      </c>
      <c r="DN61" s="2000">
        <f>IFERROR(
SUM(DM61,SUMIF(防護具!$B$31:$B$163,DN$23&amp;$B60,防護具!$S$31:$S$163))-DM60,0)</f>
        <v>0</v>
      </c>
      <c r="DO61" s="2000">
        <f>IFERROR(
SUM(DN61,SUMIF(防護具!$B$31:$B$163,DO$23&amp;$B60,防護具!$S$31:$S$163))-DN60,0)</f>
        <v>0</v>
      </c>
      <c r="DP61" s="2000">
        <f>IFERROR(
SUM(DO61,SUMIF(防護具!$B$31:$B$163,DP$23&amp;$B60,防護具!$S$31:$S$163))-DO60,0)</f>
        <v>0</v>
      </c>
      <c r="DQ61" s="2000">
        <f>IFERROR(
SUM(DP61,SUMIF(防護具!$B$31:$B$163,DQ$23&amp;$B60,防護具!$S$31:$S$163))-DP60,0)</f>
        <v>0</v>
      </c>
      <c r="DR61" s="2000">
        <f>IFERROR(
SUM(DQ61,SUMIF(防護具!$B$31:$B$163,DR$23&amp;$B60,防護具!$S$31:$S$163))-DQ60,0)</f>
        <v>0</v>
      </c>
      <c r="DS61" s="2000">
        <f>IFERROR(
SUM(DR61,SUMIF(防護具!$B$31:$B$163,DS$23&amp;$B60,防護具!$S$31:$S$163))-DR60,0)</f>
        <v>0</v>
      </c>
      <c r="DT61" s="2000">
        <f>IFERROR(
SUM(DS61,SUMIF(防護具!$B$31:$B$163,DT$23&amp;$B60,防護具!$S$31:$S$163))-DS60,0)</f>
        <v>0</v>
      </c>
      <c r="DU61" s="2000">
        <f>IFERROR(
SUM(DT61,SUMIF(防護具!$B$31:$B$163,DU$23&amp;$B60,防護具!$S$31:$S$163))-DT60,0)</f>
        <v>0</v>
      </c>
      <c r="DV61" s="2000">
        <f>IFERROR(
SUM(DU61,SUMIF(防護具!$B$31:$B$163,DV$23&amp;$B60,防護具!$S$31:$S$163))-DU60,0)</f>
        <v>0</v>
      </c>
      <c r="DW61" s="2000">
        <f>IFERROR(
SUM(DV61,SUMIF(防護具!$B$31:$B$163,DW$23&amp;$B60,防護具!$S$31:$S$163))-DV60,0)</f>
        <v>0</v>
      </c>
      <c r="DX61" s="2000">
        <f>IFERROR(
SUM(DW61,SUMIF(防護具!$B$31:$B$163,DX$23&amp;$B60,防護具!$S$31:$S$163))-DW60,0)</f>
        <v>0</v>
      </c>
      <c r="DY61" s="2000">
        <f>IFERROR(
SUM(DX61,SUMIF(防護具!$B$31:$B$163,DY$23&amp;$B60,防護具!$S$31:$S$163))-DX60,0)</f>
        <v>0</v>
      </c>
      <c r="DZ61" s="2000">
        <f>IFERROR(
SUM(DY61,SUMIF(防護具!$B$31:$B$163,DZ$23&amp;$B60,防護具!$S$31:$S$163))-DY60,0)</f>
        <v>0</v>
      </c>
      <c r="EA61" s="2000">
        <f>IFERROR(
SUM(DZ61,SUMIF(防護具!$B$31:$B$163,EA$23&amp;$B60,防護具!$S$31:$S$163))-DZ60,0)</f>
        <v>0</v>
      </c>
      <c r="EB61" s="2000">
        <f>IFERROR(
SUM(EA61,SUMIF(防護具!$B$31:$B$163,EB$23&amp;$B60,防護具!$S$31:$S$163))-EA60,0)</f>
        <v>0</v>
      </c>
      <c r="EC61" s="2000">
        <f>IFERROR(
SUM(EB61,SUMIF(防護具!$B$31:$B$163,EC$23&amp;$B60,防護具!$S$31:$S$163))-EB60,0)</f>
        <v>0</v>
      </c>
      <c r="ED61" s="2000">
        <f>IFERROR(
SUM(EC61,SUMIF(防護具!$B$31:$B$163,ED$23&amp;$B60,防護具!$S$31:$S$163))-EC60,0)</f>
        <v>0</v>
      </c>
      <c r="EE61" s="2000">
        <f>IFERROR(
SUM(ED61,SUMIF(防護具!$B$31:$B$163,EE$23&amp;$B60,防護具!$S$31:$S$163))-ED60,0)</f>
        <v>0</v>
      </c>
      <c r="EF61" s="2000">
        <f>IFERROR(
SUM(EE61,SUMIF(防護具!$B$31:$B$163,EF$23&amp;$B60,防護具!$S$31:$S$163))-EE60,0)</f>
        <v>0</v>
      </c>
      <c r="EG61" s="2000">
        <f>IFERROR(
SUM(EF61,SUMIF(防護具!$B$31:$B$163,EG$23&amp;$B60,防護具!$S$31:$S$163))-EF60,0)</f>
        <v>0</v>
      </c>
      <c r="EH61" s="2000">
        <f>IFERROR(
SUM(EG61,SUMIF(防護具!$B$31:$B$163,EH$23&amp;$B60,防護具!$S$31:$S$163))-EG60,0)</f>
        <v>0</v>
      </c>
      <c r="EI61" s="2000">
        <f>IFERROR(
SUM(EH61,SUMIF(防護具!$B$31:$B$163,EI$23&amp;$B60,防護具!$S$31:$S$163))-EH60,0)</f>
        <v>0</v>
      </c>
      <c r="EJ61" s="2000">
        <f>IFERROR(
SUM(EI61,SUMIF(防護具!$B$31:$B$163,EJ$23&amp;$B60,防護具!$S$31:$S$163))-EI60,0)</f>
        <v>0</v>
      </c>
      <c r="EK61" s="2000">
        <f>IFERROR(
SUM(EJ61,SUMIF(防護具!$B$31:$B$163,EK$23&amp;$B60,防護具!$S$31:$S$163))-EJ60,0)</f>
        <v>0</v>
      </c>
      <c r="EL61" s="2000">
        <f>IFERROR(
SUM(EK61,SUMIF(防護具!$B$31:$B$163,EL$23&amp;$B60,防護具!$S$31:$S$163))-EK60,0)</f>
        <v>0</v>
      </c>
      <c r="EM61" s="2000">
        <f>IFERROR(
SUM(EL61,SUMIF(防護具!$B$31:$B$163,EM$23&amp;$B60,防護具!$S$31:$S$163))-EL60,0)</f>
        <v>0</v>
      </c>
      <c r="EN61" s="2000">
        <f>IFERROR(
SUM(EM61,SUMIF(防護具!$B$31:$B$163,EN$23&amp;$B60,防護具!$S$31:$S$163))-EM60,0)</f>
        <v>0</v>
      </c>
      <c r="EO61" s="2000">
        <f>IFERROR(
SUM(EN61,SUMIF(防護具!$B$31:$B$163,EO$23&amp;$B60,防護具!$S$31:$S$163))-EN60,0)</f>
        <v>0</v>
      </c>
      <c r="EP61" s="2000">
        <f>IFERROR(
SUM(EO61,SUMIF(防護具!$B$31:$B$163,EP$23&amp;$B60,防護具!$S$31:$S$163))-EO60,0)</f>
        <v>0</v>
      </c>
      <c r="EQ61" s="2000">
        <f>IFERROR(
SUM(EP61,SUMIF(防護具!$B$31:$B$163,EQ$23&amp;$B60,防護具!$S$31:$S$163))-EP60,0)</f>
        <v>0</v>
      </c>
      <c r="ER61" s="2000">
        <f>IFERROR(
SUM(EQ61,SUMIF(防護具!$B$31:$B$163,ER$23&amp;$B60,防護具!$S$31:$S$163))-EQ60,0)</f>
        <v>0</v>
      </c>
      <c r="ES61" s="2000">
        <f>IFERROR(
SUM(ER61,SUMIF(防護具!$B$31:$B$163,ES$23&amp;$B60,防護具!$S$31:$S$163))-ER60,0)</f>
        <v>0</v>
      </c>
      <c r="ET61" s="2000">
        <f>IFERROR(
SUM(ES61,SUMIF(防護具!$B$31:$B$163,ET$23&amp;$B60,防護具!$S$31:$S$163))-ES60,0)</f>
        <v>0</v>
      </c>
      <c r="EU61" s="2000">
        <f>IFERROR(
SUM(ET61,SUMIF(防護具!$B$31:$B$163,EU$23&amp;$B60,防護具!$S$31:$S$163))-ET60,0)</f>
        <v>0</v>
      </c>
      <c r="EV61" s="2000">
        <f>IFERROR(
SUM(EU61,SUMIF(防護具!$B$31:$B$163,EV$23&amp;$B60,防護具!$S$31:$S$163))-EU60,0)</f>
        <v>0</v>
      </c>
      <c r="EW61" s="2000">
        <f>IFERROR(
SUM(EV61,SUMIF(防護具!$B$31:$B$163,EW$23&amp;$B60,防護具!$S$31:$S$163))-EV60,0)</f>
        <v>0</v>
      </c>
      <c r="EX61" s="2000">
        <f>IFERROR(
SUM(EW61,SUMIF(防護具!$B$31:$B$163,EX$23&amp;$B60,防護具!$S$31:$S$163))-EW60,0)</f>
        <v>0</v>
      </c>
      <c r="EY61" s="2000">
        <f>IFERROR(
SUM(EX61,SUMIF(防護具!$B$31:$B$163,EY$23&amp;$B60,防護具!$S$31:$S$163))-EX60,0)</f>
        <v>0</v>
      </c>
      <c r="EZ61" s="2000">
        <f>IFERROR(
SUM(EY61,SUMIF(防護具!$B$31:$B$163,EZ$23&amp;$B60,防護具!$S$31:$S$163))-EY60,0)</f>
        <v>0</v>
      </c>
      <c r="FA61" s="2000">
        <f>IFERROR(
SUM(EZ61,SUMIF(防護具!$B$31:$B$163,FA$23&amp;$B60,防護具!$S$31:$S$163))-EZ60,0)</f>
        <v>0</v>
      </c>
      <c r="FB61" s="2000">
        <f>IFERROR(
SUM(FA61,SUMIF(防護具!$B$31:$B$163,FB$23&amp;$B60,防護具!$S$31:$S$163))-FA60,0)</f>
        <v>0</v>
      </c>
      <c r="FC61" s="2000">
        <f>IFERROR(
SUM(FB61,SUMIF(防護具!$B$31:$B$163,FC$23&amp;$B60,防護具!$S$31:$S$163))-FB60,0)</f>
        <v>0</v>
      </c>
      <c r="FD61" s="2000">
        <f>IFERROR(
SUM(FC61,SUMIF(防護具!$B$31:$B$163,FD$23&amp;$B60,防護具!$S$31:$S$163))-FC60,0)</f>
        <v>0</v>
      </c>
      <c r="FE61" s="2000">
        <f>IFERROR(
SUM(FD61,SUMIF(防護具!$B$31:$B$163,FE$23&amp;$B60,防護具!$S$31:$S$163))-FD60,0)</f>
        <v>0</v>
      </c>
      <c r="FF61" s="2000">
        <f>IFERROR(
SUM(FE61,SUMIF(防護具!$B$31:$B$163,FF$23&amp;$B60,防護具!$S$31:$S$163))-FE60,0)</f>
        <v>0</v>
      </c>
      <c r="FG61" s="2000">
        <f>IFERROR(
SUM(FF61,SUMIF(防護具!$B$31:$B$163,FG$23&amp;$B60,防護具!$S$31:$S$163))-FF60,0)</f>
        <v>0</v>
      </c>
      <c r="FH61" s="2000">
        <f>IFERROR(
SUM(FG61,SUMIF(防護具!$B$31:$B$163,FH$23&amp;$B60,防護具!$S$31:$S$163))-FG60,0)</f>
        <v>0</v>
      </c>
      <c r="FI61" s="2000">
        <f>IFERROR(
SUM(FH61,SUMIF(防護具!$B$31:$B$163,FI$23&amp;$B60,防護具!$S$31:$S$163))-FH60,0)</f>
        <v>0</v>
      </c>
      <c r="FJ61" s="2000">
        <f>IFERROR(
SUM(FI61,SUMIF(防護具!$B$31:$B$163,FJ$23&amp;$B60,防護具!$S$31:$S$163))-FI60,0)</f>
        <v>0</v>
      </c>
      <c r="FK61" s="2000">
        <f>IFERROR(
SUM(FJ61,SUMIF(防護具!$B$31:$B$163,FK$23&amp;$B60,防護具!$S$31:$S$163))-FJ60,0)</f>
        <v>0</v>
      </c>
      <c r="FL61" s="2000">
        <f>IFERROR(
SUM(FK61,SUMIF(防護具!$B$31:$B$163,FL$23&amp;$B60,防護具!$S$31:$S$163))-FK60,0)</f>
        <v>0</v>
      </c>
      <c r="FM61" s="2000">
        <f>IFERROR(
SUM(FL61,SUMIF(防護具!$B$31:$B$163,FM$23&amp;$B60,防護具!$S$31:$S$163))-FL60,0)</f>
        <v>0</v>
      </c>
      <c r="FN61" s="2000">
        <f>IFERROR(
SUM(FM61,SUMIF(防護具!$B$31:$B$163,FN$23&amp;$B60,防護具!$S$31:$S$163))-FM60,0)</f>
        <v>0</v>
      </c>
      <c r="FO61" s="2000">
        <f>IFERROR(
SUM(FN61,SUMIF(防護具!$B$31:$B$163,FO$23&amp;$B60,防護具!$S$31:$S$163))-FN60,0)</f>
        <v>0</v>
      </c>
      <c r="FP61" s="2000">
        <f>IFERROR(
SUM(FO61,SUMIF(防護具!$B$31:$B$163,FP$23&amp;$B60,防護具!$S$31:$S$163))-FO60,0)</f>
        <v>0</v>
      </c>
      <c r="FQ61" s="2000">
        <f>IFERROR(
SUM(FP61,SUMIF(防護具!$B$31:$B$163,FQ$23&amp;$B60,防護具!$S$31:$S$163))-FP60,0)</f>
        <v>0</v>
      </c>
      <c r="FR61" s="2000">
        <f>IFERROR(
SUM(FQ61,SUMIF(防護具!$B$31:$B$163,FR$23&amp;$B60,防護具!$S$31:$S$163))-FQ60,0)</f>
        <v>0</v>
      </c>
      <c r="FS61" s="2000">
        <f>IFERROR(
SUM(FR61,SUMIF(防護具!$B$31:$B$163,FS$23&amp;$B60,防護具!$S$31:$S$163))-FR60,0)</f>
        <v>0</v>
      </c>
      <c r="FT61" s="2000">
        <f>IFERROR(
SUM(FS61,SUMIF(防護具!$B$31:$B$163,FT$23&amp;$B60,防護具!$S$31:$S$163))-FS60,0)</f>
        <v>0</v>
      </c>
      <c r="FU61" s="2000">
        <f>IFERROR(
SUM(FT61,SUMIF(防護具!$B$31:$B$163,FU$23&amp;$B60,防護具!$S$31:$S$163))-FT60,0)</f>
        <v>0</v>
      </c>
      <c r="FV61" s="2000">
        <f>IFERROR(
SUM(FU61,SUMIF(防護具!$B$31:$B$163,FV$23&amp;$B60,防護具!$S$31:$S$163))-FU60,0)</f>
        <v>0</v>
      </c>
      <c r="FW61" s="2000">
        <f>IFERROR(
SUM(FV61,SUMIF(防護具!$B$31:$B$163,FW$23&amp;$B60,防護具!$S$31:$S$163))-FV60,0)</f>
        <v>0</v>
      </c>
      <c r="FX61" s="2000">
        <f>IFERROR(
SUM(FW61,SUMIF(防護具!$B$31:$B$163,FX$23&amp;$B60,防護具!$S$31:$S$163))-FW60,0)</f>
        <v>0</v>
      </c>
      <c r="FY61" s="2000">
        <f>IFERROR(
SUM(FX61,SUMIF(防護具!$B$31:$B$163,FY$23&amp;$B60,防護具!$S$31:$S$163))-FX60,0)</f>
        <v>0</v>
      </c>
      <c r="FZ61" s="2000">
        <f>IFERROR(
SUM(FY61,SUMIF(防護具!$B$31:$B$163,FZ$23&amp;$B60,防護具!$S$31:$S$163))-FY60,0)</f>
        <v>0</v>
      </c>
      <c r="GA61" s="2000">
        <f>IFERROR(
SUM(FZ61,SUMIF(防護具!$B$31:$B$163,GA$23&amp;$B60,防護具!$S$31:$S$163))-FZ60,0)</f>
        <v>0</v>
      </c>
      <c r="GB61" s="2000">
        <f>IFERROR(
SUM(GA61,SUMIF(防護具!$B$31:$B$163,GB$23&amp;$B60,防護具!$S$31:$S$163))-GA60,0)</f>
        <v>0</v>
      </c>
      <c r="GC61" s="2000">
        <f>IFERROR(
SUM(GB61,SUMIF(防護具!$B$31:$B$163,GC$23&amp;$B60,防護具!$S$31:$S$163))-GB60,0)</f>
        <v>0</v>
      </c>
      <c r="GD61" s="2000">
        <f>IFERROR(
SUM(GC61,SUMIF(防護具!$B$31:$B$163,GD$23&amp;$B60,防護具!$S$31:$S$163))-GC60,0)</f>
        <v>0</v>
      </c>
      <c r="GE61" s="2000">
        <f>IFERROR(
SUM(GD61,SUMIF(防護具!$B$31:$B$163,GE$23&amp;$B60,防護具!$S$31:$S$163))-GD60,0)</f>
        <v>0</v>
      </c>
      <c r="GF61" s="2000">
        <f>IFERROR(
SUM(GE61,SUMIF(防護具!$B$31:$B$163,GF$23&amp;$B60,防護具!$S$31:$S$163))-GE60,0)</f>
        <v>0</v>
      </c>
    </row>
    <row r="62" spans="1:188" s="641" customFormat="1" ht="15" customHeight="1" x14ac:dyDescent="0.4">
      <c r="A62" s="631"/>
      <c r="B62" s="641" t="s">
        <v>1264</v>
      </c>
      <c r="C62" s="1989" t="s">
        <v>1388</v>
      </c>
      <c r="D62" s="1992"/>
      <c r="E62" s="642"/>
      <c r="F62" s="2000">
        <f>SUMIF(防護具!$B$14:$B$30,F$23&amp;B60,防護具!$S$14:$S$30)</f>
        <v>0</v>
      </c>
      <c r="G62" s="2000">
        <f xml:space="preserve">
IF(G$25="休診日",F62,
IF(F62-VLOOKUP(F$22&amp;$B60,$B$96:$D$191,2,FALSE)&lt;0,0,F62-VLOOKUP(F$22&amp;$B60,$B$96:$D$191,2,FALSE)))</f>
        <v>0</v>
      </c>
      <c r="H62" s="2000">
        <f t="shared" ref="H62:BS62" si="55" xml:space="preserve">
IF(H$25="休診日",G62,
IF(G62-VLOOKUP(G$22&amp;$B60,$B$96:$D$191,2,FALSE)&lt;0,0,G62-VLOOKUP(G$22&amp;$B60,$B$96:$D$191,2,FALSE)))</f>
        <v>0</v>
      </c>
      <c r="I62" s="2000">
        <f t="shared" si="55"/>
        <v>0</v>
      </c>
      <c r="J62" s="2000">
        <f t="shared" si="55"/>
        <v>0</v>
      </c>
      <c r="K62" s="2000">
        <f t="shared" si="55"/>
        <v>0</v>
      </c>
      <c r="L62" s="2000">
        <f t="shared" si="55"/>
        <v>0</v>
      </c>
      <c r="M62" s="2000">
        <f t="shared" si="55"/>
        <v>0</v>
      </c>
      <c r="N62" s="2000">
        <f t="shared" si="55"/>
        <v>0</v>
      </c>
      <c r="O62" s="2000">
        <f t="shared" si="55"/>
        <v>0</v>
      </c>
      <c r="P62" s="2000">
        <f t="shared" si="55"/>
        <v>0</v>
      </c>
      <c r="Q62" s="2000">
        <f t="shared" si="55"/>
        <v>0</v>
      </c>
      <c r="R62" s="2000">
        <f t="shared" si="55"/>
        <v>0</v>
      </c>
      <c r="S62" s="2000">
        <f t="shared" si="55"/>
        <v>0</v>
      </c>
      <c r="T62" s="2000">
        <f t="shared" si="55"/>
        <v>0</v>
      </c>
      <c r="U62" s="2000">
        <f t="shared" si="55"/>
        <v>0</v>
      </c>
      <c r="V62" s="2000">
        <f t="shared" si="55"/>
        <v>0</v>
      </c>
      <c r="W62" s="2000">
        <f t="shared" si="55"/>
        <v>0</v>
      </c>
      <c r="X62" s="2000">
        <f t="shared" si="55"/>
        <v>0</v>
      </c>
      <c r="Y62" s="2000">
        <f t="shared" si="55"/>
        <v>0</v>
      </c>
      <c r="Z62" s="2000">
        <f t="shared" si="55"/>
        <v>0</v>
      </c>
      <c r="AA62" s="2000">
        <f t="shared" si="55"/>
        <v>0</v>
      </c>
      <c r="AB62" s="2000">
        <f t="shared" si="55"/>
        <v>0</v>
      </c>
      <c r="AC62" s="2000">
        <f t="shared" si="55"/>
        <v>0</v>
      </c>
      <c r="AD62" s="2000">
        <f t="shared" si="55"/>
        <v>0</v>
      </c>
      <c r="AE62" s="2000">
        <f t="shared" si="55"/>
        <v>0</v>
      </c>
      <c r="AF62" s="2000">
        <f t="shared" si="55"/>
        <v>0</v>
      </c>
      <c r="AG62" s="2000">
        <f t="shared" si="55"/>
        <v>0</v>
      </c>
      <c r="AH62" s="2000">
        <f t="shared" si="55"/>
        <v>0</v>
      </c>
      <c r="AI62" s="2000">
        <f t="shared" si="55"/>
        <v>0</v>
      </c>
      <c r="AJ62" s="2000">
        <f t="shared" si="55"/>
        <v>0</v>
      </c>
      <c r="AK62" s="2000">
        <f t="shared" si="55"/>
        <v>0</v>
      </c>
      <c r="AL62" s="2000">
        <f t="shared" si="55"/>
        <v>0</v>
      </c>
      <c r="AM62" s="2000">
        <f t="shared" si="55"/>
        <v>0</v>
      </c>
      <c r="AN62" s="2000">
        <f t="shared" si="55"/>
        <v>0</v>
      </c>
      <c r="AO62" s="2000">
        <f t="shared" si="55"/>
        <v>0</v>
      </c>
      <c r="AP62" s="2000">
        <f t="shared" si="55"/>
        <v>0</v>
      </c>
      <c r="AQ62" s="2000">
        <f t="shared" si="55"/>
        <v>0</v>
      </c>
      <c r="AR62" s="2000">
        <f t="shared" si="55"/>
        <v>0</v>
      </c>
      <c r="AS62" s="2000">
        <f t="shared" si="55"/>
        <v>0</v>
      </c>
      <c r="AT62" s="2000">
        <f t="shared" si="55"/>
        <v>0</v>
      </c>
      <c r="AU62" s="2000">
        <f t="shared" si="55"/>
        <v>0</v>
      </c>
      <c r="AV62" s="2000">
        <f t="shared" si="55"/>
        <v>0</v>
      </c>
      <c r="AW62" s="2000">
        <f t="shared" si="55"/>
        <v>0</v>
      </c>
      <c r="AX62" s="2000">
        <f t="shared" si="55"/>
        <v>0</v>
      </c>
      <c r="AY62" s="2000">
        <f t="shared" si="55"/>
        <v>0</v>
      </c>
      <c r="AZ62" s="2000">
        <f t="shared" si="55"/>
        <v>0</v>
      </c>
      <c r="BA62" s="2000">
        <f t="shared" si="55"/>
        <v>0</v>
      </c>
      <c r="BB62" s="2000">
        <f t="shared" si="55"/>
        <v>0</v>
      </c>
      <c r="BC62" s="2000">
        <f t="shared" si="55"/>
        <v>0</v>
      </c>
      <c r="BD62" s="2000">
        <f t="shared" si="55"/>
        <v>0</v>
      </c>
      <c r="BE62" s="2000">
        <f t="shared" si="55"/>
        <v>0</v>
      </c>
      <c r="BF62" s="2000">
        <f t="shared" si="55"/>
        <v>0</v>
      </c>
      <c r="BG62" s="2000">
        <f t="shared" si="55"/>
        <v>0</v>
      </c>
      <c r="BH62" s="2000">
        <f t="shared" si="55"/>
        <v>0</v>
      </c>
      <c r="BI62" s="2000">
        <f t="shared" si="55"/>
        <v>0</v>
      </c>
      <c r="BJ62" s="2000">
        <f t="shared" si="55"/>
        <v>0</v>
      </c>
      <c r="BK62" s="2000">
        <f t="shared" si="55"/>
        <v>0</v>
      </c>
      <c r="BL62" s="2000">
        <f t="shared" si="55"/>
        <v>0</v>
      </c>
      <c r="BM62" s="2000">
        <f t="shared" si="55"/>
        <v>0</v>
      </c>
      <c r="BN62" s="2000">
        <f t="shared" si="55"/>
        <v>0</v>
      </c>
      <c r="BO62" s="2000">
        <f t="shared" si="55"/>
        <v>0</v>
      </c>
      <c r="BP62" s="2000">
        <f t="shared" si="55"/>
        <v>0</v>
      </c>
      <c r="BQ62" s="2000">
        <f t="shared" si="55"/>
        <v>0</v>
      </c>
      <c r="BR62" s="2000">
        <f t="shared" si="55"/>
        <v>0</v>
      </c>
      <c r="BS62" s="2000">
        <f t="shared" si="55"/>
        <v>0</v>
      </c>
      <c r="BT62" s="2000">
        <f t="shared" ref="BT62:EE62" si="56" xml:space="preserve">
IF(BT$25="休診日",BS62,
IF(BS62-VLOOKUP(BS$22&amp;$B60,$B$96:$D$191,2,FALSE)&lt;0,0,BS62-VLOOKUP(BS$22&amp;$B60,$B$96:$D$191,2,FALSE)))</f>
        <v>0</v>
      </c>
      <c r="BU62" s="2000">
        <f t="shared" si="56"/>
        <v>0</v>
      </c>
      <c r="BV62" s="2000">
        <f t="shared" si="56"/>
        <v>0</v>
      </c>
      <c r="BW62" s="2000">
        <f t="shared" si="56"/>
        <v>0</v>
      </c>
      <c r="BX62" s="2000">
        <f t="shared" si="56"/>
        <v>0</v>
      </c>
      <c r="BY62" s="2000">
        <f t="shared" si="56"/>
        <v>0</v>
      </c>
      <c r="BZ62" s="2000">
        <f t="shared" si="56"/>
        <v>0</v>
      </c>
      <c r="CA62" s="2000">
        <f t="shared" si="56"/>
        <v>0</v>
      </c>
      <c r="CB62" s="2000">
        <f t="shared" si="56"/>
        <v>0</v>
      </c>
      <c r="CC62" s="2000">
        <f t="shared" si="56"/>
        <v>0</v>
      </c>
      <c r="CD62" s="2000">
        <f t="shared" si="56"/>
        <v>0</v>
      </c>
      <c r="CE62" s="2000">
        <f t="shared" si="56"/>
        <v>0</v>
      </c>
      <c r="CF62" s="2000">
        <f t="shared" si="56"/>
        <v>0</v>
      </c>
      <c r="CG62" s="2000">
        <f t="shared" si="56"/>
        <v>0</v>
      </c>
      <c r="CH62" s="2000">
        <f t="shared" si="56"/>
        <v>0</v>
      </c>
      <c r="CI62" s="2000">
        <f t="shared" si="56"/>
        <v>0</v>
      </c>
      <c r="CJ62" s="2000">
        <f t="shared" si="56"/>
        <v>0</v>
      </c>
      <c r="CK62" s="2000">
        <f t="shared" si="56"/>
        <v>0</v>
      </c>
      <c r="CL62" s="2000">
        <f t="shared" si="56"/>
        <v>0</v>
      </c>
      <c r="CM62" s="2000">
        <f t="shared" si="56"/>
        <v>0</v>
      </c>
      <c r="CN62" s="2000">
        <f t="shared" si="56"/>
        <v>0</v>
      </c>
      <c r="CO62" s="2000">
        <f t="shared" si="56"/>
        <v>0</v>
      </c>
      <c r="CP62" s="2000">
        <f t="shared" si="56"/>
        <v>0</v>
      </c>
      <c r="CQ62" s="2000">
        <f t="shared" si="56"/>
        <v>0</v>
      </c>
      <c r="CR62" s="2000">
        <f t="shared" si="56"/>
        <v>0</v>
      </c>
      <c r="CS62" s="2000">
        <f t="shared" si="56"/>
        <v>0</v>
      </c>
      <c r="CT62" s="2000">
        <f t="shared" si="56"/>
        <v>0</v>
      </c>
      <c r="CU62" s="2000">
        <f t="shared" si="56"/>
        <v>0</v>
      </c>
      <c r="CV62" s="2000">
        <f t="shared" si="56"/>
        <v>0</v>
      </c>
      <c r="CW62" s="2000">
        <f t="shared" si="56"/>
        <v>0</v>
      </c>
      <c r="CX62" s="2000">
        <f t="shared" si="56"/>
        <v>0</v>
      </c>
      <c r="CY62" s="2000">
        <f t="shared" si="56"/>
        <v>0</v>
      </c>
      <c r="CZ62" s="2000">
        <f t="shared" si="56"/>
        <v>0</v>
      </c>
      <c r="DA62" s="2000">
        <f t="shared" si="56"/>
        <v>0</v>
      </c>
      <c r="DB62" s="2000">
        <f t="shared" si="56"/>
        <v>0</v>
      </c>
      <c r="DC62" s="2000">
        <f t="shared" si="56"/>
        <v>0</v>
      </c>
      <c r="DD62" s="2000">
        <f t="shared" si="56"/>
        <v>0</v>
      </c>
      <c r="DE62" s="2000">
        <f t="shared" si="56"/>
        <v>0</v>
      </c>
      <c r="DF62" s="2000">
        <f t="shared" si="56"/>
        <v>0</v>
      </c>
      <c r="DG62" s="2000">
        <f t="shared" si="56"/>
        <v>0</v>
      </c>
      <c r="DH62" s="2000">
        <f t="shared" si="56"/>
        <v>0</v>
      </c>
      <c r="DI62" s="2000">
        <f t="shared" si="56"/>
        <v>0</v>
      </c>
      <c r="DJ62" s="2000">
        <f t="shared" si="56"/>
        <v>0</v>
      </c>
      <c r="DK62" s="2000">
        <f t="shared" si="56"/>
        <v>0</v>
      </c>
      <c r="DL62" s="2000">
        <f t="shared" si="56"/>
        <v>0</v>
      </c>
      <c r="DM62" s="2000">
        <f t="shared" si="56"/>
        <v>0</v>
      </c>
      <c r="DN62" s="2000">
        <f t="shared" si="56"/>
        <v>0</v>
      </c>
      <c r="DO62" s="2000">
        <f t="shared" si="56"/>
        <v>0</v>
      </c>
      <c r="DP62" s="2000">
        <f t="shared" si="56"/>
        <v>0</v>
      </c>
      <c r="DQ62" s="2000">
        <f t="shared" si="56"/>
        <v>0</v>
      </c>
      <c r="DR62" s="2000">
        <f t="shared" si="56"/>
        <v>0</v>
      </c>
      <c r="DS62" s="2000">
        <f t="shared" si="56"/>
        <v>0</v>
      </c>
      <c r="DT62" s="2000">
        <f t="shared" si="56"/>
        <v>0</v>
      </c>
      <c r="DU62" s="2000">
        <f t="shared" si="56"/>
        <v>0</v>
      </c>
      <c r="DV62" s="2000">
        <f t="shared" si="56"/>
        <v>0</v>
      </c>
      <c r="DW62" s="2000">
        <f t="shared" si="56"/>
        <v>0</v>
      </c>
      <c r="DX62" s="2000">
        <f t="shared" si="56"/>
        <v>0</v>
      </c>
      <c r="DY62" s="2000">
        <f t="shared" si="56"/>
        <v>0</v>
      </c>
      <c r="DZ62" s="2000">
        <f t="shared" si="56"/>
        <v>0</v>
      </c>
      <c r="EA62" s="2000">
        <f t="shared" si="56"/>
        <v>0</v>
      </c>
      <c r="EB62" s="2000">
        <f t="shared" si="56"/>
        <v>0</v>
      </c>
      <c r="EC62" s="2000">
        <f t="shared" si="56"/>
        <v>0</v>
      </c>
      <c r="ED62" s="2000">
        <f t="shared" si="56"/>
        <v>0</v>
      </c>
      <c r="EE62" s="2000">
        <f t="shared" si="56"/>
        <v>0</v>
      </c>
      <c r="EF62" s="2000">
        <f t="shared" ref="EF62:GF62" si="57" xml:space="preserve">
IF(EF$25="休診日",EE62,
IF(EE62-VLOOKUP(EE$22&amp;$B60,$B$96:$D$191,2,FALSE)&lt;0,0,EE62-VLOOKUP(EE$22&amp;$B60,$B$96:$D$191,2,FALSE)))</f>
        <v>0</v>
      </c>
      <c r="EG62" s="2000">
        <f t="shared" si="57"/>
        <v>0</v>
      </c>
      <c r="EH62" s="2000">
        <f t="shared" si="57"/>
        <v>0</v>
      </c>
      <c r="EI62" s="2000">
        <f t="shared" si="57"/>
        <v>0</v>
      </c>
      <c r="EJ62" s="2000">
        <f t="shared" si="57"/>
        <v>0</v>
      </c>
      <c r="EK62" s="2000">
        <f t="shared" si="57"/>
        <v>0</v>
      </c>
      <c r="EL62" s="2000">
        <f t="shared" si="57"/>
        <v>0</v>
      </c>
      <c r="EM62" s="2000">
        <f t="shared" si="57"/>
        <v>0</v>
      </c>
      <c r="EN62" s="2000">
        <f t="shared" si="57"/>
        <v>0</v>
      </c>
      <c r="EO62" s="2000">
        <f t="shared" si="57"/>
        <v>0</v>
      </c>
      <c r="EP62" s="2000">
        <f t="shared" si="57"/>
        <v>0</v>
      </c>
      <c r="EQ62" s="2000">
        <f t="shared" si="57"/>
        <v>0</v>
      </c>
      <c r="ER62" s="2000">
        <f t="shared" si="57"/>
        <v>0</v>
      </c>
      <c r="ES62" s="2000">
        <f t="shared" si="57"/>
        <v>0</v>
      </c>
      <c r="ET62" s="2000">
        <f t="shared" si="57"/>
        <v>0</v>
      </c>
      <c r="EU62" s="2000">
        <f t="shared" si="57"/>
        <v>0</v>
      </c>
      <c r="EV62" s="2000">
        <f t="shared" si="57"/>
        <v>0</v>
      </c>
      <c r="EW62" s="2000">
        <f t="shared" si="57"/>
        <v>0</v>
      </c>
      <c r="EX62" s="2000">
        <f t="shared" si="57"/>
        <v>0</v>
      </c>
      <c r="EY62" s="2000">
        <f t="shared" si="57"/>
        <v>0</v>
      </c>
      <c r="EZ62" s="2000">
        <f t="shared" si="57"/>
        <v>0</v>
      </c>
      <c r="FA62" s="2000">
        <f t="shared" si="57"/>
        <v>0</v>
      </c>
      <c r="FB62" s="2000">
        <f t="shared" si="57"/>
        <v>0</v>
      </c>
      <c r="FC62" s="2000">
        <f t="shared" si="57"/>
        <v>0</v>
      </c>
      <c r="FD62" s="2000">
        <f t="shared" si="57"/>
        <v>0</v>
      </c>
      <c r="FE62" s="2000">
        <f t="shared" si="57"/>
        <v>0</v>
      </c>
      <c r="FF62" s="2000">
        <f t="shared" si="57"/>
        <v>0</v>
      </c>
      <c r="FG62" s="2000">
        <f t="shared" si="57"/>
        <v>0</v>
      </c>
      <c r="FH62" s="2000">
        <f t="shared" si="57"/>
        <v>0</v>
      </c>
      <c r="FI62" s="2000">
        <f t="shared" si="57"/>
        <v>0</v>
      </c>
      <c r="FJ62" s="2000">
        <f t="shared" si="57"/>
        <v>0</v>
      </c>
      <c r="FK62" s="2000">
        <f t="shared" si="57"/>
        <v>0</v>
      </c>
      <c r="FL62" s="2000">
        <f t="shared" si="57"/>
        <v>0</v>
      </c>
      <c r="FM62" s="2000">
        <f t="shared" si="57"/>
        <v>0</v>
      </c>
      <c r="FN62" s="2000">
        <f t="shared" si="57"/>
        <v>0</v>
      </c>
      <c r="FO62" s="2000">
        <f t="shared" si="57"/>
        <v>0</v>
      </c>
      <c r="FP62" s="2000">
        <f t="shared" si="57"/>
        <v>0</v>
      </c>
      <c r="FQ62" s="2000">
        <f t="shared" si="57"/>
        <v>0</v>
      </c>
      <c r="FR62" s="2000">
        <f t="shared" si="57"/>
        <v>0</v>
      </c>
      <c r="FS62" s="2000">
        <f t="shared" si="57"/>
        <v>0</v>
      </c>
      <c r="FT62" s="2000">
        <f t="shared" si="57"/>
        <v>0</v>
      </c>
      <c r="FU62" s="2000">
        <f t="shared" si="57"/>
        <v>0</v>
      </c>
      <c r="FV62" s="2000">
        <f t="shared" si="57"/>
        <v>0</v>
      </c>
      <c r="FW62" s="2000">
        <f t="shared" si="57"/>
        <v>0</v>
      </c>
      <c r="FX62" s="2000">
        <f t="shared" si="57"/>
        <v>0</v>
      </c>
      <c r="FY62" s="2000">
        <f t="shared" si="57"/>
        <v>0</v>
      </c>
      <c r="FZ62" s="2000">
        <f t="shared" si="57"/>
        <v>0</v>
      </c>
      <c r="GA62" s="2000">
        <f t="shared" si="57"/>
        <v>0</v>
      </c>
      <c r="GB62" s="2000">
        <f t="shared" si="57"/>
        <v>0</v>
      </c>
      <c r="GC62" s="2000">
        <f t="shared" si="57"/>
        <v>0</v>
      </c>
      <c r="GD62" s="2000">
        <f t="shared" si="57"/>
        <v>0</v>
      </c>
      <c r="GE62" s="2000">
        <f t="shared" si="57"/>
        <v>0</v>
      </c>
      <c r="GF62" s="2000">
        <f t="shared" si="57"/>
        <v>0</v>
      </c>
    </row>
    <row r="63" spans="1:188" s="639" customFormat="1" ht="15" customHeight="1" x14ac:dyDescent="0.4">
      <c r="A63" s="631"/>
      <c r="B63" s="639" t="s">
        <v>232</v>
      </c>
      <c r="C63" s="1995" t="s">
        <v>1386</v>
      </c>
      <c r="D63" s="1996"/>
      <c r="E63" s="640"/>
      <c r="F63" s="1998">
        <f xml:space="preserve">
IF($F$25="休診日",0,
MIN(F64,IF((VLOOKUP($F$22&amp;$B63,$B$96:$D$191,2,FALSE)-F65)&lt;0,0,VLOOKUP($F$22&amp;$B63,$B$96:$D$191,2,FALSE)-F65)))</f>
        <v>0</v>
      </c>
      <c r="G63" s="1998">
        <f xml:space="preserve">
IF(G$25="休診日",0,
IF(G65&gt;=VLOOKUP(G$22&amp;$B63,$B$96:$D$191,2,FALSE),0,
IF(AND(G65&lt;VLOOKUP(G$22&amp;$B63,$B$96:$D$191,2,FALSE),G64&lt;=VLOOKUP(G$22&amp;$B63,$B$96:$D$191,2,FALSE)),IF(G64-G65&lt;0,0,G64-G65),
IF(AND(G65&lt;VLOOKUP(G$22&amp;$B63,$B$96:$D$191,2,FALSE),G64&gt;VLOOKUP(G$22&amp;$B63,$B$96:$D$191,2,FALSE)),VLOOKUP(G$22&amp;$B63,$B$96:$D$191,2,FALSE)-G65))))</f>
        <v>0</v>
      </c>
      <c r="H63" s="1998">
        <f t="shared" ref="H63:BS63" si="58" xml:space="preserve">
IF(H$25="休診日",0,
IF(H65&gt;=VLOOKUP(H$22&amp;$B63,$B$96:$D$191,2,FALSE),0,
IF(AND(H65&lt;VLOOKUP(H$22&amp;$B63,$B$96:$D$191,2,FALSE),H64&lt;=VLOOKUP(H$22&amp;$B63,$B$96:$D$191,2,FALSE)),IF(H64-H65&lt;0,0,H64-H65),
IF(AND(H65&lt;VLOOKUP(H$22&amp;$B63,$B$96:$D$191,2,FALSE),H64&gt;VLOOKUP(H$22&amp;$B63,$B$96:$D$191,2,FALSE)),VLOOKUP(H$22&amp;$B63,$B$96:$D$191,2,FALSE)-H65))))</f>
        <v>0</v>
      </c>
      <c r="I63" s="1998">
        <f t="shared" si="58"/>
        <v>0</v>
      </c>
      <c r="J63" s="1998">
        <f t="shared" si="58"/>
        <v>0</v>
      </c>
      <c r="K63" s="1998">
        <f t="shared" si="58"/>
        <v>0</v>
      </c>
      <c r="L63" s="1998">
        <f t="shared" si="58"/>
        <v>0</v>
      </c>
      <c r="M63" s="1998">
        <f t="shared" si="58"/>
        <v>0</v>
      </c>
      <c r="N63" s="1998">
        <f t="shared" si="58"/>
        <v>0</v>
      </c>
      <c r="O63" s="1998">
        <f t="shared" si="58"/>
        <v>0</v>
      </c>
      <c r="P63" s="1998">
        <f t="shared" si="58"/>
        <v>0</v>
      </c>
      <c r="Q63" s="1998">
        <f t="shared" si="58"/>
        <v>0</v>
      </c>
      <c r="R63" s="1998">
        <f t="shared" si="58"/>
        <v>0</v>
      </c>
      <c r="S63" s="1998">
        <f t="shared" si="58"/>
        <v>0</v>
      </c>
      <c r="T63" s="1998">
        <f t="shared" si="58"/>
        <v>0</v>
      </c>
      <c r="U63" s="1998">
        <f t="shared" si="58"/>
        <v>0</v>
      </c>
      <c r="V63" s="1998">
        <f t="shared" si="58"/>
        <v>0</v>
      </c>
      <c r="W63" s="1998">
        <f t="shared" si="58"/>
        <v>0</v>
      </c>
      <c r="X63" s="1998">
        <f t="shared" si="58"/>
        <v>0</v>
      </c>
      <c r="Y63" s="1998">
        <f t="shared" si="58"/>
        <v>0</v>
      </c>
      <c r="Z63" s="1998">
        <f t="shared" si="58"/>
        <v>0</v>
      </c>
      <c r="AA63" s="1998">
        <f t="shared" si="58"/>
        <v>0</v>
      </c>
      <c r="AB63" s="1998">
        <f t="shared" si="58"/>
        <v>0</v>
      </c>
      <c r="AC63" s="1998">
        <f t="shared" si="58"/>
        <v>0</v>
      </c>
      <c r="AD63" s="1998">
        <f t="shared" si="58"/>
        <v>0</v>
      </c>
      <c r="AE63" s="1998">
        <f t="shared" si="58"/>
        <v>0</v>
      </c>
      <c r="AF63" s="1998">
        <f t="shared" si="58"/>
        <v>0</v>
      </c>
      <c r="AG63" s="1998">
        <f t="shared" si="58"/>
        <v>0</v>
      </c>
      <c r="AH63" s="1998">
        <f t="shared" si="58"/>
        <v>0</v>
      </c>
      <c r="AI63" s="1998">
        <f t="shared" si="58"/>
        <v>0</v>
      </c>
      <c r="AJ63" s="1998">
        <f t="shared" si="58"/>
        <v>0</v>
      </c>
      <c r="AK63" s="1998">
        <f t="shared" si="58"/>
        <v>0</v>
      </c>
      <c r="AL63" s="1998">
        <f t="shared" si="58"/>
        <v>0</v>
      </c>
      <c r="AM63" s="1998">
        <f t="shared" si="58"/>
        <v>0</v>
      </c>
      <c r="AN63" s="1998">
        <f t="shared" si="58"/>
        <v>0</v>
      </c>
      <c r="AO63" s="1998">
        <f t="shared" si="58"/>
        <v>0</v>
      </c>
      <c r="AP63" s="1998">
        <f t="shared" si="58"/>
        <v>0</v>
      </c>
      <c r="AQ63" s="1998">
        <f t="shared" si="58"/>
        <v>0</v>
      </c>
      <c r="AR63" s="1998">
        <f t="shared" si="58"/>
        <v>0</v>
      </c>
      <c r="AS63" s="1998">
        <f t="shared" si="58"/>
        <v>0</v>
      </c>
      <c r="AT63" s="1998">
        <f t="shared" si="58"/>
        <v>0</v>
      </c>
      <c r="AU63" s="1998">
        <f t="shared" si="58"/>
        <v>0</v>
      </c>
      <c r="AV63" s="1998">
        <f t="shared" si="58"/>
        <v>0</v>
      </c>
      <c r="AW63" s="1998">
        <f t="shared" si="58"/>
        <v>0</v>
      </c>
      <c r="AX63" s="1998">
        <f t="shared" si="58"/>
        <v>0</v>
      </c>
      <c r="AY63" s="1998">
        <f t="shared" si="58"/>
        <v>0</v>
      </c>
      <c r="AZ63" s="1998">
        <f t="shared" si="58"/>
        <v>0</v>
      </c>
      <c r="BA63" s="1998">
        <f t="shared" si="58"/>
        <v>0</v>
      </c>
      <c r="BB63" s="1998">
        <f t="shared" si="58"/>
        <v>0</v>
      </c>
      <c r="BC63" s="1998">
        <f t="shared" si="58"/>
        <v>0</v>
      </c>
      <c r="BD63" s="1998">
        <f t="shared" si="58"/>
        <v>0</v>
      </c>
      <c r="BE63" s="1998">
        <f t="shared" si="58"/>
        <v>0</v>
      </c>
      <c r="BF63" s="1998">
        <f t="shared" si="58"/>
        <v>0</v>
      </c>
      <c r="BG63" s="1998">
        <f t="shared" si="58"/>
        <v>0</v>
      </c>
      <c r="BH63" s="1998">
        <f t="shared" si="58"/>
        <v>0</v>
      </c>
      <c r="BI63" s="1998">
        <f t="shared" si="58"/>
        <v>0</v>
      </c>
      <c r="BJ63" s="1998">
        <f t="shared" si="58"/>
        <v>0</v>
      </c>
      <c r="BK63" s="1998">
        <f t="shared" si="58"/>
        <v>0</v>
      </c>
      <c r="BL63" s="1998">
        <f t="shared" si="58"/>
        <v>0</v>
      </c>
      <c r="BM63" s="1998">
        <f t="shared" si="58"/>
        <v>0</v>
      </c>
      <c r="BN63" s="1998">
        <f t="shared" si="58"/>
        <v>0</v>
      </c>
      <c r="BO63" s="1998">
        <f t="shared" si="58"/>
        <v>0</v>
      </c>
      <c r="BP63" s="1998">
        <f t="shared" si="58"/>
        <v>0</v>
      </c>
      <c r="BQ63" s="1998">
        <f t="shared" si="58"/>
        <v>0</v>
      </c>
      <c r="BR63" s="1998">
        <f t="shared" si="58"/>
        <v>0</v>
      </c>
      <c r="BS63" s="1998">
        <f t="shared" si="58"/>
        <v>0</v>
      </c>
      <c r="BT63" s="1998">
        <f t="shared" ref="BT63:EE63" si="59" xml:space="preserve">
IF(BT$25="休診日",0,
IF(BT65&gt;=VLOOKUP(BT$22&amp;$B63,$B$96:$D$191,2,FALSE),0,
IF(AND(BT65&lt;VLOOKUP(BT$22&amp;$B63,$B$96:$D$191,2,FALSE),BT64&lt;=VLOOKUP(BT$22&amp;$B63,$B$96:$D$191,2,FALSE)),IF(BT64-BT65&lt;0,0,BT64-BT65),
IF(AND(BT65&lt;VLOOKUP(BT$22&amp;$B63,$B$96:$D$191,2,FALSE),BT64&gt;VLOOKUP(BT$22&amp;$B63,$B$96:$D$191,2,FALSE)),VLOOKUP(BT$22&amp;$B63,$B$96:$D$191,2,FALSE)-BT65))))</f>
        <v>0</v>
      </c>
      <c r="BU63" s="1998">
        <f t="shared" si="59"/>
        <v>0</v>
      </c>
      <c r="BV63" s="1998">
        <f t="shared" si="59"/>
        <v>0</v>
      </c>
      <c r="BW63" s="1998">
        <f t="shared" si="59"/>
        <v>0</v>
      </c>
      <c r="BX63" s="1998">
        <f t="shared" si="59"/>
        <v>0</v>
      </c>
      <c r="BY63" s="1998">
        <f t="shared" si="59"/>
        <v>0</v>
      </c>
      <c r="BZ63" s="1998">
        <f t="shared" si="59"/>
        <v>0</v>
      </c>
      <c r="CA63" s="1998">
        <f t="shared" si="59"/>
        <v>0</v>
      </c>
      <c r="CB63" s="1998">
        <f t="shared" si="59"/>
        <v>0</v>
      </c>
      <c r="CC63" s="1998">
        <f t="shared" si="59"/>
        <v>0</v>
      </c>
      <c r="CD63" s="1998">
        <f t="shared" si="59"/>
        <v>0</v>
      </c>
      <c r="CE63" s="1998">
        <f t="shared" si="59"/>
        <v>0</v>
      </c>
      <c r="CF63" s="1998">
        <f t="shared" si="59"/>
        <v>0</v>
      </c>
      <c r="CG63" s="1998">
        <f t="shared" si="59"/>
        <v>0</v>
      </c>
      <c r="CH63" s="1998">
        <f t="shared" si="59"/>
        <v>0</v>
      </c>
      <c r="CI63" s="1998">
        <f t="shared" si="59"/>
        <v>0</v>
      </c>
      <c r="CJ63" s="1998">
        <f t="shared" si="59"/>
        <v>0</v>
      </c>
      <c r="CK63" s="1998">
        <f t="shared" si="59"/>
        <v>0</v>
      </c>
      <c r="CL63" s="1998">
        <f t="shared" si="59"/>
        <v>0</v>
      </c>
      <c r="CM63" s="1998">
        <f t="shared" si="59"/>
        <v>0</v>
      </c>
      <c r="CN63" s="1998">
        <f t="shared" si="59"/>
        <v>0</v>
      </c>
      <c r="CO63" s="1998">
        <f t="shared" si="59"/>
        <v>0</v>
      </c>
      <c r="CP63" s="1998">
        <f t="shared" si="59"/>
        <v>0</v>
      </c>
      <c r="CQ63" s="1998">
        <f t="shared" si="59"/>
        <v>0</v>
      </c>
      <c r="CR63" s="1998">
        <f t="shared" si="59"/>
        <v>0</v>
      </c>
      <c r="CS63" s="1998">
        <f t="shared" si="59"/>
        <v>0</v>
      </c>
      <c r="CT63" s="1998">
        <f t="shared" si="59"/>
        <v>0</v>
      </c>
      <c r="CU63" s="1998">
        <f t="shared" si="59"/>
        <v>0</v>
      </c>
      <c r="CV63" s="1998">
        <f t="shared" si="59"/>
        <v>0</v>
      </c>
      <c r="CW63" s="1998">
        <f t="shared" si="59"/>
        <v>0</v>
      </c>
      <c r="CX63" s="1998">
        <f t="shared" si="59"/>
        <v>0</v>
      </c>
      <c r="CY63" s="1998">
        <f t="shared" si="59"/>
        <v>0</v>
      </c>
      <c r="CZ63" s="1998">
        <f t="shared" si="59"/>
        <v>0</v>
      </c>
      <c r="DA63" s="1998">
        <f t="shared" si="59"/>
        <v>0</v>
      </c>
      <c r="DB63" s="1998">
        <f t="shared" si="59"/>
        <v>0</v>
      </c>
      <c r="DC63" s="1998">
        <f t="shared" si="59"/>
        <v>0</v>
      </c>
      <c r="DD63" s="1998">
        <f t="shared" si="59"/>
        <v>0</v>
      </c>
      <c r="DE63" s="1998">
        <f t="shared" si="59"/>
        <v>0</v>
      </c>
      <c r="DF63" s="1998">
        <f t="shared" si="59"/>
        <v>0</v>
      </c>
      <c r="DG63" s="1998">
        <f t="shared" si="59"/>
        <v>0</v>
      </c>
      <c r="DH63" s="1998">
        <f t="shared" si="59"/>
        <v>0</v>
      </c>
      <c r="DI63" s="1998">
        <f t="shared" si="59"/>
        <v>0</v>
      </c>
      <c r="DJ63" s="1998">
        <f t="shared" si="59"/>
        <v>0</v>
      </c>
      <c r="DK63" s="1998">
        <f t="shared" si="59"/>
        <v>0</v>
      </c>
      <c r="DL63" s="1998">
        <f t="shared" si="59"/>
        <v>0</v>
      </c>
      <c r="DM63" s="1998">
        <f t="shared" si="59"/>
        <v>0</v>
      </c>
      <c r="DN63" s="1998">
        <f t="shared" si="59"/>
        <v>0</v>
      </c>
      <c r="DO63" s="1998">
        <f t="shared" si="59"/>
        <v>0</v>
      </c>
      <c r="DP63" s="1998">
        <f t="shared" si="59"/>
        <v>0</v>
      </c>
      <c r="DQ63" s="1998">
        <f t="shared" si="59"/>
        <v>0</v>
      </c>
      <c r="DR63" s="1998">
        <f t="shared" si="59"/>
        <v>0</v>
      </c>
      <c r="DS63" s="1998">
        <f t="shared" si="59"/>
        <v>0</v>
      </c>
      <c r="DT63" s="1998">
        <f t="shared" si="59"/>
        <v>0</v>
      </c>
      <c r="DU63" s="1998">
        <f t="shared" si="59"/>
        <v>0</v>
      </c>
      <c r="DV63" s="1998">
        <f t="shared" si="59"/>
        <v>0</v>
      </c>
      <c r="DW63" s="1998">
        <f t="shared" si="59"/>
        <v>0</v>
      </c>
      <c r="DX63" s="1998">
        <f t="shared" si="59"/>
        <v>0</v>
      </c>
      <c r="DY63" s="1998">
        <f t="shared" si="59"/>
        <v>0</v>
      </c>
      <c r="DZ63" s="1998">
        <f t="shared" si="59"/>
        <v>0</v>
      </c>
      <c r="EA63" s="1998">
        <f t="shared" si="59"/>
        <v>0</v>
      </c>
      <c r="EB63" s="1998">
        <f t="shared" si="59"/>
        <v>0</v>
      </c>
      <c r="EC63" s="1998">
        <f t="shared" si="59"/>
        <v>0</v>
      </c>
      <c r="ED63" s="1998">
        <f t="shared" si="59"/>
        <v>0</v>
      </c>
      <c r="EE63" s="1998">
        <f t="shared" si="59"/>
        <v>0</v>
      </c>
      <c r="EF63" s="1998">
        <f t="shared" ref="EF63:GF63" si="60" xml:space="preserve">
IF(EF$25="休診日",0,
IF(EF65&gt;=VLOOKUP(EF$22&amp;$B63,$B$96:$D$191,2,FALSE),0,
IF(AND(EF65&lt;VLOOKUP(EF$22&amp;$B63,$B$96:$D$191,2,FALSE),EF64&lt;=VLOOKUP(EF$22&amp;$B63,$B$96:$D$191,2,FALSE)),IF(EF64-EF65&lt;0,0,EF64-EF65),
IF(AND(EF65&lt;VLOOKUP(EF$22&amp;$B63,$B$96:$D$191,2,FALSE),EF64&gt;VLOOKUP(EF$22&amp;$B63,$B$96:$D$191,2,FALSE)),VLOOKUP(EF$22&amp;$B63,$B$96:$D$191,2,FALSE)-EF65))))</f>
        <v>0</v>
      </c>
      <c r="EG63" s="1998">
        <f t="shared" si="60"/>
        <v>0</v>
      </c>
      <c r="EH63" s="1998">
        <f t="shared" si="60"/>
        <v>0</v>
      </c>
      <c r="EI63" s="1998">
        <f t="shared" si="60"/>
        <v>0</v>
      </c>
      <c r="EJ63" s="1998">
        <f t="shared" si="60"/>
        <v>0</v>
      </c>
      <c r="EK63" s="1998">
        <f t="shared" si="60"/>
        <v>0</v>
      </c>
      <c r="EL63" s="1998">
        <f t="shared" si="60"/>
        <v>0</v>
      </c>
      <c r="EM63" s="1998">
        <f t="shared" si="60"/>
        <v>0</v>
      </c>
      <c r="EN63" s="1998">
        <f t="shared" si="60"/>
        <v>0</v>
      </c>
      <c r="EO63" s="1998">
        <f t="shared" si="60"/>
        <v>0</v>
      </c>
      <c r="EP63" s="1998">
        <f t="shared" si="60"/>
        <v>0</v>
      </c>
      <c r="EQ63" s="1998">
        <f t="shared" si="60"/>
        <v>0</v>
      </c>
      <c r="ER63" s="1998">
        <f t="shared" si="60"/>
        <v>0</v>
      </c>
      <c r="ES63" s="1998">
        <f t="shared" si="60"/>
        <v>0</v>
      </c>
      <c r="ET63" s="1998">
        <f t="shared" si="60"/>
        <v>0</v>
      </c>
      <c r="EU63" s="1998">
        <f t="shared" si="60"/>
        <v>0</v>
      </c>
      <c r="EV63" s="1998">
        <f t="shared" si="60"/>
        <v>0</v>
      </c>
      <c r="EW63" s="1998">
        <f t="shared" si="60"/>
        <v>0</v>
      </c>
      <c r="EX63" s="1998">
        <f t="shared" si="60"/>
        <v>0</v>
      </c>
      <c r="EY63" s="1998">
        <f t="shared" si="60"/>
        <v>0</v>
      </c>
      <c r="EZ63" s="1998">
        <f t="shared" si="60"/>
        <v>0</v>
      </c>
      <c r="FA63" s="1998">
        <f t="shared" si="60"/>
        <v>0</v>
      </c>
      <c r="FB63" s="1998">
        <f t="shared" si="60"/>
        <v>0</v>
      </c>
      <c r="FC63" s="1998">
        <f t="shared" si="60"/>
        <v>0</v>
      </c>
      <c r="FD63" s="1998">
        <f t="shared" si="60"/>
        <v>0</v>
      </c>
      <c r="FE63" s="1998">
        <f t="shared" si="60"/>
        <v>0</v>
      </c>
      <c r="FF63" s="1998">
        <f t="shared" si="60"/>
        <v>0</v>
      </c>
      <c r="FG63" s="1998">
        <f t="shared" si="60"/>
        <v>0</v>
      </c>
      <c r="FH63" s="1998">
        <f t="shared" si="60"/>
        <v>0</v>
      </c>
      <c r="FI63" s="1998">
        <f t="shared" si="60"/>
        <v>0</v>
      </c>
      <c r="FJ63" s="1998">
        <f t="shared" si="60"/>
        <v>0</v>
      </c>
      <c r="FK63" s="1998">
        <f t="shared" si="60"/>
        <v>0</v>
      </c>
      <c r="FL63" s="1998">
        <f t="shared" si="60"/>
        <v>0</v>
      </c>
      <c r="FM63" s="1998">
        <f t="shared" si="60"/>
        <v>0</v>
      </c>
      <c r="FN63" s="1998">
        <f t="shared" si="60"/>
        <v>0</v>
      </c>
      <c r="FO63" s="1998">
        <f t="shared" si="60"/>
        <v>0</v>
      </c>
      <c r="FP63" s="1998">
        <f t="shared" si="60"/>
        <v>0</v>
      </c>
      <c r="FQ63" s="1998">
        <f t="shared" si="60"/>
        <v>0</v>
      </c>
      <c r="FR63" s="1998">
        <f t="shared" si="60"/>
        <v>0</v>
      </c>
      <c r="FS63" s="1998">
        <f t="shared" si="60"/>
        <v>0</v>
      </c>
      <c r="FT63" s="1998">
        <f t="shared" si="60"/>
        <v>0</v>
      </c>
      <c r="FU63" s="1998">
        <f t="shared" si="60"/>
        <v>0</v>
      </c>
      <c r="FV63" s="1998">
        <f t="shared" si="60"/>
        <v>0</v>
      </c>
      <c r="FW63" s="1998">
        <f t="shared" si="60"/>
        <v>0</v>
      </c>
      <c r="FX63" s="1998">
        <f t="shared" si="60"/>
        <v>0</v>
      </c>
      <c r="FY63" s="1998">
        <f t="shared" si="60"/>
        <v>0</v>
      </c>
      <c r="FZ63" s="1998">
        <f t="shared" si="60"/>
        <v>0</v>
      </c>
      <c r="GA63" s="1998">
        <f t="shared" si="60"/>
        <v>0</v>
      </c>
      <c r="GB63" s="1998">
        <f t="shared" si="60"/>
        <v>0</v>
      </c>
      <c r="GC63" s="1998">
        <f t="shared" si="60"/>
        <v>0</v>
      </c>
      <c r="GD63" s="1998">
        <f t="shared" si="60"/>
        <v>0</v>
      </c>
      <c r="GE63" s="1998">
        <f t="shared" si="60"/>
        <v>0</v>
      </c>
      <c r="GF63" s="1998">
        <f t="shared" si="60"/>
        <v>0</v>
      </c>
    </row>
    <row r="64" spans="1:188" s="639" customFormat="1" ht="15" customHeight="1" x14ac:dyDescent="0.4">
      <c r="A64" s="631"/>
      <c r="B64" s="639" t="s">
        <v>1265</v>
      </c>
      <c r="C64" s="1995" t="s">
        <v>1387</v>
      </c>
      <c r="D64" s="1996"/>
      <c r="E64" s="640"/>
      <c r="F64" s="1998">
        <f>SUM(
SUMIF(防護具!$B$31:$B$163,F$23&amp;"アイソレーションガウン",防護具!$S$31:$S$163),
SUMIF(防護具!$B$31:$B$163,F$23&amp;"プラスチックガウン",防護具!$S$31:$S$163),
SUMIF(防護具!$B$31:$B$163,F$23&amp;"エプロン",防護具!$S$31:$S$163))</f>
        <v>0</v>
      </c>
      <c r="G64" s="2000">
        <f>IFERROR(
SUM(F64,
SUMIF(防護具!$B$31:$B$163,G$23&amp;"アイソレーションガウン",防護具!$S$31:$S$163),
SUMIF(防護具!$B$31:$B$163,G$23&amp;"プラスチックガウン",防護具!$S$31:$S$163),
SUMIF(防護具!$B$31:$B$163,G$23&amp;"エプロン",防護具!$S$31:$S$163))-F63,0)</f>
        <v>0</v>
      </c>
      <c r="H64" s="2000">
        <f>IFERROR(
SUM(G64,
SUMIF(防護具!$B$31:$B$163,H$23&amp;"アイソレーションガウン",防護具!$S$31:$S$163),
SUMIF(防護具!$B$31:$B$163,H$23&amp;"プラスチックガウン",防護具!$S$31:$S$163),
SUMIF(防護具!$B$31:$B$163,H$23&amp;"エプロン",防護具!$S$31:$S$163))-G63,0)</f>
        <v>0</v>
      </c>
      <c r="I64" s="2000">
        <f>IFERROR(
SUM(H64,
SUMIF(防護具!$B$31:$B$163,I$23&amp;"アイソレーションガウン",防護具!$S$31:$S$163),
SUMIF(防護具!$B$31:$B$163,I$23&amp;"プラスチックガウン",防護具!$S$31:$S$163),
SUMIF(防護具!$B$31:$B$163,I$23&amp;"エプロン",防護具!$S$31:$S$163))-H63,0)</f>
        <v>0</v>
      </c>
      <c r="J64" s="2000">
        <f>IFERROR(
SUM(I64,
SUMIF(防護具!$B$31:$B$163,J$23&amp;"アイソレーションガウン",防護具!$S$31:$S$163),
SUMIF(防護具!$B$31:$B$163,J$23&amp;"プラスチックガウン",防護具!$S$31:$S$163),
SUMIF(防護具!$B$31:$B$163,J$23&amp;"エプロン",防護具!$S$31:$S$163))-I63,0)</f>
        <v>0</v>
      </c>
      <c r="K64" s="2000">
        <f>IFERROR(
SUM(J64,
SUMIF(防護具!$B$31:$B$163,K$23&amp;"アイソレーションガウン",防護具!$S$31:$S$163),
SUMIF(防護具!$B$31:$B$163,K$23&amp;"プラスチックガウン",防護具!$S$31:$S$163),
SUMIF(防護具!$B$31:$B$163,K$23&amp;"エプロン",防護具!$S$31:$S$163))-J63,0)</f>
        <v>0</v>
      </c>
      <c r="L64" s="2000">
        <f>IFERROR(
SUM(K64,
SUMIF(防護具!$B$31:$B$163,L$23&amp;"アイソレーションガウン",防護具!$S$31:$S$163),
SUMIF(防護具!$B$31:$B$163,L$23&amp;"プラスチックガウン",防護具!$S$31:$S$163),
SUMIF(防護具!$B$31:$B$163,L$23&amp;"エプロン",防護具!$S$31:$S$163))-K63,0)</f>
        <v>0</v>
      </c>
      <c r="M64" s="2000">
        <f>IFERROR(
SUM(L64,
SUMIF(防護具!$B$31:$B$163,M$23&amp;"アイソレーションガウン",防護具!$S$31:$S$163),
SUMIF(防護具!$B$31:$B$163,M$23&amp;"プラスチックガウン",防護具!$S$31:$S$163),
SUMIF(防護具!$B$31:$B$163,M$23&amp;"エプロン",防護具!$S$31:$S$163))-L63,0)</f>
        <v>0</v>
      </c>
      <c r="N64" s="2000">
        <f>IFERROR(
SUM(M64,
SUMIF(防護具!$B$31:$B$163,N$23&amp;"アイソレーションガウン",防護具!$S$31:$S$163),
SUMIF(防護具!$B$31:$B$163,N$23&amp;"プラスチックガウン",防護具!$S$31:$S$163),
SUMIF(防護具!$B$31:$B$163,N$23&amp;"エプロン",防護具!$S$31:$S$163))-M63,0)</f>
        <v>0</v>
      </c>
      <c r="O64" s="2000">
        <f>IFERROR(
SUM(N64,
SUMIF(防護具!$B$31:$B$163,O$23&amp;"アイソレーションガウン",防護具!$S$31:$S$163),
SUMIF(防護具!$B$31:$B$163,O$23&amp;"プラスチックガウン",防護具!$S$31:$S$163),
SUMIF(防護具!$B$31:$B$163,O$23&amp;"エプロン",防護具!$S$31:$S$163))-N63,0)</f>
        <v>0</v>
      </c>
      <c r="P64" s="2000">
        <f>IFERROR(
SUM(O64,
SUMIF(防護具!$B$31:$B$163,P$23&amp;"アイソレーションガウン",防護具!$S$31:$S$163),
SUMIF(防護具!$B$31:$B$163,P$23&amp;"プラスチックガウン",防護具!$S$31:$S$163),
SUMIF(防護具!$B$31:$B$163,P$23&amp;"エプロン",防護具!$S$31:$S$163))-O63,0)</f>
        <v>0</v>
      </c>
      <c r="Q64" s="2000">
        <f>IFERROR(
SUM(P64,
SUMIF(防護具!$B$31:$B$163,Q$23&amp;"アイソレーションガウン",防護具!$S$31:$S$163),
SUMIF(防護具!$B$31:$B$163,Q$23&amp;"プラスチックガウン",防護具!$S$31:$S$163),
SUMIF(防護具!$B$31:$B$163,Q$23&amp;"エプロン",防護具!$S$31:$S$163))-P63,0)</f>
        <v>0</v>
      </c>
      <c r="R64" s="2000">
        <f>IFERROR(
SUM(Q64,
SUMIF(防護具!$B$31:$B$163,R$23&amp;"アイソレーションガウン",防護具!$S$31:$S$163),
SUMIF(防護具!$B$31:$B$163,R$23&amp;"プラスチックガウン",防護具!$S$31:$S$163),
SUMIF(防護具!$B$31:$B$163,R$23&amp;"エプロン",防護具!$S$31:$S$163))-Q63,0)</f>
        <v>0</v>
      </c>
      <c r="S64" s="2000">
        <f>IFERROR(
SUM(R64,
SUMIF(防護具!$B$31:$B$163,S$23&amp;"アイソレーションガウン",防護具!$S$31:$S$163),
SUMIF(防護具!$B$31:$B$163,S$23&amp;"プラスチックガウン",防護具!$S$31:$S$163),
SUMIF(防護具!$B$31:$B$163,S$23&amp;"エプロン",防護具!$S$31:$S$163))-R63,0)</f>
        <v>0</v>
      </c>
      <c r="T64" s="2000">
        <f>IFERROR(
SUM(S64,
SUMIF(防護具!$B$31:$B$163,T$23&amp;"アイソレーションガウン",防護具!$S$31:$S$163),
SUMIF(防護具!$B$31:$B$163,T$23&amp;"プラスチックガウン",防護具!$S$31:$S$163),
SUMIF(防護具!$B$31:$B$163,T$23&amp;"エプロン",防護具!$S$31:$S$163))-S63,0)</f>
        <v>0</v>
      </c>
      <c r="U64" s="2000">
        <f>IFERROR(
SUM(T64,
SUMIF(防護具!$B$31:$B$163,U$23&amp;"アイソレーションガウン",防護具!$S$31:$S$163),
SUMIF(防護具!$B$31:$B$163,U$23&amp;"プラスチックガウン",防護具!$S$31:$S$163),
SUMIF(防護具!$B$31:$B$163,U$23&amp;"エプロン",防護具!$S$31:$S$163))-T63,0)</f>
        <v>0</v>
      </c>
      <c r="V64" s="2000">
        <f>IFERROR(
SUM(U64,
SUMIF(防護具!$B$31:$B$163,V$23&amp;"アイソレーションガウン",防護具!$S$31:$S$163),
SUMIF(防護具!$B$31:$B$163,V$23&amp;"プラスチックガウン",防護具!$S$31:$S$163),
SUMIF(防護具!$B$31:$B$163,V$23&amp;"エプロン",防護具!$S$31:$S$163))-U63,0)</f>
        <v>0</v>
      </c>
      <c r="W64" s="2000">
        <f>IFERROR(
SUM(V64,
SUMIF(防護具!$B$31:$B$163,W$23&amp;"アイソレーションガウン",防護具!$S$31:$S$163),
SUMIF(防護具!$B$31:$B$163,W$23&amp;"プラスチックガウン",防護具!$S$31:$S$163),
SUMIF(防護具!$B$31:$B$163,W$23&amp;"エプロン",防護具!$S$31:$S$163))-V63,0)</f>
        <v>0</v>
      </c>
      <c r="X64" s="2000">
        <f>IFERROR(
SUM(W64,
SUMIF(防護具!$B$31:$B$163,X$23&amp;"アイソレーションガウン",防護具!$S$31:$S$163),
SUMIF(防護具!$B$31:$B$163,X$23&amp;"プラスチックガウン",防護具!$S$31:$S$163),
SUMIF(防護具!$B$31:$B$163,X$23&amp;"エプロン",防護具!$S$31:$S$163))-W63,0)</f>
        <v>0</v>
      </c>
      <c r="Y64" s="2000">
        <f>IFERROR(
SUM(X64,
SUMIF(防護具!$B$31:$B$163,Y$23&amp;"アイソレーションガウン",防護具!$S$31:$S$163),
SUMIF(防護具!$B$31:$B$163,Y$23&amp;"プラスチックガウン",防護具!$S$31:$S$163),
SUMIF(防護具!$B$31:$B$163,Y$23&amp;"エプロン",防護具!$S$31:$S$163))-X63,0)</f>
        <v>0</v>
      </c>
      <c r="Z64" s="2000">
        <f>IFERROR(
SUM(Y64,
SUMIF(防護具!$B$31:$B$163,Z$23&amp;"アイソレーションガウン",防護具!$S$31:$S$163),
SUMIF(防護具!$B$31:$B$163,Z$23&amp;"プラスチックガウン",防護具!$S$31:$S$163),
SUMIF(防護具!$B$31:$B$163,Z$23&amp;"エプロン",防護具!$S$31:$S$163))-Y63,0)</f>
        <v>0</v>
      </c>
      <c r="AA64" s="2000">
        <f>IFERROR(
SUM(Z64,
SUMIF(防護具!$B$31:$B$163,AA$23&amp;"アイソレーションガウン",防護具!$S$31:$S$163),
SUMIF(防護具!$B$31:$B$163,AA$23&amp;"プラスチックガウン",防護具!$S$31:$S$163),
SUMIF(防護具!$B$31:$B$163,AA$23&amp;"エプロン",防護具!$S$31:$S$163))-Z63,0)</f>
        <v>0</v>
      </c>
      <c r="AB64" s="2000">
        <f>IFERROR(
SUM(AA64,
SUMIF(防護具!$B$31:$B$163,AB$23&amp;"アイソレーションガウン",防護具!$S$31:$S$163),
SUMIF(防護具!$B$31:$B$163,AB$23&amp;"プラスチックガウン",防護具!$S$31:$S$163),
SUMIF(防護具!$B$31:$B$163,AB$23&amp;"エプロン",防護具!$S$31:$S$163))-AA63,0)</f>
        <v>0</v>
      </c>
      <c r="AC64" s="2000">
        <f>IFERROR(
SUM(AB64,
SUMIF(防護具!$B$31:$B$163,AC$23&amp;"アイソレーションガウン",防護具!$S$31:$S$163),
SUMIF(防護具!$B$31:$B$163,AC$23&amp;"プラスチックガウン",防護具!$S$31:$S$163),
SUMIF(防護具!$B$31:$B$163,AC$23&amp;"エプロン",防護具!$S$31:$S$163))-AB63,0)</f>
        <v>0</v>
      </c>
      <c r="AD64" s="2000">
        <f>IFERROR(
SUM(AC64,
SUMIF(防護具!$B$31:$B$163,AD$23&amp;"アイソレーションガウン",防護具!$S$31:$S$163),
SUMIF(防護具!$B$31:$B$163,AD$23&amp;"プラスチックガウン",防護具!$S$31:$S$163),
SUMIF(防護具!$B$31:$B$163,AD$23&amp;"エプロン",防護具!$S$31:$S$163))-AC63,0)</f>
        <v>0</v>
      </c>
      <c r="AE64" s="2000">
        <f>IFERROR(
SUM(AD64,
SUMIF(防護具!$B$31:$B$163,AE$23&amp;"アイソレーションガウン",防護具!$S$31:$S$163),
SUMIF(防護具!$B$31:$B$163,AE$23&amp;"プラスチックガウン",防護具!$S$31:$S$163),
SUMIF(防護具!$B$31:$B$163,AE$23&amp;"エプロン",防護具!$S$31:$S$163))-AD63,0)</f>
        <v>0</v>
      </c>
      <c r="AF64" s="2000">
        <f>IFERROR(
SUM(AE64,
SUMIF(防護具!$B$31:$B$163,AF$23&amp;"アイソレーションガウン",防護具!$S$31:$S$163),
SUMIF(防護具!$B$31:$B$163,AF$23&amp;"プラスチックガウン",防護具!$S$31:$S$163),
SUMIF(防護具!$B$31:$B$163,AF$23&amp;"エプロン",防護具!$S$31:$S$163))-AE63,0)</f>
        <v>0</v>
      </c>
      <c r="AG64" s="2000">
        <f>IFERROR(
SUM(AF64,
SUMIF(防護具!$B$31:$B$163,AG$23&amp;"アイソレーションガウン",防護具!$S$31:$S$163),
SUMIF(防護具!$B$31:$B$163,AG$23&amp;"プラスチックガウン",防護具!$S$31:$S$163),
SUMIF(防護具!$B$31:$B$163,AG$23&amp;"エプロン",防護具!$S$31:$S$163))-AF63,0)</f>
        <v>0</v>
      </c>
      <c r="AH64" s="2000">
        <f>IFERROR(
SUM(AG64,
SUMIF(防護具!$B$31:$B$163,AH$23&amp;"アイソレーションガウン",防護具!$S$31:$S$163),
SUMIF(防護具!$B$31:$B$163,AH$23&amp;"プラスチックガウン",防護具!$S$31:$S$163),
SUMIF(防護具!$B$31:$B$163,AH$23&amp;"エプロン",防護具!$S$31:$S$163))-AG63,0)</f>
        <v>0</v>
      </c>
      <c r="AI64" s="2000">
        <f>IFERROR(
SUM(AH64,
SUMIF(防護具!$B$31:$B$163,AI$23&amp;"アイソレーションガウン",防護具!$S$31:$S$163),
SUMIF(防護具!$B$31:$B$163,AI$23&amp;"プラスチックガウン",防護具!$S$31:$S$163),
SUMIF(防護具!$B$31:$B$163,AI$23&amp;"エプロン",防護具!$S$31:$S$163))-AH63,0)</f>
        <v>0</v>
      </c>
      <c r="AJ64" s="2000">
        <f>IFERROR(
SUM(AI64,
SUMIF(防護具!$B$31:$B$163,AJ$23&amp;"アイソレーションガウン",防護具!$S$31:$S$163),
SUMIF(防護具!$B$31:$B$163,AJ$23&amp;"プラスチックガウン",防護具!$S$31:$S$163),
SUMIF(防護具!$B$31:$B$163,AJ$23&amp;"エプロン",防護具!$S$31:$S$163))-AI63,0)</f>
        <v>0</v>
      </c>
      <c r="AK64" s="2000">
        <f>IFERROR(
SUM(AJ64,
SUMIF(防護具!$B$31:$B$163,AK$23&amp;"アイソレーションガウン",防護具!$S$31:$S$163),
SUMIF(防護具!$B$31:$B$163,AK$23&amp;"プラスチックガウン",防護具!$S$31:$S$163),
SUMIF(防護具!$B$31:$B$163,AK$23&amp;"エプロン",防護具!$S$31:$S$163))-AJ63,0)</f>
        <v>0</v>
      </c>
      <c r="AL64" s="2000">
        <f>IFERROR(
SUM(AK64,
SUMIF(防護具!$B$31:$B$163,AL$23&amp;"アイソレーションガウン",防護具!$S$31:$S$163),
SUMIF(防護具!$B$31:$B$163,AL$23&amp;"プラスチックガウン",防護具!$S$31:$S$163),
SUMIF(防護具!$B$31:$B$163,AL$23&amp;"エプロン",防護具!$S$31:$S$163))-AK63,0)</f>
        <v>0</v>
      </c>
      <c r="AM64" s="2000">
        <f>IFERROR(
SUM(AL64,
SUMIF(防護具!$B$31:$B$163,AM$23&amp;"アイソレーションガウン",防護具!$S$31:$S$163),
SUMIF(防護具!$B$31:$B$163,AM$23&amp;"プラスチックガウン",防護具!$S$31:$S$163),
SUMIF(防護具!$B$31:$B$163,AM$23&amp;"エプロン",防護具!$S$31:$S$163))-AL63,0)</f>
        <v>0</v>
      </c>
      <c r="AN64" s="2000">
        <f>IFERROR(
SUM(AM64,
SUMIF(防護具!$B$31:$B$163,AN$23&amp;"アイソレーションガウン",防護具!$S$31:$S$163),
SUMIF(防護具!$B$31:$B$163,AN$23&amp;"プラスチックガウン",防護具!$S$31:$S$163),
SUMIF(防護具!$B$31:$B$163,AN$23&amp;"エプロン",防護具!$S$31:$S$163))-AM63,0)</f>
        <v>0</v>
      </c>
      <c r="AO64" s="2000">
        <f>IFERROR(
SUM(AN64,
SUMIF(防護具!$B$31:$B$163,AO$23&amp;"アイソレーションガウン",防護具!$S$31:$S$163),
SUMIF(防護具!$B$31:$B$163,AO$23&amp;"プラスチックガウン",防護具!$S$31:$S$163),
SUMIF(防護具!$B$31:$B$163,AO$23&amp;"エプロン",防護具!$S$31:$S$163))-AN63,0)</f>
        <v>0</v>
      </c>
      <c r="AP64" s="2000">
        <f>IFERROR(
SUM(AO64,
SUMIF(防護具!$B$31:$B$163,AP$23&amp;"アイソレーションガウン",防護具!$S$31:$S$163),
SUMIF(防護具!$B$31:$B$163,AP$23&amp;"プラスチックガウン",防護具!$S$31:$S$163),
SUMIF(防護具!$B$31:$B$163,AP$23&amp;"エプロン",防護具!$S$31:$S$163))-AO63,0)</f>
        <v>0</v>
      </c>
      <c r="AQ64" s="2000">
        <f>IFERROR(
SUM(AP64,
SUMIF(防護具!$B$31:$B$163,AQ$23&amp;"アイソレーションガウン",防護具!$S$31:$S$163),
SUMIF(防護具!$B$31:$B$163,AQ$23&amp;"プラスチックガウン",防護具!$S$31:$S$163),
SUMIF(防護具!$B$31:$B$163,AQ$23&amp;"エプロン",防護具!$S$31:$S$163))-AP63,0)</f>
        <v>0</v>
      </c>
      <c r="AR64" s="2000">
        <f>IFERROR(
SUM(AQ64,
SUMIF(防護具!$B$31:$B$163,AR$23&amp;"アイソレーションガウン",防護具!$S$31:$S$163),
SUMIF(防護具!$B$31:$B$163,AR$23&amp;"プラスチックガウン",防護具!$S$31:$S$163),
SUMIF(防護具!$B$31:$B$163,AR$23&amp;"エプロン",防護具!$S$31:$S$163))-AQ63,0)</f>
        <v>0</v>
      </c>
      <c r="AS64" s="2000">
        <f>IFERROR(
SUM(AR64,
SUMIF(防護具!$B$31:$B$163,AS$23&amp;"アイソレーションガウン",防護具!$S$31:$S$163),
SUMIF(防護具!$B$31:$B$163,AS$23&amp;"プラスチックガウン",防護具!$S$31:$S$163),
SUMIF(防護具!$B$31:$B$163,AS$23&amp;"エプロン",防護具!$S$31:$S$163))-AR63,0)</f>
        <v>0</v>
      </c>
      <c r="AT64" s="2000">
        <f>IFERROR(
SUM(AS64,
SUMIF(防護具!$B$31:$B$163,AT$23&amp;"アイソレーションガウン",防護具!$S$31:$S$163),
SUMIF(防護具!$B$31:$B$163,AT$23&amp;"プラスチックガウン",防護具!$S$31:$S$163),
SUMIF(防護具!$B$31:$B$163,AT$23&amp;"エプロン",防護具!$S$31:$S$163))-AS63,0)</f>
        <v>0</v>
      </c>
      <c r="AU64" s="2000">
        <f>IFERROR(
SUM(AT64,
SUMIF(防護具!$B$31:$B$163,AU$23&amp;"アイソレーションガウン",防護具!$S$31:$S$163),
SUMIF(防護具!$B$31:$B$163,AU$23&amp;"プラスチックガウン",防護具!$S$31:$S$163),
SUMIF(防護具!$B$31:$B$163,AU$23&amp;"エプロン",防護具!$S$31:$S$163))-AT63,0)</f>
        <v>0</v>
      </c>
      <c r="AV64" s="2000">
        <f>IFERROR(
SUM(AU64,
SUMIF(防護具!$B$31:$B$163,AV$23&amp;"アイソレーションガウン",防護具!$S$31:$S$163),
SUMIF(防護具!$B$31:$B$163,AV$23&amp;"プラスチックガウン",防護具!$S$31:$S$163),
SUMIF(防護具!$B$31:$B$163,AV$23&amp;"エプロン",防護具!$S$31:$S$163))-AU63,0)</f>
        <v>0</v>
      </c>
      <c r="AW64" s="2000">
        <f>IFERROR(
SUM(AV64,
SUMIF(防護具!$B$31:$B$163,AW$23&amp;"アイソレーションガウン",防護具!$S$31:$S$163),
SUMIF(防護具!$B$31:$B$163,AW$23&amp;"プラスチックガウン",防護具!$S$31:$S$163),
SUMIF(防護具!$B$31:$B$163,AW$23&amp;"エプロン",防護具!$S$31:$S$163))-AV63,0)</f>
        <v>0</v>
      </c>
      <c r="AX64" s="2000">
        <f>IFERROR(
SUM(AW64,
SUMIF(防護具!$B$31:$B$163,AX$23&amp;"アイソレーションガウン",防護具!$S$31:$S$163),
SUMIF(防護具!$B$31:$B$163,AX$23&amp;"プラスチックガウン",防護具!$S$31:$S$163),
SUMIF(防護具!$B$31:$B$163,AX$23&amp;"エプロン",防護具!$S$31:$S$163))-AW63,0)</f>
        <v>0</v>
      </c>
      <c r="AY64" s="2000">
        <f>IFERROR(
SUM(AX64,
SUMIF(防護具!$B$31:$B$163,AY$23&amp;"アイソレーションガウン",防護具!$S$31:$S$163),
SUMIF(防護具!$B$31:$B$163,AY$23&amp;"プラスチックガウン",防護具!$S$31:$S$163),
SUMIF(防護具!$B$31:$B$163,AY$23&amp;"エプロン",防護具!$S$31:$S$163))-AX63,0)</f>
        <v>0</v>
      </c>
      <c r="AZ64" s="2000">
        <f>IFERROR(
SUM(AY64,
SUMIF(防護具!$B$31:$B$163,AZ$23&amp;"アイソレーションガウン",防護具!$S$31:$S$163),
SUMIF(防護具!$B$31:$B$163,AZ$23&amp;"プラスチックガウン",防護具!$S$31:$S$163),
SUMIF(防護具!$B$31:$B$163,AZ$23&amp;"エプロン",防護具!$S$31:$S$163))-AY63,0)</f>
        <v>0</v>
      </c>
      <c r="BA64" s="2000">
        <f>IFERROR(
SUM(AZ64,
SUMIF(防護具!$B$31:$B$163,BA$23&amp;"アイソレーションガウン",防護具!$S$31:$S$163),
SUMIF(防護具!$B$31:$B$163,BA$23&amp;"プラスチックガウン",防護具!$S$31:$S$163),
SUMIF(防護具!$B$31:$B$163,BA$23&amp;"エプロン",防護具!$S$31:$S$163))-AZ63,0)</f>
        <v>0</v>
      </c>
      <c r="BB64" s="2000">
        <f>IFERROR(
SUM(BA64,
SUMIF(防護具!$B$31:$B$163,BB$23&amp;"アイソレーションガウン",防護具!$S$31:$S$163),
SUMIF(防護具!$B$31:$B$163,BB$23&amp;"プラスチックガウン",防護具!$S$31:$S$163),
SUMIF(防護具!$B$31:$B$163,BB$23&amp;"エプロン",防護具!$S$31:$S$163))-BA63,0)</f>
        <v>0</v>
      </c>
      <c r="BC64" s="2000">
        <f>IFERROR(
SUM(BB64,
SUMIF(防護具!$B$31:$B$163,BC$23&amp;"アイソレーションガウン",防護具!$S$31:$S$163),
SUMIF(防護具!$B$31:$B$163,BC$23&amp;"プラスチックガウン",防護具!$S$31:$S$163),
SUMIF(防護具!$B$31:$B$163,BC$23&amp;"エプロン",防護具!$S$31:$S$163))-BB63,0)</f>
        <v>0</v>
      </c>
      <c r="BD64" s="2000">
        <f>IFERROR(
SUM(BC64,
SUMIF(防護具!$B$31:$B$163,BD$23&amp;"アイソレーションガウン",防護具!$S$31:$S$163),
SUMIF(防護具!$B$31:$B$163,BD$23&amp;"プラスチックガウン",防護具!$S$31:$S$163),
SUMIF(防護具!$B$31:$B$163,BD$23&amp;"エプロン",防護具!$S$31:$S$163))-BC63,0)</f>
        <v>0</v>
      </c>
      <c r="BE64" s="2000">
        <f>IFERROR(
SUM(BD64,
SUMIF(防護具!$B$31:$B$163,BE$23&amp;"アイソレーションガウン",防護具!$S$31:$S$163),
SUMIF(防護具!$B$31:$B$163,BE$23&amp;"プラスチックガウン",防護具!$S$31:$S$163),
SUMIF(防護具!$B$31:$B$163,BE$23&amp;"エプロン",防護具!$S$31:$S$163))-BD63,0)</f>
        <v>0</v>
      </c>
      <c r="BF64" s="2000">
        <f>IFERROR(
SUM(BE64,
SUMIF(防護具!$B$31:$B$163,BF$23&amp;"アイソレーションガウン",防護具!$S$31:$S$163),
SUMIF(防護具!$B$31:$B$163,BF$23&amp;"プラスチックガウン",防護具!$S$31:$S$163),
SUMIF(防護具!$B$31:$B$163,BF$23&amp;"エプロン",防護具!$S$31:$S$163))-BE63,0)</f>
        <v>0</v>
      </c>
      <c r="BG64" s="2000">
        <f>IFERROR(
SUM(BF64,
SUMIF(防護具!$B$31:$B$163,BG$23&amp;"アイソレーションガウン",防護具!$S$31:$S$163),
SUMIF(防護具!$B$31:$B$163,BG$23&amp;"プラスチックガウン",防護具!$S$31:$S$163),
SUMIF(防護具!$B$31:$B$163,BG$23&amp;"エプロン",防護具!$S$31:$S$163))-BF63,0)</f>
        <v>0</v>
      </c>
      <c r="BH64" s="2000">
        <f>IFERROR(
SUM(BG64,
SUMIF(防護具!$B$31:$B$163,BH$23&amp;"アイソレーションガウン",防護具!$S$31:$S$163),
SUMIF(防護具!$B$31:$B$163,BH$23&amp;"プラスチックガウン",防護具!$S$31:$S$163),
SUMIF(防護具!$B$31:$B$163,BH$23&amp;"エプロン",防護具!$S$31:$S$163))-BG63,0)</f>
        <v>0</v>
      </c>
      <c r="BI64" s="2000">
        <f>IFERROR(
SUM(BH64,
SUMIF(防護具!$B$31:$B$163,BI$23&amp;"アイソレーションガウン",防護具!$S$31:$S$163),
SUMIF(防護具!$B$31:$B$163,BI$23&amp;"プラスチックガウン",防護具!$S$31:$S$163),
SUMIF(防護具!$B$31:$B$163,BI$23&amp;"エプロン",防護具!$S$31:$S$163))-BH63,0)</f>
        <v>0</v>
      </c>
      <c r="BJ64" s="2000">
        <f>IFERROR(
SUM(BI64,
SUMIF(防護具!$B$31:$B$163,BJ$23&amp;"アイソレーションガウン",防護具!$S$31:$S$163),
SUMIF(防護具!$B$31:$B$163,BJ$23&amp;"プラスチックガウン",防護具!$S$31:$S$163),
SUMIF(防護具!$B$31:$B$163,BJ$23&amp;"エプロン",防護具!$S$31:$S$163))-BI63,0)</f>
        <v>0</v>
      </c>
      <c r="BK64" s="2000">
        <f>IFERROR(
SUM(BJ64,
SUMIF(防護具!$B$31:$B$163,BK$23&amp;"アイソレーションガウン",防護具!$S$31:$S$163),
SUMIF(防護具!$B$31:$B$163,BK$23&amp;"プラスチックガウン",防護具!$S$31:$S$163),
SUMIF(防護具!$B$31:$B$163,BK$23&amp;"エプロン",防護具!$S$31:$S$163))-BJ63,0)</f>
        <v>0</v>
      </c>
      <c r="BL64" s="2000">
        <f>IFERROR(
SUM(BK64,
SUMIF(防護具!$B$31:$B$163,BL$23&amp;"アイソレーションガウン",防護具!$S$31:$S$163),
SUMIF(防護具!$B$31:$B$163,BL$23&amp;"プラスチックガウン",防護具!$S$31:$S$163),
SUMIF(防護具!$B$31:$B$163,BL$23&amp;"エプロン",防護具!$S$31:$S$163))-BK63,0)</f>
        <v>0</v>
      </c>
      <c r="BM64" s="2000">
        <f>IFERROR(
SUM(BL64,
SUMIF(防護具!$B$31:$B$163,BM$23&amp;"アイソレーションガウン",防護具!$S$31:$S$163),
SUMIF(防護具!$B$31:$B$163,BM$23&amp;"プラスチックガウン",防護具!$S$31:$S$163),
SUMIF(防護具!$B$31:$B$163,BM$23&amp;"エプロン",防護具!$S$31:$S$163))-BL63,0)</f>
        <v>0</v>
      </c>
      <c r="BN64" s="2000">
        <f>IFERROR(
SUM(BM64,
SUMIF(防護具!$B$31:$B$163,BN$23&amp;"アイソレーションガウン",防護具!$S$31:$S$163),
SUMIF(防護具!$B$31:$B$163,BN$23&amp;"プラスチックガウン",防護具!$S$31:$S$163),
SUMIF(防護具!$B$31:$B$163,BN$23&amp;"エプロン",防護具!$S$31:$S$163))-BM63,0)</f>
        <v>0</v>
      </c>
      <c r="BO64" s="2000">
        <f>IFERROR(
SUM(BN64,
SUMIF(防護具!$B$31:$B$163,BO$23&amp;"アイソレーションガウン",防護具!$S$31:$S$163),
SUMIF(防護具!$B$31:$B$163,BO$23&amp;"プラスチックガウン",防護具!$S$31:$S$163),
SUMIF(防護具!$B$31:$B$163,BO$23&amp;"エプロン",防護具!$S$31:$S$163))-BN63,0)</f>
        <v>0</v>
      </c>
      <c r="BP64" s="2000">
        <f>IFERROR(
SUM(BO64,
SUMIF(防護具!$B$31:$B$163,BP$23&amp;"アイソレーションガウン",防護具!$S$31:$S$163),
SUMIF(防護具!$B$31:$B$163,BP$23&amp;"プラスチックガウン",防護具!$S$31:$S$163),
SUMIF(防護具!$B$31:$B$163,BP$23&amp;"エプロン",防護具!$S$31:$S$163))-BO63,0)</f>
        <v>0</v>
      </c>
      <c r="BQ64" s="2000">
        <f>IFERROR(
SUM(BP64,
SUMIF(防護具!$B$31:$B$163,BQ$23&amp;"アイソレーションガウン",防護具!$S$31:$S$163),
SUMIF(防護具!$B$31:$B$163,BQ$23&amp;"プラスチックガウン",防護具!$S$31:$S$163),
SUMIF(防護具!$B$31:$B$163,BQ$23&amp;"エプロン",防護具!$S$31:$S$163))-BP63,0)</f>
        <v>0</v>
      </c>
      <c r="BR64" s="2000">
        <f>IFERROR(
SUM(BQ64,
SUMIF(防護具!$B$31:$B$163,BR$23&amp;"アイソレーションガウン",防護具!$S$31:$S$163),
SUMIF(防護具!$B$31:$B$163,BR$23&amp;"プラスチックガウン",防護具!$S$31:$S$163),
SUMIF(防護具!$B$31:$B$163,BR$23&amp;"エプロン",防護具!$S$31:$S$163))-BQ63,0)</f>
        <v>0</v>
      </c>
      <c r="BS64" s="2000">
        <f>IFERROR(
SUM(BR64,
SUMIF(防護具!$B$31:$B$163,BS$23&amp;"アイソレーションガウン",防護具!$S$31:$S$163),
SUMIF(防護具!$B$31:$B$163,BS$23&amp;"プラスチックガウン",防護具!$S$31:$S$163),
SUMIF(防護具!$B$31:$B$163,BS$23&amp;"エプロン",防護具!$S$31:$S$163))-BR63,0)</f>
        <v>0</v>
      </c>
      <c r="BT64" s="2000">
        <f>IFERROR(
SUM(BS64,
SUMIF(防護具!$B$31:$B$163,BT$23&amp;"アイソレーションガウン",防護具!$S$31:$S$163),
SUMIF(防護具!$B$31:$B$163,BT$23&amp;"プラスチックガウン",防護具!$S$31:$S$163),
SUMIF(防護具!$B$31:$B$163,BT$23&amp;"エプロン",防護具!$S$31:$S$163))-BS63,0)</f>
        <v>0</v>
      </c>
      <c r="BU64" s="2000">
        <f>IFERROR(
SUM(BT64,
SUMIF(防護具!$B$31:$B$163,BU$23&amp;"アイソレーションガウン",防護具!$S$31:$S$163),
SUMIF(防護具!$B$31:$B$163,BU$23&amp;"プラスチックガウン",防護具!$S$31:$S$163),
SUMIF(防護具!$B$31:$B$163,BU$23&amp;"エプロン",防護具!$S$31:$S$163))-BT63,0)</f>
        <v>0</v>
      </c>
      <c r="BV64" s="2000">
        <f>IFERROR(
SUM(BU64,
SUMIF(防護具!$B$31:$B$163,BV$23&amp;"アイソレーションガウン",防護具!$S$31:$S$163),
SUMIF(防護具!$B$31:$B$163,BV$23&amp;"プラスチックガウン",防護具!$S$31:$S$163),
SUMIF(防護具!$B$31:$B$163,BV$23&amp;"エプロン",防護具!$S$31:$S$163))-BU63,0)</f>
        <v>0</v>
      </c>
      <c r="BW64" s="2000">
        <f>IFERROR(
SUM(BV64,
SUMIF(防護具!$B$31:$B$163,BW$23&amp;"アイソレーションガウン",防護具!$S$31:$S$163),
SUMIF(防護具!$B$31:$B$163,BW$23&amp;"プラスチックガウン",防護具!$S$31:$S$163),
SUMIF(防護具!$B$31:$B$163,BW$23&amp;"エプロン",防護具!$S$31:$S$163))-BV63,0)</f>
        <v>0</v>
      </c>
      <c r="BX64" s="2000">
        <f>IFERROR(
SUM(BW64,
SUMIF(防護具!$B$31:$B$163,BX$23&amp;"アイソレーションガウン",防護具!$S$31:$S$163),
SUMIF(防護具!$B$31:$B$163,BX$23&amp;"プラスチックガウン",防護具!$S$31:$S$163),
SUMIF(防護具!$B$31:$B$163,BX$23&amp;"エプロン",防護具!$S$31:$S$163))-BW63,0)</f>
        <v>0</v>
      </c>
      <c r="BY64" s="2000">
        <f>IFERROR(
SUM(BX64,
SUMIF(防護具!$B$31:$B$163,BY$23&amp;"アイソレーションガウン",防護具!$S$31:$S$163),
SUMIF(防護具!$B$31:$B$163,BY$23&amp;"プラスチックガウン",防護具!$S$31:$S$163),
SUMIF(防護具!$B$31:$B$163,BY$23&amp;"エプロン",防護具!$S$31:$S$163))-BX63,0)</f>
        <v>0</v>
      </c>
      <c r="BZ64" s="2000">
        <f>IFERROR(
SUM(BY64,
SUMIF(防護具!$B$31:$B$163,BZ$23&amp;"アイソレーションガウン",防護具!$S$31:$S$163),
SUMIF(防護具!$B$31:$B$163,BZ$23&amp;"プラスチックガウン",防護具!$S$31:$S$163),
SUMIF(防護具!$B$31:$B$163,BZ$23&amp;"エプロン",防護具!$S$31:$S$163))-BY63,0)</f>
        <v>0</v>
      </c>
      <c r="CA64" s="2000">
        <f>IFERROR(
SUM(BZ64,
SUMIF(防護具!$B$31:$B$163,CA$23&amp;"アイソレーションガウン",防護具!$S$31:$S$163),
SUMIF(防護具!$B$31:$B$163,CA$23&amp;"プラスチックガウン",防護具!$S$31:$S$163),
SUMIF(防護具!$B$31:$B$163,CA$23&amp;"エプロン",防護具!$S$31:$S$163))-BZ63,0)</f>
        <v>0</v>
      </c>
      <c r="CB64" s="2000">
        <f>IFERROR(
SUM(CA64,
SUMIF(防護具!$B$31:$B$163,CB$23&amp;"アイソレーションガウン",防護具!$S$31:$S$163),
SUMIF(防護具!$B$31:$B$163,CB$23&amp;"プラスチックガウン",防護具!$S$31:$S$163),
SUMIF(防護具!$B$31:$B$163,CB$23&amp;"エプロン",防護具!$S$31:$S$163))-CA63,0)</f>
        <v>0</v>
      </c>
      <c r="CC64" s="2000">
        <f>IFERROR(
SUM(CB64,
SUMIF(防護具!$B$31:$B$163,CC$23&amp;"アイソレーションガウン",防護具!$S$31:$S$163),
SUMIF(防護具!$B$31:$B$163,CC$23&amp;"プラスチックガウン",防護具!$S$31:$S$163),
SUMIF(防護具!$B$31:$B$163,CC$23&amp;"エプロン",防護具!$S$31:$S$163))-CB63,0)</f>
        <v>0</v>
      </c>
      <c r="CD64" s="2000">
        <f>IFERROR(
SUM(CC64,
SUMIF(防護具!$B$31:$B$163,CD$23&amp;"アイソレーションガウン",防護具!$S$31:$S$163),
SUMIF(防護具!$B$31:$B$163,CD$23&amp;"プラスチックガウン",防護具!$S$31:$S$163),
SUMIF(防護具!$B$31:$B$163,CD$23&amp;"エプロン",防護具!$S$31:$S$163))-CC63,0)</f>
        <v>0</v>
      </c>
      <c r="CE64" s="2000">
        <f>IFERROR(
SUM(CD64,
SUMIF(防護具!$B$31:$B$163,CE$23&amp;"アイソレーションガウン",防護具!$S$31:$S$163),
SUMIF(防護具!$B$31:$B$163,CE$23&amp;"プラスチックガウン",防護具!$S$31:$S$163),
SUMIF(防護具!$B$31:$B$163,CE$23&amp;"エプロン",防護具!$S$31:$S$163))-CD63,0)</f>
        <v>0</v>
      </c>
      <c r="CF64" s="2000">
        <f>IFERROR(
SUM(CE64,
SUMIF(防護具!$B$31:$B$163,CF$23&amp;"アイソレーションガウン",防護具!$S$31:$S$163),
SUMIF(防護具!$B$31:$B$163,CF$23&amp;"プラスチックガウン",防護具!$S$31:$S$163),
SUMIF(防護具!$B$31:$B$163,CF$23&amp;"エプロン",防護具!$S$31:$S$163))-CE63,0)</f>
        <v>0</v>
      </c>
      <c r="CG64" s="2000">
        <f>IFERROR(
SUM(CF64,
SUMIF(防護具!$B$31:$B$163,CG$23&amp;"アイソレーションガウン",防護具!$S$31:$S$163),
SUMIF(防護具!$B$31:$B$163,CG$23&amp;"プラスチックガウン",防護具!$S$31:$S$163),
SUMIF(防護具!$B$31:$B$163,CG$23&amp;"エプロン",防護具!$S$31:$S$163))-CF63,0)</f>
        <v>0</v>
      </c>
      <c r="CH64" s="2000">
        <f>IFERROR(
SUM(CG64,
SUMIF(防護具!$B$31:$B$163,CH$23&amp;"アイソレーションガウン",防護具!$S$31:$S$163),
SUMIF(防護具!$B$31:$B$163,CH$23&amp;"プラスチックガウン",防護具!$S$31:$S$163),
SUMIF(防護具!$B$31:$B$163,CH$23&amp;"エプロン",防護具!$S$31:$S$163))-CG63,0)</f>
        <v>0</v>
      </c>
      <c r="CI64" s="2000">
        <f>IFERROR(
SUM(CH64,
SUMIF(防護具!$B$31:$B$163,CI$23&amp;"アイソレーションガウン",防護具!$S$31:$S$163),
SUMIF(防護具!$B$31:$B$163,CI$23&amp;"プラスチックガウン",防護具!$S$31:$S$163),
SUMIF(防護具!$B$31:$B$163,CI$23&amp;"エプロン",防護具!$S$31:$S$163))-CH63,0)</f>
        <v>0</v>
      </c>
      <c r="CJ64" s="2000">
        <f>IFERROR(
SUM(CI64,
SUMIF(防護具!$B$31:$B$163,CJ$23&amp;"アイソレーションガウン",防護具!$S$31:$S$163),
SUMIF(防護具!$B$31:$B$163,CJ$23&amp;"プラスチックガウン",防護具!$S$31:$S$163),
SUMIF(防護具!$B$31:$B$163,CJ$23&amp;"エプロン",防護具!$S$31:$S$163))-CI63,0)</f>
        <v>0</v>
      </c>
      <c r="CK64" s="2000">
        <f>IFERROR(
SUM(CJ64,
SUMIF(防護具!$B$31:$B$163,CK$23&amp;"アイソレーションガウン",防護具!$S$31:$S$163),
SUMIF(防護具!$B$31:$B$163,CK$23&amp;"プラスチックガウン",防護具!$S$31:$S$163),
SUMIF(防護具!$B$31:$B$163,CK$23&amp;"エプロン",防護具!$S$31:$S$163))-CJ63,0)</f>
        <v>0</v>
      </c>
      <c r="CL64" s="2000">
        <f>IFERROR(
SUM(CK64,
SUMIF(防護具!$B$31:$B$163,CL$23&amp;"アイソレーションガウン",防護具!$S$31:$S$163),
SUMIF(防護具!$B$31:$B$163,CL$23&amp;"プラスチックガウン",防護具!$S$31:$S$163),
SUMIF(防護具!$B$31:$B$163,CL$23&amp;"エプロン",防護具!$S$31:$S$163))-CK63,0)</f>
        <v>0</v>
      </c>
      <c r="CM64" s="2000">
        <f>IFERROR(
SUM(CL64,
SUMIF(防護具!$B$31:$B$163,CM$23&amp;"アイソレーションガウン",防護具!$S$31:$S$163),
SUMIF(防護具!$B$31:$B$163,CM$23&amp;"プラスチックガウン",防護具!$S$31:$S$163),
SUMIF(防護具!$B$31:$B$163,CM$23&amp;"エプロン",防護具!$S$31:$S$163))-CL63,0)</f>
        <v>0</v>
      </c>
      <c r="CN64" s="2000">
        <f>IFERROR(
SUM(CM64,
SUMIF(防護具!$B$31:$B$163,CN$23&amp;"アイソレーションガウン",防護具!$S$31:$S$163),
SUMIF(防護具!$B$31:$B$163,CN$23&amp;"プラスチックガウン",防護具!$S$31:$S$163),
SUMIF(防護具!$B$31:$B$163,CN$23&amp;"エプロン",防護具!$S$31:$S$163))-CM63,0)</f>
        <v>0</v>
      </c>
      <c r="CO64" s="2000">
        <f>IFERROR(
SUM(CN64,
SUMIF(防護具!$B$31:$B$163,CO$23&amp;"アイソレーションガウン",防護具!$S$31:$S$163),
SUMIF(防護具!$B$31:$B$163,CO$23&amp;"プラスチックガウン",防護具!$S$31:$S$163),
SUMIF(防護具!$B$31:$B$163,CO$23&amp;"エプロン",防護具!$S$31:$S$163))-CN63,0)</f>
        <v>0</v>
      </c>
      <c r="CP64" s="2000">
        <f>IFERROR(
SUM(CO64,
SUMIF(防護具!$B$31:$B$163,CP$23&amp;"アイソレーションガウン",防護具!$S$31:$S$163),
SUMIF(防護具!$B$31:$B$163,CP$23&amp;"プラスチックガウン",防護具!$S$31:$S$163),
SUMIF(防護具!$B$31:$B$163,CP$23&amp;"エプロン",防護具!$S$31:$S$163))-CO63,0)</f>
        <v>0</v>
      </c>
      <c r="CQ64" s="2000">
        <f>IFERROR(
SUM(CP64,
SUMIF(防護具!$B$31:$B$163,CQ$23&amp;"アイソレーションガウン",防護具!$S$31:$S$163),
SUMIF(防護具!$B$31:$B$163,CQ$23&amp;"プラスチックガウン",防護具!$S$31:$S$163),
SUMIF(防護具!$B$31:$B$163,CQ$23&amp;"エプロン",防護具!$S$31:$S$163))-CP63,0)</f>
        <v>0</v>
      </c>
      <c r="CR64" s="2000">
        <f>IFERROR(
SUM(CQ64,
SUMIF(防護具!$B$31:$B$163,CR$23&amp;"アイソレーションガウン",防護具!$S$31:$S$163),
SUMIF(防護具!$B$31:$B$163,CR$23&amp;"プラスチックガウン",防護具!$S$31:$S$163),
SUMIF(防護具!$B$31:$B$163,CR$23&amp;"エプロン",防護具!$S$31:$S$163))-CQ63,0)</f>
        <v>0</v>
      </c>
      <c r="CS64" s="2000">
        <f>IFERROR(
SUM(CR64,
SUMIF(防護具!$B$31:$B$163,CS$23&amp;"アイソレーションガウン",防護具!$S$31:$S$163),
SUMIF(防護具!$B$31:$B$163,CS$23&amp;"プラスチックガウン",防護具!$S$31:$S$163),
SUMIF(防護具!$B$31:$B$163,CS$23&amp;"エプロン",防護具!$S$31:$S$163))-CR63,0)</f>
        <v>0</v>
      </c>
      <c r="CT64" s="2000">
        <f>IFERROR(
SUM(CS64,
SUMIF(防護具!$B$31:$B$163,CT$23&amp;"アイソレーションガウン",防護具!$S$31:$S$163),
SUMIF(防護具!$B$31:$B$163,CT$23&amp;"プラスチックガウン",防護具!$S$31:$S$163),
SUMIF(防護具!$B$31:$B$163,CT$23&amp;"エプロン",防護具!$S$31:$S$163))-CS63,0)</f>
        <v>0</v>
      </c>
      <c r="CU64" s="2000">
        <f>IFERROR(
SUM(CT64,
SUMIF(防護具!$B$31:$B$163,CU$23&amp;"アイソレーションガウン",防護具!$S$31:$S$163),
SUMIF(防護具!$B$31:$B$163,CU$23&amp;"プラスチックガウン",防護具!$S$31:$S$163),
SUMIF(防護具!$B$31:$B$163,CU$23&amp;"エプロン",防護具!$S$31:$S$163))-CT63,0)</f>
        <v>0</v>
      </c>
      <c r="CV64" s="2000">
        <f>IFERROR(
SUM(CU64,
SUMIF(防護具!$B$31:$B$163,CV$23&amp;"アイソレーションガウン",防護具!$S$31:$S$163),
SUMIF(防護具!$B$31:$B$163,CV$23&amp;"プラスチックガウン",防護具!$S$31:$S$163),
SUMIF(防護具!$B$31:$B$163,CV$23&amp;"エプロン",防護具!$S$31:$S$163))-CU63,0)</f>
        <v>0</v>
      </c>
      <c r="CW64" s="2000">
        <f>IFERROR(
SUM(CV64,
SUMIF(防護具!$B$31:$B$163,CW$23&amp;"アイソレーションガウン",防護具!$S$31:$S$163),
SUMIF(防護具!$B$31:$B$163,CW$23&amp;"プラスチックガウン",防護具!$S$31:$S$163),
SUMIF(防護具!$B$31:$B$163,CW$23&amp;"エプロン",防護具!$S$31:$S$163))-CV63,0)</f>
        <v>0</v>
      </c>
      <c r="CX64" s="2000">
        <f>IFERROR(
SUM(CW64,
SUMIF(防護具!$B$31:$B$163,CX$23&amp;"アイソレーションガウン",防護具!$S$31:$S$163),
SUMIF(防護具!$B$31:$B$163,CX$23&amp;"プラスチックガウン",防護具!$S$31:$S$163),
SUMIF(防護具!$B$31:$B$163,CX$23&amp;"エプロン",防護具!$S$31:$S$163))-CW63,0)</f>
        <v>0</v>
      </c>
      <c r="CY64" s="2000">
        <f>IFERROR(
SUM(CX64,
SUMIF(防護具!$B$31:$B$163,CY$23&amp;"アイソレーションガウン",防護具!$S$31:$S$163),
SUMIF(防護具!$B$31:$B$163,CY$23&amp;"プラスチックガウン",防護具!$S$31:$S$163),
SUMIF(防護具!$B$31:$B$163,CY$23&amp;"エプロン",防護具!$S$31:$S$163))-CX63,0)</f>
        <v>0</v>
      </c>
      <c r="CZ64" s="2000">
        <f>IFERROR(
SUM(CY64,
SUMIF(防護具!$B$31:$B$163,CZ$23&amp;"アイソレーションガウン",防護具!$S$31:$S$163),
SUMIF(防護具!$B$31:$B$163,CZ$23&amp;"プラスチックガウン",防護具!$S$31:$S$163),
SUMIF(防護具!$B$31:$B$163,CZ$23&amp;"エプロン",防護具!$S$31:$S$163))-CY63,0)</f>
        <v>0</v>
      </c>
      <c r="DA64" s="2000">
        <f>IFERROR(
SUM(CZ64,
SUMIF(防護具!$B$31:$B$163,DA$23&amp;"アイソレーションガウン",防護具!$S$31:$S$163),
SUMIF(防護具!$B$31:$B$163,DA$23&amp;"プラスチックガウン",防護具!$S$31:$S$163),
SUMIF(防護具!$B$31:$B$163,DA$23&amp;"エプロン",防護具!$S$31:$S$163))-CZ63,0)</f>
        <v>0</v>
      </c>
      <c r="DB64" s="2000">
        <f>IFERROR(
SUM(DA64,
SUMIF(防護具!$B$31:$B$163,DB$23&amp;"アイソレーションガウン",防護具!$S$31:$S$163),
SUMIF(防護具!$B$31:$B$163,DB$23&amp;"プラスチックガウン",防護具!$S$31:$S$163),
SUMIF(防護具!$B$31:$B$163,DB$23&amp;"エプロン",防護具!$S$31:$S$163))-DA63,0)</f>
        <v>0</v>
      </c>
      <c r="DC64" s="2000">
        <f>IFERROR(
SUM(DB64,
SUMIF(防護具!$B$31:$B$163,DC$23&amp;"アイソレーションガウン",防護具!$S$31:$S$163),
SUMIF(防護具!$B$31:$B$163,DC$23&amp;"プラスチックガウン",防護具!$S$31:$S$163),
SUMIF(防護具!$B$31:$B$163,DC$23&amp;"エプロン",防護具!$S$31:$S$163))-DB63,0)</f>
        <v>0</v>
      </c>
      <c r="DD64" s="2000">
        <f>IFERROR(
SUM(DC64,
SUMIF(防護具!$B$31:$B$163,DD$23&amp;"アイソレーションガウン",防護具!$S$31:$S$163),
SUMIF(防護具!$B$31:$B$163,DD$23&amp;"プラスチックガウン",防護具!$S$31:$S$163),
SUMIF(防護具!$B$31:$B$163,DD$23&amp;"エプロン",防護具!$S$31:$S$163))-DC63,0)</f>
        <v>0</v>
      </c>
      <c r="DE64" s="2000">
        <f>IFERROR(
SUM(DD64,
SUMIF(防護具!$B$31:$B$163,DE$23&amp;"アイソレーションガウン",防護具!$S$31:$S$163),
SUMIF(防護具!$B$31:$B$163,DE$23&amp;"プラスチックガウン",防護具!$S$31:$S$163),
SUMIF(防護具!$B$31:$B$163,DE$23&amp;"エプロン",防護具!$S$31:$S$163))-DD63,0)</f>
        <v>0</v>
      </c>
      <c r="DF64" s="2000">
        <f>IFERROR(
SUM(DE64,
SUMIF(防護具!$B$31:$B$163,DF$23&amp;"アイソレーションガウン",防護具!$S$31:$S$163),
SUMIF(防護具!$B$31:$B$163,DF$23&amp;"プラスチックガウン",防護具!$S$31:$S$163),
SUMIF(防護具!$B$31:$B$163,DF$23&amp;"エプロン",防護具!$S$31:$S$163))-DE63,0)</f>
        <v>0</v>
      </c>
      <c r="DG64" s="2000">
        <f>IFERROR(
SUM(DF64,
SUMIF(防護具!$B$31:$B$163,DG$23&amp;"アイソレーションガウン",防護具!$S$31:$S$163),
SUMIF(防護具!$B$31:$B$163,DG$23&amp;"プラスチックガウン",防護具!$S$31:$S$163),
SUMIF(防護具!$B$31:$B$163,DG$23&amp;"エプロン",防護具!$S$31:$S$163))-DF63,0)</f>
        <v>0</v>
      </c>
      <c r="DH64" s="2000">
        <f>IFERROR(
SUM(DG64,
SUMIF(防護具!$B$31:$B$163,DH$23&amp;"アイソレーションガウン",防護具!$S$31:$S$163),
SUMIF(防護具!$B$31:$B$163,DH$23&amp;"プラスチックガウン",防護具!$S$31:$S$163),
SUMIF(防護具!$B$31:$B$163,DH$23&amp;"エプロン",防護具!$S$31:$S$163))-DG63,0)</f>
        <v>0</v>
      </c>
      <c r="DI64" s="2000">
        <f>IFERROR(
SUM(DH64,
SUMIF(防護具!$B$31:$B$163,DI$23&amp;"アイソレーションガウン",防護具!$S$31:$S$163),
SUMIF(防護具!$B$31:$B$163,DI$23&amp;"プラスチックガウン",防護具!$S$31:$S$163),
SUMIF(防護具!$B$31:$B$163,DI$23&amp;"エプロン",防護具!$S$31:$S$163))-DH63,0)</f>
        <v>0</v>
      </c>
      <c r="DJ64" s="2000">
        <f>IFERROR(
SUM(DI64,
SUMIF(防護具!$B$31:$B$163,DJ$23&amp;"アイソレーションガウン",防護具!$S$31:$S$163),
SUMIF(防護具!$B$31:$B$163,DJ$23&amp;"プラスチックガウン",防護具!$S$31:$S$163),
SUMIF(防護具!$B$31:$B$163,DJ$23&amp;"エプロン",防護具!$S$31:$S$163))-DI63,0)</f>
        <v>0</v>
      </c>
      <c r="DK64" s="2000">
        <f>IFERROR(
SUM(DJ64,
SUMIF(防護具!$B$31:$B$163,DK$23&amp;"アイソレーションガウン",防護具!$S$31:$S$163),
SUMIF(防護具!$B$31:$B$163,DK$23&amp;"プラスチックガウン",防護具!$S$31:$S$163),
SUMIF(防護具!$B$31:$B$163,DK$23&amp;"エプロン",防護具!$S$31:$S$163))-DJ63,0)</f>
        <v>0</v>
      </c>
      <c r="DL64" s="2000">
        <f>IFERROR(
SUM(DK64,
SUMIF(防護具!$B$31:$B$163,DL$23&amp;"アイソレーションガウン",防護具!$S$31:$S$163),
SUMIF(防護具!$B$31:$B$163,DL$23&amp;"プラスチックガウン",防護具!$S$31:$S$163),
SUMIF(防護具!$B$31:$B$163,DL$23&amp;"エプロン",防護具!$S$31:$S$163))-DK63,0)</f>
        <v>0</v>
      </c>
      <c r="DM64" s="2000">
        <f>IFERROR(
SUM(DL64,
SUMIF(防護具!$B$31:$B$163,DM$23&amp;"アイソレーションガウン",防護具!$S$31:$S$163),
SUMIF(防護具!$B$31:$B$163,DM$23&amp;"プラスチックガウン",防護具!$S$31:$S$163),
SUMIF(防護具!$B$31:$B$163,DM$23&amp;"エプロン",防護具!$S$31:$S$163))-DL63,0)</f>
        <v>0</v>
      </c>
      <c r="DN64" s="2000">
        <f>IFERROR(
SUM(DM64,
SUMIF(防護具!$B$31:$B$163,DN$23&amp;"アイソレーションガウン",防護具!$S$31:$S$163),
SUMIF(防護具!$B$31:$B$163,DN$23&amp;"プラスチックガウン",防護具!$S$31:$S$163),
SUMIF(防護具!$B$31:$B$163,DN$23&amp;"エプロン",防護具!$S$31:$S$163))-DM63,0)</f>
        <v>0</v>
      </c>
      <c r="DO64" s="2000">
        <f>IFERROR(
SUM(DN64,
SUMIF(防護具!$B$31:$B$163,DO$23&amp;"アイソレーションガウン",防護具!$S$31:$S$163),
SUMIF(防護具!$B$31:$B$163,DO$23&amp;"プラスチックガウン",防護具!$S$31:$S$163),
SUMIF(防護具!$B$31:$B$163,DO$23&amp;"エプロン",防護具!$S$31:$S$163))-DN63,0)</f>
        <v>0</v>
      </c>
      <c r="DP64" s="2000">
        <f>IFERROR(
SUM(DO64,
SUMIF(防護具!$B$31:$B$163,DP$23&amp;"アイソレーションガウン",防護具!$S$31:$S$163),
SUMIF(防護具!$B$31:$B$163,DP$23&amp;"プラスチックガウン",防護具!$S$31:$S$163),
SUMIF(防護具!$B$31:$B$163,DP$23&amp;"エプロン",防護具!$S$31:$S$163))-DO63,0)</f>
        <v>0</v>
      </c>
      <c r="DQ64" s="2000">
        <f>IFERROR(
SUM(DP64,
SUMIF(防護具!$B$31:$B$163,DQ$23&amp;"アイソレーションガウン",防護具!$S$31:$S$163),
SUMIF(防護具!$B$31:$B$163,DQ$23&amp;"プラスチックガウン",防護具!$S$31:$S$163),
SUMIF(防護具!$B$31:$B$163,DQ$23&amp;"エプロン",防護具!$S$31:$S$163))-DP63,0)</f>
        <v>0</v>
      </c>
      <c r="DR64" s="2000">
        <f>IFERROR(
SUM(DQ64,
SUMIF(防護具!$B$31:$B$163,DR$23&amp;"アイソレーションガウン",防護具!$S$31:$S$163),
SUMIF(防護具!$B$31:$B$163,DR$23&amp;"プラスチックガウン",防護具!$S$31:$S$163),
SUMIF(防護具!$B$31:$B$163,DR$23&amp;"エプロン",防護具!$S$31:$S$163))-DQ63,0)</f>
        <v>0</v>
      </c>
      <c r="DS64" s="2000">
        <f>IFERROR(
SUM(DR64,
SUMIF(防護具!$B$31:$B$163,DS$23&amp;"アイソレーションガウン",防護具!$S$31:$S$163),
SUMIF(防護具!$B$31:$B$163,DS$23&amp;"プラスチックガウン",防護具!$S$31:$S$163),
SUMIF(防護具!$B$31:$B$163,DS$23&amp;"エプロン",防護具!$S$31:$S$163))-DR63,0)</f>
        <v>0</v>
      </c>
      <c r="DT64" s="2000">
        <f>IFERROR(
SUM(DS64,
SUMIF(防護具!$B$31:$B$163,DT$23&amp;"アイソレーションガウン",防護具!$S$31:$S$163),
SUMIF(防護具!$B$31:$B$163,DT$23&amp;"プラスチックガウン",防護具!$S$31:$S$163),
SUMIF(防護具!$B$31:$B$163,DT$23&amp;"エプロン",防護具!$S$31:$S$163))-DS63,0)</f>
        <v>0</v>
      </c>
      <c r="DU64" s="2000">
        <f>IFERROR(
SUM(DT64,
SUMIF(防護具!$B$31:$B$163,DU$23&amp;"アイソレーションガウン",防護具!$S$31:$S$163),
SUMIF(防護具!$B$31:$B$163,DU$23&amp;"プラスチックガウン",防護具!$S$31:$S$163),
SUMIF(防護具!$B$31:$B$163,DU$23&amp;"エプロン",防護具!$S$31:$S$163))-DT63,0)</f>
        <v>0</v>
      </c>
      <c r="DV64" s="2000">
        <f>IFERROR(
SUM(DU64,
SUMIF(防護具!$B$31:$B$163,DV$23&amp;"アイソレーションガウン",防護具!$S$31:$S$163),
SUMIF(防護具!$B$31:$B$163,DV$23&amp;"プラスチックガウン",防護具!$S$31:$S$163),
SUMIF(防護具!$B$31:$B$163,DV$23&amp;"エプロン",防護具!$S$31:$S$163))-DU63,0)</f>
        <v>0</v>
      </c>
      <c r="DW64" s="2000">
        <f>IFERROR(
SUM(DV64,
SUMIF(防護具!$B$31:$B$163,DW$23&amp;"アイソレーションガウン",防護具!$S$31:$S$163),
SUMIF(防護具!$B$31:$B$163,DW$23&amp;"プラスチックガウン",防護具!$S$31:$S$163),
SUMIF(防護具!$B$31:$B$163,DW$23&amp;"エプロン",防護具!$S$31:$S$163))-DV63,0)</f>
        <v>0</v>
      </c>
      <c r="DX64" s="2000">
        <f>IFERROR(
SUM(DW64,
SUMIF(防護具!$B$31:$B$163,DX$23&amp;"アイソレーションガウン",防護具!$S$31:$S$163),
SUMIF(防護具!$B$31:$B$163,DX$23&amp;"プラスチックガウン",防護具!$S$31:$S$163),
SUMIF(防護具!$B$31:$B$163,DX$23&amp;"エプロン",防護具!$S$31:$S$163))-DW63,0)</f>
        <v>0</v>
      </c>
      <c r="DY64" s="2000">
        <f>IFERROR(
SUM(DX64,
SUMIF(防護具!$B$31:$B$163,DY$23&amp;"アイソレーションガウン",防護具!$S$31:$S$163),
SUMIF(防護具!$B$31:$B$163,DY$23&amp;"プラスチックガウン",防護具!$S$31:$S$163),
SUMIF(防護具!$B$31:$B$163,DY$23&amp;"エプロン",防護具!$S$31:$S$163))-DX63,0)</f>
        <v>0</v>
      </c>
      <c r="DZ64" s="2000">
        <f>IFERROR(
SUM(DY64,
SUMIF(防護具!$B$31:$B$163,DZ$23&amp;"アイソレーションガウン",防護具!$S$31:$S$163),
SUMIF(防護具!$B$31:$B$163,DZ$23&amp;"プラスチックガウン",防護具!$S$31:$S$163),
SUMIF(防護具!$B$31:$B$163,DZ$23&amp;"エプロン",防護具!$S$31:$S$163))-DY63,0)</f>
        <v>0</v>
      </c>
      <c r="EA64" s="2000">
        <f>IFERROR(
SUM(DZ64,
SUMIF(防護具!$B$31:$B$163,EA$23&amp;"アイソレーションガウン",防護具!$S$31:$S$163),
SUMIF(防護具!$B$31:$B$163,EA$23&amp;"プラスチックガウン",防護具!$S$31:$S$163),
SUMIF(防護具!$B$31:$B$163,EA$23&amp;"エプロン",防護具!$S$31:$S$163))-DZ63,0)</f>
        <v>0</v>
      </c>
      <c r="EB64" s="2000">
        <f>IFERROR(
SUM(EA64,
SUMIF(防護具!$B$31:$B$163,EB$23&amp;"アイソレーションガウン",防護具!$S$31:$S$163),
SUMIF(防護具!$B$31:$B$163,EB$23&amp;"プラスチックガウン",防護具!$S$31:$S$163),
SUMIF(防護具!$B$31:$B$163,EB$23&amp;"エプロン",防護具!$S$31:$S$163))-EA63,0)</f>
        <v>0</v>
      </c>
      <c r="EC64" s="2000">
        <f>IFERROR(
SUM(EB64,
SUMIF(防護具!$B$31:$B$163,EC$23&amp;"アイソレーションガウン",防護具!$S$31:$S$163),
SUMIF(防護具!$B$31:$B$163,EC$23&amp;"プラスチックガウン",防護具!$S$31:$S$163),
SUMIF(防護具!$B$31:$B$163,EC$23&amp;"エプロン",防護具!$S$31:$S$163))-EB63,0)</f>
        <v>0</v>
      </c>
      <c r="ED64" s="2000">
        <f>IFERROR(
SUM(EC64,
SUMIF(防護具!$B$31:$B$163,ED$23&amp;"アイソレーションガウン",防護具!$S$31:$S$163),
SUMIF(防護具!$B$31:$B$163,ED$23&amp;"プラスチックガウン",防護具!$S$31:$S$163),
SUMIF(防護具!$B$31:$B$163,ED$23&amp;"エプロン",防護具!$S$31:$S$163))-EC63,0)</f>
        <v>0</v>
      </c>
      <c r="EE64" s="2000">
        <f>IFERROR(
SUM(ED64,
SUMIF(防護具!$B$31:$B$163,EE$23&amp;"アイソレーションガウン",防護具!$S$31:$S$163),
SUMIF(防護具!$B$31:$B$163,EE$23&amp;"プラスチックガウン",防護具!$S$31:$S$163),
SUMIF(防護具!$B$31:$B$163,EE$23&amp;"エプロン",防護具!$S$31:$S$163))-ED63,0)</f>
        <v>0</v>
      </c>
      <c r="EF64" s="2000">
        <f>IFERROR(
SUM(EE64,
SUMIF(防護具!$B$31:$B$163,EF$23&amp;"アイソレーションガウン",防護具!$S$31:$S$163),
SUMIF(防護具!$B$31:$B$163,EF$23&amp;"プラスチックガウン",防護具!$S$31:$S$163),
SUMIF(防護具!$B$31:$B$163,EF$23&amp;"エプロン",防護具!$S$31:$S$163))-EE63,0)</f>
        <v>0</v>
      </c>
      <c r="EG64" s="2000">
        <f>IFERROR(
SUM(EF64,
SUMIF(防護具!$B$31:$B$163,EG$23&amp;"アイソレーションガウン",防護具!$S$31:$S$163),
SUMIF(防護具!$B$31:$B$163,EG$23&amp;"プラスチックガウン",防護具!$S$31:$S$163),
SUMIF(防護具!$B$31:$B$163,EG$23&amp;"エプロン",防護具!$S$31:$S$163))-EF63,0)</f>
        <v>0</v>
      </c>
      <c r="EH64" s="2000">
        <f>IFERROR(
SUM(EG64,
SUMIF(防護具!$B$31:$B$163,EH$23&amp;"アイソレーションガウン",防護具!$S$31:$S$163),
SUMIF(防護具!$B$31:$B$163,EH$23&amp;"プラスチックガウン",防護具!$S$31:$S$163),
SUMIF(防護具!$B$31:$B$163,EH$23&amp;"エプロン",防護具!$S$31:$S$163))-EG63,0)</f>
        <v>0</v>
      </c>
      <c r="EI64" s="2000">
        <f>IFERROR(
SUM(EH64,
SUMIF(防護具!$B$31:$B$163,EI$23&amp;"アイソレーションガウン",防護具!$S$31:$S$163),
SUMIF(防護具!$B$31:$B$163,EI$23&amp;"プラスチックガウン",防護具!$S$31:$S$163),
SUMIF(防護具!$B$31:$B$163,EI$23&amp;"エプロン",防護具!$S$31:$S$163))-EH63,0)</f>
        <v>0</v>
      </c>
      <c r="EJ64" s="2000">
        <f>IFERROR(
SUM(EI64,
SUMIF(防護具!$B$31:$B$163,EJ$23&amp;"アイソレーションガウン",防護具!$S$31:$S$163),
SUMIF(防護具!$B$31:$B$163,EJ$23&amp;"プラスチックガウン",防護具!$S$31:$S$163),
SUMIF(防護具!$B$31:$B$163,EJ$23&amp;"エプロン",防護具!$S$31:$S$163))-EI63,0)</f>
        <v>0</v>
      </c>
      <c r="EK64" s="2000">
        <f>IFERROR(
SUM(EJ64,
SUMIF(防護具!$B$31:$B$163,EK$23&amp;"アイソレーションガウン",防護具!$S$31:$S$163),
SUMIF(防護具!$B$31:$B$163,EK$23&amp;"プラスチックガウン",防護具!$S$31:$S$163),
SUMIF(防護具!$B$31:$B$163,EK$23&amp;"エプロン",防護具!$S$31:$S$163))-EJ63,0)</f>
        <v>0</v>
      </c>
      <c r="EL64" s="2000">
        <f>IFERROR(
SUM(EK64,
SUMIF(防護具!$B$31:$B$163,EL$23&amp;"アイソレーションガウン",防護具!$S$31:$S$163),
SUMIF(防護具!$B$31:$B$163,EL$23&amp;"プラスチックガウン",防護具!$S$31:$S$163),
SUMIF(防護具!$B$31:$B$163,EL$23&amp;"エプロン",防護具!$S$31:$S$163))-EK63,0)</f>
        <v>0</v>
      </c>
      <c r="EM64" s="2000">
        <f>IFERROR(
SUM(EL64,
SUMIF(防護具!$B$31:$B$163,EM$23&amp;"アイソレーションガウン",防護具!$S$31:$S$163),
SUMIF(防護具!$B$31:$B$163,EM$23&amp;"プラスチックガウン",防護具!$S$31:$S$163),
SUMIF(防護具!$B$31:$B$163,EM$23&amp;"エプロン",防護具!$S$31:$S$163))-EL63,0)</f>
        <v>0</v>
      </c>
      <c r="EN64" s="2000">
        <f>IFERROR(
SUM(EM64,
SUMIF(防護具!$B$31:$B$163,EN$23&amp;"アイソレーションガウン",防護具!$S$31:$S$163),
SUMIF(防護具!$B$31:$B$163,EN$23&amp;"プラスチックガウン",防護具!$S$31:$S$163),
SUMIF(防護具!$B$31:$B$163,EN$23&amp;"エプロン",防護具!$S$31:$S$163))-EM63,0)</f>
        <v>0</v>
      </c>
      <c r="EO64" s="2000">
        <f>IFERROR(
SUM(EN64,
SUMIF(防護具!$B$31:$B$163,EO$23&amp;"アイソレーションガウン",防護具!$S$31:$S$163),
SUMIF(防護具!$B$31:$B$163,EO$23&amp;"プラスチックガウン",防護具!$S$31:$S$163),
SUMIF(防護具!$B$31:$B$163,EO$23&amp;"エプロン",防護具!$S$31:$S$163))-EN63,0)</f>
        <v>0</v>
      </c>
      <c r="EP64" s="2000">
        <f>IFERROR(
SUM(EO64,
SUMIF(防護具!$B$31:$B$163,EP$23&amp;"アイソレーションガウン",防護具!$S$31:$S$163),
SUMIF(防護具!$B$31:$B$163,EP$23&amp;"プラスチックガウン",防護具!$S$31:$S$163),
SUMIF(防護具!$B$31:$B$163,EP$23&amp;"エプロン",防護具!$S$31:$S$163))-EO63,0)</f>
        <v>0</v>
      </c>
      <c r="EQ64" s="2000">
        <f>IFERROR(
SUM(EP64,
SUMIF(防護具!$B$31:$B$163,EQ$23&amp;"アイソレーションガウン",防護具!$S$31:$S$163),
SUMIF(防護具!$B$31:$B$163,EQ$23&amp;"プラスチックガウン",防護具!$S$31:$S$163),
SUMIF(防護具!$B$31:$B$163,EQ$23&amp;"エプロン",防護具!$S$31:$S$163))-EP63,0)</f>
        <v>0</v>
      </c>
      <c r="ER64" s="2000">
        <f>IFERROR(
SUM(EQ64,
SUMIF(防護具!$B$31:$B$163,ER$23&amp;"アイソレーションガウン",防護具!$S$31:$S$163),
SUMIF(防護具!$B$31:$B$163,ER$23&amp;"プラスチックガウン",防護具!$S$31:$S$163),
SUMIF(防護具!$B$31:$B$163,ER$23&amp;"エプロン",防護具!$S$31:$S$163))-EQ63,0)</f>
        <v>0</v>
      </c>
      <c r="ES64" s="2000">
        <f>IFERROR(
SUM(ER64,
SUMIF(防護具!$B$31:$B$163,ES$23&amp;"アイソレーションガウン",防護具!$S$31:$S$163),
SUMIF(防護具!$B$31:$B$163,ES$23&amp;"プラスチックガウン",防護具!$S$31:$S$163),
SUMIF(防護具!$B$31:$B$163,ES$23&amp;"エプロン",防護具!$S$31:$S$163))-ER63,0)</f>
        <v>0</v>
      </c>
      <c r="ET64" s="2000">
        <f>IFERROR(
SUM(ES64,
SUMIF(防護具!$B$31:$B$163,ET$23&amp;"アイソレーションガウン",防護具!$S$31:$S$163),
SUMIF(防護具!$B$31:$B$163,ET$23&amp;"プラスチックガウン",防護具!$S$31:$S$163),
SUMIF(防護具!$B$31:$B$163,ET$23&amp;"エプロン",防護具!$S$31:$S$163))-ES63,0)</f>
        <v>0</v>
      </c>
      <c r="EU64" s="2000">
        <f>IFERROR(
SUM(ET64,
SUMIF(防護具!$B$31:$B$163,EU$23&amp;"アイソレーションガウン",防護具!$S$31:$S$163),
SUMIF(防護具!$B$31:$B$163,EU$23&amp;"プラスチックガウン",防護具!$S$31:$S$163),
SUMIF(防護具!$B$31:$B$163,EU$23&amp;"エプロン",防護具!$S$31:$S$163))-ET63,0)</f>
        <v>0</v>
      </c>
      <c r="EV64" s="2000">
        <f>IFERROR(
SUM(EU64,
SUMIF(防護具!$B$31:$B$163,EV$23&amp;"アイソレーションガウン",防護具!$S$31:$S$163),
SUMIF(防護具!$B$31:$B$163,EV$23&amp;"プラスチックガウン",防護具!$S$31:$S$163),
SUMIF(防護具!$B$31:$B$163,EV$23&amp;"エプロン",防護具!$S$31:$S$163))-EU63,0)</f>
        <v>0</v>
      </c>
      <c r="EW64" s="2000">
        <f>IFERROR(
SUM(EV64,
SUMIF(防護具!$B$31:$B$163,EW$23&amp;"アイソレーションガウン",防護具!$S$31:$S$163),
SUMIF(防護具!$B$31:$B$163,EW$23&amp;"プラスチックガウン",防護具!$S$31:$S$163),
SUMIF(防護具!$B$31:$B$163,EW$23&amp;"エプロン",防護具!$S$31:$S$163))-EV63,0)</f>
        <v>0</v>
      </c>
      <c r="EX64" s="2000">
        <f>IFERROR(
SUM(EW64,
SUMIF(防護具!$B$31:$B$163,EX$23&amp;"アイソレーションガウン",防護具!$S$31:$S$163),
SUMIF(防護具!$B$31:$B$163,EX$23&amp;"プラスチックガウン",防護具!$S$31:$S$163),
SUMIF(防護具!$B$31:$B$163,EX$23&amp;"エプロン",防護具!$S$31:$S$163))-EW63,0)</f>
        <v>0</v>
      </c>
      <c r="EY64" s="2000">
        <f>IFERROR(
SUM(EX64,
SUMIF(防護具!$B$31:$B$163,EY$23&amp;"アイソレーションガウン",防護具!$S$31:$S$163),
SUMIF(防護具!$B$31:$B$163,EY$23&amp;"プラスチックガウン",防護具!$S$31:$S$163),
SUMIF(防護具!$B$31:$B$163,EY$23&amp;"エプロン",防護具!$S$31:$S$163))-EX63,0)</f>
        <v>0</v>
      </c>
      <c r="EZ64" s="2000">
        <f>IFERROR(
SUM(EY64,
SUMIF(防護具!$B$31:$B$163,EZ$23&amp;"アイソレーションガウン",防護具!$S$31:$S$163),
SUMIF(防護具!$B$31:$B$163,EZ$23&amp;"プラスチックガウン",防護具!$S$31:$S$163),
SUMIF(防護具!$B$31:$B$163,EZ$23&amp;"エプロン",防護具!$S$31:$S$163))-EY63,0)</f>
        <v>0</v>
      </c>
      <c r="FA64" s="2000">
        <f>IFERROR(
SUM(EZ64,
SUMIF(防護具!$B$31:$B$163,FA$23&amp;"アイソレーションガウン",防護具!$S$31:$S$163),
SUMIF(防護具!$B$31:$B$163,FA$23&amp;"プラスチックガウン",防護具!$S$31:$S$163),
SUMIF(防護具!$B$31:$B$163,FA$23&amp;"エプロン",防護具!$S$31:$S$163))-EZ63,0)</f>
        <v>0</v>
      </c>
      <c r="FB64" s="2000">
        <f>IFERROR(
SUM(FA64,
SUMIF(防護具!$B$31:$B$163,FB$23&amp;"アイソレーションガウン",防護具!$S$31:$S$163),
SUMIF(防護具!$B$31:$B$163,FB$23&amp;"プラスチックガウン",防護具!$S$31:$S$163),
SUMIF(防護具!$B$31:$B$163,FB$23&amp;"エプロン",防護具!$S$31:$S$163))-FA63,0)</f>
        <v>0</v>
      </c>
      <c r="FC64" s="2000">
        <f>IFERROR(
SUM(FB64,
SUMIF(防護具!$B$31:$B$163,FC$23&amp;"アイソレーションガウン",防護具!$S$31:$S$163),
SUMIF(防護具!$B$31:$B$163,FC$23&amp;"プラスチックガウン",防護具!$S$31:$S$163),
SUMIF(防護具!$B$31:$B$163,FC$23&amp;"エプロン",防護具!$S$31:$S$163))-FB63,0)</f>
        <v>0</v>
      </c>
      <c r="FD64" s="2000">
        <f>IFERROR(
SUM(FC64,
SUMIF(防護具!$B$31:$B$163,FD$23&amp;"アイソレーションガウン",防護具!$S$31:$S$163),
SUMIF(防護具!$B$31:$B$163,FD$23&amp;"プラスチックガウン",防護具!$S$31:$S$163),
SUMIF(防護具!$B$31:$B$163,FD$23&amp;"エプロン",防護具!$S$31:$S$163))-FC63,0)</f>
        <v>0</v>
      </c>
      <c r="FE64" s="2000">
        <f>IFERROR(
SUM(FD64,
SUMIF(防護具!$B$31:$B$163,FE$23&amp;"アイソレーションガウン",防護具!$S$31:$S$163),
SUMIF(防護具!$B$31:$B$163,FE$23&amp;"プラスチックガウン",防護具!$S$31:$S$163),
SUMIF(防護具!$B$31:$B$163,FE$23&amp;"エプロン",防護具!$S$31:$S$163))-FD63,0)</f>
        <v>0</v>
      </c>
      <c r="FF64" s="2000">
        <f>IFERROR(
SUM(FE64,
SUMIF(防護具!$B$31:$B$163,FF$23&amp;"アイソレーションガウン",防護具!$S$31:$S$163),
SUMIF(防護具!$B$31:$B$163,FF$23&amp;"プラスチックガウン",防護具!$S$31:$S$163),
SUMIF(防護具!$B$31:$B$163,FF$23&amp;"エプロン",防護具!$S$31:$S$163))-FE63,0)</f>
        <v>0</v>
      </c>
      <c r="FG64" s="2000">
        <f>IFERROR(
SUM(FF64,
SUMIF(防護具!$B$31:$B$163,FG$23&amp;"アイソレーションガウン",防護具!$S$31:$S$163),
SUMIF(防護具!$B$31:$B$163,FG$23&amp;"プラスチックガウン",防護具!$S$31:$S$163),
SUMIF(防護具!$B$31:$B$163,FG$23&amp;"エプロン",防護具!$S$31:$S$163))-FF63,0)</f>
        <v>0</v>
      </c>
      <c r="FH64" s="2000">
        <f>IFERROR(
SUM(FG64,
SUMIF(防護具!$B$31:$B$163,FH$23&amp;"アイソレーションガウン",防護具!$S$31:$S$163),
SUMIF(防護具!$B$31:$B$163,FH$23&amp;"プラスチックガウン",防護具!$S$31:$S$163),
SUMIF(防護具!$B$31:$B$163,FH$23&amp;"エプロン",防護具!$S$31:$S$163))-FG63,0)</f>
        <v>0</v>
      </c>
      <c r="FI64" s="2000">
        <f>IFERROR(
SUM(FH64,
SUMIF(防護具!$B$31:$B$163,FI$23&amp;"アイソレーションガウン",防護具!$S$31:$S$163),
SUMIF(防護具!$B$31:$B$163,FI$23&amp;"プラスチックガウン",防護具!$S$31:$S$163),
SUMIF(防護具!$B$31:$B$163,FI$23&amp;"エプロン",防護具!$S$31:$S$163))-FH63,0)</f>
        <v>0</v>
      </c>
      <c r="FJ64" s="2000">
        <f>IFERROR(
SUM(FI64,
SUMIF(防護具!$B$31:$B$163,FJ$23&amp;"アイソレーションガウン",防護具!$S$31:$S$163),
SUMIF(防護具!$B$31:$B$163,FJ$23&amp;"プラスチックガウン",防護具!$S$31:$S$163),
SUMIF(防護具!$B$31:$B$163,FJ$23&amp;"エプロン",防護具!$S$31:$S$163))-FI63,0)</f>
        <v>0</v>
      </c>
      <c r="FK64" s="2000">
        <f>IFERROR(
SUM(FJ64,
SUMIF(防護具!$B$31:$B$163,FK$23&amp;"アイソレーションガウン",防護具!$S$31:$S$163),
SUMIF(防護具!$B$31:$B$163,FK$23&amp;"プラスチックガウン",防護具!$S$31:$S$163),
SUMIF(防護具!$B$31:$B$163,FK$23&amp;"エプロン",防護具!$S$31:$S$163))-FJ63,0)</f>
        <v>0</v>
      </c>
      <c r="FL64" s="2000">
        <f>IFERROR(
SUM(FK64,
SUMIF(防護具!$B$31:$B$163,FL$23&amp;"アイソレーションガウン",防護具!$S$31:$S$163),
SUMIF(防護具!$B$31:$B$163,FL$23&amp;"プラスチックガウン",防護具!$S$31:$S$163),
SUMIF(防護具!$B$31:$B$163,FL$23&amp;"エプロン",防護具!$S$31:$S$163))-FK63,0)</f>
        <v>0</v>
      </c>
      <c r="FM64" s="2000">
        <f>IFERROR(
SUM(FL64,
SUMIF(防護具!$B$31:$B$163,FM$23&amp;"アイソレーションガウン",防護具!$S$31:$S$163),
SUMIF(防護具!$B$31:$B$163,FM$23&amp;"プラスチックガウン",防護具!$S$31:$S$163),
SUMIF(防護具!$B$31:$B$163,FM$23&amp;"エプロン",防護具!$S$31:$S$163))-FL63,0)</f>
        <v>0</v>
      </c>
      <c r="FN64" s="2000">
        <f>IFERROR(
SUM(FM64,
SUMIF(防護具!$B$31:$B$163,FN$23&amp;"アイソレーションガウン",防護具!$S$31:$S$163),
SUMIF(防護具!$B$31:$B$163,FN$23&amp;"プラスチックガウン",防護具!$S$31:$S$163),
SUMIF(防護具!$B$31:$B$163,FN$23&amp;"エプロン",防護具!$S$31:$S$163))-FM63,0)</f>
        <v>0</v>
      </c>
      <c r="FO64" s="2000">
        <f>IFERROR(
SUM(FN64,
SUMIF(防護具!$B$31:$B$163,FO$23&amp;"アイソレーションガウン",防護具!$S$31:$S$163),
SUMIF(防護具!$B$31:$B$163,FO$23&amp;"プラスチックガウン",防護具!$S$31:$S$163),
SUMIF(防護具!$B$31:$B$163,FO$23&amp;"エプロン",防護具!$S$31:$S$163))-FN63,0)</f>
        <v>0</v>
      </c>
      <c r="FP64" s="2000">
        <f>IFERROR(
SUM(FO64,
SUMIF(防護具!$B$31:$B$163,FP$23&amp;"アイソレーションガウン",防護具!$S$31:$S$163),
SUMIF(防護具!$B$31:$B$163,FP$23&amp;"プラスチックガウン",防護具!$S$31:$S$163),
SUMIF(防護具!$B$31:$B$163,FP$23&amp;"エプロン",防護具!$S$31:$S$163))-FO63,0)</f>
        <v>0</v>
      </c>
      <c r="FQ64" s="2000">
        <f>IFERROR(
SUM(FP64,
SUMIF(防護具!$B$31:$B$163,FQ$23&amp;"アイソレーションガウン",防護具!$S$31:$S$163),
SUMIF(防護具!$B$31:$B$163,FQ$23&amp;"プラスチックガウン",防護具!$S$31:$S$163),
SUMIF(防護具!$B$31:$B$163,FQ$23&amp;"エプロン",防護具!$S$31:$S$163))-FP63,0)</f>
        <v>0</v>
      </c>
      <c r="FR64" s="2000">
        <f>IFERROR(
SUM(FQ64,
SUMIF(防護具!$B$31:$B$163,FR$23&amp;"アイソレーションガウン",防護具!$S$31:$S$163),
SUMIF(防護具!$B$31:$B$163,FR$23&amp;"プラスチックガウン",防護具!$S$31:$S$163),
SUMIF(防護具!$B$31:$B$163,FR$23&amp;"エプロン",防護具!$S$31:$S$163))-FQ63,0)</f>
        <v>0</v>
      </c>
      <c r="FS64" s="2000">
        <f>IFERROR(
SUM(FR64,
SUMIF(防護具!$B$31:$B$163,FS$23&amp;"アイソレーションガウン",防護具!$S$31:$S$163),
SUMIF(防護具!$B$31:$B$163,FS$23&amp;"プラスチックガウン",防護具!$S$31:$S$163),
SUMIF(防護具!$B$31:$B$163,FS$23&amp;"エプロン",防護具!$S$31:$S$163))-FR63,0)</f>
        <v>0</v>
      </c>
      <c r="FT64" s="2000">
        <f>IFERROR(
SUM(FS64,
SUMIF(防護具!$B$31:$B$163,FT$23&amp;"アイソレーションガウン",防護具!$S$31:$S$163),
SUMIF(防護具!$B$31:$B$163,FT$23&amp;"プラスチックガウン",防護具!$S$31:$S$163),
SUMIF(防護具!$B$31:$B$163,FT$23&amp;"エプロン",防護具!$S$31:$S$163))-FS63,0)</f>
        <v>0</v>
      </c>
      <c r="FU64" s="2000">
        <f>IFERROR(
SUM(FT64,
SUMIF(防護具!$B$31:$B$163,FU$23&amp;"アイソレーションガウン",防護具!$S$31:$S$163),
SUMIF(防護具!$B$31:$B$163,FU$23&amp;"プラスチックガウン",防護具!$S$31:$S$163),
SUMIF(防護具!$B$31:$B$163,FU$23&amp;"エプロン",防護具!$S$31:$S$163))-FT63,0)</f>
        <v>0</v>
      </c>
      <c r="FV64" s="2000">
        <f>IFERROR(
SUM(FU64,
SUMIF(防護具!$B$31:$B$163,FV$23&amp;"アイソレーションガウン",防護具!$S$31:$S$163),
SUMIF(防護具!$B$31:$B$163,FV$23&amp;"プラスチックガウン",防護具!$S$31:$S$163),
SUMIF(防護具!$B$31:$B$163,FV$23&amp;"エプロン",防護具!$S$31:$S$163))-FU63,0)</f>
        <v>0</v>
      </c>
      <c r="FW64" s="2000">
        <f>IFERROR(
SUM(FV64,
SUMIF(防護具!$B$31:$B$163,FW$23&amp;"アイソレーションガウン",防護具!$S$31:$S$163),
SUMIF(防護具!$B$31:$B$163,FW$23&amp;"プラスチックガウン",防護具!$S$31:$S$163),
SUMIF(防護具!$B$31:$B$163,FW$23&amp;"エプロン",防護具!$S$31:$S$163))-FV63,0)</f>
        <v>0</v>
      </c>
      <c r="FX64" s="2000">
        <f>IFERROR(
SUM(FW64,
SUMIF(防護具!$B$31:$B$163,FX$23&amp;"アイソレーションガウン",防護具!$S$31:$S$163),
SUMIF(防護具!$B$31:$B$163,FX$23&amp;"プラスチックガウン",防護具!$S$31:$S$163),
SUMIF(防護具!$B$31:$B$163,FX$23&amp;"エプロン",防護具!$S$31:$S$163))-FW63,0)</f>
        <v>0</v>
      </c>
      <c r="FY64" s="2000">
        <f>IFERROR(
SUM(FX64,
SUMIF(防護具!$B$31:$B$163,FY$23&amp;"アイソレーションガウン",防護具!$S$31:$S$163),
SUMIF(防護具!$B$31:$B$163,FY$23&amp;"プラスチックガウン",防護具!$S$31:$S$163),
SUMIF(防護具!$B$31:$B$163,FY$23&amp;"エプロン",防護具!$S$31:$S$163))-FX63,0)</f>
        <v>0</v>
      </c>
      <c r="FZ64" s="2000">
        <f>IFERROR(
SUM(FY64,
SUMIF(防護具!$B$31:$B$163,FZ$23&amp;"アイソレーションガウン",防護具!$S$31:$S$163),
SUMIF(防護具!$B$31:$B$163,FZ$23&amp;"プラスチックガウン",防護具!$S$31:$S$163),
SUMIF(防護具!$B$31:$B$163,FZ$23&amp;"エプロン",防護具!$S$31:$S$163))-FY63,0)</f>
        <v>0</v>
      </c>
      <c r="GA64" s="2000">
        <f>IFERROR(
SUM(FZ64,
SUMIF(防護具!$B$31:$B$163,GA$23&amp;"アイソレーションガウン",防護具!$S$31:$S$163),
SUMIF(防護具!$B$31:$B$163,GA$23&amp;"プラスチックガウン",防護具!$S$31:$S$163),
SUMIF(防護具!$B$31:$B$163,GA$23&amp;"エプロン",防護具!$S$31:$S$163))-FZ63,0)</f>
        <v>0</v>
      </c>
      <c r="GB64" s="2000">
        <f>IFERROR(
SUM(GA64,
SUMIF(防護具!$B$31:$B$163,GB$23&amp;"アイソレーションガウン",防護具!$S$31:$S$163),
SUMIF(防護具!$B$31:$B$163,GB$23&amp;"プラスチックガウン",防護具!$S$31:$S$163),
SUMIF(防護具!$B$31:$B$163,GB$23&amp;"エプロン",防護具!$S$31:$S$163))-GA63,0)</f>
        <v>0</v>
      </c>
      <c r="GC64" s="2000">
        <f>IFERROR(
SUM(GB64,
SUMIF(防護具!$B$31:$B$163,GC$23&amp;"アイソレーションガウン",防護具!$S$31:$S$163),
SUMIF(防護具!$B$31:$B$163,GC$23&amp;"プラスチックガウン",防護具!$S$31:$S$163),
SUMIF(防護具!$B$31:$B$163,GC$23&amp;"エプロン",防護具!$S$31:$S$163))-GB63,0)</f>
        <v>0</v>
      </c>
      <c r="GD64" s="2000">
        <f>IFERROR(
SUM(GC64,
SUMIF(防護具!$B$31:$B$163,GD$23&amp;"アイソレーションガウン",防護具!$S$31:$S$163),
SUMIF(防護具!$B$31:$B$163,GD$23&amp;"プラスチックガウン",防護具!$S$31:$S$163),
SUMIF(防護具!$B$31:$B$163,GD$23&amp;"エプロン",防護具!$S$31:$S$163))-GC63,0)</f>
        <v>0</v>
      </c>
      <c r="GE64" s="2000">
        <f>IFERROR(
SUM(GD64,
SUMIF(防護具!$B$31:$B$163,GE$23&amp;"アイソレーションガウン",防護具!$S$31:$S$163),
SUMIF(防護具!$B$31:$B$163,GE$23&amp;"プラスチックガウン",防護具!$S$31:$S$163),
SUMIF(防護具!$B$31:$B$163,GE$23&amp;"エプロン",防護具!$S$31:$S$163))-GD63,0)</f>
        <v>0</v>
      </c>
      <c r="GF64" s="2000">
        <f>IFERROR(
SUM(GE64,
SUMIF(防護具!$B$31:$B$163,GF$23&amp;"アイソレーションガウン",防護具!$S$31:$S$163),
SUMIF(防護具!$B$31:$B$163,GF$23&amp;"プラスチックガウン",防護具!$S$31:$S$163),
SUMIF(防護具!$B$31:$B$163,GF$23&amp;"エプロン",防護具!$S$31:$S$163))-GE63,0)</f>
        <v>0</v>
      </c>
    </row>
    <row r="65" spans="1:188" s="639" customFormat="1" ht="15" customHeight="1" x14ac:dyDescent="0.4">
      <c r="A65" s="631"/>
      <c r="B65" s="639" t="s">
        <v>1264</v>
      </c>
      <c r="C65" s="1995" t="s">
        <v>1388</v>
      </c>
      <c r="D65" s="1996"/>
      <c r="E65" s="640"/>
      <c r="F65" s="2000">
        <f>SUM(
SUMIF(防護具!$B$14:$B$30,F$23&amp;"アイソレーションガウン",防護具!$S$14:$S$30),
SUMIF(防護具!$B$14:$B$30,F$23&amp;"プラスチックガウン",防護具!$S$14:$S$30),
SUMIF(防護具!$B$14:$B$30,F$23&amp;"エプロン",防護具!$S$14:$S$30))</f>
        <v>0</v>
      </c>
      <c r="G65" s="2000">
        <f xml:space="preserve">
IF(G$25="休診日",F65,
IF(F65-VLOOKUP(F$22&amp;$B63,$B$96:$D$191,2,FALSE)&lt;0,0,F65-VLOOKUP(F$22&amp;$B63,$B$96:$D$191,2,FALSE)))</f>
        <v>0</v>
      </c>
      <c r="H65" s="2000">
        <f t="shared" ref="H65:BS65" si="61" xml:space="preserve">
IF(H$25="休診日",G65,
IF(G65-VLOOKUP(G$22&amp;$B63,$B$96:$D$191,2,FALSE)&lt;0,0,G65-VLOOKUP(G$22&amp;$B63,$B$96:$D$191,2,FALSE)))</f>
        <v>0</v>
      </c>
      <c r="I65" s="2000">
        <f t="shared" si="61"/>
        <v>0</v>
      </c>
      <c r="J65" s="2000">
        <f t="shared" si="61"/>
        <v>0</v>
      </c>
      <c r="K65" s="2000">
        <f t="shared" si="61"/>
        <v>0</v>
      </c>
      <c r="L65" s="2000">
        <f t="shared" si="61"/>
        <v>0</v>
      </c>
      <c r="M65" s="2000">
        <f t="shared" si="61"/>
        <v>0</v>
      </c>
      <c r="N65" s="2000">
        <f t="shared" si="61"/>
        <v>0</v>
      </c>
      <c r="O65" s="2000">
        <f t="shared" si="61"/>
        <v>0</v>
      </c>
      <c r="P65" s="2000">
        <f t="shared" si="61"/>
        <v>0</v>
      </c>
      <c r="Q65" s="2000">
        <f t="shared" si="61"/>
        <v>0</v>
      </c>
      <c r="R65" s="2000">
        <f t="shared" si="61"/>
        <v>0</v>
      </c>
      <c r="S65" s="2000">
        <f t="shared" si="61"/>
        <v>0</v>
      </c>
      <c r="T65" s="2000">
        <f t="shared" si="61"/>
        <v>0</v>
      </c>
      <c r="U65" s="2000">
        <f t="shared" si="61"/>
        <v>0</v>
      </c>
      <c r="V65" s="2000">
        <f t="shared" si="61"/>
        <v>0</v>
      </c>
      <c r="W65" s="2000">
        <f t="shared" si="61"/>
        <v>0</v>
      </c>
      <c r="X65" s="2000">
        <f t="shared" si="61"/>
        <v>0</v>
      </c>
      <c r="Y65" s="2000">
        <f t="shared" si="61"/>
        <v>0</v>
      </c>
      <c r="Z65" s="2000">
        <f t="shared" si="61"/>
        <v>0</v>
      </c>
      <c r="AA65" s="2000">
        <f t="shared" si="61"/>
        <v>0</v>
      </c>
      <c r="AB65" s="2000">
        <f t="shared" si="61"/>
        <v>0</v>
      </c>
      <c r="AC65" s="2000">
        <f t="shared" si="61"/>
        <v>0</v>
      </c>
      <c r="AD65" s="2000">
        <f t="shared" si="61"/>
        <v>0</v>
      </c>
      <c r="AE65" s="2000">
        <f t="shared" si="61"/>
        <v>0</v>
      </c>
      <c r="AF65" s="2000">
        <f t="shared" si="61"/>
        <v>0</v>
      </c>
      <c r="AG65" s="2000">
        <f t="shared" si="61"/>
        <v>0</v>
      </c>
      <c r="AH65" s="2000">
        <f t="shared" si="61"/>
        <v>0</v>
      </c>
      <c r="AI65" s="2000">
        <f t="shared" si="61"/>
        <v>0</v>
      </c>
      <c r="AJ65" s="2000">
        <f t="shared" si="61"/>
        <v>0</v>
      </c>
      <c r="AK65" s="2000">
        <f t="shared" si="61"/>
        <v>0</v>
      </c>
      <c r="AL65" s="2000">
        <f t="shared" si="61"/>
        <v>0</v>
      </c>
      <c r="AM65" s="2000">
        <f t="shared" si="61"/>
        <v>0</v>
      </c>
      <c r="AN65" s="2000">
        <f t="shared" si="61"/>
        <v>0</v>
      </c>
      <c r="AO65" s="2000">
        <f t="shared" si="61"/>
        <v>0</v>
      </c>
      <c r="AP65" s="2000">
        <f t="shared" si="61"/>
        <v>0</v>
      </c>
      <c r="AQ65" s="2000">
        <f t="shared" si="61"/>
        <v>0</v>
      </c>
      <c r="AR65" s="2000">
        <f t="shared" si="61"/>
        <v>0</v>
      </c>
      <c r="AS65" s="2000">
        <f t="shared" si="61"/>
        <v>0</v>
      </c>
      <c r="AT65" s="2000">
        <f t="shared" si="61"/>
        <v>0</v>
      </c>
      <c r="AU65" s="2000">
        <f t="shared" si="61"/>
        <v>0</v>
      </c>
      <c r="AV65" s="2000">
        <f t="shared" si="61"/>
        <v>0</v>
      </c>
      <c r="AW65" s="2000">
        <f t="shared" si="61"/>
        <v>0</v>
      </c>
      <c r="AX65" s="2000">
        <f t="shared" si="61"/>
        <v>0</v>
      </c>
      <c r="AY65" s="2000">
        <f t="shared" si="61"/>
        <v>0</v>
      </c>
      <c r="AZ65" s="2000">
        <f t="shared" si="61"/>
        <v>0</v>
      </c>
      <c r="BA65" s="2000">
        <f t="shared" si="61"/>
        <v>0</v>
      </c>
      <c r="BB65" s="2000">
        <f t="shared" si="61"/>
        <v>0</v>
      </c>
      <c r="BC65" s="2000">
        <f t="shared" si="61"/>
        <v>0</v>
      </c>
      <c r="BD65" s="2000">
        <f t="shared" si="61"/>
        <v>0</v>
      </c>
      <c r="BE65" s="2000">
        <f t="shared" si="61"/>
        <v>0</v>
      </c>
      <c r="BF65" s="2000">
        <f t="shared" si="61"/>
        <v>0</v>
      </c>
      <c r="BG65" s="2000">
        <f t="shared" si="61"/>
        <v>0</v>
      </c>
      <c r="BH65" s="2000">
        <f t="shared" si="61"/>
        <v>0</v>
      </c>
      <c r="BI65" s="2000">
        <f t="shared" si="61"/>
        <v>0</v>
      </c>
      <c r="BJ65" s="2000">
        <f t="shared" si="61"/>
        <v>0</v>
      </c>
      <c r="BK65" s="2000">
        <f t="shared" si="61"/>
        <v>0</v>
      </c>
      <c r="BL65" s="2000">
        <f t="shared" si="61"/>
        <v>0</v>
      </c>
      <c r="BM65" s="2000">
        <f t="shared" si="61"/>
        <v>0</v>
      </c>
      <c r="BN65" s="2000">
        <f t="shared" si="61"/>
        <v>0</v>
      </c>
      <c r="BO65" s="2000">
        <f t="shared" si="61"/>
        <v>0</v>
      </c>
      <c r="BP65" s="2000">
        <f t="shared" si="61"/>
        <v>0</v>
      </c>
      <c r="BQ65" s="2000">
        <f t="shared" si="61"/>
        <v>0</v>
      </c>
      <c r="BR65" s="2000">
        <f t="shared" si="61"/>
        <v>0</v>
      </c>
      <c r="BS65" s="2000">
        <f t="shared" si="61"/>
        <v>0</v>
      </c>
      <c r="BT65" s="2000">
        <f t="shared" ref="BT65:EE65" si="62" xml:space="preserve">
IF(BT$25="休診日",BS65,
IF(BS65-VLOOKUP(BS$22&amp;$B63,$B$96:$D$191,2,FALSE)&lt;0,0,BS65-VLOOKUP(BS$22&amp;$B63,$B$96:$D$191,2,FALSE)))</f>
        <v>0</v>
      </c>
      <c r="BU65" s="2000">
        <f t="shared" si="62"/>
        <v>0</v>
      </c>
      <c r="BV65" s="2000">
        <f t="shared" si="62"/>
        <v>0</v>
      </c>
      <c r="BW65" s="2000">
        <f t="shared" si="62"/>
        <v>0</v>
      </c>
      <c r="BX65" s="2000">
        <f t="shared" si="62"/>
        <v>0</v>
      </c>
      <c r="BY65" s="2000">
        <f t="shared" si="62"/>
        <v>0</v>
      </c>
      <c r="BZ65" s="2000">
        <f t="shared" si="62"/>
        <v>0</v>
      </c>
      <c r="CA65" s="2000">
        <f t="shared" si="62"/>
        <v>0</v>
      </c>
      <c r="CB65" s="2000">
        <f t="shared" si="62"/>
        <v>0</v>
      </c>
      <c r="CC65" s="2000">
        <f t="shared" si="62"/>
        <v>0</v>
      </c>
      <c r="CD65" s="2000">
        <f t="shared" si="62"/>
        <v>0</v>
      </c>
      <c r="CE65" s="2000">
        <f t="shared" si="62"/>
        <v>0</v>
      </c>
      <c r="CF65" s="2000">
        <f t="shared" si="62"/>
        <v>0</v>
      </c>
      <c r="CG65" s="2000">
        <f t="shared" si="62"/>
        <v>0</v>
      </c>
      <c r="CH65" s="2000">
        <f t="shared" si="62"/>
        <v>0</v>
      </c>
      <c r="CI65" s="2000">
        <f t="shared" si="62"/>
        <v>0</v>
      </c>
      <c r="CJ65" s="2000">
        <f t="shared" si="62"/>
        <v>0</v>
      </c>
      <c r="CK65" s="2000">
        <f t="shared" si="62"/>
        <v>0</v>
      </c>
      <c r="CL65" s="2000">
        <f t="shared" si="62"/>
        <v>0</v>
      </c>
      <c r="CM65" s="2000">
        <f t="shared" si="62"/>
        <v>0</v>
      </c>
      <c r="CN65" s="2000">
        <f t="shared" si="62"/>
        <v>0</v>
      </c>
      <c r="CO65" s="2000">
        <f t="shared" si="62"/>
        <v>0</v>
      </c>
      <c r="CP65" s="2000">
        <f t="shared" si="62"/>
        <v>0</v>
      </c>
      <c r="CQ65" s="2000">
        <f t="shared" si="62"/>
        <v>0</v>
      </c>
      <c r="CR65" s="2000">
        <f t="shared" si="62"/>
        <v>0</v>
      </c>
      <c r="CS65" s="2000">
        <f t="shared" si="62"/>
        <v>0</v>
      </c>
      <c r="CT65" s="2000">
        <f t="shared" si="62"/>
        <v>0</v>
      </c>
      <c r="CU65" s="2000">
        <f t="shared" si="62"/>
        <v>0</v>
      </c>
      <c r="CV65" s="2000">
        <f t="shared" si="62"/>
        <v>0</v>
      </c>
      <c r="CW65" s="2000">
        <f t="shared" si="62"/>
        <v>0</v>
      </c>
      <c r="CX65" s="2000">
        <f t="shared" si="62"/>
        <v>0</v>
      </c>
      <c r="CY65" s="2000">
        <f t="shared" si="62"/>
        <v>0</v>
      </c>
      <c r="CZ65" s="2000">
        <f t="shared" si="62"/>
        <v>0</v>
      </c>
      <c r="DA65" s="2000">
        <f t="shared" si="62"/>
        <v>0</v>
      </c>
      <c r="DB65" s="2000">
        <f t="shared" si="62"/>
        <v>0</v>
      </c>
      <c r="DC65" s="2000">
        <f t="shared" si="62"/>
        <v>0</v>
      </c>
      <c r="DD65" s="2000">
        <f t="shared" si="62"/>
        <v>0</v>
      </c>
      <c r="DE65" s="2000">
        <f t="shared" si="62"/>
        <v>0</v>
      </c>
      <c r="DF65" s="2000">
        <f t="shared" si="62"/>
        <v>0</v>
      </c>
      <c r="DG65" s="2000">
        <f t="shared" si="62"/>
        <v>0</v>
      </c>
      <c r="DH65" s="2000">
        <f t="shared" si="62"/>
        <v>0</v>
      </c>
      <c r="DI65" s="2000">
        <f t="shared" si="62"/>
        <v>0</v>
      </c>
      <c r="DJ65" s="2000">
        <f t="shared" si="62"/>
        <v>0</v>
      </c>
      <c r="DK65" s="2000">
        <f t="shared" si="62"/>
        <v>0</v>
      </c>
      <c r="DL65" s="2000">
        <f t="shared" si="62"/>
        <v>0</v>
      </c>
      <c r="DM65" s="2000">
        <f t="shared" si="62"/>
        <v>0</v>
      </c>
      <c r="DN65" s="2000">
        <f t="shared" si="62"/>
        <v>0</v>
      </c>
      <c r="DO65" s="2000">
        <f t="shared" si="62"/>
        <v>0</v>
      </c>
      <c r="DP65" s="2000">
        <f t="shared" si="62"/>
        <v>0</v>
      </c>
      <c r="DQ65" s="2000">
        <f t="shared" si="62"/>
        <v>0</v>
      </c>
      <c r="DR65" s="2000">
        <f t="shared" si="62"/>
        <v>0</v>
      </c>
      <c r="DS65" s="2000">
        <f t="shared" si="62"/>
        <v>0</v>
      </c>
      <c r="DT65" s="2000">
        <f t="shared" si="62"/>
        <v>0</v>
      </c>
      <c r="DU65" s="2000">
        <f t="shared" si="62"/>
        <v>0</v>
      </c>
      <c r="DV65" s="2000">
        <f t="shared" si="62"/>
        <v>0</v>
      </c>
      <c r="DW65" s="2000">
        <f t="shared" si="62"/>
        <v>0</v>
      </c>
      <c r="DX65" s="2000">
        <f t="shared" si="62"/>
        <v>0</v>
      </c>
      <c r="DY65" s="2000">
        <f t="shared" si="62"/>
        <v>0</v>
      </c>
      <c r="DZ65" s="2000">
        <f t="shared" si="62"/>
        <v>0</v>
      </c>
      <c r="EA65" s="2000">
        <f t="shared" si="62"/>
        <v>0</v>
      </c>
      <c r="EB65" s="2000">
        <f t="shared" si="62"/>
        <v>0</v>
      </c>
      <c r="EC65" s="2000">
        <f t="shared" si="62"/>
        <v>0</v>
      </c>
      <c r="ED65" s="2000">
        <f t="shared" si="62"/>
        <v>0</v>
      </c>
      <c r="EE65" s="2000">
        <f t="shared" si="62"/>
        <v>0</v>
      </c>
      <c r="EF65" s="2000">
        <f t="shared" ref="EF65:GF65" si="63" xml:space="preserve">
IF(EF$25="休診日",EE65,
IF(EE65-VLOOKUP(EE$22&amp;$B63,$B$96:$D$191,2,FALSE)&lt;0,0,EE65-VLOOKUP(EE$22&amp;$B63,$B$96:$D$191,2,FALSE)))</f>
        <v>0</v>
      </c>
      <c r="EG65" s="2000">
        <f t="shared" si="63"/>
        <v>0</v>
      </c>
      <c r="EH65" s="2000">
        <f t="shared" si="63"/>
        <v>0</v>
      </c>
      <c r="EI65" s="2000">
        <f t="shared" si="63"/>
        <v>0</v>
      </c>
      <c r="EJ65" s="2000">
        <f t="shared" si="63"/>
        <v>0</v>
      </c>
      <c r="EK65" s="2000">
        <f t="shared" si="63"/>
        <v>0</v>
      </c>
      <c r="EL65" s="2000">
        <f t="shared" si="63"/>
        <v>0</v>
      </c>
      <c r="EM65" s="2000">
        <f t="shared" si="63"/>
        <v>0</v>
      </c>
      <c r="EN65" s="2000">
        <f t="shared" si="63"/>
        <v>0</v>
      </c>
      <c r="EO65" s="2000">
        <f t="shared" si="63"/>
        <v>0</v>
      </c>
      <c r="EP65" s="2000">
        <f t="shared" si="63"/>
        <v>0</v>
      </c>
      <c r="EQ65" s="2000">
        <f t="shared" si="63"/>
        <v>0</v>
      </c>
      <c r="ER65" s="2000">
        <f t="shared" si="63"/>
        <v>0</v>
      </c>
      <c r="ES65" s="2000">
        <f t="shared" si="63"/>
        <v>0</v>
      </c>
      <c r="ET65" s="2000">
        <f t="shared" si="63"/>
        <v>0</v>
      </c>
      <c r="EU65" s="2000">
        <f t="shared" si="63"/>
        <v>0</v>
      </c>
      <c r="EV65" s="2000">
        <f t="shared" si="63"/>
        <v>0</v>
      </c>
      <c r="EW65" s="2000">
        <f t="shared" si="63"/>
        <v>0</v>
      </c>
      <c r="EX65" s="2000">
        <f t="shared" si="63"/>
        <v>0</v>
      </c>
      <c r="EY65" s="2000">
        <f t="shared" si="63"/>
        <v>0</v>
      </c>
      <c r="EZ65" s="2000">
        <f t="shared" si="63"/>
        <v>0</v>
      </c>
      <c r="FA65" s="2000">
        <f t="shared" si="63"/>
        <v>0</v>
      </c>
      <c r="FB65" s="2000">
        <f t="shared" si="63"/>
        <v>0</v>
      </c>
      <c r="FC65" s="2000">
        <f t="shared" si="63"/>
        <v>0</v>
      </c>
      <c r="FD65" s="2000">
        <f t="shared" si="63"/>
        <v>0</v>
      </c>
      <c r="FE65" s="2000">
        <f t="shared" si="63"/>
        <v>0</v>
      </c>
      <c r="FF65" s="2000">
        <f t="shared" si="63"/>
        <v>0</v>
      </c>
      <c r="FG65" s="2000">
        <f t="shared" si="63"/>
        <v>0</v>
      </c>
      <c r="FH65" s="2000">
        <f t="shared" si="63"/>
        <v>0</v>
      </c>
      <c r="FI65" s="2000">
        <f t="shared" si="63"/>
        <v>0</v>
      </c>
      <c r="FJ65" s="2000">
        <f t="shared" si="63"/>
        <v>0</v>
      </c>
      <c r="FK65" s="2000">
        <f t="shared" si="63"/>
        <v>0</v>
      </c>
      <c r="FL65" s="2000">
        <f t="shared" si="63"/>
        <v>0</v>
      </c>
      <c r="FM65" s="2000">
        <f t="shared" si="63"/>
        <v>0</v>
      </c>
      <c r="FN65" s="2000">
        <f t="shared" si="63"/>
        <v>0</v>
      </c>
      <c r="FO65" s="2000">
        <f t="shared" si="63"/>
        <v>0</v>
      </c>
      <c r="FP65" s="2000">
        <f t="shared" si="63"/>
        <v>0</v>
      </c>
      <c r="FQ65" s="2000">
        <f t="shared" si="63"/>
        <v>0</v>
      </c>
      <c r="FR65" s="2000">
        <f t="shared" si="63"/>
        <v>0</v>
      </c>
      <c r="FS65" s="2000">
        <f t="shared" si="63"/>
        <v>0</v>
      </c>
      <c r="FT65" s="2000">
        <f t="shared" si="63"/>
        <v>0</v>
      </c>
      <c r="FU65" s="2000">
        <f t="shared" si="63"/>
        <v>0</v>
      </c>
      <c r="FV65" s="2000">
        <f t="shared" si="63"/>
        <v>0</v>
      </c>
      <c r="FW65" s="2000">
        <f t="shared" si="63"/>
        <v>0</v>
      </c>
      <c r="FX65" s="2000">
        <f t="shared" si="63"/>
        <v>0</v>
      </c>
      <c r="FY65" s="2000">
        <f t="shared" si="63"/>
        <v>0</v>
      </c>
      <c r="FZ65" s="2000">
        <f t="shared" si="63"/>
        <v>0</v>
      </c>
      <c r="GA65" s="2000">
        <f t="shared" si="63"/>
        <v>0</v>
      </c>
      <c r="GB65" s="2000">
        <f t="shared" si="63"/>
        <v>0</v>
      </c>
      <c r="GC65" s="2000">
        <f t="shared" si="63"/>
        <v>0</v>
      </c>
      <c r="GD65" s="2000">
        <f t="shared" si="63"/>
        <v>0</v>
      </c>
      <c r="GE65" s="2000">
        <f t="shared" si="63"/>
        <v>0</v>
      </c>
      <c r="GF65" s="2000">
        <f t="shared" si="63"/>
        <v>0</v>
      </c>
    </row>
    <row r="66" spans="1:188" s="641" customFormat="1" ht="15" customHeight="1" x14ac:dyDescent="0.4">
      <c r="A66" s="631"/>
      <c r="B66" s="641" t="s">
        <v>233</v>
      </c>
      <c r="C66" s="1989" t="s">
        <v>1386</v>
      </c>
      <c r="D66" s="1992"/>
      <c r="E66" s="642"/>
      <c r="F66" s="1998">
        <f xml:space="preserve">
IF($F$25="休診日",0,
MIN(F67,IF((VLOOKUP($F$22&amp;$B66,$B$96:$D$191,2,FALSE)-F68)&lt;0,0,VLOOKUP($F$22&amp;$B66,$B$96:$D$191,2,FALSE)-F68)))</f>
        <v>0</v>
      </c>
      <c r="G66" s="1998">
        <f xml:space="preserve">
IF(G$25="休診日",0,
IF(G68&gt;=VLOOKUP(G$22&amp;$B66,$B$96:$D$191,2,FALSE),0,
IF(AND(G68&lt;VLOOKUP(G$22&amp;$B66,$B$96:$D$191,2,FALSE),G67&lt;=VLOOKUP(G$22&amp;$B66,$B$96:$D$191,2,FALSE)),IF(G67-G68&lt;0,0,G67-G68),
IF(AND(G68&lt;VLOOKUP(G$22&amp;$B66,$B$96:$D$191,2,FALSE),G67&gt;VLOOKUP(G$22&amp;$B66,$B$96:$D$191,2,FALSE)),VLOOKUP(G$22&amp;$B66,$B$96:$D$191,2,FALSE)-G68))))</f>
        <v>0</v>
      </c>
      <c r="H66" s="1998">
        <f t="shared" ref="H66:BS66" si="64" xml:space="preserve">
IF(H$25="休診日",0,
IF(H68&gt;=VLOOKUP(H$22&amp;$B66,$B$96:$D$191,2,FALSE),0,
IF(AND(H68&lt;VLOOKUP(H$22&amp;$B66,$B$96:$D$191,2,FALSE),H67&lt;=VLOOKUP(H$22&amp;$B66,$B$96:$D$191,2,FALSE)),IF(H67-H68&lt;0,0,H67-H68),
IF(AND(H68&lt;VLOOKUP(H$22&amp;$B66,$B$96:$D$191,2,FALSE),H67&gt;VLOOKUP(H$22&amp;$B66,$B$96:$D$191,2,FALSE)),VLOOKUP(H$22&amp;$B66,$B$96:$D$191,2,FALSE)-H68))))</f>
        <v>0</v>
      </c>
      <c r="I66" s="1998">
        <f t="shared" si="64"/>
        <v>0</v>
      </c>
      <c r="J66" s="1998">
        <f t="shared" si="64"/>
        <v>0</v>
      </c>
      <c r="K66" s="1998">
        <f t="shared" si="64"/>
        <v>0</v>
      </c>
      <c r="L66" s="1998">
        <f t="shared" si="64"/>
        <v>0</v>
      </c>
      <c r="M66" s="1998">
        <f t="shared" si="64"/>
        <v>0</v>
      </c>
      <c r="N66" s="1998">
        <f t="shared" si="64"/>
        <v>0</v>
      </c>
      <c r="O66" s="1998">
        <f t="shared" si="64"/>
        <v>0</v>
      </c>
      <c r="P66" s="1998">
        <f t="shared" si="64"/>
        <v>0</v>
      </c>
      <c r="Q66" s="1998">
        <f t="shared" si="64"/>
        <v>0</v>
      </c>
      <c r="R66" s="1998">
        <f t="shared" si="64"/>
        <v>0</v>
      </c>
      <c r="S66" s="1998">
        <f t="shared" si="64"/>
        <v>0</v>
      </c>
      <c r="T66" s="1998">
        <f t="shared" si="64"/>
        <v>0</v>
      </c>
      <c r="U66" s="1998">
        <f t="shared" si="64"/>
        <v>0</v>
      </c>
      <c r="V66" s="1998">
        <f t="shared" si="64"/>
        <v>0</v>
      </c>
      <c r="W66" s="1998">
        <f t="shared" si="64"/>
        <v>0</v>
      </c>
      <c r="X66" s="1998">
        <f t="shared" si="64"/>
        <v>0</v>
      </c>
      <c r="Y66" s="1998">
        <f t="shared" si="64"/>
        <v>0</v>
      </c>
      <c r="Z66" s="1998">
        <f t="shared" si="64"/>
        <v>0</v>
      </c>
      <c r="AA66" s="1998">
        <f t="shared" si="64"/>
        <v>0</v>
      </c>
      <c r="AB66" s="1998">
        <f t="shared" si="64"/>
        <v>0</v>
      </c>
      <c r="AC66" s="1998">
        <f t="shared" si="64"/>
        <v>0</v>
      </c>
      <c r="AD66" s="1998">
        <f t="shared" si="64"/>
        <v>0</v>
      </c>
      <c r="AE66" s="1998">
        <f t="shared" si="64"/>
        <v>0</v>
      </c>
      <c r="AF66" s="1998">
        <f t="shared" si="64"/>
        <v>0</v>
      </c>
      <c r="AG66" s="1998">
        <f t="shared" si="64"/>
        <v>0</v>
      </c>
      <c r="AH66" s="1998">
        <f t="shared" si="64"/>
        <v>0</v>
      </c>
      <c r="AI66" s="1998">
        <f t="shared" si="64"/>
        <v>0</v>
      </c>
      <c r="AJ66" s="1998">
        <f t="shared" si="64"/>
        <v>0</v>
      </c>
      <c r="AK66" s="1998">
        <f t="shared" si="64"/>
        <v>0</v>
      </c>
      <c r="AL66" s="1998">
        <f t="shared" si="64"/>
        <v>0</v>
      </c>
      <c r="AM66" s="1998">
        <f t="shared" si="64"/>
        <v>0</v>
      </c>
      <c r="AN66" s="1998">
        <f t="shared" si="64"/>
        <v>0</v>
      </c>
      <c r="AO66" s="1998">
        <f t="shared" si="64"/>
        <v>0</v>
      </c>
      <c r="AP66" s="1998">
        <f t="shared" si="64"/>
        <v>0</v>
      </c>
      <c r="AQ66" s="1998">
        <f t="shared" si="64"/>
        <v>0</v>
      </c>
      <c r="AR66" s="1998">
        <f t="shared" si="64"/>
        <v>0</v>
      </c>
      <c r="AS66" s="1998">
        <f t="shared" si="64"/>
        <v>0</v>
      </c>
      <c r="AT66" s="1998">
        <f t="shared" si="64"/>
        <v>0</v>
      </c>
      <c r="AU66" s="1998">
        <f t="shared" si="64"/>
        <v>0</v>
      </c>
      <c r="AV66" s="1998">
        <f t="shared" si="64"/>
        <v>0</v>
      </c>
      <c r="AW66" s="1998">
        <f t="shared" si="64"/>
        <v>0</v>
      </c>
      <c r="AX66" s="1998">
        <f t="shared" si="64"/>
        <v>0</v>
      </c>
      <c r="AY66" s="1998">
        <f t="shared" si="64"/>
        <v>0</v>
      </c>
      <c r="AZ66" s="1998">
        <f t="shared" si="64"/>
        <v>0</v>
      </c>
      <c r="BA66" s="1998">
        <f t="shared" si="64"/>
        <v>0</v>
      </c>
      <c r="BB66" s="1998">
        <f t="shared" si="64"/>
        <v>0</v>
      </c>
      <c r="BC66" s="1998">
        <f t="shared" si="64"/>
        <v>0</v>
      </c>
      <c r="BD66" s="1998">
        <f t="shared" si="64"/>
        <v>0</v>
      </c>
      <c r="BE66" s="1998">
        <f t="shared" si="64"/>
        <v>0</v>
      </c>
      <c r="BF66" s="1998">
        <f t="shared" si="64"/>
        <v>0</v>
      </c>
      <c r="BG66" s="1998">
        <f t="shared" si="64"/>
        <v>0</v>
      </c>
      <c r="BH66" s="1998">
        <f t="shared" si="64"/>
        <v>0</v>
      </c>
      <c r="BI66" s="1998">
        <f t="shared" si="64"/>
        <v>0</v>
      </c>
      <c r="BJ66" s="1998">
        <f t="shared" si="64"/>
        <v>0</v>
      </c>
      <c r="BK66" s="1998">
        <f t="shared" si="64"/>
        <v>0</v>
      </c>
      <c r="BL66" s="1998">
        <f t="shared" si="64"/>
        <v>0</v>
      </c>
      <c r="BM66" s="1998">
        <f t="shared" si="64"/>
        <v>0</v>
      </c>
      <c r="BN66" s="1998">
        <f t="shared" si="64"/>
        <v>0</v>
      </c>
      <c r="BO66" s="1998">
        <f t="shared" si="64"/>
        <v>0</v>
      </c>
      <c r="BP66" s="1998">
        <f t="shared" si="64"/>
        <v>0</v>
      </c>
      <c r="BQ66" s="1998">
        <f t="shared" si="64"/>
        <v>0</v>
      </c>
      <c r="BR66" s="1998">
        <f t="shared" si="64"/>
        <v>0</v>
      </c>
      <c r="BS66" s="1998">
        <f t="shared" si="64"/>
        <v>0</v>
      </c>
      <c r="BT66" s="1998">
        <f t="shared" ref="BT66:EE66" si="65" xml:space="preserve">
IF(BT$25="休診日",0,
IF(BT68&gt;=VLOOKUP(BT$22&amp;$B66,$B$96:$D$191,2,FALSE),0,
IF(AND(BT68&lt;VLOOKUP(BT$22&amp;$B66,$B$96:$D$191,2,FALSE),BT67&lt;=VLOOKUP(BT$22&amp;$B66,$B$96:$D$191,2,FALSE)),IF(BT67-BT68&lt;0,0,BT67-BT68),
IF(AND(BT68&lt;VLOOKUP(BT$22&amp;$B66,$B$96:$D$191,2,FALSE),BT67&gt;VLOOKUP(BT$22&amp;$B66,$B$96:$D$191,2,FALSE)),VLOOKUP(BT$22&amp;$B66,$B$96:$D$191,2,FALSE)-BT68))))</f>
        <v>0</v>
      </c>
      <c r="BU66" s="1998">
        <f t="shared" si="65"/>
        <v>0</v>
      </c>
      <c r="BV66" s="1998">
        <f t="shared" si="65"/>
        <v>0</v>
      </c>
      <c r="BW66" s="1998">
        <f t="shared" si="65"/>
        <v>0</v>
      </c>
      <c r="BX66" s="1998">
        <f t="shared" si="65"/>
        <v>0</v>
      </c>
      <c r="BY66" s="1998">
        <f t="shared" si="65"/>
        <v>0</v>
      </c>
      <c r="BZ66" s="1998">
        <f t="shared" si="65"/>
        <v>0</v>
      </c>
      <c r="CA66" s="1998">
        <f t="shared" si="65"/>
        <v>0</v>
      </c>
      <c r="CB66" s="1998">
        <f t="shared" si="65"/>
        <v>0</v>
      </c>
      <c r="CC66" s="1998">
        <f t="shared" si="65"/>
        <v>0</v>
      </c>
      <c r="CD66" s="1998">
        <f t="shared" si="65"/>
        <v>0</v>
      </c>
      <c r="CE66" s="1998">
        <f t="shared" si="65"/>
        <v>0</v>
      </c>
      <c r="CF66" s="1998">
        <f t="shared" si="65"/>
        <v>0</v>
      </c>
      <c r="CG66" s="1998">
        <f t="shared" si="65"/>
        <v>0</v>
      </c>
      <c r="CH66" s="1998">
        <f t="shared" si="65"/>
        <v>0</v>
      </c>
      <c r="CI66" s="1998">
        <f t="shared" si="65"/>
        <v>0</v>
      </c>
      <c r="CJ66" s="1998">
        <f t="shared" si="65"/>
        <v>0</v>
      </c>
      <c r="CK66" s="1998">
        <f t="shared" si="65"/>
        <v>0</v>
      </c>
      <c r="CL66" s="1998">
        <f t="shared" si="65"/>
        <v>0</v>
      </c>
      <c r="CM66" s="1998">
        <f t="shared" si="65"/>
        <v>0</v>
      </c>
      <c r="CN66" s="1998">
        <f t="shared" si="65"/>
        <v>0</v>
      </c>
      <c r="CO66" s="1998">
        <f t="shared" si="65"/>
        <v>0</v>
      </c>
      <c r="CP66" s="1998">
        <f t="shared" si="65"/>
        <v>0</v>
      </c>
      <c r="CQ66" s="1998">
        <f t="shared" si="65"/>
        <v>0</v>
      </c>
      <c r="CR66" s="1998">
        <f t="shared" si="65"/>
        <v>0</v>
      </c>
      <c r="CS66" s="1998">
        <f t="shared" si="65"/>
        <v>0</v>
      </c>
      <c r="CT66" s="1998">
        <f t="shared" si="65"/>
        <v>0</v>
      </c>
      <c r="CU66" s="1998">
        <f t="shared" si="65"/>
        <v>0</v>
      </c>
      <c r="CV66" s="1998">
        <f t="shared" si="65"/>
        <v>0</v>
      </c>
      <c r="CW66" s="1998">
        <f t="shared" si="65"/>
        <v>0</v>
      </c>
      <c r="CX66" s="1998">
        <f t="shared" si="65"/>
        <v>0</v>
      </c>
      <c r="CY66" s="1998">
        <f t="shared" si="65"/>
        <v>0</v>
      </c>
      <c r="CZ66" s="1998">
        <f t="shared" si="65"/>
        <v>0</v>
      </c>
      <c r="DA66" s="1998">
        <f t="shared" si="65"/>
        <v>0</v>
      </c>
      <c r="DB66" s="1998">
        <f t="shared" si="65"/>
        <v>0</v>
      </c>
      <c r="DC66" s="1998">
        <f t="shared" si="65"/>
        <v>0</v>
      </c>
      <c r="DD66" s="1998">
        <f t="shared" si="65"/>
        <v>0</v>
      </c>
      <c r="DE66" s="1998">
        <f t="shared" si="65"/>
        <v>0</v>
      </c>
      <c r="DF66" s="1998">
        <f t="shared" si="65"/>
        <v>0</v>
      </c>
      <c r="DG66" s="1998">
        <f t="shared" si="65"/>
        <v>0</v>
      </c>
      <c r="DH66" s="1998">
        <f t="shared" si="65"/>
        <v>0</v>
      </c>
      <c r="DI66" s="1998">
        <f t="shared" si="65"/>
        <v>0</v>
      </c>
      <c r="DJ66" s="1998">
        <f t="shared" si="65"/>
        <v>0</v>
      </c>
      <c r="DK66" s="1998">
        <f t="shared" si="65"/>
        <v>0</v>
      </c>
      <c r="DL66" s="1998">
        <f t="shared" si="65"/>
        <v>0</v>
      </c>
      <c r="DM66" s="1998">
        <f t="shared" si="65"/>
        <v>0</v>
      </c>
      <c r="DN66" s="1998">
        <f t="shared" si="65"/>
        <v>0</v>
      </c>
      <c r="DO66" s="1998">
        <f t="shared" si="65"/>
        <v>0</v>
      </c>
      <c r="DP66" s="1998">
        <f t="shared" si="65"/>
        <v>0</v>
      </c>
      <c r="DQ66" s="1998">
        <f t="shared" si="65"/>
        <v>0</v>
      </c>
      <c r="DR66" s="1998">
        <f t="shared" si="65"/>
        <v>0</v>
      </c>
      <c r="DS66" s="1998">
        <f t="shared" si="65"/>
        <v>0</v>
      </c>
      <c r="DT66" s="1998">
        <f t="shared" si="65"/>
        <v>0</v>
      </c>
      <c r="DU66" s="1998">
        <f t="shared" si="65"/>
        <v>0</v>
      </c>
      <c r="DV66" s="1998">
        <f t="shared" si="65"/>
        <v>0</v>
      </c>
      <c r="DW66" s="1998">
        <f t="shared" si="65"/>
        <v>0</v>
      </c>
      <c r="DX66" s="1998">
        <f t="shared" si="65"/>
        <v>0</v>
      </c>
      <c r="DY66" s="1998">
        <f t="shared" si="65"/>
        <v>0</v>
      </c>
      <c r="DZ66" s="1998">
        <f t="shared" si="65"/>
        <v>0</v>
      </c>
      <c r="EA66" s="1998">
        <f t="shared" si="65"/>
        <v>0</v>
      </c>
      <c r="EB66" s="1998">
        <f t="shared" si="65"/>
        <v>0</v>
      </c>
      <c r="EC66" s="1998">
        <f t="shared" si="65"/>
        <v>0</v>
      </c>
      <c r="ED66" s="1998">
        <f t="shared" si="65"/>
        <v>0</v>
      </c>
      <c r="EE66" s="1998">
        <f t="shared" si="65"/>
        <v>0</v>
      </c>
      <c r="EF66" s="1998">
        <f t="shared" ref="EF66:GF66" si="66" xml:space="preserve">
IF(EF$25="休診日",0,
IF(EF68&gt;=VLOOKUP(EF$22&amp;$B66,$B$96:$D$191,2,FALSE),0,
IF(AND(EF68&lt;VLOOKUP(EF$22&amp;$B66,$B$96:$D$191,2,FALSE),EF67&lt;=VLOOKUP(EF$22&amp;$B66,$B$96:$D$191,2,FALSE)),IF(EF67-EF68&lt;0,0,EF67-EF68),
IF(AND(EF68&lt;VLOOKUP(EF$22&amp;$B66,$B$96:$D$191,2,FALSE),EF67&gt;VLOOKUP(EF$22&amp;$B66,$B$96:$D$191,2,FALSE)),VLOOKUP(EF$22&amp;$B66,$B$96:$D$191,2,FALSE)-EF68))))</f>
        <v>0</v>
      </c>
      <c r="EG66" s="1998">
        <f t="shared" si="66"/>
        <v>0</v>
      </c>
      <c r="EH66" s="1998">
        <f t="shared" si="66"/>
        <v>0</v>
      </c>
      <c r="EI66" s="1998">
        <f t="shared" si="66"/>
        <v>0</v>
      </c>
      <c r="EJ66" s="1998">
        <f t="shared" si="66"/>
        <v>0</v>
      </c>
      <c r="EK66" s="1998">
        <f t="shared" si="66"/>
        <v>0</v>
      </c>
      <c r="EL66" s="1998">
        <f t="shared" si="66"/>
        <v>0</v>
      </c>
      <c r="EM66" s="1998">
        <f t="shared" si="66"/>
        <v>0</v>
      </c>
      <c r="EN66" s="1998">
        <f t="shared" si="66"/>
        <v>0</v>
      </c>
      <c r="EO66" s="1998">
        <f t="shared" si="66"/>
        <v>0</v>
      </c>
      <c r="EP66" s="1998">
        <f t="shared" si="66"/>
        <v>0</v>
      </c>
      <c r="EQ66" s="1998">
        <f t="shared" si="66"/>
        <v>0</v>
      </c>
      <c r="ER66" s="1998">
        <f t="shared" si="66"/>
        <v>0</v>
      </c>
      <c r="ES66" s="1998">
        <f t="shared" si="66"/>
        <v>0</v>
      </c>
      <c r="ET66" s="1998">
        <f t="shared" si="66"/>
        <v>0</v>
      </c>
      <c r="EU66" s="1998">
        <f t="shared" si="66"/>
        <v>0</v>
      </c>
      <c r="EV66" s="1998">
        <f t="shared" si="66"/>
        <v>0</v>
      </c>
      <c r="EW66" s="1998">
        <f t="shared" si="66"/>
        <v>0</v>
      </c>
      <c r="EX66" s="1998">
        <f t="shared" si="66"/>
        <v>0</v>
      </c>
      <c r="EY66" s="1998">
        <f t="shared" si="66"/>
        <v>0</v>
      </c>
      <c r="EZ66" s="1998">
        <f t="shared" si="66"/>
        <v>0</v>
      </c>
      <c r="FA66" s="1998">
        <f t="shared" si="66"/>
        <v>0</v>
      </c>
      <c r="FB66" s="1998">
        <f t="shared" si="66"/>
        <v>0</v>
      </c>
      <c r="FC66" s="1998">
        <f t="shared" si="66"/>
        <v>0</v>
      </c>
      <c r="FD66" s="1998">
        <f t="shared" si="66"/>
        <v>0</v>
      </c>
      <c r="FE66" s="1998">
        <f t="shared" si="66"/>
        <v>0</v>
      </c>
      <c r="FF66" s="1998">
        <f t="shared" si="66"/>
        <v>0</v>
      </c>
      <c r="FG66" s="1998">
        <f t="shared" si="66"/>
        <v>0</v>
      </c>
      <c r="FH66" s="1998">
        <f t="shared" si="66"/>
        <v>0</v>
      </c>
      <c r="FI66" s="1998">
        <f t="shared" si="66"/>
        <v>0</v>
      </c>
      <c r="FJ66" s="1998">
        <f t="shared" si="66"/>
        <v>0</v>
      </c>
      <c r="FK66" s="1998">
        <f t="shared" si="66"/>
        <v>0</v>
      </c>
      <c r="FL66" s="1998">
        <f t="shared" si="66"/>
        <v>0</v>
      </c>
      <c r="FM66" s="1998">
        <f t="shared" si="66"/>
        <v>0</v>
      </c>
      <c r="FN66" s="1998">
        <f t="shared" si="66"/>
        <v>0</v>
      </c>
      <c r="FO66" s="1998">
        <f t="shared" si="66"/>
        <v>0</v>
      </c>
      <c r="FP66" s="1998">
        <f t="shared" si="66"/>
        <v>0</v>
      </c>
      <c r="FQ66" s="1998">
        <f t="shared" si="66"/>
        <v>0</v>
      </c>
      <c r="FR66" s="1998">
        <f t="shared" si="66"/>
        <v>0</v>
      </c>
      <c r="FS66" s="1998">
        <f t="shared" si="66"/>
        <v>0</v>
      </c>
      <c r="FT66" s="1998">
        <f t="shared" si="66"/>
        <v>0</v>
      </c>
      <c r="FU66" s="1998">
        <f t="shared" si="66"/>
        <v>0</v>
      </c>
      <c r="FV66" s="1998">
        <f t="shared" si="66"/>
        <v>0</v>
      </c>
      <c r="FW66" s="1998">
        <f t="shared" si="66"/>
        <v>0</v>
      </c>
      <c r="FX66" s="1998">
        <f t="shared" si="66"/>
        <v>0</v>
      </c>
      <c r="FY66" s="1998">
        <f t="shared" si="66"/>
        <v>0</v>
      </c>
      <c r="FZ66" s="1998">
        <f t="shared" si="66"/>
        <v>0</v>
      </c>
      <c r="GA66" s="1998">
        <f t="shared" si="66"/>
        <v>0</v>
      </c>
      <c r="GB66" s="1998">
        <f t="shared" si="66"/>
        <v>0</v>
      </c>
      <c r="GC66" s="1998">
        <f t="shared" si="66"/>
        <v>0</v>
      </c>
      <c r="GD66" s="1998">
        <f t="shared" si="66"/>
        <v>0</v>
      </c>
      <c r="GE66" s="1998">
        <f t="shared" si="66"/>
        <v>0</v>
      </c>
      <c r="GF66" s="1998">
        <f t="shared" si="66"/>
        <v>0</v>
      </c>
    </row>
    <row r="67" spans="1:188" s="641" customFormat="1" ht="15" customHeight="1" x14ac:dyDescent="0.4">
      <c r="A67" s="631"/>
      <c r="B67" s="641" t="s">
        <v>1265</v>
      </c>
      <c r="C67" s="1989" t="s">
        <v>1387</v>
      </c>
      <c r="D67" s="1992"/>
      <c r="E67" s="642"/>
      <c r="F67" s="1998">
        <f>SUM(
SUMIF(防護具!$B$31:$B$163,F$23&amp;"ニトリルグローブ",防護具!$S$31:$S$163),
SUMIF(防護具!$B$31:$B$163,F$23&amp;"プラスチックグローブ等",防護具!$S$31:$S$163))</f>
        <v>0</v>
      </c>
      <c r="G67" s="2000">
        <f>IFERROR(
SUM(F67,
SUMIF(防護具!$B$31:$B$163,G$23&amp;"ニトリルグローブ",防護具!$S$31:$S$163),
SUMIF(防護具!$B$31:$B$163,G$23&amp;"プラスチックグローブ等",防護具!$S$31:$S$163))-F66,0)</f>
        <v>0</v>
      </c>
      <c r="H67" s="2000">
        <f>IFERROR(
SUM(G67,
SUMIF(防護具!$B$31:$B$163,H$23&amp;"ニトリルグローブ",防護具!$S$31:$S$163),
SUMIF(防護具!$B$31:$B$163,H$23&amp;"プラスチックグローブ等",防護具!$S$31:$S$163))-G66,0)</f>
        <v>0</v>
      </c>
      <c r="I67" s="2000">
        <f>IFERROR(
SUM(H67,
SUMIF(防護具!$B$31:$B$163,I$23&amp;"ニトリルグローブ",防護具!$S$31:$S$163),
SUMIF(防護具!$B$31:$B$163,I$23&amp;"プラスチックグローブ等",防護具!$S$31:$S$163))-H66,0)</f>
        <v>0</v>
      </c>
      <c r="J67" s="2000">
        <f>IFERROR(
SUM(I67,
SUMIF(防護具!$B$31:$B$163,J$23&amp;"ニトリルグローブ",防護具!$S$31:$S$163),
SUMIF(防護具!$B$31:$B$163,J$23&amp;"プラスチックグローブ等",防護具!$S$31:$S$163))-I66,0)</f>
        <v>0</v>
      </c>
      <c r="K67" s="2000">
        <f>IFERROR(
SUM(J67,
SUMIF(防護具!$B$31:$B$163,K$23&amp;"ニトリルグローブ",防護具!$S$31:$S$163),
SUMIF(防護具!$B$31:$B$163,K$23&amp;"プラスチックグローブ等",防護具!$S$31:$S$163))-J66,0)</f>
        <v>0</v>
      </c>
      <c r="L67" s="2000">
        <f>IFERROR(
SUM(K67,
SUMIF(防護具!$B$31:$B$163,L$23&amp;"ニトリルグローブ",防護具!$S$31:$S$163),
SUMIF(防護具!$B$31:$B$163,L$23&amp;"プラスチックグローブ等",防護具!$S$31:$S$163))-K66,0)</f>
        <v>0</v>
      </c>
      <c r="M67" s="2000">
        <f>IFERROR(
SUM(L67,
SUMIF(防護具!$B$31:$B$163,M$23&amp;"ニトリルグローブ",防護具!$S$31:$S$163),
SUMIF(防護具!$B$31:$B$163,M$23&amp;"プラスチックグローブ等",防護具!$S$31:$S$163))-L66,0)</f>
        <v>0</v>
      </c>
      <c r="N67" s="2000">
        <f>IFERROR(
SUM(M67,
SUMIF(防護具!$B$31:$B$163,N$23&amp;"ニトリルグローブ",防護具!$S$31:$S$163),
SUMIF(防護具!$B$31:$B$163,N$23&amp;"プラスチックグローブ等",防護具!$S$31:$S$163))-M66,0)</f>
        <v>0</v>
      </c>
      <c r="O67" s="2000">
        <f>IFERROR(
SUM(N67,
SUMIF(防護具!$B$31:$B$163,O$23&amp;"ニトリルグローブ",防護具!$S$31:$S$163),
SUMIF(防護具!$B$31:$B$163,O$23&amp;"プラスチックグローブ等",防護具!$S$31:$S$163))-N66,0)</f>
        <v>0</v>
      </c>
      <c r="P67" s="2000">
        <f>IFERROR(
SUM(O67,
SUMIF(防護具!$B$31:$B$163,P$23&amp;"ニトリルグローブ",防護具!$S$31:$S$163),
SUMIF(防護具!$B$31:$B$163,P$23&amp;"プラスチックグローブ等",防護具!$S$31:$S$163))-O66,0)</f>
        <v>0</v>
      </c>
      <c r="Q67" s="2000">
        <f>IFERROR(
SUM(P67,
SUMIF(防護具!$B$31:$B$163,Q$23&amp;"ニトリルグローブ",防護具!$S$31:$S$163),
SUMIF(防護具!$B$31:$B$163,Q$23&amp;"プラスチックグローブ等",防護具!$S$31:$S$163))-P66,0)</f>
        <v>0</v>
      </c>
      <c r="R67" s="2000">
        <f>IFERROR(
SUM(Q67,
SUMIF(防護具!$B$31:$B$163,R$23&amp;"ニトリルグローブ",防護具!$S$31:$S$163),
SUMIF(防護具!$B$31:$B$163,R$23&amp;"プラスチックグローブ等",防護具!$S$31:$S$163))-Q66,0)</f>
        <v>0</v>
      </c>
      <c r="S67" s="2000">
        <f>IFERROR(
SUM(R67,
SUMIF(防護具!$B$31:$B$163,S$23&amp;"ニトリルグローブ",防護具!$S$31:$S$163),
SUMIF(防護具!$B$31:$B$163,S$23&amp;"プラスチックグローブ等",防護具!$S$31:$S$163))-R66,0)</f>
        <v>0</v>
      </c>
      <c r="T67" s="2000">
        <f>IFERROR(
SUM(S67,
SUMIF(防護具!$B$31:$B$163,T$23&amp;"ニトリルグローブ",防護具!$S$31:$S$163),
SUMIF(防護具!$B$31:$B$163,T$23&amp;"プラスチックグローブ等",防護具!$S$31:$S$163))-S66,0)</f>
        <v>0</v>
      </c>
      <c r="U67" s="2000">
        <f>IFERROR(
SUM(T67,
SUMIF(防護具!$B$31:$B$163,U$23&amp;"ニトリルグローブ",防護具!$S$31:$S$163),
SUMIF(防護具!$B$31:$B$163,U$23&amp;"プラスチックグローブ等",防護具!$S$31:$S$163))-T66,0)</f>
        <v>0</v>
      </c>
      <c r="V67" s="2000">
        <f>IFERROR(
SUM(U67,
SUMIF(防護具!$B$31:$B$163,V$23&amp;"ニトリルグローブ",防護具!$S$31:$S$163),
SUMIF(防護具!$B$31:$B$163,V$23&amp;"プラスチックグローブ等",防護具!$S$31:$S$163))-U66,0)</f>
        <v>0</v>
      </c>
      <c r="W67" s="2000">
        <f>IFERROR(
SUM(V67,
SUMIF(防護具!$B$31:$B$163,W$23&amp;"ニトリルグローブ",防護具!$S$31:$S$163),
SUMIF(防護具!$B$31:$B$163,W$23&amp;"プラスチックグローブ等",防護具!$S$31:$S$163))-V66,0)</f>
        <v>0</v>
      </c>
      <c r="X67" s="2000">
        <f>IFERROR(
SUM(W67,
SUMIF(防護具!$B$31:$B$163,X$23&amp;"ニトリルグローブ",防護具!$S$31:$S$163),
SUMIF(防護具!$B$31:$B$163,X$23&amp;"プラスチックグローブ等",防護具!$S$31:$S$163))-W66,0)</f>
        <v>0</v>
      </c>
      <c r="Y67" s="2000">
        <f>IFERROR(
SUM(X67,
SUMIF(防護具!$B$31:$B$163,Y$23&amp;"ニトリルグローブ",防護具!$S$31:$S$163),
SUMIF(防護具!$B$31:$B$163,Y$23&amp;"プラスチックグローブ等",防護具!$S$31:$S$163))-X66,0)</f>
        <v>0</v>
      </c>
      <c r="Z67" s="2000">
        <f>IFERROR(
SUM(Y67,
SUMIF(防護具!$B$31:$B$163,Z$23&amp;"ニトリルグローブ",防護具!$S$31:$S$163),
SUMIF(防護具!$B$31:$B$163,Z$23&amp;"プラスチックグローブ等",防護具!$S$31:$S$163))-Y66,0)</f>
        <v>0</v>
      </c>
      <c r="AA67" s="2000">
        <f>IFERROR(
SUM(Z67,
SUMIF(防護具!$B$31:$B$163,AA$23&amp;"ニトリルグローブ",防護具!$S$31:$S$163),
SUMIF(防護具!$B$31:$B$163,AA$23&amp;"プラスチックグローブ等",防護具!$S$31:$S$163))-Z66,0)</f>
        <v>0</v>
      </c>
      <c r="AB67" s="2000">
        <f>IFERROR(
SUM(AA67,
SUMIF(防護具!$B$31:$B$163,AB$23&amp;"ニトリルグローブ",防護具!$S$31:$S$163),
SUMIF(防護具!$B$31:$B$163,AB$23&amp;"プラスチックグローブ等",防護具!$S$31:$S$163))-AA66,0)</f>
        <v>0</v>
      </c>
      <c r="AC67" s="2000">
        <f>IFERROR(
SUM(AB67,
SUMIF(防護具!$B$31:$B$163,AC$23&amp;"ニトリルグローブ",防護具!$S$31:$S$163),
SUMIF(防護具!$B$31:$B$163,AC$23&amp;"プラスチックグローブ等",防護具!$S$31:$S$163))-AB66,0)</f>
        <v>0</v>
      </c>
      <c r="AD67" s="2000">
        <f>IFERROR(
SUM(AC67,
SUMIF(防護具!$B$31:$B$163,AD$23&amp;"ニトリルグローブ",防護具!$S$31:$S$163),
SUMIF(防護具!$B$31:$B$163,AD$23&amp;"プラスチックグローブ等",防護具!$S$31:$S$163))-AC66,0)</f>
        <v>0</v>
      </c>
      <c r="AE67" s="2000">
        <f>IFERROR(
SUM(AD67,
SUMIF(防護具!$B$31:$B$163,AE$23&amp;"ニトリルグローブ",防護具!$S$31:$S$163),
SUMIF(防護具!$B$31:$B$163,AE$23&amp;"プラスチックグローブ等",防護具!$S$31:$S$163))-AD66,0)</f>
        <v>0</v>
      </c>
      <c r="AF67" s="2000">
        <f>IFERROR(
SUM(AE67,
SUMIF(防護具!$B$31:$B$163,AF$23&amp;"ニトリルグローブ",防護具!$S$31:$S$163),
SUMIF(防護具!$B$31:$B$163,AF$23&amp;"プラスチックグローブ等",防護具!$S$31:$S$163))-AE66,0)</f>
        <v>0</v>
      </c>
      <c r="AG67" s="2000">
        <f>IFERROR(
SUM(AF67,
SUMIF(防護具!$B$31:$B$163,AG$23&amp;"ニトリルグローブ",防護具!$S$31:$S$163),
SUMIF(防護具!$B$31:$B$163,AG$23&amp;"プラスチックグローブ等",防護具!$S$31:$S$163))-AF66,0)</f>
        <v>0</v>
      </c>
      <c r="AH67" s="2000">
        <f>IFERROR(
SUM(AG67,
SUMIF(防護具!$B$31:$B$163,AH$23&amp;"ニトリルグローブ",防護具!$S$31:$S$163),
SUMIF(防護具!$B$31:$B$163,AH$23&amp;"プラスチックグローブ等",防護具!$S$31:$S$163))-AG66,0)</f>
        <v>0</v>
      </c>
      <c r="AI67" s="2000">
        <f>IFERROR(
SUM(AH67,
SUMIF(防護具!$B$31:$B$163,AI$23&amp;"ニトリルグローブ",防護具!$S$31:$S$163),
SUMIF(防護具!$B$31:$B$163,AI$23&amp;"プラスチックグローブ等",防護具!$S$31:$S$163))-AH66,0)</f>
        <v>0</v>
      </c>
      <c r="AJ67" s="2000">
        <f>IFERROR(
SUM(AI67,
SUMIF(防護具!$B$31:$B$163,AJ$23&amp;"ニトリルグローブ",防護具!$S$31:$S$163),
SUMIF(防護具!$B$31:$B$163,AJ$23&amp;"プラスチックグローブ等",防護具!$S$31:$S$163))-AI66,0)</f>
        <v>0</v>
      </c>
      <c r="AK67" s="2000">
        <f>IFERROR(
SUM(AJ67,
SUMIF(防護具!$B$31:$B$163,AK$23&amp;"ニトリルグローブ",防護具!$S$31:$S$163),
SUMIF(防護具!$B$31:$B$163,AK$23&amp;"プラスチックグローブ等",防護具!$S$31:$S$163))-AJ66,0)</f>
        <v>0</v>
      </c>
      <c r="AL67" s="2000">
        <f>IFERROR(
SUM(AK67,
SUMIF(防護具!$B$31:$B$163,AL$23&amp;"ニトリルグローブ",防護具!$S$31:$S$163),
SUMIF(防護具!$B$31:$B$163,AL$23&amp;"プラスチックグローブ等",防護具!$S$31:$S$163))-AK66,0)</f>
        <v>0</v>
      </c>
      <c r="AM67" s="2000">
        <f>IFERROR(
SUM(AL67,
SUMIF(防護具!$B$31:$B$163,AM$23&amp;"ニトリルグローブ",防護具!$S$31:$S$163),
SUMIF(防護具!$B$31:$B$163,AM$23&amp;"プラスチックグローブ等",防護具!$S$31:$S$163))-AL66,0)</f>
        <v>0</v>
      </c>
      <c r="AN67" s="2000">
        <f>IFERROR(
SUM(AM67,
SUMIF(防護具!$B$31:$B$163,AN$23&amp;"ニトリルグローブ",防護具!$S$31:$S$163),
SUMIF(防護具!$B$31:$B$163,AN$23&amp;"プラスチックグローブ等",防護具!$S$31:$S$163))-AM66,0)</f>
        <v>0</v>
      </c>
      <c r="AO67" s="2000">
        <f>IFERROR(
SUM(AN67,
SUMIF(防護具!$B$31:$B$163,AO$23&amp;"ニトリルグローブ",防護具!$S$31:$S$163),
SUMIF(防護具!$B$31:$B$163,AO$23&amp;"プラスチックグローブ等",防護具!$S$31:$S$163))-AN66,0)</f>
        <v>0</v>
      </c>
      <c r="AP67" s="2000">
        <f>IFERROR(
SUM(AO67,
SUMIF(防護具!$B$31:$B$163,AP$23&amp;"ニトリルグローブ",防護具!$S$31:$S$163),
SUMIF(防護具!$B$31:$B$163,AP$23&amp;"プラスチックグローブ等",防護具!$S$31:$S$163))-AO66,0)</f>
        <v>0</v>
      </c>
      <c r="AQ67" s="2000">
        <f>IFERROR(
SUM(AP67,
SUMIF(防護具!$B$31:$B$163,AQ$23&amp;"ニトリルグローブ",防護具!$S$31:$S$163),
SUMIF(防護具!$B$31:$B$163,AQ$23&amp;"プラスチックグローブ等",防護具!$S$31:$S$163))-AP66,0)</f>
        <v>0</v>
      </c>
      <c r="AR67" s="2000">
        <f>IFERROR(
SUM(AQ67,
SUMIF(防護具!$B$31:$B$163,AR$23&amp;"ニトリルグローブ",防護具!$S$31:$S$163),
SUMIF(防護具!$B$31:$B$163,AR$23&amp;"プラスチックグローブ等",防護具!$S$31:$S$163))-AQ66,0)</f>
        <v>0</v>
      </c>
      <c r="AS67" s="2000">
        <f>IFERROR(
SUM(AR67,
SUMIF(防護具!$B$31:$B$163,AS$23&amp;"ニトリルグローブ",防護具!$S$31:$S$163),
SUMIF(防護具!$B$31:$B$163,AS$23&amp;"プラスチックグローブ等",防護具!$S$31:$S$163))-AR66,0)</f>
        <v>0</v>
      </c>
      <c r="AT67" s="2000">
        <f>IFERROR(
SUM(AS67,
SUMIF(防護具!$B$31:$B$163,AT$23&amp;"ニトリルグローブ",防護具!$S$31:$S$163),
SUMIF(防護具!$B$31:$B$163,AT$23&amp;"プラスチックグローブ等",防護具!$S$31:$S$163))-AS66,0)</f>
        <v>0</v>
      </c>
      <c r="AU67" s="2000">
        <f>IFERROR(
SUM(AT67,
SUMIF(防護具!$B$31:$B$163,AU$23&amp;"ニトリルグローブ",防護具!$S$31:$S$163),
SUMIF(防護具!$B$31:$B$163,AU$23&amp;"プラスチックグローブ等",防護具!$S$31:$S$163))-AT66,0)</f>
        <v>0</v>
      </c>
      <c r="AV67" s="2000">
        <f>IFERROR(
SUM(AU67,
SUMIF(防護具!$B$31:$B$163,AV$23&amp;"ニトリルグローブ",防護具!$S$31:$S$163),
SUMIF(防護具!$B$31:$B$163,AV$23&amp;"プラスチックグローブ等",防護具!$S$31:$S$163))-AU66,0)</f>
        <v>0</v>
      </c>
      <c r="AW67" s="2000">
        <f>IFERROR(
SUM(AV67,
SUMIF(防護具!$B$31:$B$163,AW$23&amp;"ニトリルグローブ",防護具!$S$31:$S$163),
SUMIF(防護具!$B$31:$B$163,AW$23&amp;"プラスチックグローブ等",防護具!$S$31:$S$163))-AV66,0)</f>
        <v>0</v>
      </c>
      <c r="AX67" s="2000">
        <f>IFERROR(
SUM(AW67,
SUMIF(防護具!$B$31:$B$163,AX$23&amp;"ニトリルグローブ",防護具!$S$31:$S$163),
SUMIF(防護具!$B$31:$B$163,AX$23&amp;"プラスチックグローブ等",防護具!$S$31:$S$163))-AW66,0)</f>
        <v>0</v>
      </c>
      <c r="AY67" s="2000">
        <f>IFERROR(
SUM(AX67,
SUMIF(防護具!$B$31:$B$163,AY$23&amp;"ニトリルグローブ",防護具!$S$31:$S$163),
SUMIF(防護具!$B$31:$B$163,AY$23&amp;"プラスチックグローブ等",防護具!$S$31:$S$163))-AX66,0)</f>
        <v>0</v>
      </c>
      <c r="AZ67" s="2000">
        <f>IFERROR(
SUM(AY67,
SUMIF(防護具!$B$31:$B$163,AZ$23&amp;"ニトリルグローブ",防護具!$S$31:$S$163),
SUMIF(防護具!$B$31:$B$163,AZ$23&amp;"プラスチックグローブ等",防護具!$S$31:$S$163))-AY66,0)</f>
        <v>0</v>
      </c>
      <c r="BA67" s="2000">
        <f>IFERROR(
SUM(AZ67,
SUMIF(防護具!$B$31:$B$163,BA$23&amp;"ニトリルグローブ",防護具!$S$31:$S$163),
SUMIF(防護具!$B$31:$B$163,BA$23&amp;"プラスチックグローブ等",防護具!$S$31:$S$163))-AZ66,0)</f>
        <v>0</v>
      </c>
      <c r="BB67" s="2000">
        <f>IFERROR(
SUM(BA67,
SUMIF(防護具!$B$31:$B$163,BB$23&amp;"ニトリルグローブ",防護具!$S$31:$S$163),
SUMIF(防護具!$B$31:$B$163,BB$23&amp;"プラスチックグローブ等",防護具!$S$31:$S$163))-BA66,0)</f>
        <v>0</v>
      </c>
      <c r="BC67" s="2000">
        <f>IFERROR(
SUM(BB67,
SUMIF(防護具!$B$31:$B$163,BC$23&amp;"ニトリルグローブ",防護具!$S$31:$S$163),
SUMIF(防護具!$B$31:$B$163,BC$23&amp;"プラスチックグローブ等",防護具!$S$31:$S$163))-BB66,0)</f>
        <v>0</v>
      </c>
      <c r="BD67" s="2000">
        <f>IFERROR(
SUM(BC67,
SUMIF(防護具!$B$31:$B$163,BD$23&amp;"ニトリルグローブ",防護具!$S$31:$S$163),
SUMIF(防護具!$B$31:$B$163,BD$23&amp;"プラスチックグローブ等",防護具!$S$31:$S$163))-BC66,0)</f>
        <v>0</v>
      </c>
      <c r="BE67" s="2000">
        <f>IFERROR(
SUM(BD67,
SUMIF(防護具!$B$31:$B$163,BE$23&amp;"ニトリルグローブ",防護具!$S$31:$S$163),
SUMIF(防護具!$B$31:$B$163,BE$23&amp;"プラスチックグローブ等",防護具!$S$31:$S$163))-BD66,0)</f>
        <v>0</v>
      </c>
      <c r="BF67" s="2000">
        <f>IFERROR(
SUM(BE67,
SUMIF(防護具!$B$31:$B$163,BF$23&amp;"ニトリルグローブ",防護具!$S$31:$S$163),
SUMIF(防護具!$B$31:$B$163,BF$23&amp;"プラスチックグローブ等",防護具!$S$31:$S$163))-BE66,0)</f>
        <v>0</v>
      </c>
      <c r="BG67" s="2000">
        <f>IFERROR(
SUM(BF67,
SUMIF(防護具!$B$31:$B$163,BG$23&amp;"ニトリルグローブ",防護具!$S$31:$S$163),
SUMIF(防護具!$B$31:$B$163,BG$23&amp;"プラスチックグローブ等",防護具!$S$31:$S$163))-BF66,0)</f>
        <v>0</v>
      </c>
      <c r="BH67" s="2000">
        <f>IFERROR(
SUM(BG67,
SUMIF(防護具!$B$31:$B$163,BH$23&amp;"ニトリルグローブ",防護具!$S$31:$S$163),
SUMIF(防護具!$B$31:$B$163,BH$23&amp;"プラスチックグローブ等",防護具!$S$31:$S$163))-BG66,0)</f>
        <v>0</v>
      </c>
      <c r="BI67" s="2000">
        <f>IFERROR(
SUM(BH67,
SUMIF(防護具!$B$31:$B$163,BI$23&amp;"ニトリルグローブ",防護具!$S$31:$S$163),
SUMIF(防護具!$B$31:$B$163,BI$23&amp;"プラスチックグローブ等",防護具!$S$31:$S$163))-BH66,0)</f>
        <v>0</v>
      </c>
      <c r="BJ67" s="2000">
        <f>IFERROR(
SUM(BI67,
SUMIF(防護具!$B$31:$B$163,BJ$23&amp;"ニトリルグローブ",防護具!$S$31:$S$163),
SUMIF(防護具!$B$31:$B$163,BJ$23&amp;"プラスチックグローブ等",防護具!$S$31:$S$163))-BI66,0)</f>
        <v>0</v>
      </c>
      <c r="BK67" s="2000">
        <f>IFERROR(
SUM(BJ67,
SUMIF(防護具!$B$31:$B$163,BK$23&amp;"ニトリルグローブ",防護具!$S$31:$S$163),
SUMIF(防護具!$B$31:$B$163,BK$23&amp;"プラスチックグローブ等",防護具!$S$31:$S$163))-BJ66,0)</f>
        <v>0</v>
      </c>
      <c r="BL67" s="2000">
        <f>IFERROR(
SUM(BK67,
SUMIF(防護具!$B$31:$B$163,BL$23&amp;"ニトリルグローブ",防護具!$S$31:$S$163),
SUMIF(防護具!$B$31:$B$163,BL$23&amp;"プラスチックグローブ等",防護具!$S$31:$S$163))-BK66,0)</f>
        <v>0</v>
      </c>
      <c r="BM67" s="2000">
        <f>IFERROR(
SUM(BL67,
SUMIF(防護具!$B$31:$B$163,BM$23&amp;"ニトリルグローブ",防護具!$S$31:$S$163),
SUMIF(防護具!$B$31:$B$163,BM$23&amp;"プラスチックグローブ等",防護具!$S$31:$S$163))-BL66,0)</f>
        <v>0</v>
      </c>
      <c r="BN67" s="2000">
        <f>IFERROR(
SUM(BM67,
SUMIF(防護具!$B$31:$B$163,BN$23&amp;"ニトリルグローブ",防護具!$S$31:$S$163),
SUMIF(防護具!$B$31:$B$163,BN$23&amp;"プラスチックグローブ等",防護具!$S$31:$S$163))-BM66,0)</f>
        <v>0</v>
      </c>
      <c r="BO67" s="2000">
        <f>IFERROR(
SUM(BN67,
SUMIF(防護具!$B$31:$B$163,BO$23&amp;"ニトリルグローブ",防護具!$S$31:$S$163),
SUMIF(防護具!$B$31:$B$163,BO$23&amp;"プラスチックグローブ等",防護具!$S$31:$S$163))-BN66,0)</f>
        <v>0</v>
      </c>
      <c r="BP67" s="2000">
        <f>IFERROR(
SUM(BO67,
SUMIF(防護具!$B$31:$B$163,BP$23&amp;"ニトリルグローブ",防護具!$S$31:$S$163),
SUMIF(防護具!$B$31:$B$163,BP$23&amp;"プラスチックグローブ等",防護具!$S$31:$S$163))-BO66,0)</f>
        <v>0</v>
      </c>
      <c r="BQ67" s="2000">
        <f>IFERROR(
SUM(BP67,
SUMIF(防護具!$B$31:$B$163,BQ$23&amp;"ニトリルグローブ",防護具!$S$31:$S$163),
SUMIF(防護具!$B$31:$B$163,BQ$23&amp;"プラスチックグローブ等",防護具!$S$31:$S$163))-BP66,0)</f>
        <v>0</v>
      </c>
      <c r="BR67" s="2000">
        <f>IFERROR(
SUM(BQ67,
SUMIF(防護具!$B$31:$B$163,BR$23&amp;"ニトリルグローブ",防護具!$S$31:$S$163),
SUMIF(防護具!$B$31:$B$163,BR$23&amp;"プラスチックグローブ等",防護具!$S$31:$S$163))-BQ66,0)</f>
        <v>0</v>
      </c>
      <c r="BS67" s="2000">
        <f>IFERROR(
SUM(BR67,
SUMIF(防護具!$B$31:$B$163,BS$23&amp;"ニトリルグローブ",防護具!$S$31:$S$163),
SUMIF(防護具!$B$31:$B$163,BS$23&amp;"プラスチックグローブ等",防護具!$S$31:$S$163))-BR66,0)</f>
        <v>0</v>
      </c>
      <c r="BT67" s="2000">
        <f>IFERROR(
SUM(BS67,
SUMIF(防護具!$B$31:$B$163,BT$23&amp;"ニトリルグローブ",防護具!$S$31:$S$163),
SUMIF(防護具!$B$31:$B$163,BT$23&amp;"プラスチックグローブ等",防護具!$S$31:$S$163))-BS66,0)</f>
        <v>0</v>
      </c>
      <c r="BU67" s="2000">
        <f>IFERROR(
SUM(BT67,
SUMIF(防護具!$B$31:$B$163,BU$23&amp;"ニトリルグローブ",防護具!$S$31:$S$163),
SUMIF(防護具!$B$31:$B$163,BU$23&amp;"プラスチックグローブ等",防護具!$S$31:$S$163))-BT66,0)</f>
        <v>0</v>
      </c>
      <c r="BV67" s="2000">
        <f>IFERROR(
SUM(BU67,
SUMIF(防護具!$B$31:$B$163,BV$23&amp;"ニトリルグローブ",防護具!$S$31:$S$163),
SUMIF(防護具!$B$31:$B$163,BV$23&amp;"プラスチックグローブ等",防護具!$S$31:$S$163))-BU66,0)</f>
        <v>0</v>
      </c>
      <c r="BW67" s="2000">
        <f>IFERROR(
SUM(BV67,
SUMIF(防護具!$B$31:$B$163,BW$23&amp;"ニトリルグローブ",防護具!$S$31:$S$163),
SUMIF(防護具!$B$31:$B$163,BW$23&amp;"プラスチックグローブ等",防護具!$S$31:$S$163))-BV66,0)</f>
        <v>0</v>
      </c>
      <c r="BX67" s="2000">
        <f>IFERROR(
SUM(BW67,
SUMIF(防護具!$B$31:$B$163,BX$23&amp;"ニトリルグローブ",防護具!$S$31:$S$163),
SUMIF(防護具!$B$31:$B$163,BX$23&amp;"プラスチックグローブ等",防護具!$S$31:$S$163))-BW66,0)</f>
        <v>0</v>
      </c>
      <c r="BY67" s="2000">
        <f>IFERROR(
SUM(BX67,
SUMIF(防護具!$B$31:$B$163,BY$23&amp;"ニトリルグローブ",防護具!$S$31:$S$163),
SUMIF(防護具!$B$31:$B$163,BY$23&amp;"プラスチックグローブ等",防護具!$S$31:$S$163))-BX66,0)</f>
        <v>0</v>
      </c>
      <c r="BZ67" s="2000">
        <f>IFERROR(
SUM(BY67,
SUMIF(防護具!$B$31:$B$163,BZ$23&amp;"ニトリルグローブ",防護具!$S$31:$S$163),
SUMIF(防護具!$B$31:$B$163,BZ$23&amp;"プラスチックグローブ等",防護具!$S$31:$S$163))-BY66,0)</f>
        <v>0</v>
      </c>
      <c r="CA67" s="2000">
        <f>IFERROR(
SUM(BZ67,
SUMIF(防護具!$B$31:$B$163,CA$23&amp;"ニトリルグローブ",防護具!$S$31:$S$163),
SUMIF(防護具!$B$31:$B$163,CA$23&amp;"プラスチックグローブ等",防護具!$S$31:$S$163))-BZ66,0)</f>
        <v>0</v>
      </c>
      <c r="CB67" s="2000">
        <f>IFERROR(
SUM(CA67,
SUMIF(防護具!$B$31:$B$163,CB$23&amp;"ニトリルグローブ",防護具!$S$31:$S$163),
SUMIF(防護具!$B$31:$B$163,CB$23&amp;"プラスチックグローブ等",防護具!$S$31:$S$163))-CA66,0)</f>
        <v>0</v>
      </c>
      <c r="CC67" s="2000">
        <f>IFERROR(
SUM(CB67,
SUMIF(防護具!$B$31:$B$163,CC$23&amp;"ニトリルグローブ",防護具!$S$31:$S$163),
SUMIF(防護具!$B$31:$B$163,CC$23&amp;"プラスチックグローブ等",防護具!$S$31:$S$163))-CB66,0)</f>
        <v>0</v>
      </c>
      <c r="CD67" s="2000">
        <f>IFERROR(
SUM(CC67,
SUMIF(防護具!$B$31:$B$163,CD$23&amp;"ニトリルグローブ",防護具!$S$31:$S$163),
SUMIF(防護具!$B$31:$B$163,CD$23&amp;"プラスチックグローブ等",防護具!$S$31:$S$163))-CC66,0)</f>
        <v>0</v>
      </c>
      <c r="CE67" s="2000">
        <f>IFERROR(
SUM(CD67,
SUMIF(防護具!$B$31:$B$163,CE$23&amp;"ニトリルグローブ",防護具!$S$31:$S$163),
SUMIF(防護具!$B$31:$B$163,CE$23&amp;"プラスチックグローブ等",防護具!$S$31:$S$163))-CD66,0)</f>
        <v>0</v>
      </c>
      <c r="CF67" s="2000">
        <f>IFERROR(
SUM(CE67,
SUMIF(防護具!$B$31:$B$163,CF$23&amp;"ニトリルグローブ",防護具!$S$31:$S$163),
SUMIF(防護具!$B$31:$B$163,CF$23&amp;"プラスチックグローブ等",防護具!$S$31:$S$163))-CE66,0)</f>
        <v>0</v>
      </c>
      <c r="CG67" s="2000">
        <f>IFERROR(
SUM(CF67,
SUMIF(防護具!$B$31:$B$163,CG$23&amp;"ニトリルグローブ",防護具!$S$31:$S$163),
SUMIF(防護具!$B$31:$B$163,CG$23&amp;"プラスチックグローブ等",防護具!$S$31:$S$163))-CF66,0)</f>
        <v>0</v>
      </c>
      <c r="CH67" s="2000">
        <f>IFERROR(
SUM(CG67,
SUMIF(防護具!$B$31:$B$163,CH$23&amp;"ニトリルグローブ",防護具!$S$31:$S$163),
SUMIF(防護具!$B$31:$B$163,CH$23&amp;"プラスチックグローブ等",防護具!$S$31:$S$163))-CG66,0)</f>
        <v>0</v>
      </c>
      <c r="CI67" s="2000">
        <f>IFERROR(
SUM(CH67,
SUMIF(防護具!$B$31:$B$163,CI$23&amp;"ニトリルグローブ",防護具!$S$31:$S$163),
SUMIF(防護具!$B$31:$B$163,CI$23&amp;"プラスチックグローブ等",防護具!$S$31:$S$163))-CH66,0)</f>
        <v>0</v>
      </c>
      <c r="CJ67" s="2000">
        <f>IFERROR(
SUM(CI67,
SUMIF(防護具!$B$31:$B$163,CJ$23&amp;"ニトリルグローブ",防護具!$S$31:$S$163),
SUMIF(防護具!$B$31:$B$163,CJ$23&amp;"プラスチックグローブ等",防護具!$S$31:$S$163))-CI66,0)</f>
        <v>0</v>
      </c>
      <c r="CK67" s="2000">
        <f>IFERROR(
SUM(CJ67,
SUMIF(防護具!$B$31:$B$163,CK$23&amp;"ニトリルグローブ",防護具!$S$31:$S$163),
SUMIF(防護具!$B$31:$B$163,CK$23&amp;"プラスチックグローブ等",防護具!$S$31:$S$163))-CJ66,0)</f>
        <v>0</v>
      </c>
      <c r="CL67" s="2000">
        <f>IFERROR(
SUM(CK67,
SUMIF(防護具!$B$31:$B$163,CL$23&amp;"ニトリルグローブ",防護具!$S$31:$S$163),
SUMIF(防護具!$B$31:$B$163,CL$23&amp;"プラスチックグローブ等",防護具!$S$31:$S$163))-CK66,0)</f>
        <v>0</v>
      </c>
      <c r="CM67" s="2000">
        <f>IFERROR(
SUM(CL67,
SUMIF(防護具!$B$31:$B$163,CM$23&amp;"ニトリルグローブ",防護具!$S$31:$S$163),
SUMIF(防護具!$B$31:$B$163,CM$23&amp;"プラスチックグローブ等",防護具!$S$31:$S$163))-CL66,0)</f>
        <v>0</v>
      </c>
      <c r="CN67" s="2000">
        <f>IFERROR(
SUM(CM67,
SUMIF(防護具!$B$31:$B$163,CN$23&amp;"ニトリルグローブ",防護具!$S$31:$S$163),
SUMIF(防護具!$B$31:$B$163,CN$23&amp;"プラスチックグローブ等",防護具!$S$31:$S$163))-CM66,0)</f>
        <v>0</v>
      </c>
      <c r="CO67" s="2000">
        <f>IFERROR(
SUM(CN67,
SUMIF(防護具!$B$31:$B$163,CO$23&amp;"ニトリルグローブ",防護具!$S$31:$S$163),
SUMIF(防護具!$B$31:$B$163,CO$23&amp;"プラスチックグローブ等",防護具!$S$31:$S$163))-CN66,0)</f>
        <v>0</v>
      </c>
      <c r="CP67" s="2000">
        <f>IFERROR(
SUM(CO67,
SUMIF(防護具!$B$31:$B$163,CP$23&amp;"ニトリルグローブ",防護具!$S$31:$S$163),
SUMIF(防護具!$B$31:$B$163,CP$23&amp;"プラスチックグローブ等",防護具!$S$31:$S$163))-CO66,0)</f>
        <v>0</v>
      </c>
      <c r="CQ67" s="2000">
        <f>IFERROR(
SUM(CP67,
SUMIF(防護具!$B$31:$B$163,CQ$23&amp;"ニトリルグローブ",防護具!$S$31:$S$163),
SUMIF(防護具!$B$31:$B$163,CQ$23&amp;"プラスチックグローブ等",防護具!$S$31:$S$163))-CP66,0)</f>
        <v>0</v>
      </c>
      <c r="CR67" s="2000">
        <f>IFERROR(
SUM(CQ67,
SUMIF(防護具!$B$31:$B$163,CR$23&amp;"ニトリルグローブ",防護具!$S$31:$S$163),
SUMIF(防護具!$B$31:$B$163,CR$23&amp;"プラスチックグローブ等",防護具!$S$31:$S$163))-CQ66,0)</f>
        <v>0</v>
      </c>
      <c r="CS67" s="2000">
        <f>IFERROR(
SUM(CR67,
SUMIF(防護具!$B$31:$B$163,CS$23&amp;"ニトリルグローブ",防護具!$S$31:$S$163),
SUMIF(防護具!$B$31:$B$163,CS$23&amp;"プラスチックグローブ等",防護具!$S$31:$S$163))-CR66,0)</f>
        <v>0</v>
      </c>
      <c r="CT67" s="2000">
        <f>IFERROR(
SUM(CS67,
SUMIF(防護具!$B$31:$B$163,CT$23&amp;"ニトリルグローブ",防護具!$S$31:$S$163),
SUMIF(防護具!$B$31:$B$163,CT$23&amp;"プラスチックグローブ等",防護具!$S$31:$S$163))-CS66,0)</f>
        <v>0</v>
      </c>
      <c r="CU67" s="2000">
        <f>IFERROR(
SUM(CT67,
SUMIF(防護具!$B$31:$B$163,CU$23&amp;"ニトリルグローブ",防護具!$S$31:$S$163),
SUMIF(防護具!$B$31:$B$163,CU$23&amp;"プラスチックグローブ等",防護具!$S$31:$S$163))-CT66,0)</f>
        <v>0</v>
      </c>
      <c r="CV67" s="2000">
        <f>IFERROR(
SUM(CU67,
SUMIF(防護具!$B$31:$B$163,CV$23&amp;"ニトリルグローブ",防護具!$S$31:$S$163),
SUMIF(防護具!$B$31:$B$163,CV$23&amp;"プラスチックグローブ等",防護具!$S$31:$S$163))-CU66,0)</f>
        <v>0</v>
      </c>
      <c r="CW67" s="2000">
        <f>IFERROR(
SUM(CV67,
SUMIF(防護具!$B$31:$B$163,CW$23&amp;"ニトリルグローブ",防護具!$S$31:$S$163),
SUMIF(防護具!$B$31:$B$163,CW$23&amp;"プラスチックグローブ等",防護具!$S$31:$S$163))-CV66,0)</f>
        <v>0</v>
      </c>
      <c r="CX67" s="2000">
        <f>IFERROR(
SUM(CW67,
SUMIF(防護具!$B$31:$B$163,CX$23&amp;"ニトリルグローブ",防護具!$S$31:$S$163),
SUMIF(防護具!$B$31:$B$163,CX$23&amp;"プラスチックグローブ等",防護具!$S$31:$S$163))-CW66,0)</f>
        <v>0</v>
      </c>
      <c r="CY67" s="2000">
        <f>IFERROR(
SUM(CX67,
SUMIF(防護具!$B$31:$B$163,CY$23&amp;"ニトリルグローブ",防護具!$S$31:$S$163),
SUMIF(防護具!$B$31:$B$163,CY$23&amp;"プラスチックグローブ等",防護具!$S$31:$S$163))-CX66,0)</f>
        <v>0</v>
      </c>
      <c r="CZ67" s="2000">
        <f>IFERROR(
SUM(CY67,
SUMIF(防護具!$B$31:$B$163,CZ$23&amp;"ニトリルグローブ",防護具!$S$31:$S$163),
SUMIF(防護具!$B$31:$B$163,CZ$23&amp;"プラスチックグローブ等",防護具!$S$31:$S$163))-CY66,0)</f>
        <v>0</v>
      </c>
      <c r="DA67" s="2000">
        <f>IFERROR(
SUM(CZ67,
SUMIF(防護具!$B$31:$B$163,DA$23&amp;"ニトリルグローブ",防護具!$S$31:$S$163),
SUMIF(防護具!$B$31:$B$163,DA$23&amp;"プラスチックグローブ等",防護具!$S$31:$S$163))-CZ66,0)</f>
        <v>0</v>
      </c>
      <c r="DB67" s="2000">
        <f>IFERROR(
SUM(DA67,
SUMIF(防護具!$B$31:$B$163,DB$23&amp;"ニトリルグローブ",防護具!$S$31:$S$163),
SUMIF(防護具!$B$31:$B$163,DB$23&amp;"プラスチックグローブ等",防護具!$S$31:$S$163))-DA66,0)</f>
        <v>0</v>
      </c>
      <c r="DC67" s="2000">
        <f>IFERROR(
SUM(DB67,
SUMIF(防護具!$B$31:$B$163,DC$23&amp;"ニトリルグローブ",防護具!$S$31:$S$163),
SUMIF(防護具!$B$31:$B$163,DC$23&amp;"プラスチックグローブ等",防護具!$S$31:$S$163))-DB66,0)</f>
        <v>0</v>
      </c>
      <c r="DD67" s="2000">
        <f>IFERROR(
SUM(DC67,
SUMIF(防護具!$B$31:$B$163,DD$23&amp;"ニトリルグローブ",防護具!$S$31:$S$163),
SUMIF(防護具!$B$31:$B$163,DD$23&amp;"プラスチックグローブ等",防護具!$S$31:$S$163))-DC66,0)</f>
        <v>0</v>
      </c>
      <c r="DE67" s="2000">
        <f>IFERROR(
SUM(DD67,
SUMIF(防護具!$B$31:$B$163,DE$23&amp;"ニトリルグローブ",防護具!$S$31:$S$163),
SUMIF(防護具!$B$31:$B$163,DE$23&amp;"プラスチックグローブ等",防護具!$S$31:$S$163))-DD66,0)</f>
        <v>0</v>
      </c>
      <c r="DF67" s="2000">
        <f>IFERROR(
SUM(DE67,
SUMIF(防護具!$B$31:$B$163,DF$23&amp;"ニトリルグローブ",防護具!$S$31:$S$163),
SUMIF(防護具!$B$31:$B$163,DF$23&amp;"プラスチックグローブ等",防護具!$S$31:$S$163))-DE66,0)</f>
        <v>0</v>
      </c>
      <c r="DG67" s="2000">
        <f>IFERROR(
SUM(DF67,
SUMIF(防護具!$B$31:$B$163,DG$23&amp;"ニトリルグローブ",防護具!$S$31:$S$163),
SUMIF(防護具!$B$31:$B$163,DG$23&amp;"プラスチックグローブ等",防護具!$S$31:$S$163))-DF66,0)</f>
        <v>0</v>
      </c>
      <c r="DH67" s="2000">
        <f>IFERROR(
SUM(DG67,
SUMIF(防護具!$B$31:$B$163,DH$23&amp;"ニトリルグローブ",防護具!$S$31:$S$163),
SUMIF(防護具!$B$31:$B$163,DH$23&amp;"プラスチックグローブ等",防護具!$S$31:$S$163))-DG66,0)</f>
        <v>0</v>
      </c>
      <c r="DI67" s="2000">
        <f>IFERROR(
SUM(DH67,
SUMIF(防護具!$B$31:$B$163,DI$23&amp;"ニトリルグローブ",防護具!$S$31:$S$163),
SUMIF(防護具!$B$31:$B$163,DI$23&amp;"プラスチックグローブ等",防護具!$S$31:$S$163))-DH66,0)</f>
        <v>0</v>
      </c>
      <c r="DJ67" s="2000">
        <f>IFERROR(
SUM(DI67,
SUMIF(防護具!$B$31:$B$163,DJ$23&amp;"ニトリルグローブ",防護具!$S$31:$S$163),
SUMIF(防護具!$B$31:$B$163,DJ$23&amp;"プラスチックグローブ等",防護具!$S$31:$S$163))-DI66,0)</f>
        <v>0</v>
      </c>
      <c r="DK67" s="2000">
        <f>IFERROR(
SUM(DJ67,
SUMIF(防護具!$B$31:$B$163,DK$23&amp;"ニトリルグローブ",防護具!$S$31:$S$163),
SUMIF(防護具!$B$31:$B$163,DK$23&amp;"プラスチックグローブ等",防護具!$S$31:$S$163))-DJ66,0)</f>
        <v>0</v>
      </c>
      <c r="DL67" s="2000">
        <f>IFERROR(
SUM(DK67,
SUMIF(防護具!$B$31:$B$163,DL$23&amp;"ニトリルグローブ",防護具!$S$31:$S$163),
SUMIF(防護具!$B$31:$B$163,DL$23&amp;"プラスチックグローブ等",防護具!$S$31:$S$163))-DK66,0)</f>
        <v>0</v>
      </c>
      <c r="DM67" s="2000">
        <f>IFERROR(
SUM(DL67,
SUMIF(防護具!$B$31:$B$163,DM$23&amp;"ニトリルグローブ",防護具!$S$31:$S$163),
SUMIF(防護具!$B$31:$B$163,DM$23&amp;"プラスチックグローブ等",防護具!$S$31:$S$163))-DL66,0)</f>
        <v>0</v>
      </c>
      <c r="DN67" s="2000">
        <f>IFERROR(
SUM(DM67,
SUMIF(防護具!$B$31:$B$163,DN$23&amp;"ニトリルグローブ",防護具!$S$31:$S$163),
SUMIF(防護具!$B$31:$B$163,DN$23&amp;"プラスチックグローブ等",防護具!$S$31:$S$163))-DM66,0)</f>
        <v>0</v>
      </c>
      <c r="DO67" s="2000">
        <f>IFERROR(
SUM(DN67,
SUMIF(防護具!$B$31:$B$163,DO$23&amp;"ニトリルグローブ",防護具!$S$31:$S$163),
SUMIF(防護具!$B$31:$B$163,DO$23&amp;"プラスチックグローブ等",防護具!$S$31:$S$163))-DN66,0)</f>
        <v>0</v>
      </c>
      <c r="DP67" s="2000">
        <f>IFERROR(
SUM(DO67,
SUMIF(防護具!$B$31:$B$163,DP$23&amp;"ニトリルグローブ",防護具!$S$31:$S$163),
SUMIF(防護具!$B$31:$B$163,DP$23&amp;"プラスチックグローブ等",防護具!$S$31:$S$163))-DO66,0)</f>
        <v>0</v>
      </c>
      <c r="DQ67" s="2000">
        <f>IFERROR(
SUM(DP67,
SUMIF(防護具!$B$31:$B$163,DQ$23&amp;"ニトリルグローブ",防護具!$S$31:$S$163),
SUMIF(防護具!$B$31:$B$163,DQ$23&amp;"プラスチックグローブ等",防護具!$S$31:$S$163))-DP66,0)</f>
        <v>0</v>
      </c>
      <c r="DR67" s="2000">
        <f>IFERROR(
SUM(DQ67,
SUMIF(防護具!$B$31:$B$163,DR$23&amp;"ニトリルグローブ",防護具!$S$31:$S$163),
SUMIF(防護具!$B$31:$B$163,DR$23&amp;"プラスチックグローブ等",防護具!$S$31:$S$163))-DQ66,0)</f>
        <v>0</v>
      </c>
      <c r="DS67" s="2000">
        <f>IFERROR(
SUM(DR67,
SUMIF(防護具!$B$31:$B$163,DS$23&amp;"ニトリルグローブ",防護具!$S$31:$S$163),
SUMIF(防護具!$B$31:$B$163,DS$23&amp;"プラスチックグローブ等",防護具!$S$31:$S$163))-DR66,0)</f>
        <v>0</v>
      </c>
      <c r="DT67" s="2000">
        <f>IFERROR(
SUM(DS67,
SUMIF(防護具!$B$31:$B$163,DT$23&amp;"ニトリルグローブ",防護具!$S$31:$S$163),
SUMIF(防護具!$B$31:$B$163,DT$23&amp;"プラスチックグローブ等",防護具!$S$31:$S$163))-DS66,0)</f>
        <v>0</v>
      </c>
      <c r="DU67" s="2000">
        <f>IFERROR(
SUM(DT67,
SUMIF(防護具!$B$31:$B$163,DU$23&amp;"ニトリルグローブ",防護具!$S$31:$S$163),
SUMIF(防護具!$B$31:$B$163,DU$23&amp;"プラスチックグローブ等",防護具!$S$31:$S$163))-DT66,0)</f>
        <v>0</v>
      </c>
      <c r="DV67" s="2000">
        <f>IFERROR(
SUM(DU67,
SUMIF(防護具!$B$31:$B$163,DV$23&amp;"ニトリルグローブ",防護具!$S$31:$S$163),
SUMIF(防護具!$B$31:$B$163,DV$23&amp;"プラスチックグローブ等",防護具!$S$31:$S$163))-DU66,0)</f>
        <v>0</v>
      </c>
      <c r="DW67" s="2000">
        <f>IFERROR(
SUM(DV67,
SUMIF(防護具!$B$31:$B$163,DW$23&amp;"ニトリルグローブ",防護具!$S$31:$S$163),
SUMIF(防護具!$B$31:$B$163,DW$23&amp;"プラスチックグローブ等",防護具!$S$31:$S$163))-DV66,0)</f>
        <v>0</v>
      </c>
      <c r="DX67" s="2000">
        <f>IFERROR(
SUM(DW67,
SUMIF(防護具!$B$31:$B$163,DX$23&amp;"ニトリルグローブ",防護具!$S$31:$S$163),
SUMIF(防護具!$B$31:$B$163,DX$23&amp;"プラスチックグローブ等",防護具!$S$31:$S$163))-DW66,0)</f>
        <v>0</v>
      </c>
      <c r="DY67" s="2000">
        <f>IFERROR(
SUM(DX67,
SUMIF(防護具!$B$31:$B$163,DY$23&amp;"ニトリルグローブ",防護具!$S$31:$S$163),
SUMIF(防護具!$B$31:$B$163,DY$23&amp;"プラスチックグローブ等",防護具!$S$31:$S$163))-DX66,0)</f>
        <v>0</v>
      </c>
      <c r="DZ67" s="2000">
        <f>IFERROR(
SUM(DY67,
SUMIF(防護具!$B$31:$B$163,DZ$23&amp;"ニトリルグローブ",防護具!$S$31:$S$163),
SUMIF(防護具!$B$31:$B$163,DZ$23&amp;"プラスチックグローブ等",防護具!$S$31:$S$163))-DY66,0)</f>
        <v>0</v>
      </c>
      <c r="EA67" s="2000">
        <f>IFERROR(
SUM(DZ67,
SUMIF(防護具!$B$31:$B$163,EA$23&amp;"ニトリルグローブ",防護具!$S$31:$S$163),
SUMIF(防護具!$B$31:$B$163,EA$23&amp;"プラスチックグローブ等",防護具!$S$31:$S$163))-DZ66,0)</f>
        <v>0</v>
      </c>
      <c r="EB67" s="2000">
        <f>IFERROR(
SUM(EA67,
SUMIF(防護具!$B$31:$B$163,EB$23&amp;"ニトリルグローブ",防護具!$S$31:$S$163),
SUMIF(防護具!$B$31:$B$163,EB$23&amp;"プラスチックグローブ等",防護具!$S$31:$S$163))-EA66,0)</f>
        <v>0</v>
      </c>
      <c r="EC67" s="2000">
        <f>IFERROR(
SUM(EB67,
SUMIF(防護具!$B$31:$B$163,EC$23&amp;"ニトリルグローブ",防護具!$S$31:$S$163),
SUMIF(防護具!$B$31:$B$163,EC$23&amp;"プラスチックグローブ等",防護具!$S$31:$S$163))-EB66,0)</f>
        <v>0</v>
      </c>
      <c r="ED67" s="2000">
        <f>IFERROR(
SUM(EC67,
SUMIF(防護具!$B$31:$B$163,ED$23&amp;"ニトリルグローブ",防護具!$S$31:$S$163),
SUMIF(防護具!$B$31:$B$163,ED$23&amp;"プラスチックグローブ等",防護具!$S$31:$S$163))-EC66,0)</f>
        <v>0</v>
      </c>
      <c r="EE67" s="2000">
        <f>IFERROR(
SUM(ED67,
SUMIF(防護具!$B$31:$B$163,EE$23&amp;"ニトリルグローブ",防護具!$S$31:$S$163),
SUMIF(防護具!$B$31:$B$163,EE$23&amp;"プラスチックグローブ等",防護具!$S$31:$S$163))-ED66,0)</f>
        <v>0</v>
      </c>
      <c r="EF67" s="2000">
        <f>IFERROR(
SUM(EE67,
SUMIF(防護具!$B$31:$B$163,EF$23&amp;"ニトリルグローブ",防護具!$S$31:$S$163),
SUMIF(防護具!$B$31:$B$163,EF$23&amp;"プラスチックグローブ等",防護具!$S$31:$S$163))-EE66,0)</f>
        <v>0</v>
      </c>
      <c r="EG67" s="2000">
        <f>IFERROR(
SUM(EF67,
SUMIF(防護具!$B$31:$B$163,EG$23&amp;"ニトリルグローブ",防護具!$S$31:$S$163),
SUMIF(防護具!$B$31:$B$163,EG$23&amp;"プラスチックグローブ等",防護具!$S$31:$S$163))-EF66,0)</f>
        <v>0</v>
      </c>
      <c r="EH67" s="2000">
        <f>IFERROR(
SUM(EG67,
SUMIF(防護具!$B$31:$B$163,EH$23&amp;"ニトリルグローブ",防護具!$S$31:$S$163),
SUMIF(防護具!$B$31:$B$163,EH$23&amp;"プラスチックグローブ等",防護具!$S$31:$S$163))-EG66,0)</f>
        <v>0</v>
      </c>
      <c r="EI67" s="2000">
        <f>IFERROR(
SUM(EH67,
SUMIF(防護具!$B$31:$B$163,EI$23&amp;"ニトリルグローブ",防護具!$S$31:$S$163),
SUMIF(防護具!$B$31:$B$163,EI$23&amp;"プラスチックグローブ等",防護具!$S$31:$S$163))-EH66,0)</f>
        <v>0</v>
      </c>
      <c r="EJ67" s="2000">
        <f>IFERROR(
SUM(EI67,
SUMIF(防護具!$B$31:$B$163,EJ$23&amp;"ニトリルグローブ",防護具!$S$31:$S$163),
SUMIF(防護具!$B$31:$B$163,EJ$23&amp;"プラスチックグローブ等",防護具!$S$31:$S$163))-EI66,0)</f>
        <v>0</v>
      </c>
      <c r="EK67" s="2000">
        <f>IFERROR(
SUM(EJ67,
SUMIF(防護具!$B$31:$B$163,EK$23&amp;"ニトリルグローブ",防護具!$S$31:$S$163),
SUMIF(防護具!$B$31:$B$163,EK$23&amp;"プラスチックグローブ等",防護具!$S$31:$S$163))-EJ66,0)</f>
        <v>0</v>
      </c>
      <c r="EL67" s="2000">
        <f>IFERROR(
SUM(EK67,
SUMIF(防護具!$B$31:$B$163,EL$23&amp;"ニトリルグローブ",防護具!$S$31:$S$163),
SUMIF(防護具!$B$31:$B$163,EL$23&amp;"プラスチックグローブ等",防護具!$S$31:$S$163))-EK66,0)</f>
        <v>0</v>
      </c>
      <c r="EM67" s="2000">
        <f>IFERROR(
SUM(EL67,
SUMIF(防護具!$B$31:$B$163,EM$23&amp;"ニトリルグローブ",防護具!$S$31:$S$163),
SUMIF(防護具!$B$31:$B$163,EM$23&amp;"プラスチックグローブ等",防護具!$S$31:$S$163))-EL66,0)</f>
        <v>0</v>
      </c>
      <c r="EN67" s="2000">
        <f>IFERROR(
SUM(EM67,
SUMIF(防護具!$B$31:$B$163,EN$23&amp;"ニトリルグローブ",防護具!$S$31:$S$163),
SUMIF(防護具!$B$31:$B$163,EN$23&amp;"プラスチックグローブ等",防護具!$S$31:$S$163))-EM66,0)</f>
        <v>0</v>
      </c>
      <c r="EO67" s="2000">
        <f>IFERROR(
SUM(EN67,
SUMIF(防護具!$B$31:$B$163,EO$23&amp;"ニトリルグローブ",防護具!$S$31:$S$163),
SUMIF(防護具!$B$31:$B$163,EO$23&amp;"プラスチックグローブ等",防護具!$S$31:$S$163))-EN66,0)</f>
        <v>0</v>
      </c>
      <c r="EP67" s="2000">
        <f>IFERROR(
SUM(EO67,
SUMIF(防護具!$B$31:$B$163,EP$23&amp;"ニトリルグローブ",防護具!$S$31:$S$163),
SUMIF(防護具!$B$31:$B$163,EP$23&amp;"プラスチックグローブ等",防護具!$S$31:$S$163))-EO66,0)</f>
        <v>0</v>
      </c>
      <c r="EQ67" s="2000">
        <f>IFERROR(
SUM(EP67,
SUMIF(防護具!$B$31:$B$163,EQ$23&amp;"ニトリルグローブ",防護具!$S$31:$S$163),
SUMIF(防護具!$B$31:$B$163,EQ$23&amp;"プラスチックグローブ等",防護具!$S$31:$S$163))-EP66,0)</f>
        <v>0</v>
      </c>
      <c r="ER67" s="2000">
        <f>IFERROR(
SUM(EQ67,
SUMIF(防護具!$B$31:$B$163,ER$23&amp;"ニトリルグローブ",防護具!$S$31:$S$163),
SUMIF(防護具!$B$31:$B$163,ER$23&amp;"プラスチックグローブ等",防護具!$S$31:$S$163))-EQ66,0)</f>
        <v>0</v>
      </c>
      <c r="ES67" s="2000">
        <f>IFERROR(
SUM(ER67,
SUMIF(防護具!$B$31:$B$163,ES$23&amp;"ニトリルグローブ",防護具!$S$31:$S$163),
SUMIF(防護具!$B$31:$B$163,ES$23&amp;"プラスチックグローブ等",防護具!$S$31:$S$163))-ER66,0)</f>
        <v>0</v>
      </c>
      <c r="ET67" s="2000">
        <f>IFERROR(
SUM(ES67,
SUMIF(防護具!$B$31:$B$163,ET$23&amp;"ニトリルグローブ",防護具!$S$31:$S$163),
SUMIF(防護具!$B$31:$B$163,ET$23&amp;"プラスチックグローブ等",防護具!$S$31:$S$163))-ES66,0)</f>
        <v>0</v>
      </c>
      <c r="EU67" s="2000">
        <f>IFERROR(
SUM(ET67,
SUMIF(防護具!$B$31:$B$163,EU$23&amp;"ニトリルグローブ",防護具!$S$31:$S$163),
SUMIF(防護具!$B$31:$B$163,EU$23&amp;"プラスチックグローブ等",防護具!$S$31:$S$163))-ET66,0)</f>
        <v>0</v>
      </c>
      <c r="EV67" s="2000">
        <f>IFERROR(
SUM(EU67,
SUMIF(防護具!$B$31:$B$163,EV$23&amp;"ニトリルグローブ",防護具!$S$31:$S$163),
SUMIF(防護具!$B$31:$B$163,EV$23&amp;"プラスチックグローブ等",防護具!$S$31:$S$163))-EU66,0)</f>
        <v>0</v>
      </c>
      <c r="EW67" s="2000">
        <f>IFERROR(
SUM(EV67,
SUMIF(防護具!$B$31:$B$163,EW$23&amp;"ニトリルグローブ",防護具!$S$31:$S$163),
SUMIF(防護具!$B$31:$B$163,EW$23&amp;"プラスチックグローブ等",防護具!$S$31:$S$163))-EV66,0)</f>
        <v>0</v>
      </c>
      <c r="EX67" s="2000">
        <f>IFERROR(
SUM(EW67,
SUMIF(防護具!$B$31:$B$163,EX$23&amp;"ニトリルグローブ",防護具!$S$31:$S$163),
SUMIF(防護具!$B$31:$B$163,EX$23&amp;"プラスチックグローブ等",防護具!$S$31:$S$163))-EW66,0)</f>
        <v>0</v>
      </c>
      <c r="EY67" s="2000">
        <f>IFERROR(
SUM(EX67,
SUMIF(防護具!$B$31:$B$163,EY$23&amp;"ニトリルグローブ",防護具!$S$31:$S$163),
SUMIF(防護具!$B$31:$B$163,EY$23&amp;"プラスチックグローブ等",防護具!$S$31:$S$163))-EX66,0)</f>
        <v>0</v>
      </c>
      <c r="EZ67" s="2000">
        <f>IFERROR(
SUM(EY67,
SUMIF(防護具!$B$31:$B$163,EZ$23&amp;"ニトリルグローブ",防護具!$S$31:$S$163),
SUMIF(防護具!$B$31:$B$163,EZ$23&amp;"プラスチックグローブ等",防護具!$S$31:$S$163))-EY66,0)</f>
        <v>0</v>
      </c>
      <c r="FA67" s="2000">
        <f>IFERROR(
SUM(EZ67,
SUMIF(防護具!$B$31:$B$163,FA$23&amp;"ニトリルグローブ",防護具!$S$31:$S$163),
SUMIF(防護具!$B$31:$B$163,FA$23&amp;"プラスチックグローブ等",防護具!$S$31:$S$163))-EZ66,0)</f>
        <v>0</v>
      </c>
      <c r="FB67" s="2000">
        <f>IFERROR(
SUM(FA67,
SUMIF(防護具!$B$31:$B$163,FB$23&amp;"ニトリルグローブ",防護具!$S$31:$S$163),
SUMIF(防護具!$B$31:$B$163,FB$23&amp;"プラスチックグローブ等",防護具!$S$31:$S$163))-FA66,0)</f>
        <v>0</v>
      </c>
      <c r="FC67" s="2000">
        <f>IFERROR(
SUM(FB67,
SUMIF(防護具!$B$31:$B$163,FC$23&amp;"ニトリルグローブ",防護具!$S$31:$S$163),
SUMIF(防護具!$B$31:$B$163,FC$23&amp;"プラスチックグローブ等",防護具!$S$31:$S$163))-FB66,0)</f>
        <v>0</v>
      </c>
      <c r="FD67" s="2000">
        <f>IFERROR(
SUM(FC67,
SUMIF(防護具!$B$31:$B$163,FD$23&amp;"ニトリルグローブ",防護具!$S$31:$S$163),
SUMIF(防護具!$B$31:$B$163,FD$23&amp;"プラスチックグローブ等",防護具!$S$31:$S$163))-FC66,0)</f>
        <v>0</v>
      </c>
      <c r="FE67" s="2000">
        <f>IFERROR(
SUM(FD67,
SUMIF(防護具!$B$31:$B$163,FE$23&amp;"ニトリルグローブ",防護具!$S$31:$S$163),
SUMIF(防護具!$B$31:$B$163,FE$23&amp;"プラスチックグローブ等",防護具!$S$31:$S$163))-FD66,0)</f>
        <v>0</v>
      </c>
      <c r="FF67" s="2000">
        <f>IFERROR(
SUM(FE67,
SUMIF(防護具!$B$31:$B$163,FF$23&amp;"ニトリルグローブ",防護具!$S$31:$S$163),
SUMIF(防護具!$B$31:$B$163,FF$23&amp;"プラスチックグローブ等",防護具!$S$31:$S$163))-FE66,0)</f>
        <v>0</v>
      </c>
      <c r="FG67" s="2000">
        <f>IFERROR(
SUM(FF67,
SUMIF(防護具!$B$31:$B$163,FG$23&amp;"ニトリルグローブ",防護具!$S$31:$S$163),
SUMIF(防護具!$B$31:$B$163,FG$23&amp;"プラスチックグローブ等",防護具!$S$31:$S$163))-FF66,0)</f>
        <v>0</v>
      </c>
      <c r="FH67" s="2000">
        <f>IFERROR(
SUM(FG67,
SUMIF(防護具!$B$31:$B$163,FH$23&amp;"ニトリルグローブ",防護具!$S$31:$S$163),
SUMIF(防護具!$B$31:$B$163,FH$23&amp;"プラスチックグローブ等",防護具!$S$31:$S$163))-FG66,0)</f>
        <v>0</v>
      </c>
      <c r="FI67" s="2000">
        <f>IFERROR(
SUM(FH67,
SUMIF(防護具!$B$31:$B$163,FI$23&amp;"ニトリルグローブ",防護具!$S$31:$S$163),
SUMIF(防護具!$B$31:$B$163,FI$23&amp;"プラスチックグローブ等",防護具!$S$31:$S$163))-FH66,0)</f>
        <v>0</v>
      </c>
      <c r="FJ67" s="2000">
        <f>IFERROR(
SUM(FI67,
SUMIF(防護具!$B$31:$B$163,FJ$23&amp;"ニトリルグローブ",防護具!$S$31:$S$163),
SUMIF(防護具!$B$31:$B$163,FJ$23&amp;"プラスチックグローブ等",防護具!$S$31:$S$163))-FI66,0)</f>
        <v>0</v>
      </c>
      <c r="FK67" s="2000">
        <f>IFERROR(
SUM(FJ67,
SUMIF(防護具!$B$31:$B$163,FK$23&amp;"ニトリルグローブ",防護具!$S$31:$S$163),
SUMIF(防護具!$B$31:$B$163,FK$23&amp;"プラスチックグローブ等",防護具!$S$31:$S$163))-FJ66,0)</f>
        <v>0</v>
      </c>
      <c r="FL67" s="2000">
        <f>IFERROR(
SUM(FK67,
SUMIF(防護具!$B$31:$B$163,FL$23&amp;"ニトリルグローブ",防護具!$S$31:$S$163),
SUMIF(防護具!$B$31:$B$163,FL$23&amp;"プラスチックグローブ等",防護具!$S$31:$S$163))-FK66,0)</f>
        <v>0</v>
      </c>
      <c r="FM67" s="2000">
        <f>IFERROR(
SUM(FL67,
SUMIF(防護具!$B$31:$B$163,FM$23&amp;"ニトリルグローブ",防護具!$S$31:$S$163),
SUMIF(防護具!$B$31:$B$163,FM$23&amp;"プラスチックグローブ等",防護具!$S$31:$S$163))-FL66,0)</f>
        <v>0</v>
      </c>
      <c r="FN67" s="2000">
        <f>IFERROR(
SUM(FM67,
SUMIF(防護具!$B$31:$B$163,FN$23&amp;"ニトリルグローブ",防護具!$S$31:$S$163),
SUMIF(防護具!$B$31:$B$163,FN$23&amp;"プラスチックグローブ等",防護具!$S$31:$S$163))-FM66,0)</f>
        <v>0</v>
      </c>
      <c r="FO67" s="2000">
        <f>IFERROR(
SUM(FN67,
SUMIF(防護具!$B$31:$B$163,FO$23&amp;"ニトリルグローブ",防護具!$S$31:$S$163),
SUMIF(防護具!$B$31:$B$163,FO$23&amp;"プラスチックグローブ等",防護具!$S$31:$S$163))-FN66,0)</f>
        <v>0</v>
      </c>
      <c r="FP67" s="2000">
        <f>IFERROR(
SUM(FO67,
SUMIF(防護具!$B$31:$B$163,FP$23&amp;"ニトリルグローブ",防護具!$S$31:$S$163),
SUMIF(防護具!$B$31:$B$163,FP$23&amp;"プラスチックグローブ等",防護具!$S$31:$S$163))-FO66,0)</f>
        <v>0</v>
      </c>
      <c r="FQ67" s="2000">
        <f>IFERROR(
SUM(FP67,
SUMIF(防護具!$B$31:$B$163,FQ$23&amp;"ニトリルグローブ",防護具!$S$31:$S$163),
SUMIF(防護具!$B$31:$B$163,FQ$23&amp;"プラスチックグローブ等",防護具!$S$31:$S$163))-FP66,0)</f>
        <v>0</v>
      </c>
      <c r="FR67" s="2000">
        <f>IFERROR(
SUM(FQ67,
SUMIF(防護具!$B$31:$B$163,FR$23&amp;"ニトリルグローブ",防護具!$S$31:$S$163),
SUMIF(防護具!$B$31:$B$163,FR$23&amp;"プラスチックグローブ等",防護具!$S$31:$S$163))-FQ66,0)</f>
        <v>0</v>
      </c>
      <c r="FS67" s="2000">
        <f>IFERROR(
SUM(FR67,
SUMIF(防護具!$B$31:$B$163,FS$23&amp;"ニトリルグローブ",防護具!$S$31:$S$163),
SUMIF(防護具!$B$31:$B$163,FS$23&amp;"プラスチックグローブ等",防護具!$S$31:$S$163))-FR66,0)</f>
        <v>0</v>
      </c>
      <c r="FT67" s="2000">
        <f>IFERROR(
SUM(FS67,
SUMIF(防護具!$B$31:$B$163,FT$23&amp;"ニトリルグローブ",防護具!$S$31:$S$163),
SUMIF(防護具!$B$31:$B$163,FT$23&amp;"プラスチックグローブ等",防護具!$S$31:$S$163))-FS66,0)</f>
        <v>0</v>
      </c>
      <c r="FU67" s="2000">
        <f>IFERROR(
SUM(FT67,
SUMIF(防護具!$B$31:$B$163,FU$23&amp;"ニトリルグローブ",防護具!$S$31:$S$163),
SUMIF(防護具!$B$31:$B$163,FU$23&amp;"プラスチックグローブ等",防護具!$S$31:$S$163))-FT66,0)</f>
        <v>0</v>
      </c>
      <c r="FV67" s="2000">
        <f>IFERROR(
SUM(FU67,
SUMIF(防護具!$B$31:$B$163,FV$23&amp;"ニトリルグローブ",防護具!$S$31:$S$163),
SUMIF(防護具!$B$31:$B$163,FV$23&amp;"プラスチックグローブ等",防護具!$S$31:$S$163))-FU66,0)</f>
        <v>0</v>
      </c>
      <c r="FW67" s="2000">
        <f>IFERROR(
SUM(FV67,
SUMIF(防護具!$B$31:$B$163,FW$23&amp;"ニトリルグローブ",防護具!$S$31:$S$163),
SUMIF(防護具!$B$31:$B$163,FW$23&amp;"プラスチックグローブ等",防護具!$S$31:$S$163))-FV66,0)</f>
        <v>0</v>
      </c>
      <c r="FX67" s="2000">
        <f>IFERROR(
SUM(FW67,
SUMIF(防護具!$B$31:$B$163,FX$23&amp;"ニトリルグローブ",防護具!$S$31:$S$163),
SUMIF(防護具!$B$31:$B$163,FX$23&amp;"プラスチックグローブ等",防護具!$S$31:$S$163))-FW66,0)</f>
        <v>0</v>
      </c>
      <c r="FY67" s="2000">
        <f>IFERROR(
SUM(FX67,
SUMIF(防護具!$B$31:$B$163,FY$23&amp;"ニトリルグローブ",防護具!$S$31:$S$163),
SUMIF(防護具!$B$31:$B$163,FY$23&amp;"プラスチックグローブ等",防護具!$S$31:$S$163))-FX66,0)</f>
        <v>0</v>
      </c>
      <c r="FZ67" s="2000">
        <f>IFERROR(
SUM(FY67,
SUMIF(防護具!$B$31:$B$163,FZ$23&amp;"ニトリルグローブ",防護具!$S$31:$S$163),
SUMIF(防護具!$B$31:$B$163,FZ$23&amp;"プラスチックグローブ等",防護具!$S$31:$S$163))-FY66,0)</f>
        <v>0</v>
      </c>
      <c r="GA67" s="2000">
        <f>IFERROR(
SUM(FZ67,
SUMIF(防護具!$B$31:$B$163,GA$23&amp;"ニトリルグローブ",防護具!$S$31:$S$163),
SUMIF(防護具!$B$31:$B$163,GA$23&amp;"プラスチックグローブ等",防護具!$S$31:$S$163))-FZ66,0)</f>
        <v>0</v>
      </c>
      <c r="GB67" s="2000">
        <f>IFERROR(
SUM(GA67,
SUMIF(防護具!$B$31:$B$163,GB$23&amp;"ニトリルグローブ",防護具!$S$31:$S$163),
SUMIF(防護具!$B$31:$B$163,GB$23&amp;"プラスチックグローブ等",防護具!$S$31:$S$163))-GA66,0)</f>
        <v>0</v>
      </c>
      <c r="GC67" s="2000">
        <f>IFERROR(
SUM(GB67,
SUMIF(防護具!$B$31:$B$163,GC$23&amp;"ニトリルグローブ",防護具!$S$31:$S$163),
SUMIF(防護具!$B$31:$B$163,GC$23&amp;"プラスチックグローブ等",防護具!$S$31:$S$163))-GB66,0)</f>
        <v>0</v>
      </c>
      <c r="GD67" s="2000">
        <f>IFERROR(
SUM(GC67,
SUMIF(防護具!$B$31:$B$163,GD$23&amp;"ニトリルグローブ",防護具!$S$31:$S$163),
SUMIF(防護具!$B$31:$B$163,GD$23&amp;"プラスチックグローブ等",防護具!$S$31:$S$163))-GC66,0)</f>
        <v>0</v>
      </c>
      <c r="GE67" s="2000">
        <f>IFERROR(
SUM(GD67,
SUMIF(防護具!$B$31:$B$163,GE$23&amp;"ニトリルグローブ",防護具!$S$31:$S$163),
SUMIF(防護具!$B$31:$B$163,GE$23&amp;"プラスチックグローブ等",防護具!$S$31:$S$163))-GD66,0)</f>
        <v>0</v>
      </c>
      <c r="GF67" s="2000">
        <f>IFERROR(
SUM(GE67,
SUMIF(防護具!$B$31:$B$163,GF$23&amp;"ニトリルグローブ",防護具!$S$31:$S$163),
SUMIF(防護具!$B$31:$B$163,GF$23&amp;"プラスチックグローブ等",防護具!$S$31:$S$163))-GE66,0)</f>
        <v>0</v>
      </c>
    </row>
    <row r="68" spans="1:188" s="641" customFormat="1" ht="15" customHeight="1" x14ac:dyDescent="0.4">
      <c r="A68" s="631"/>
      <c r="B68" s="641" t="s">
        <v>1264</v>
      </c>
      <c r="C68" s="1989" t="s">
        <v>1388</v>
      </c>
      <c r="D68" s="1992"/>
      <c r="E68" s="642"/>
      <c r="F68" s="2000">
        <f>SUM(
SUMIF(防護具!$B$14:$B$30,F$23&amp;"ニトリルグローブ",防護具!$S$14:$S$30),
SUMIF(防護具!$B$14:$B$30,F$23&amp;"プラスチックグローブ等",防護具!$S$14:$S$30))</f>
        <v>0</v>
      </c>
      <c r="G68" s="2000">
        <f xml:space="preserve">
IF(G$25="休診日",F68,
IF(F68-VLOOKUP(F$22&amp;$B66,$B$96:$D$191,2,FALSE)&lt;0,0,F68-VLOOKUP(F$22&amp;$B66,$B$96:$D$191,2,FALSE)))</f>
        <v>0</v>
      </c>
      <c r="H68" s="2000">
        <f t="shared" ref="H68:BS68" si="67" xml:space="preserve">
IF(H$25="休診日",G68,
IF(G68-VLOOKUP(G$22&amp;$B66,$B$96:$D$191,2,FALSE)&lt;0,0,G68-VLOOKUP(G$22&amp;$B66,$B$96:$D$191,2,FALSE)))</f>
        <v>0</v>
      </c>
      <c r="I68" s="2000">
        <f t="shared" si="67"/>
        <v>0</v>
      </c>
      <c r="J68" s="2000">
        <f t="shared" si="67"/>
        <v>0</v>
      </c>
      <c r="K68" s="2000">
        <f t="shared" si="67"/>
        <v>0</v>
      </c>
      <c r="L68" s="2000">
        <f t="shared" si="67"/>
        <v>0</v>
      </c>
      <c r="M68" s="2000">
        <f t="shared" si="67"/>
        <v>0</v>
      </c>
      <c r="N68" s="2000">
        <f t="shared" si="67"/>
        <v>0</v>
      </c>
      <c r="O68" s="2000">
        <f t="shared" si="67"/>
        <v>0</v>
      </c>
      <c r="P68" s="2000">
        <f t="shared" si="67"/>
        <v>0</v>
      </c>
      <c r="Q68" s="2000">
        <f t="shared" si="67"/>
        <v>0</v>
      </c>
      <c r="R68" s="2000">
        <f t="shared" si="67"/>
        <v>0</v>
      </c>
      <c r="S68" s="2000">
        <f t="shared" si="67"/>
        <v>0</v>
      </c>
      <c r="T68" s="2000">
        <f t="shared" si="67"/>
        <v>0</v>
      </c>
      <c r="U68" s="2000">
        <f t="shared" si="67"/>
        <v>0</v>
      </c>
      <c r="V68" s="2000">
        <f t="shared" si="67"/>
        <v>0</v>
      </c>
      <c r="W68" s="2000">
        <f t="shared" si="67"/>
        <v>0</v>
      </c>
      <c r="X68" s="2000">
        <f t="shared" si="67"/>
        <v>0</v>
      </c>
      <c r="Y68" s="2000">
        <f t="shared" si="67"/>
        <v>0</v>
      </c>
      <c r="Z68" s="2000">
        <f t="shared" si="67"/>
        <v>0</v>
      </c>
      <c r="AA68" s="2000">
        <f t="shared" si="67"/>
        <v>0</v>
      </c>
      <c r="AB68" s="2000">
        <f t="shared" si="67"/>
        <v>0</v>
      </c>
      <c r="AC68" s="2000">
        <f t="shared" si="67"/>
        <v>0</v>
      </c>
      <c r="AD68" s="2000">
        <f t="shared" si="67"/>
        <v>0</v>
      </c>
      <c r="AE68" s="2000">
        <f t="shared" si="67"/>
        <v>0</v>
      </c>
      <c r="AF68" s="2000">
        <f t="shared" si="67"/>
        <v>0</v>
      </c>
      <c r="AG68" s="2000">
        <f t="shared" si="67"/>
        <v>0</v>
      </c>
      <c r="AH68" s="2000">
        <f t="shared" si="67"/>
        <v>0</v>
      </c>
      <c r="AI68" s="2000">
        <f t="shared" si="67"/>
        <v>0</v>
      </c>
      <c r="AJ68" s="2000">
        <f t="shared" si="67"/>
        <v>0</v>
      </c>
      <c r="AK68" s="2000">
        <f t="shared" si="67"/>
        <v>0</v>
      </c>
      <c r="AL68" s="2000">
        <f t="shared" si="67"/>
        <v>0</v>
      </c>
      <c r="AM68" s="2000">
        <f t="shared" si="67"/>
        <v>0</v>
      </c>
      <c r="AN68" s="2000">
        <f t="shared" si="67"/>
        <v>0</v>
      </c>
      <c r="AO68" s="2000">
        <f t="shared" si="67"/>
        <v>0</v>
      </c>
      <c r="AP68" s="2000">
        <f t="shared" si="67"/>
        <v>0</v>
      </c>
      <c r="AQ68" s="2000">
        <f t="shared" si="67"/>
        <v>0</v>
      </c>
      <c r="AR68" s="2000">
        <f t="shared" si="67"/>
        <v>0</v>
      </c>
      <c r="AS68" s="2000">
        <f t="shared" si="67"/>
        <v>0</v>
      </c>
      <c r="AT68" s="2000">
        <f t="shared" si="67"/>
        <v>0</v>
      </c>
      <c r="AU68" s="2000">
        <f t="shared" si="67"/>
        <v>0</v>
      </c>
      <c r="AV68" s="2000">
        <f t="shared" si="67"/>
        <v>0</v>
      </c>
      <c r="AW68" s="2000">
        <f t="shared" si="67"/>
        <v>0</v>
      </c>
      <c r="AX68" s="2000">
        <f t="shared" si="67"/>
        <v>0</v>
      </c>
      <c r="AY68" s="2000">
        <f t="shared" si="67"/>
        <v>0</v>
      </c>
      <c r="AZ68" s="2000">
        <f t="shared" si="67"/>
        <v>0</v>
      </c>
      <c r="BA68" s="2000">
        <f t="shared" si="67"/>
        <v>0</v>
      </c>
      <c r="BB68" s="2000">
        <f t="shared" si="67"/>
        <v>0</v>
      </c>
      <c r="BC68" s="2000">
        <f t="shared" si="67"/>
        <v>0</v>
      </c>
      <c r="BD68" s="2000">
        <f t="shared" si="67"/>
        <v>0</v>
      </c>
      <c r="BE68" s="2000">
        <f t="shared" si="67"/>
        <v>0</v>
      </c>
      <c r="BF68" s="2000">
        <f t="shared" si="67"/>
        <v>0</v>
      </c>
      <c r="BG68" s="2000">
        <f t="shared" si="67"/>
        <v>0</v>
      </c>
      <c r="BH68" s="2000">
        <f t="shared" si="67"/>
        <v>0</v>
      </c>
      <c r="BI68" s="2000">
        <f t="shared" si="67"/>
        <v>0</v>
      </c>
      <c r="BJ68" s="2000">
        <f t="shared" si="67"/>
        <v>0</v>
      </c>
      <c r="BK68" s="2000">
        <f t="shared" si="67"/>
        <v>0</v>
      </c>
      <c r="BL68" s="2000">
        <f t="shared" si="67"/>
        <v>0</v>
      </c>
      <c r="BM68" s="2000">
        <f t="shared" si="67"/>
        <v>0</v>
      </c>
      <c r="BN68" s="2000">
        <f t="shared" si="67"/>
        <v>0</v>
      </c>
      <c r="BO68" s="2000">
        <f t="shared" si="67"/>
        <v>0</v>
      </c>
      <c r="BP68" s="2000">
        <f t="shared" si="67"/>
        <v>0</v>
      </c>
      <c r="BQ68" s="2000">
        <f t="shared" si="67"/>
        <v>0</v>
      </c>
      <c r="BR68" s="2000">
        <f t="shared" si="67"/>
        <v>0</v>
      </c>
      <c r="BS68" s="2000">
        <f t="shared" si="67"/>
        <v>0</v>
      </c>
      <c r="BT68" s="2000">
        <f t="shared" ref="BT68:EE68" si="68" xml:space="preserve">
IF(BT$25="休診日",BS68,
IF(BS68-VLOOKUP(BS$22&amp;$B66,$B$96:$D$191,2,FALSE)&lt;0,0,BS68-VLOOKUP(BS$22&amp;$B66,$B$96:$D$191,2,FALSE)))</f>
        <v>0</v>
      </c>
      <c r="BU68" s="2000">
        <f t="shared" si="68"/>
        <v>0</v>
      </c>
      <c r="BV68" s="2000">
        <f t="shared" si="68"/>
        <v>0</v>
      </c>
      <c r="BW68" s="2000">
        <f t="shared" si="68"/>
        <v>0</v>
      </c>
      <c r="BX68" s="2000">
        <f t="shared" si="68"/>
        <v>0</v>
      </c>
      <c r="BY68" s="2000">
        <f t="shared" si="68"/>
        <v>0</v>
      </c>
      <c r="BZ68" s="2000">
        <f t="shared" si="68"/>
        <v>0</v>
      </c>
      <c r="CA68" s="2000">
        <f t="shared" si="68"/>
        <v>0</v>
      </c>
      <c r="CB68" s="2000">
        <f t="shared" si="68"/>
        <v>0</v>
      </c>
      <c r="CC68" s="2000">
        <f t="shared" si="68"/>
        <v>0</v>
      </c>
      <c r="CD68" s="2000">
        <f t="shared" si="68"/>
        <v>0</v>
      </c>
      <c r="CE68" s="2000">
        <f t="shared" si="68"/>
        <v>0</v>
      </c>
      <c r="CF68" s="2000">
        <f t="shared" si="68"/>
        <v>0</v>
      </c>
      <c r="CG68" s="2000">
        <f t="shared" si="68"/>
        <v>0</v>
      </c>
      <c r="CH68" s="2000">
        <f t="shared" si="68"/>
        <v>0</v>
      </c>
      <c r="CI68" s="2000">
        <f t="shared" si="68"/>
        <v>0</v>
      </c>
      <c r="CJ68" s="2000">
        <f t="shared" si="68"/>
        <v>0</v>
      </c>
      <c r="CK68" s="2000">
        <f t="shared" si="68"/>
        <v>0</v>
      </c>
      <c r="CL68" s="2000">
        <f t="shared" si="68"/>
        <v>0</v>
      </c>
      <c r="CM68" s="2000">
        <f t="shared" si="68"/>
        <v>0</v>
      </c>
      <c r="CN68" s="2000">
        <f t="shared" si="68"/>
        <v>0</v>
      </c>
      <c r="CO68" s="2000">
        <f t="shared" si="68"/>
        <v>0</v>
      </c>
      <c r="CP68" s="2000">
        <f t="shared" si="68"/>
        <v>0</v>
      </c>
      <c r="CQ68" s="2000">
        <f t="shared" si="68"/>
        <v>0</v>
      </c>
      <c r="CR68" s="2000">
        <f t="shared" si="68"/>
        <v>0</v>
      </c>
      <c r="CS68" s="2000">
        <f t="shared" si="68"/>
        <v>0</v>
      </c>
      <c r="CT68" s="2000">
        <f t="shared" si="68"/>
        <v>0</v>
      </c>
      <c r="CU68" s="2000">
        <f t="shared" si="68"/>
        <v>0</v>
      </c>
      <c r="CV68" s="2000">
        <f t="shared" si="68"/>
        <v>0</v>
      </c>
      <c r="CW68" s="2000">
        <f t="shared" si="68"/>
        <v>0</v>
      </c>
      <c r="CX68" s="2000">
        <f t="shared" si="68"/>
        <v>0</v>
      </c>
      <c r="CY68" s="2000">
        <f t="shared" si="68"/>
        <v>0</v>
      </c>
      <c r="CZ68" s="2000">
        <f t="shared" si="68"/>
        <v>0</v>
      </c>
      <c r="DA68" s="2000">
        <f t="shared" si="68"/>
        <v>0</v>
      </c>
      <c r="DB68" s="2000">
        <f t="shared" si="68"/>
        <v>0</v>
      </c>
      <c r="DC68" s="2000">
        <f t="shared" si="68"/>
        <v>0</v>
      </c>
      <c r="DD68" s="2000">
        <f t="shared" si="68"/>
        <v>0</v>
      </c>
      <c r="DE68" s="2000">
        <f t="shared" si="68"/>
        <v>0</v>
      </c>
      <c r="DF68" s="2000">
        <f t="shared" si="68"/>
        <v>0</v>
      </c>
      <c r="DG68" s="2000">
        <f t="shared" si="68"/>
        <v>0</v>
      </c>
      <c r="DH68" s="2000">
        <f t="shared" si="68"/>
        <v>0</v>
      </c>
      <c r="DI68" s="2000">
        <f t="shared" si="68"/>
        <v>0</v>
      </c>
      <c r="DJ68" s="2000">
        <f t="shared" si="68"/>
        <v>0</v>
      </c>
      <c r="DK68" s="2000">
        <f t="shared" si="68"/>
        <v>0</v>
      </c>
      <c r="DL68" s="2000">
        <f t="shared" si="68"/>
        <v>0</v>
      </c>
      <c r="DM68" s="2000">
        <f t="shared" si="68"/>
        <v>0</v>
      </c>
      <c r="DN68" s="2000">
        <f t="shared" si="68"/>
        <v>0</v>
      </c>
      <c r="DO68" s="2000">
        <f t="shared" si="68"/>
        <v>0</v>
      </c>
      <c r="DP68" s="2000">
        <f t="shared" si="68"/>
        <v>0</v>
      </c>
      <c r="DQ68" s="2000">
        <f t="shared" si="68"/>
        <v>0</v>
      </c>
      <c r="DR68" s="2000">
        <f t="shared" si="68"/>
        <v>0</v>
      </c>
      <c r="DS68" s="2000">
        <f t="shared" si="68"/>
        <v>0</v>
      </c>
      <c r="DT68" s="2000">
        <f t="shared" si="68"/>
        <v>0</v>
      </c>
      <c r="DU68" s="2000">
        <f t="shared" si="68"/>
        <v>0</v>
      </c>
      <c r="DV68" s="2000">
        <f t="shared" si="68"/>
        <v>0</v>
      </c>
      <c r="DW68" s="2000">
        <f t="shared" si="68"/>
        <v>0</v>
      </c>
      <c r="DX68" s="2000">
        <f t="shared" si="68"/>
        <v>0</v>
      </c>
      <c r="DY68" s="2000">
        <f t="shared" si="68"/>
        <v>0</v>
      </c>
      <c r="DZ68" s="2000">
        <f t="shared" si="68"/>
        <v>0</v>
      </c>
      <c r="EA68" s="2000">
        <f t="shared" si="68"/>
        <v>0</v>
      </c>
      <c r="EB68" s="2000">
        <f t="shared" si="68"/>
        <v>0</v>
      </c>
      <c r="EC68" s="2000">
        <f t="shared" si="68"/>
        <v>0</v>
      </c>
      <c r="ED68" s="2000">
        <f t="shared" si="68"/>
        <v>0</v>
      </c>
      <c r="EE68" s="2000">
        <f t="shared" si="68"/>
        <v>0</v>
      </c>
      <c r="EF68" s="2000">
        <f t="shared" ref="EF68:GF68" si="69" xml:space="preserve">
IF(EF$25="休診日",EE68,
IF(EE68-VLOOKUP(EE$22&amp;$B66,$B$96:$D$191,2,FALSE)&lt;0,0,EE68-VLOOKUP(EE$22&amp;$B66,$B$96:$D$191,2,FALSE)))</f>
        <v>0</v>
      </c>
      <c r="EG68" s="2000">
        <f t="shared" si="69"/>
        <v>0</v>
      </c>
      <c r="EH68" s="2000">
        <f t="shared" si="69"/>
        <v>0</v>
      </c>
      <c r="EI68" s="2000">
        <f t="shared" si="69"/>
        <v>0</v>
      </c>
      <c r="EJ68" s="2000">
        <f t="shared" si="69"/>
        <v>0</v>
      </c>
      <c r="EK68" s="2000">
        <f t="shared" si="69"/>
        <v>0</v>
      </c>
      <c r="EL68" s="2000">
        <f t="shared" si="69"/>
        <v>0</v>
      </c>
      <c r="EM68" s="2000">
        <f t="shared" si="69"/>
        <v>0</v>
      </c>
      <c r="EN68" s="2000">
        <f t="shared" si="69"/>
        <v>0</v>
      </c>
      <c r="EO68" s="2000">
        <f t="shared" si="69"/>
        <v>0</v>
      </c>
      <c r="EP68" s="2000">
        <f t="shared" si="69"/>
        <v>0</v>
      </c>
      <c r="EQ68" s="2000">
        <f t="shared" si="69"/>
        <v>0</v>
      </c>
      <c r="ER68" s="2000">
        <f t="shared" si="69"/>
        <v>0</v>
      </c>
      <c r="ES68" s="2000">
        <f t="shared" si="69"/>
        <v>0</v>
      </c>
      <c r="ET68" s="2000">
        <f t="shared" si="69"/>
        <v>0</v>
      </c>
      <c r="EU68" s="2000">
        <f t="shared" si="69"/>
        <v>0</v>
      </c>
      <c r="EV68" s="2000">
        <f t="shared" si="69"/>
        <v>0</v>
      </c>
      <c r="EW68" s="2000">
        <f t="shared" si="69"/>
        <v>0</v>
      </c>
      <c r="EX68" s="2000">
        <f t="shared" si="69"/>
        <v>0</v>
      </c>
      <c r="EY68" s="2000">
        <f t="shared" si="69"/>
        <v>0</v>
      </c>
      <c r="EZ68" s="2000">
        <f t="shared" si="69"/>
        <v>0</v>
      </c>
      <c r="FA68" s="2000">
        <f t="shared" si="69"/>
        <v>0</v>
      </c>
      <c r="FB68" s="2000">
        <f t="shared" si="69"/>
        <v>0</v>
      </c>
      <c r="FC68" s="2000">
        <f t="shared" si="69"/>
        <v>0</v>
      </c>
      <c r="FD68" s="2000">
        <f t="shared" si="69"/>
        <v>0</v>
      </c>
      <c r="FE68" s="2000">
        <f t="shared" si="69"/>
        <v>0</v>
      </c>
      <c r="FF68" s="2000">
        <f t="shared" si="69"/>
        <v>0</v>
      </c>
      <c r="FG68" s="2000">
        <f t="shared" si="69"/>
        <v>0</v>
      </c>
      <c r="FH68" s="2000">
        <f t="shared" si="69"/>
        <v>0</v>
      </c>
      <c r="FI68" s="2000">
        <f t="shared" si="69"/>
        <v>0</v>
      </c>
      <c r="FJ68" s="2000">
        <f t="shared" si="69"/>
        <v>0</v>
      </c>
      <c r="FK68" s="2000">
        <f t="shared" si="69"/>
        <v>0</v>
      </c>
      <c r="FL68" s="2000">
        <f t="shared" si="69"/>
        <v>0</v>
      </c>
      <c r="FM68" s="2000">
        <f t="shared" si="69"/>
        <v>0</v>
      </c>
      <c r="FN68" s="2000">
        <f t="shared" si="69"/>
        <v>0</v>
      </c>
      <c r="FO68" s="2000">
        <f t="shared" si="69"/>
        <v>0</v>
      </c>
      <c r="FP68" s="2000">
        <f t="shared" si="69"/>
        <v>0</v>
      </c>
      <c r="FQ68" s="2000">
        <f t="shared" si="69"/>
        <v>0</v>
      </c>
      <c r="FR68" s="2000">
        <f t="shared" si="69"/>
        <v>0</v>
      </c>
      <c r="FS68" s="2000">
        <f t="shared" si="69"/>
        <v>0</v>
      </c>
      <c r="FT68" s="2000">
        <f t="shared" si="69"/>
        <v>0</v>
      </c>
      <c r="FU68" s="2000">
        <f t="shared" si="69"/>
        <v>0</v>
      </c>
      <c r="FV68" s="2000">
        <f t="shared" si="69"/>
        <v>0</v>
      </c>
      <c r="FW68" s="2000">
        <f t="shared" si="69"/>
        <v>0</v>
      </c>
      <c r="FX68" s="2000">
        <f t="shared" si="69"/>
        <v>0</v>
      </c>
      <c r="FY68" s="2000">
        <f t="shared" si="69"/>
        <v>0</v>
      </c>
      <c r="FZ68" s="2000">
        <f t="shared" si="69"/>
        <v>0</v>
      </c>
      <c r="GA68" s="2000">
        <f t="shared" si="69"/>
        <v>0</v>
      </c>
      <c r="GB68" s="2000">
        <f t="shared" si="69"/>
        <v>0</v>
      </c>
      <c r="GC68" s="2000">
        <f t="shared" si="69"/>
        <v>0</v>
      </c>
      <c r="GD68" s="2000">
        <f t="shared" si="69"/>
        <v>0</v>
      </c>
      <c r="GE68" s="2000">
        <f t="shared" si="69"/>
        <v>0</v>
      </c>
      <c r="GF68" s="2000">
        <f t="shared" si="69"/>
        <v>0</v>
      </c>
    </row>
    <row r="69" spans="1:188" s="639" customFormat="1" ht="15" customHeight="1" x14ac:dyDescent="0.4">
      <c r="A69" s="631"/>
      <c r="B69" s="639" t="s">
        <v>1210</v>
      </c>
      <c r="C69" s="1995" t="s">
        <v>1386</v>
      </c>
      <c r="D69" s="1996"/>
      <c r="E69" s="640"/>
      <c r="F69" s="1998">
        <f xml:space="preserve">
IF($F$25="休診日",0,
MIN(F70,IF((VLOOKUP($F$22&amp;$B69,$B$96:$D$191,2,FALSE)-F71)&lt;0,0,VLOOKUP($F$22&amp;$B69,$B$96:$D$191,2,FALSE)-F71)))</f>
        <v>0</v>
      </c>
      <c r="G69" s="1998">
        <f xml:space="preserve">
IF(G$25="休診日",0,
IF(G71&gt;=VLOOKUP(G$22&amp;$B69,$B$96:$D$191,2,FALSE),0,
IF(AND(G71&lt;VLOOKUP(G$22&amp;$B69,$B$96:$D$191,2,FALSE),G70&lt;=VLOOKUP(G$22&amp;$B69,$B$96:$D$191,2,FALSE)),IF(G70-G71&lt;0,0,G70-G71),
IF(AND(G71&lt;VLOOKUP(G$22&amp;$B69,$B$96:$D$191,2,FALSE),G70&gt;VLOOKUP(G$22&amp;$B69,$B$96:$D$191,2,FALSE)),VLOOKUP(G$22&amp;$B69,$B$96:$D$191,2,FALSE)-G71))))</f>
        <v>0</v>
      </c>
      <c r="H69" s="1998">
        <f t="shared" ref="H69:BS69" si="70" xml:space="preserve">
IF(H$25="休診日",0,
IF(H71&gt;=VLOOKUP(H$22&amp;$B69,$B$96:$D$191,2,FALSE),0,
IF(AND(H71&lt;VLOOKUP(H$22&amp;$B69,$B$96:$D$191,2,FALSE),H70&lt;=VLOOKUP(H$22&amp;$B69,$B$96:$D$191,2,FALSE)),IF(H70-H71&lt;0,0,H70-H71),
IF(AND(H71&lt;VLOOKUP(H$22&amp;$B69,$B$96:$D$191,2,FALSE),H70&gt;VLOOKUP(H$22&amp;$B69,$B$96:$D$191,2,FALSE)),VLOOKUP(H$22&amp;$B69,$B$96:$D$191,2,FALSE)-H71))))</f>
        <v>0</v>
      </c>
      <c r="I69" s="1998">
        <f t="shared" si="70"/>
        <v>0</v>
      </c>
      <c r="J69" s="1998">
        <f t="shared" si="70"/>
        <v>0</v>
      </c>
      <c r="K69" s="1998">
        <f t="shared" si="70"/>
        <v>0</v>
      </c>
      <c r="L69" s="1998">
        <f t="shared" si="70"/>
        <v>0</v>
      </c>
      <c r="M69" s="1998">
        <f t="shared" si="70"/>
        <v>0</v>
      </c>
      <c r="N69" s="1998">
        <f t="shared" si="70"/>
        <v>0</v>
      </c>
      <c r="O69" s="1998">
        <f t="shared" si="70"/>
        <v>0</v>
      </c>
      <c r="P69" s="1998">
        <f t="shared" si="70"/>
        <v>0</v>
      </c>
      <c r="Q69" s="1998">
        <f t="shared" si="70"/>
        <v>0</v>
      </c>
      <c r="R69" s="1998">
        <f t="shared" si="70"/>
        <v>0</v>
      </c>
      <c r="S69" s="1998">
        <f t="shared" si="70"/>
        <v>0</v>
      </c>
      <c r="T69" s="1998">
        <f t="shared" si="70"/>
        <v>0</v>
      </c>
      <c r="U69" s="1998">
        <f t="shared" si="70"/>
        <v>0</v>
      </c>
      <c r="V69" s="1998">
        <f t="shared" si="70"/>
        <v>0</v>
      </c>
      <c r="W69" s="1998">
        <f t="shared" si="70"/>
        <v>0</v>
      </c>
      <c r="X69" s="1998">
        <f t="shared" si="70"/>
        <v>0</v>
      </c>
      <c r="Y69" s="1998">
        <f t="shared" si="70"/>
        <v>0</v>
      </c>
      <c r="Z69" s="1998">
        <f t="shared" si="70"/>
        <v>0</v>
      </c>
      <c r="AA69" s="1998">
        <f t="shared" si="70"/>
        <v>0</v>
      </c>
      <c r="AB69" s="1998">
        <f t="shared" si="70"/>
        <v>0</v>
      </c>
      <c r="AC69" s="1998">
        <f t="shared" si="70"/>
        <v>0</v>
      </c>
      <c r="AD69" s="1998">
        <f t="shared" si="70"/>
        <v>0</v>
      </c>
      <c r="AE69" s="1998">
        <f t="shared" si="70"/>
        <v>0</v>
      </c>
      <c r="AF69" s="1998">
        <f t="shared" si="70"/>
        <v>0</v>
      </c>
      <c r="AG69" s="1998">
        <f t="shared" si="70"/>
        <v>0</v>
      </c>
      <c r="AH69" s="1998">
        <f t="shared" si="70"/>
        <v>0</v>
      </c>
      <c r="AI69" s="1998">
        <f t="shared" si="70"/>
        <v>0</v>
      </c>
      <c r="AJ69" s="1998">
        <f t="shared" si="70"/>
        <v>0</v>
      </c>
      <c r="AK69" s="1998">
        <f t="shared" si="70"/>
        <v>0</v>
      </c>
      <c r="AL69" s="1998">
        <f t="shared" si="70"/>
        <v>0</v>
      </c>
      <c r="AM69" s="1998">
        <f t="shared" si="70"/>
        <v>0</v>
      </c>
      <c r="AN69" s="1998">
        <f t="shared" si="70"/>
        <v>0</v>
      </c>
      <c r="AO69" s="1998">
        <f t="shared" si="70"/>
        <v>0</v>
      </c>
      <c r="AP69" s="1998">
        <f t="shared" si="70"/>
        <v>0</v>
      </c>
      <c r="AQ69" s="1998">
        <f t="shared" si="70"/>
        <v>0</v>
      </c>
      <c r="AR69" s="1998">
        <f t="shared" si="70"/>
        <v>0</v>
      </c>
      <c r="AS69" s="1998">
        <f t="shared" si="70"/>
        <v>0</v>
      </c>
      <c r="AT69" s="1998">
        <f t="shared" si="70"/>
        <v>0</v>
      </c>
      <c r="AU69" s="1998">
        <f t="shared" si="70"/>
        <v>0</v>
      </c>
      <c r="AV69" s="1998">
        <f t="shared" si="70"/>
        <v>0</v>
      </c>
      <c r="AW69" s="1998">
        <f t="shared" si="70"/>
        <v>0</v>
      </c>
      <c r="AX69" s="1998">
        <f t="shared" si="70"/>
        <v>0</v>
      </c>
      <c r="AY69" s="1998">
        <f t="shared" si="70"/>
        <v>0</v>
      </c>
      <c r="AZ69" s="1998">
        <f t="shared" si="70"/>
        <v>0</v>
      </c>
      <c r="BA69" s="1998">
        <f t="shared" si="70"/>
        <v>0</v>
      </c>
      <c r="BB69" s="1998">
        <f t="shared" si="70"/>
        <v>0</v>
      </c>
      <c r="BC69" s="1998">
        <f t="shared" si="70"/>
        <v>0</v>
      </c>
      <c r="BD69" s="1998">
        <f t="shared" si="70"/>
        <v>0</v>
      </c>
      <c r="BE69" s="1998">
        <f t="shared" si="70"/>
        <v>0</v>
      </c>
      <c r="BF69" s="1998">
        <f t="shared" si="70"/>
        <v>0</v>
      </c>
      <c r="BG69" s="1998">
        <f t="shared" si="70"/>
        <v>0</v>
      </c>
      <c r="BH69" s="1998">
        <f t="shared" si="70"/>
        <v>0</v>
      </c>
      <c r="BI69" s="1998">
        <f t="shared" si="70"/>
        <v>0</v>
      </c>
      <c r="BJ69" s="1998">
        <f t="shared" si="70"/>
        <v>0</v>
      </c>
      <c r="BK69" s="1998">
        <f t="shared" si="70"/>
        <v>0</v>
      </c>
      <c r="BL69" s="1998">
        <f t="shared" si="70"/>
        <v>0</v>
      </c>
      <c r="BM69" s="1998">
        <f t="shared" si="70"/>
        <v>0</v>
      </c>
      <c r="BN69" s="1998">
        <f t="shared" si="70"/>
        <v>0</v>
      </c>
      <c r="BO69" s="1998">
        <f t="shared" si="70"/>
        <v>0</v>
      </c>
      <c r="BP69" s="1998">
        <f t="shared" si="70"/>
        <v>0</v>
      </c>
      <c r="BQ69" s="1998">
        <f t="shared" si="70"/>
        <v>0</v>
      </c>
      <c r="BR69" s="1998">
        <f t="shared" si="70"/>
        <v>0</v>
      </c>
      <c r="BS69" s="1998">
        <f t="shared" si="70"/>
        <v>0</v>
      </c>
      <c r="BT69" s="1998">
        <f t="shared" ref="BT69:EE69" si="71" xml:space="preserve">
IF(BT$25="休診日",0,
IF(BT71&gt;=VLOOKUP(BT$22&amp;$B69,$B$96:$D$191,2,FALSE),0,
IF(AND(BT71&lt;VLOOKUP(BT$22&amp;$B69,$B$96:$D$191,2,FALSE),BT70&lt;=VLOOKUP(BT$22&amp;$B69,$B$96:$D$191,2,FALSE)),IF(BT70-BT71&lt;0,0,BT70-BT71),
IF(AND(BT71&lt;VLOOKUP(BT$22&amp;$B69,$B$96:$D$191,2,FALSE),BT70&gt;VLOOKUP(BT$22&amp;$B69,$B$96:$D$191,2,FALSE)),VLOOKUP(BT$22&amp;$B69,$B$96:$D$191,2,FALSE)-BT71))))</f>
        <v>0</v>
      </c>
      <c r="BU69" s="1998">
        <f t="shared" si="71"/>
        <v>0</v>
      </c>
      <c r="BV69" s="1998">
        <f t="shared" si="71"/>
        <v>0</v>
      </c>
      <c r="BW69" s="1998">
        <f t="shared" si="71"/>
        <v>0</v>
      </c>
      <c r="BX69" s="1998">
        <f t="shared" si="71"/>
        <v>0</v>
      </c>
      <c r="BY69" s="1998">
        <f t="shared" si="71"/>
        <v>0</v>
      </c>
      <c r="BZ69" s="1998">
        <f t="shared" si="71"/>
        <v>0</v>
      </c>
      <c r="CA69" s="1998">
        <f t="shared" si="71"/>
        <v>0</v>
      </c>
      <c r="CB69" s="1998">
        <f t="shared" si="71"/>
        <v>0</v>
      </c>
      <c r="CC69" s="1998">
        <f t="shared" si="71"/>
        <v>0</v>
      </c>
      <c r="CD69" s="1998">
        <f t="shared" si="71"/>
        <v>0</v>
      </c>
      <c r="CE69" s="1998">
        <f t="shared" si="71"/>
        <v>0</v>
      </c>
      <c r="CF69" s="1998">
        <f t="shared" si="71"/>
        <v>0</v>
      </c>
      <c r="CG69" s="1998">
        <f t="shared" si="71"/>
        <v>0</v>
      </c>
      <c r="CH69" s="1998">
        <f t="shared" si="71"/>
        <v>0</v>
      </c>
      <c r="CI69" s="1998">
        <f t="shared" si="71"/>
        <v>0</v>
      </c>
      <c r="CJ69" s="1998">
        <f t="shared" si="71"/>
        <v>0</v>
      </c>
      <c r="CK69" s="1998">
        <f t="shared" si="71"/>
        <v>0</v>
      </c>
      <c r="CL69" s="1998">
        <f t="shared" si="71"/>
        <v>0</v>
      </c>
      <c r="CM69" s="1998">
        <f t="shared" si="71"/>
        <v>0</v>
      </c>
      <c r="CN69" s="1998">
        <f t="shared" si="71"/>
        <v>0</v>
      </c>
      <c r="CO69" s="1998">
        <f t="shared" si="71"/>
        <v>0</v>
      </c>
      <c r="CP69" s="1998">
        <f t="shared" si="71"/>
        <v>0</v>
      </c>
      <c r="CQ69" s="1998">
        <f t="shared" si="71"/>
        <v>0</v>
      </c>
      <c r="CR69" s="1998">
        <f t="shared" si="71"/>
        <v>0</v>
      </c>
      <c r="CS69" s="1998">
        <f t="shared" si="71"/>
        <v>0</v>
      </c>
      <c r="CT69" s="1998">
        <f t="shared" si="71"/>
        <v>0</v>
      </c>
      <c r="CU69" s="1998">
        <f t="shared" si="71"/>
        <v>0</v>
      </c>
      <c r="CV69" s="1998">
        <f t="shared" si="71"/>
        <v>0</v>
      </c>
      <c r="CW69" s="1998">
        <f t="shared" si="71"/>
        <v>0</v>
      </c>
      <c r="CX69" s="1998">
        <f t="shared" si="71"/>
        <v>0</v>
      </c>
      <c r="CY69" s="1998">
        <f t="shared" si="71"/>
        <v>0</v>
      </c>
      <c r="CZ69" s="1998">
        <f t="shared" si="71"/>
        <v>0</v>
      </c>
      <c r="DA69" s="1998">
        <f t="shared" si="71"/>
        <v>0</v>
      </c>
      <c r="DB69" s="1998">
        <f t="shared" si="71"/>
        <v>0</v>
      </c>
      <c r="DC69" s="1998">
        <f t="shared" si="71"/>
        <v>0</v>
      </c>
      <c r="DD69" s="1998">
        <f t="shared" si="71"/>
        <v>0</v>
      </c>
      <c r="DE69" s="1998">
        <f t="shared" si="71"/>
        <v>0</v>
      </c>
      <c r="DF69" s="1998">
        <f t="shared" si="71"/>
        <v>0</v>
      </c>
      <c r="DG69" s="1998">
        <f t="shared" si="71"/>
        <v>0</v>
      </c>
      <c r="DH69" s="1998">
        <f t="shared" si="71"/>
        <v>0</v>
      </c>
      <c r="DI69" s="1998">
        <f t="shared" si="71"/>
        <v>0</v>
      </c>
      <c r="DJ69" s="1998">
        <f t="shared" si="71"/>
        <v>0</v>
      </c>
      <c r="DK69" s="1998">
        <f t="shared" si="71"/>
        <v>0</v>
      </c>
      <c r="DL69" s="1998">
        <f t="shared" si="71"/>
        <v>0</v>
      </c>
      <c r="DM69" s="1998">
        <f t="shared" si="71"/>
        <v>0</v>
      </c>
      <c r="DN69" s="1998">
        <f t="shared" si="71"/>
        <v>0</v>
      </c>
      <c r="DO69" s="1998">
        <f t="shared" si="71"/>
        <v>0</v>
      </c>
      <c r="DP69" s="1998">
        <f t="shared" si="71"/>
        <v>0</v>
      </c>
      <c r="DQ69" s="1998">
        <f t="shared" si="71"/>
        <v>0</v>
      </c>
      <c r="DR69" s="1998">
        <f t="shared" si="71"/>
        <v>0</v>
      </c>
      <c r="DS69" s="1998">
        <f t="shared" si="71"/>
        <v>0</v>
      </c>
      <c r="DT69" s="1998">
        <f t="shared" si="71"/>
        <v>0</v>
      </c>
      <c r="DU69" s="1998">
        <f t="shared" si="71"/>
        <v>0</v>
      </c>
      <c r="DV69" s="1998">
        <f t="shared" si="71"/>
        <v>0</v>
      </c>
      <c r="DW69" s="1998">
        <f t="shared" si="71"/>
        <v>0</v>
      </c>
      <c r="DX69" s="1998">
        <f t="shared" si="71"/>
        <v>0</v>
      </c>
      <c r="DY69" s="1998">
        <f t="shared" si="71"/>
        <v>0</v>
      </c>
      <c r="DZ69" s="1998">
        <f t="shared" si="71"/>
        <v>0</v>
      </c>
      <c r="EA69" s="1998">
        <f t="shared" si="71"/>
        <v>0</v>
      </c>
      <c r="EB69" s="1998">
        <f t="shared" si="71"/>
        <v>0</v>
      </c>
      <c r="EC69" s="1998">
        <f t="shared" si="71"/>
        <v>0</v>
      </c>
      <c r="ED69" s="1998">
        <f t="shared" si="71"/>
        <v>0</v>
      </c>
      <c r="EE69" s="1998">
        <f t="shared" si="71"/>
        <v>0</v>
      </c>
      <c r="EF69" s="1998">
        <f t="shared" ref="EF69:GF69" si="72" xml:space="preserve">
IF(EF$25="休診日",0,
IF(EF71&gt;=VLOOKUP(EF$22&amp;$B69,$B$96:$D$191,2,FALSE),0,
IF(AND(EF71&lt;VLOOKUP(EF$22&amp;$B69,$B$96:$D$191,2,FALSE),EF70&lt;=VLOOKUP(EF$22&amp;$B69,$B$96:$D$191,2,FALSE)),IF(EF70-EF71&lt;0,0,EF70-EF71),
IF(AND(EF71&lt;VLOOKUP(EF$22&amp;$B69,$B$96:$D$191,2,FALSE),EF70&gt;VLOOKUP(EF$22&amp;$B69,$B$96:$D$191,2,FALSE)),VLOOKUP(EF$22&amp;$B69,$B$96:$D$191,2,FALSE)-EF71))))</f>
        <v>0</v>
      </c>
      <c r="EG69" s="1998">
        <f t="shared" si="72"/>
        <v>0</v>
      </c>
      <c r="EH69" s="1998">
        <f t="shared" si="72"/>
        <v>0</v>
      </c>
      <c r="EI69" s="1998">
        <f t="shared" si="72"/>
        <v>0</v>
      </c>
      <c r="EJ69" s="1998">
        <f t="shared" si="72"/>
        <v>0</v>
      </c>
      <c r="EK69" s="1998">
        <f t="shared" si="72"/>
        <v>0</v>
      </c>
      <c r="EL69" s="1998">
        <f t="shared" si="72"/>
        <v>0</v>
      </c>
      <c r="EM69" s="1998">
        <f t="shared" si="72"/>
        <v>0</v>
      </c>
      <c r="EN69" s="1998">
        <f t="shared" si="72"/>
        <v>0</v>
      </c>
      <c r="EO69" s="1998">
        <f t="shared" si="72"/>
        <v>0</v>
      </c>
      <c r="EP69" s="1998">
        <f t="shared" si="72"/>
        <v>0</v>
      </c>
      <c r="EQ69" s="1998">
        <f t="shared" si="72"/>
        <v>0</v>
      </c>
      <c r="ER69" s="1998">
        <f t="shared" si="72"/>
        <v>0</v>
      </c>
      <c r="ES69" s="1998">
        <f t="shared" si="72"/>
        <v>0</v>
      </c>
      <c r="ET69" s="1998">
        <f t="shared" si="72"/>
        <v>0</v>
      </c>
      <c r="EU69" s="1998">
        <f t="shared" si="72"/>
        <v>0</v>
      </c>
      <c r="EV69" s="1998">
        <f t="shared" si="72"/>
        <v>0</v>
      </c>
      <c r="EW69" s="1998">
        <f t="shared" si="72"/>
        <v>0</v>
      </c>
      <c r="EX69" s="1998">
        <f t="shared" si="72"/>
        <v>0</v>
      </c>
      <c r="EY69" s="1998">
        <f t="shared" si="72"/>
        <v>0</v>
      </c>
      <c r="EZ69" s="1998">
        <f t="shared" si="72"/>
        <v>0</v>
      </c>
      <c r="FA69" s="1998">
        <f t="shared" si="72"/>
        <v>0</v>
      </c>
      <c r="FB69" s="1998">
        <f t="shared" si="72"/>
        <v>0</v>
      </c>
      <c r="FC69" s="1998">
        <f t="shared" si="72"/>
        <v>0</v>
      </c>
      <c r="FD69" s="1998">
        <f t="shared" si="72"/>
        <v>0</v>
      </c>
      <c r="FE69" s="1998">
        <f t="shared" si="72"/>
        <v>0</v>
      </c>
      <c r="FF69" s="1998">
        <f t="shared" si="72"/>
        <v>0</v>
      </c>
      <c r="FG69" s="1998">
        <f t="shared" si="72"/>
        <v>0</v>
      </c>
      <c r="FH69" s="1998">
        <f t="shared" si="72"/>
        <v>0</v>
      </c>
      <c r="FI69" s="1998">
        <f t="shared" si="72"/>
        <v>0</v>
      </c>
      <c r="FJ69" s="1998">
        <f t="shared" si="72"/>
        <v>0</v>
      </c>
      <c r="FK69" s="1998">
        <f t="shared" si="72"/>
        <v>0</v>
      </c>
      <c r="FL69" s="1998">
        <f t="shared" si="72"/>
        <v>0</v>
      </c>
      <c r="FM69" s="1998">
        <f t="shared" si="72"/>
        <v>0</v>
      </c>
      <c r="FN69" s="1998">
        <f t="shared" si="72"/>
        <v>0</v>
      </c>
      <c r="FO69" s="1998">
        <f t="shared" si="72"/>
        <v>0</v>
      </c>
      <c r="FP69" s="1998">
        <f t="shared" si="72"/>
        <v>0</v>
      </c>
      <c r="FQ69" s="1998">
        <f t="shared" si="72"/>
        <v>0</v>
      </c>
      <c r="FR69" s="1998">
        <f t="shared" si="72"/>
        <v>0</v>
      </c>
      <c r="FS69" s="1998">
        <f t="shared" si="72"/>
        <v>0</v>
      </c>
      <c r="FT69" s="1998">
        <f t="shared" si="72"/>
        <v>0</v>
      </c>
      <c r="FU69" s="1998">
        <f t="shared" si="72"/>
        <v>0</v>
      </c>
      <c r="FV69" s="1998">
        <f t="shared" si="72"/>
        <v>0</v>
      </c>
      <c r="FW69" s="1998">
        <f t="shared" si="72"/>
        <v>0</v>
      </c>
      <c r="FX69" s="1998">
        <f t="shared" si="72"/>
        <v>0</v>
      </c>
      <c r="FY69" s="1998">
        <f t="shared" si="72"/>
        <v>0</v>
      </c>
      <c r="FZ69" s="1998">
        <f t="shared" si="72"/>
        <v>0</v>
      </c>
      <c r="GA69" s="1998">
        <f t="shared" si="72"/>
        <v>0</v>
      </c>
      <c r="GB69" s="1998">
        <f t="shared" si="72"/>
        <v>0</v>
      </c>
      <c r="GC69" s="1998">
        <f t="shared" si="72"/>
        <v>0</v>
      </c>
      <c r="GD69" s="1998">
        <f t="shared" si="72"/>
        <v>0</v>
      </c>
      <c r="GE69" s="1998">
        <f t="shared" si="72"/>
        <v>0</v>
      </c>
      <c r="GF69" s="1998">
        <f t="shared" si="72"/>
        <v>0</v>
      </c>
    </row>
    <row r="70" spans="1:188" s="639" customFormat="1" ht="15" customHeight="1" x14ac:dyDescent="0.4">
      <c r="A70" s="631"/>
      <c r="B70" s="639" t="s">
        <v>1265</v>
      </c>
      <c r="C70" s="1995" t="s">
        <v>1387</v>
      </c>
      <c r="D70" s="1996"/>
      <c r="E70" s="640"/>
      <c r="F70" s="1998">
        <f>SUMIF(防護具!$B$31:$B$163,F$23&amp;$B69,防護具!$S$31:$S$163)</f>
        <v>0</v>
      </c>
      <c r="G70" s="2000">
        <f>IFERROR(
SUM(F70,SUMIF(防護具!$B$31:$B$163,G$23&amp;$B69,防護具!$S$31:$S$163))-F69,0)</f>
        <v>0</v>
      </c>
      <c r="H70" s="2000">
        <f>IFERROR(
SUM(G70,SUMIF(防護具!$B$31:$B$163,H$23&amp;$B69,防護具!$S$31:$S$163))-G69,0)</f>
        <v>0</v>
      </c>
      <c r="I70" s="2000">
        <f>IFERROR(
SUM(H70,SUMIF(防護具!$B$31:$B$163,I$23&amp;$B69,防護具!$S$31:$S$163))-H69,0)</f>
        <v>0</v>
      </c>
      <c r="J70" s="2000">
        <f>IFERROR(
SUM(I70,SUMIF(防護具!$B$31:$B$163,J$23&amp;$B69,防護具!$S$31:$S$163))-I69,0)</f>
        <v>0</v>
      </c>
      <c r="K70" s="2000">
        <f>IFERROR(
SUM(J70,SUMIF(防護具!$B$31:$B$163,K$23&amp;$B69,防護具!$S$31:$S$163))-J69,0)</f>
        <v>0</v>
      </c>
      <c r="L70" s="2000">
        <f>IFERROR(
SUM(K70,SUMIF(防護具!$B$31:$B$163,L$23&amp;$B69,防護具!$S$31:$S$163))-K69,0)</f>
        <v>0</v>
      </c>
      <c r="M70" s="2000">
        <f>IFERROR(
SUM(L70,SUMIF(防護具!$B$31:$B$163,M$23&amp;$B69,防護具!$S$31:$S$163))-L69,0)</f>
        <v>0</v>
      </c>
      <c r="N70" s="2000">
        <f>IFERROR(
SUM(M70,SUMIF(防護具!$B$31:$B$163,N$23&amp;$B69,防護具!$S$31:$S$163))-M69,0)</f>
        <v>0</v>
      </c>
      <c r="O70" s="2000">
        <f>IFERROR(
SUM(N70,SUMIF(防護具!$B$31:$B$163,O$23&amp;$B69,防護具!$S$31:$S$163))-N69,0)</f>
        <v>0</v>
      </c>
      <c r="P70" s="2000">
        <f>IFERROR(
SUM(O70,SUMIF(防護具!$B$31:$B$163,P$23&amp;$B69,防護具!$S$31:$S$163))-O69,0)</f>
        <v>0</v>
      </c>
      <c r="Q70" s="2000">
        <f>IFERROR(
SUM(P70,SUMIF(防護具!$B$31:$B$163,Q$23&amp;$B69,防護具!$S$31:$S$163))-P69,0)</f>
        <v>0</v>
      </c>
      <c r="R70" s="2000">
        <f>IFERROR(
SUM(Q70,SUMIF(防護具!$B$31:$B$163,R$23&amp;$B69,防護具!$S$31:$S$163))-Q69,0)</f>
        <v>0</v>
      </c>
      <c r="S70" s="2000">
        <f>IFERROR(
SUM(R70,SUMIF(防護具!$B$31:$B$163,S$23&amp;$B69,防護具!$S$31:$S$163))-R69,0)</f>
        <v>0</v>
      </c>
      <c r="T70" s="2000">
        <f>IFERROR(
SUM(S70,SUMIF(防護具!$B$31:$B$163,T$23&amp;$B69,防護具!$S$31:$S$163))-S69,0)</f>
        <v>0</v>
      </c>
      <c r="U70" s="2000">
        <f>IFERROR(
SUM(T70,SUMIF(防護具!$B$31:$B$163,U$23&amp;$B69,防護具!$S$31:$S$163))-T69,0)</f>
        <v>0</v>
      </c>
      <c r="V70" s="2000">
        <f>IFERROR(
SUM(U70,SUMIF(防護具!$B$31:$B$163,V$23&amp;$B69,防護具!$S$31:$S$163))-U69,0)</f>
        <v>0</v>
      </c>
      <c r="W70" s="2000">
        <f>IFERROR(
SUM(V70,SUMIF(防護具!$B$31:$B$163,W$23&amp;$B69,防護具!$S$31:$S$163))-V69,0)</f>
        <v>0</v>
      </c>
      <c r="X70" s="2000">
        <f>IFERROR(
SUM(W70,SUMIF(防護具!$B$31:$B$163,X$23&amp;$B69,防護具!$S$31:$S$163))-W69,0)</f>
        <v>0</v>
      </c>
      <c r="Y70" s="2000">
        <f>IFERROR(
SUM(X70,SUMIF(防護具!$B$31:$B$163,Y$23&amp;$B69,防護具!$S$31:$S$163))-X69,0)</f>
        <v>0</v>
      </c>
      <c r="Z70" s="2000">
        <f>IFERROR(
SUM(Y70,SUMIF(防護具!$B$31:$B$163,Z$23&amp;$B69,防護具!$S$31:$S$163))-Y69,0)</f>
        <v>0</v>
      </c>
      <c r="AA70" s="2000">
        <f>IFERROR(
SUM(Z70,SUMIF(防護具!$B$31:$B$163,AA$23&amp;$B69,防護具!$S$31:$S$163))-Z69,0)</f>
        <v>0</v>
      </c>
      <c r="AB70" s="2000">
        <f>IFERROR(
SUM(AA70,SUMIF(防護具!$B$31:$B$163,AB$23&amp;$B69,防護具!$S$31:$S$163))-AA69,0)</f>
        <v>0</v>
      </c>
      <c r="AC70" s="2000">
        <f>IFERROR(
SUM(AB70,SUMIF(防護具!$B$31:$B$163,AC$23&amp;$B69,防護具!$S$31:$S$163))-AB69,0)</f>
        <v>0</v>
      </c>
      <c r="AD70" s="2000">
        <f>IFERROR(
SUM(AC70,SUMIF(防護具!$B$31:$B$163,AD$23&amp;$B69,防護具!$S$31:$S$163))-AC69,0)</f>
        <v>0</v>
      </c>
      <c r="AE70" s="2000">
        <f>IFERROR(
SUM(AD70,SUMIF(防護具!$B$31:$B$163,AE$23&amp;$B69,防護具!$S$31:$S$163))-AD69,0)</f>
        <v>0</v>
      </c>
      <c r="AF70" s="2000">
        <f>IFERROR(
SUM(AE70,SUMIF(防護具!$B$31:$B$163,AF$23&amp;$B69,防護具!$S$31:$S$163))-AE69,0)</f>
        <v>0</v>
      </c>
      <c r="AG70" s="2000">
        <f>IFERROR(
SUM(AF70,SUMIF(防護具!$B$31:$B$163,AG$23&amp;$B69,防護具!$S$31:$S$163))-AF69,0)</f>
        <v>0</v>
      </c>
      <c r="AH70" s="2000">
        <f>IFERROR(
SUM(AG70,SUMIF(防護具!$B$31:$B$163,AH$23&amp;$B69,防護具!$S$31:$S$163))-AG69,0)</f>
        <v>0</v>
      </c>
      <c r="AI70" s="2000">
        <f>IFERROR(
SUM(AH70,SUMIF(防護具!$B$31:$B$163,AI$23&amp;$B69,防護具!$S$31:$S$163))-AH69,0)</f>
        <v>0</v>
      </c>
      <c r="AJ70" s="2000">
        <f>IFERROR(
SUM(AI70,SUMIF(防護具!$B$31:$B$163,AJ$23&amp;$B69,防護具!$S$31:$S$163))-AI69,0)</f>
        <v>0</v>
      </c>
      <c r="AK70" s="2000">
        <f>IFERROR(
SUM(AJ70,SUMIF(防護具!$B$31:$B$163,AK$23&amp;$B69,防護具!$S$31:$S$163))-AJ69,0)</f>
        <v>0</v>
      </c>
      <c r="AL70" s="2000">
        <f>IFERROR(
SUM(AK70,SUMIF(防護具!$B$31:$B$163,AL$23&amp;$B69,防護具!$S$31:$S$163))-AK69,0)</f>
        <v>0</v>
      </c>
      <c r="AM70" s="2000">
        <f>IFERROR(
SUM(AL70,SUMIF(防護具!$B$31:$B$163,AM$23&amp;$B69,防護具!$S$31:$S$163))-AL69,0)</f>
        <v>0</v>
      </c>
      <c r="AN70" s="2000">
        <f>IFERROR(
SUM(AM70,SUMIF(防護具!$B$31:$B$163,AN$23&amp;$B69,防護具!$S$31:$S$163))-AM69,0)</f>
        <v>0</v>
      </c>
      <c r="AO70" s="2000">
        <f>IFERROR(
SUM(AN70,SUMIF(防護具!$B$31:$B$163,AO$23&amp;$B69,防護具!$S$31:$S$163))-AN69,0)</f>
        <v>0</v>
      </c>
      <c r="AP70" s="2000">
        <f>IFERROR(
SUM(AO70,SUMIF(防護具!$B$31:$B$163,AP$23&amp;$B69,防護具!$S$31:$S$163))-AO69,0)</f>
        <v>0</v>
      </c>
      <c r="AQ70" s="2000">
        <f>IFERROR(
SUM(AP70,SUMIF(防護具!$B$31:$B$163,AQ$23&amp;$B69,防護具!$S$31:$S$163))-AP69,0)</f>
        <v>0</v>
      </c>
      <c r="AR70" s="2000">
        <f>IFERROR(
SUM(AQ70,SUMIF(防護具!$B$31:$B$163,AR$23&amp;$B69,防護具!$S$31:$S$163))-AQ69,0)</f>
        <v>0</v>
      </c>
      <c r="AS70" s="2000">
        <f>IFERROR(
SUM(AR70,SUMIF(防護具!$B$31:$B$163,AS$23&amp;$B69,防護具!$S$31:$S$163))-AR69,0)</f>
        <v>0</v>
      </c>
      <c r="AT70" s="2000">
        <f>IFERROR(
SUM(AS70,SUMIF(防護具!$B$31:$B$163,AT$23&amp;$B69,防護具!$S$31:$S$163))-AS69,0)</f>
        <v>0</v>
      </c>
      <c r="AU70" s="2000">
        <f>IFERROR(
SUM(AT70,SUMIF(防護具!$B$31:$B$163,AU$23&amp;$B69,防護具!$S$31:$S$163))-AT69,0)</f>
        <v>0</v>
      </c>
      <c r="AV70" s="2000">
        <f>IFERROR(
SUM(AU70,SUMIF(防護具!$B$31:$B$163,AV$23&amp;$B69,防護具!$S$31:$S$163))-AU69,0)</f>
        <v>0</v>
      </c>
      <c r="AW70" s="2000">
        <f>IFERROR(
SUM(AV70,SUMIF(防護具!$B$31:$B$163,AW$23&amp;$B69,防護具!$S$31:$S$163))-AV69,0)</f>
        <v>0</v>
      </c>
      <c r="AX70" s="2000">
        <f>IFERROR(
SUM(AW70,SUMIF(防護具!$B$31:$B$163,AX$23&amp;$B69,防護具!$S$31:$S$163))-AW69,0)</f>
        <v>0</v>
      </c>
      <c r="AY70" s="2000">
        <f>IFERROR(
SUM(AX70,SUMIF(防護具!$B$31:$B$163,AY$23&amp;$B69,防護具!$S$31:$S$163))-AX69,0)</f>
        <v>0</v>
      </c>
      <c r="AZ70" s="2000">
        <f>IFERROR(
SUM(AY70,SUMIF(防護具!$B$31:$B$163,AZ$23&amp;$B69,防護具!$S$31:$S$163))-AY69,0)</f>
        <v>0</v>
      </c>
      <c r="BA70" s="2000">
        <f>IFERROR(
SUM(AZ70,SUMIF(防護具!$B$31:$B$163,BA$23&amp;$B69,防護具!$S$31:$S$163))-AZ69,0)</f>
        <v>0</v>
      </c>
      <c r="BB70" s="2000">
        <f>IFERROR(
SUM(BA70,SUMIF(防護具!$B$31:$B$163,BB$23&amp;$B69,防護具!$S$31:$S$163))-BA69,0)</f>
        <v>0</v>
      </c>
      <c r="BC70" s="2000">
        <f>IFERROR(
SUM(BB70,SUMIF(防護具!$B$31:$B$163,BC$23&amp;$B69,防護具!$S$31:$S$163))-BB69,0)</f>
        <v>0</v>
      </c>
      <c r="BD70" s="2000">
        <f>IFERROR(
SUM(BC70,SUMIF(防護具!$B$31:$B$163,BD$23&amp;$B69,防護具!$S$31:$S$163))-BC69,0)</f>
        <v>0</v>
      </c>
      <c r="BE70" s="2000">
        <f>IFERROR(
SUM(BD70,SUMIF(防護具!$B$31:$B$163,BE$23&amp;$B69,防護具!$S$31:$S$163))-BD69,0)</f>
        <v>0</v>
      </c>
      <c r="BF70" s="2000">
        <f>IFERROR(
SUM(BE70,SUMIF(防護具!$B$31:$B$163,BF$23&amp;$B69,防護具!$S$31:$S$163))-BE69,0)</f>
        <v>0</v>
      </c>
      <c r="BG70" s="2000">
        <f>IFERROR(
SUM(BF70,SUMIF(防護具!$B$31:$B$163,BG$23&amp;$B69,防護具!$S$31:$S$163))-BF69,0)</f>
        <v>0</v>
      </c>
      <c r="BH70" s="2000">
        <f>IFERROR(
SUM(BG70,SUMIF(防護具!$B$31:$B$163,BH$23&amp;$B69,防護具!$S$31:$S$163))-BG69,0)</f>
        <v>0</v>
      </c>
      <c r="BI70" s="2000">
        <f>IFERROR(
SUM(BH70,SUMIF(防護具!$B$31:$B$163,BI$23&amp;$B69,防護具!$S$31:$S$163))-BH69,0)</f>
        <v>0</v>
      </c>
      <c r="BJ70" s="2000">
        <f>IFERROR(
SUM(BI70,SUMIF(防護具!$B$31:$B$163,BJ$23&amp;$B69,防護具!$S$31:$S$163))-BI69,0)</f>
        <v>0</v>
      </c>
      <c r="BK70" s="2000">
        <f>IFERROR(
SUM(BJ70,SUMIF(防護具!$B$31:$B$163,BK$23&amp;$B69,防護具!$S$31:$S$163))-BJ69,0)</f>
        <v>0</v>
      </c>
      <c r="BL70" s="2000">
        <f>IFERROR(
SUM(BK70,SUMIF(防護具!$B$31:$B$163,BL$23&amp;$B69,防護具!$S$31:$S$163))-BK69,0)</f>
        <v>0</v>
      </c>
      <c r="BM70" s="2000">
        <f>IFERROR(
SUM(BL70,SUMIF(防護具!$B$31:$B$163,BM$23&amp;$B69,防護具!$S$31:$S$163))-BL69,0)</f>
        <v>0</v>
      </c>
      <c r="BN70" s="2000">
        <f>IFERROR(
SUM(BM70,SUMIF(防護具!$B$31:$B$163,BN$23&amp;$B69,防護具!$S$31:$S$163))-BM69,0)</f>
        <v>0</v>
      </c>
      <c r="BO70" s="2000">
        <f>IFERROR(
SUM(BN70,SUMIF(防護具!$B$31:$B$163,BO$23&amp;$B69,防護具!$S$31:$S$163))-BN69,0)</f>
        <v>0</v>
      </c>
      <c r="BP70" s="2000">
        <f>IFERROR(
SUM(BO70,SUMIF(防護具!$B$31:$B$163,BP$23&amp;$B69,防護具!$S$31:$S$163))-BO69,0)</f>
        <v>0</v>
      </c>
      <c r="BQ70" s="2000">
        <f>IFERROR(
SUM(BP70,SUMIF(防護具!$B$31:$B$163,BQ$23&amp;$B69,防護具!$S$31:$S$163))-BP69,0)</f>
        <v>0</v>
      </c>
      <c r="BR70" s="2000">
        <f>IFERROR(
SUM(BQ70,SUMIF(防護具!$B$31:$B$163,BR$23&amp;$B69,防護具!$S$31:$S$163))-BQ69,0)</f>
        <v>0</v>
      </c>
      <c r="BS70" s="2000">
        <f>IFERROR(
SUM(BR70,SUMIF(防護具!$B$31:$B$163,BS$23&amp;$B69,防護具!$S$31:$S$163))-BR69,0)</f>
        <v>0</v>
      </c>
      <c r="BT70" s="2000">
        <f>IFERROR(
SUM(BS70,SUMIF(防護具!$B$31:$B$163,BT$23&amp;$B69,防護具!$S$31:$S$163))-BS69,0)</f>
        <v>0</v>
      </c>
      <c r="BU70" s="2000">
        <f>IFERROR(
SUM(BT70,SUMIF(防護具!$B$31:$B$163,BU$23&amp;$B69,防護具!$S$31:$S$163))-BT69,0)</f>
        <v>0</v>
      </c>
      <c r="BV70" s="2000">
        <f>IFERROR(
SUM(BU70,SUMIF(防護具!$B$31:$B$163,BV$23&amp;$B69,防護具!$S$31:$S$163))-BU69,0)</f>
        <v>0</v>
      </c>
      <c r="BW70" s="2000">
        <f>IFERROR(
SUM(BV70,SUMIF(防護具!$B$31:$B$163,BW$23&amp;$B69,防護具!$S$31:$S$163))-BV69,0)</f>
        <v>0</v>
      </c>
      <c r="BX70" s="2000">
        <f>IFERROR(
SUM(BW70,SUMIF(防護具!$B$31:$B$163,BX$23&amp;$B69,防護具!$S$31:$S$163))-BW69,0)</f>
        <v>0</v>
      </c>
      <c r="BY70" s="2000">
        <f>IFERROR(
SUM(BX70,SUMIF(防護具!$B$31:$B$163,BY$23&amp;$B69,防護具!$S$31:$S$163))-BX69,0)</f>
        <v>0</v>
      </c>
      <c r="BZ70" s="2000">
        <f>IFERROR(
SUM(BY70,SUMIF(防護具!$B$31:$B$163,BZ$23&amp;$B69,防護具!$S$31:$S$163))-BY69,0)</f>
        <v>0</v>
      </c>
      <c r="CA70" s="2000">
        <f>IFERROR(
SUM(BZ70,SUMIF(防護具!$B$31:$B$163,CA$23&amp;$B69,防護具!$S$31:$S$163))-BZ69,0)</f>
        <v>0</v>
      </c>
      <c r="CB70" s="2000">
        <f>IFERROR(
SUM(CA70,SUMIF(防護具!$B$31:$B$163,CB$23&amp;$B69,防護具!$S$31:$S$163))-CA69,0)</f>
        <v>0</v>
      </c>
      <c r="CC70" s="2000">
        <f>IFERROR(
SUM(CB70,SUMIF(防護具!$B$31:$B$163,CC$23&amp;$B69,防護具!$S$31:$S$163))-CB69,0)</f>
        <v>0</v>
      </c>
      <c r="CD70" s="2000">
        <f>IFERROR(
SUM(CC70,SUMIF(防護具!$B$31:$B$163,CD$23&amp;$B69,防護具!$S$31:$S$163))-CC69,0)</f>
        <v>0</v>
      </c>
      <c r="CE70" s="2000">
        <f>IFERROR(
SUM(CD70,SUMIF(防護具!$B$31:$B$163,CE$23&amp;$B69,防護具!$S$31:$S$163))-CD69,0)</f>
        <v>0</v>
      </c>
      <c r="CF70" s="2000">
        <f>IFERROR(
SUM(CE70,SUMIF(防護具!$B$31:$B$163,CF$23&amp;$B69,防護具!$S$31:$S$163))-CE69,0)</f>
        <v>0</v>
      </c>
      <c r="CG70" s="2000">
        <f>IFERROR(
SUM(CF70,SUMIF(防護具!$B$31:$B$163,CG$23&amp;$B69,防護具!$S$31:$S$163))-CF69,0)</f>
        <v>0</v>
      </c>
      <c r="CH70" s="2000">
        <f>IFERROR(
SUM(CG70,SUMIF(防護具!$B$31:$B$163,CH$23&amp;$B69,防護具!$S$31:$S$163))-CG69,0)</f>
        <v>0</v>
      </c>
      <c r="CI70" s="2000">
        <f>IFERROR(
SUM(CH70,SUMIF(防護具!$B$31:$B$163,CI$23&amp;$B69,防護具!$S$31:$S$163))-CH69,0)</f>
        <v>0</v>
      </c>
      <c r="CJ70" s="2000">
        <f>IFERROR(
SUM(CI70,SUMIF(防護具!$B$31:$B$163,CJ$23&amp;$B69,防護具!$S$31:$S$163))-CI69,0)</f>
        <v>0</v>
      </c>
      <c r="CK70" s="2000">
        <f>IFERROR(
SUM(CJ70,SUMIF(防護具!$B$31:$B$163,CK$23&amp;$B69,防護具!$S$31:$S$163))-CJ69,0)</f>
        <v>0</v>
      </c>
      <c r="CL70" s="2000">
        <f>IFERROR(
SUM(CK70,SUMIF(防護具!$B$31:$B$163,CL$23&amp;$B69,防護具!$S$31:$S$163))-CK69,0)</f>
        <v>0</v>
      </c>
      <c r="CM70" s="2000">
        <f>IFERROR(
SUM(CL70,SUMIF(防護具!$B$31:$B$163,CM$23&amp;$B69,防護具!$S$31:$S$163))-CL69,0)</f>
        <v>0</v>
      </c>
      <c r="CN70" s="2000">
        <f>IFERROR(
SUM(CM70,SUMIF(防護具!$B$31:$B$163,CN$23&amp;$B69,防護具!$S$31:$S$163))-CM69,0)</f>
        <v>0</v>
      </c>
      <c r="CO70" s="2000">
        <f>IFERROR(
SUM(CN70,SUMIF(防護具!$B$31:$B$163,CO$23&amp;$B69,防護具!$S$31:$S$163))-CN69,0)</f>
        <v>0</v>
      </c>
      <c r="CP70" s="2000">
        <f>IFERROR(
SUM(CO70,SUMIF(防護具!$B$31:$B$163,CP$23&amp;$B69,防護具!$S$31:$S$163))-CO69,0)</f>
        <v>0</v>
      </c>
      <c r="CQ70" s="2000">
        <f>IFERROR(
SUM(CP70,SUMIF(防護具!$B$31:$B$163,CQ$23&amp;$B69,防護具!$S$31:$S$163))-CP69,0)</f>
        <v>0</v>
      </c>
      <c r="CR70" s="2000">
        <f>IFERROR(
SUM(CQ70,SUMIF(防護具!$B$31:$B$163,CR$23&amp;$B69,防護具!$S$31:$S$163))-CQ69,0)</f>
        <v>0</v>
      </c>
      <c r="CS70" s="2000">
        <f>IFERROR(
SUM(CR70,SUMIF(防護具!$B$31:$B$163,CS$23&amp;$B69,防護具!$S$31:$S$163))-CR69,0)</f>
        <v>0</v>
      </c>
      <c r="CT70" s="2000">
        <f>IFERROR(
SUM(CS70,SUMIF(防護具!$B$31:$B$163,CT$23&amp;$B69,防護具!$S$31:$S$163))-CS69,0)</f>
        <v>0</v>
      </c>
      <c r="CU70" s="2000">
        <f>IFERROR(
SUM(CT70,SUMIF(防護具!$B$31:$B$163,CU$23&amp;$B69,防護具!$S$31:$S$163))-CT69,0)</f>
        <v>0</v>
      </c>
      <c r="CV70" s="2000">
        <f>IFERROR(
SUM(CU70,SUMIF(防護具!$B$31:$B$163,CV$23&amp;$B69,防護具!$S$31:$S$163))-CU69,0)</f>
        <v>0</v>
      </c>
      <c r="CW70" s="2000">
        <f>IFERROR(
SUM(CV70,SUMIF(防護具!$B$31:$B$163,CW$23&amp;$B69,防護具!$S$31:$S$163))-CV69,0)</f>
        <v>0</v>
      </c>
      <c r="CX70" s="2000">
        <f>IFERROR(
SUM(CW70,SUMIF(防護具!$B$31:$B$163,CX$23&amp;$B69,防護具!$S$31:$S$163))-CW69,0)</f>
        <v>0</v>
      </c>
      <c r="CY70" s="2000">
        <f>IFERROR(
SUM(CX70,SUMIF(防護具!$B$31:$B$163,CY$23&amp;$B69,防護具!$S$31:$S$163))-CX69,0)</f>
        <v>0</v>
      </c>
      <c r="CZ70" s="2000">
        <f>IFERROR(
SUM(CY70,SUMIF(防護具!$B$31:$B$163,CZ$23&amp;$B69,防護具!$S$31:$S$163))-CY69,0)</f>
        <v>0</v>
      </c>
      <c r="DA70" s="2000">
        <f>IFERROR(
SUM(CZ70,SUMIF(防護具!$B$31:$B$163,DA$23&amp;$B69,防護具!$S$31:$S$163))-CZ69,0)</f>
        <v>0</v>
      </c>
      <c r="DB70" s="2000">
        <f>IFERROR(
SUM(DA70,SUMIF(防護具!$B$31:$B$163,DB$23&amp;$B69,防護具!$S$31:$S$163))-DA69,0)</f>
        <v>0</v>
      </c>
      <c r="DC70" s="2000">
        <f>IFERROR(
SUM(DB70,SUMIF(防護具!$B$31:$B$163,DC$23&amp;$B69,防護具!$S$31:$S$163))-DB69,0)</f>
        <v>0</v>
      </c>
      <c r="DD70" s="2000">
        <f>IFERROR(
SUM(DC70,SUMIF(防護具!$B$31:$B$163,DD$23&amp;$B69,防護具!$S$31:$S$163))-DC69,0)</f>
        <v>0</v>
      </c>
      <c r="DE70" s="2000">
        <f>IFERROR(
SUM(DD70,SUMIF(防護具!$B$31:$B$163,DE$23&amp;$B69,防護具!$S$31:$S$163))-DD69,0)</f>
        <v>0</v>
      </c>
      <c r="DF70" s="2000">
        <f>IFERROR(
SUM(DE70,SUMIF(防護具!$B$31:$B$163,DF$23&amp;$B69,防護具!$S$31:$S$163))-DE69,0)</f>
        <v>0</v>
      </c>
      <c r="DG70" s="2000">
        <f>IFERROR(
SUM(DF70,SUMIF(防護具!$B$31:$B$163,DG$23&amp;$B69,防護具!$S$31:$S$163))-DF69,0)</f>
        <v>0</v>
      </c>
      <c r="DH70" s="2000">
        <f>IFERROR(
SUM(DG70,SUMIF(防護具!$B$31:$B$163,DH$23&amp;$B69,防護具!$S$31:$S$163))-DG69,0)</f>
        <v>0</v>
      </c>
      <c r="DI70" s="2000">
        <f>IFERROR(
SUM(DH70,SUMIF(防護具!$B$31:$B$163,DI$23&amp;$B69,防護具!$S$31:$S$163))-DH69,0)</f>
        <v>0</v>
      </c>
      <c r="DJ70" s="2000">
        <f>IFERROR(
SUM(DI70,SUMIF(防護具!$B$31:$B$163,DJ$23&amp;$B69,防護具!$S$31:$S$163))-DI69,0)</f>
        <v>0</v>
      </c>
      <c r="DK70" s="2000">
        <f>IFERROR(
SUM(DJ70,SUMIF(防護具!$B$31:$B$163,DK$23&amp;$B69,防護具!$S$31:$S$163))-DJ69,0)</f>
        <v>0</v>
      </c>
      <c r="DL70" s="2000">
        <f>IFERROR(
SUM(DK70,SUMIF(防護具!$B$31:$B$163,DL$23&amp;$B69,防護具!$S$31:$S$163))-DK69,0)</f>
        <v>0</v>
      </c>
      <c r="DM70" s="2000">
        <f>IFERROR(
SUM(DL70,SUMIF(防護具!$B$31:$B$163,DM$23&amp;$B69,防護具!$S$31:$S$163))-DL69,0)</f>
        <v>0</v>
      </c>
      <c r="DN70" s="2000">
        <f>IFERROR(
SUM(DM70,SUMIF(防護具!$B$31:$B$163,DN$23&amp;$B69,防護具!$S$31:$S$163))-DM69,0)</f>
        <v>0</v>
      </c>
      <c r="DO70" s="2000">
        <f>IFERROR(
SUM(DN70,SUMIF(防護具!$B$31:$B$163,DO$23&amp;$B69,防護具!$S$31:$S$163))-DN69,0)</f>
        <v>0</v>
      </c>
      <c r="DP70" s="2000">
        <f>IFERROR(
SUM(DO70,SUMIF(防護具!$B$31:$B$163,DP$23&amp;$B69,防護具!$S$31:$S$163))-DO69,0)</f>
        <v>0</v>
      </c>
      <c r="DQ70" s="2000">
        <f>IFERROR(
SUM(DP70,SUMIF(防護具!$B$31:$B$163,DQ$23&amp;$B69,防護具!$S$31:$S$163))-DP69,0)</f>
        <v>0</v>
      </c>
      <c r="DR70" s="2000">
        <f>IFERROR(
SUM(DQ70,SUMIF(防護具!$B$31:$B$163,DR$23&amp;$B69,防護具!$S$31:$S$163))-DQ69,0)</f>
        <v>0</v>
      </c>
      <c r="DS70" s="2000">
        <f>IFERROR(
SUM(DR70,SUMIF(防護具!$B$31:$B$163,DS$23&amp;$B69,防護具!$S$31:$S$163))-DR69,0)</f>
        <v>0</v>
      </c>
      <c r="DT70" s="2000">
        <f>IFERROR(
SUM(DS70,SUMIF(防護具!$B$31:$B$163,DT$23&amp;$B69,防護具!$S$31:$S$163))-DS69,0)</f>
        <v>0</v>
      </c>
      <c r="DU70" s="2000">
        <f>IFERROR(
SUM(DT70,SUMIF(防護具!$B$31:$B$163,DU$23&amp;$B69,防護具!$S$31:$S$163))-DT69,0)</f>
        <v>0</v>
      </c>
      <c r="DV70" s="2000">
        <f>IFERROR(
SUM(DU70,SUMIF(防護具!$B$31:$B$163,DV$23&amp;$B69,防護具!$S$31:$S$163))-DU69,0)</f>
        <v>0</v>
      </c>
      <c r="DW70" s="2000">
        <f>IFERROR(
SUM(DV70,SUMIF(防護具!$B$31:$B$163,DW$23&amp;$B69,防護具!$S$31:$S$163))-DV69,0)</f>
        <v>0</v>
      </c>
      <c r="DX70" s="2000">
        <f>IFERROR(
SUM(DW70,SUMIF(防護具!$B$31:$B$163,DX$23&amp;$B69,防護具!$S$31:$S$163))-DW69,0)</f>
        <v>0</v>
      </c>
      <c r="DY70" s="2000">
        <f>IFERROR(
SUM(DX70,SUMIF(防護具!$B$31:$B$163,DY$23&amp;$B69,防護具!$S$31:$S$163))-DX69,0)</f>
        <v>0</v>
      </c>
      <c r="DZ70" s="2000">
        <f>IFERROR(
SUM(DY70,SUMIF(防護具!$B$31:$B$163,DZ$23&amp;$B69,防護具!$S$31:$S$163))-DY69,0)</f>
        <v>0</v>
      </c>
      <c r="EA70" s="2000">
        <f>IFERROR(
SUM(DZ70,SUMIF(防護具!$B$31:$B$163,EA$23&amp;$B69,防護具!$S$31:$S$163))-DZ69,0)</f>
        <v>0</v>
      </c>
      <c r="EB70" s="2000">
        <f>IFERROR(
SUM(EA70,SUMIF(防護具!$B$31:$B$163,EB$23&amp;$B69,防護具!$S$31:$S$163))-EA69,0)</f>
        <v>0</v>
      </c>
      <c r="EC70" s="2000">
        <f>IFERROR(
SUM(EB70,SUMIF(防護具!$B$31:$B$163,EC$23&amp;$B69,防護具!$S$31:$S$163))-EB69,0)</f>
        <v>0</v>
      </c>
      <c r="ED70" s="2000">
        <f>IFERROR(
SUM(EC70,SUMIF(防護具!$B$31:$B$163,ED$23&amp;$B69,防護具!$S$31:$S$163))-EC69,0)</f>
        <v>0</v>
      </c>
      <c r="EE70" s="2000">
        <f>IFERROR(
SUM(ED70,SUMIF(防護具!$B$31:$B$163,EE$23&amp;$B69,防護具!$S$31:$S$163))-ED69,0)</f>
        <v>0</v>
      </c>
      <c r="EF70" s="2000">
        <f>IFERROR(
SUM(EE70,SUMIF(防護具!$B$31:$B$163,EF$23&amp;$B69,防護具!$S$31:$S$163))-EE69,0)</f>
        <v>0</v>
      </c>
      <c r="EG70" s="2000">
        <f>IFERROR(
SUM(EF70,SUMIF(防護具!$B$31:$B$163,EG$23&amp;$B69,防護具!$S$31:$S$163))-EF69,0)</f>
        <v>0</v>
      </c>
      <c r="EH70" s="2000">
        <f>IFERROR(
SUM(EG70,SUMIF(防護具!$B$31:$B$163,EH$23&amp;$B69,防護具!$S$31:$S$163))-EG69,0)</f>
        <v>0</v>
      </c>
      <c r="EI70" s="2000">
        <f>IFERROR(
SUM(EH70,SUMIF(防護具!$B$31:$B$163,EI$23&amp;$B69,防護具!$S$31:$S$163))-EH69,0)</f>
        <v>0</v>
      </c>
      <c r="EJ70" s="2000">
        <f>IFERROR(
SUM(EI70,SUMIF(防護具!$B$31:$B$163,EJ$23&amp;$B69,防護具!$S$31:$S$163))-EI69,0)</f>
        <v>0</v>
      </c>
      <c r="EK70" s="2000">
        <f>IFERROR(
SUM(EJ70,SUMIF(防護具!$B$31:$B$163,EK$23&amp;$B69,防護具!$S$31:$S$163))-EJ69,0)</f>
        <v>0</v>
      </c>
      <c r="EL70" s="2000">
        <f>IFERROR(
SUM(EK70,SUMIF(防護具!$B$31:$B$163,EL$23&amp;$B69,防護具!$S$31:$S$163))-EK69,0)</f>
        <v>0</v>
      </c>
      <c r="EM70" s="2000">
        <f>IFERROR(
SUM(EL70,SUMIF(防護具!$B$31:$B$163,EM$23&amp;$B69,防護具!$S$31:$S$163))-EL69,0)</f>
        <v>0</v>
      </c>
      <c r="EN70" s="2000">
        <f>IFERROR(
SUM(EM70,SUMIF(防護具!$B$31:$B$163,EN$23&amp;$B69,防護具!$S$31:$S$163))-EM69,0)</f>
        <v>0</v>
      </c>
      <c r="EO70" s="2000">
        <f>IFERROR(
SUM(EN70,SUMIF(防護具!$B$31:$B$163,EO$23&amp;$B69,防護具!$S$31:$S$163))-EN69,0)</f>
        <v>0</v>
      </c>
      <c r="EP70" s="2000">
        <f>IFERROR(
SUM(EO70,SUMIF(防護具!$B$31:$B$163,EP$23&amp;$B69,防護具!$S$31:$S$163))-EO69,0)</f>
        <v>0</v>
      </c>
      <c r="EQ70" s="2000">
        <f>IFERROR(
SUM(EP70,SUMIF(防護具!$B$31:$B$163,EQ$23&amp;$B69,防護具!$S$31:$S$163))-EP69,0)</f>
        <v>0</v>
      </c>
      <c r="ER70" s="2000">
        <f>IFERROR(
SUM(EQ70,SUMIF(防護具!$B$31:$B$163,ER$23&amp;$B69,防護具!$S$31:$S$163))-EQ69,0)</f>
        <v>0</v>
      </c>
      <c r="ES70" s="2000">
        <f>IFERROR(
SUM(ER70,SUMIF(防護具!$B$31:$B$163,ES$23&amp;$B69,防護具!$S$31:$S$163))-ER69,0)</f>
        <v>0</v>
      </c>
      <c r="ET70" s="2000">
        <f>IFERROR(
SUM(ES70,SUMIF(防護具!$B$31:$B$163,ET$23&amp;$B69,防護具!$S$31:$S$163))-ES69,0)</f>
        <v>0</v>
      </c>
      <c r="EU70" s="2000">
        <f>IFERROR(
SUM(ET70,SUMIF(防護具!$B$31:$B$163,EU$23&amp;$B69,防護具!$S$31:$S$163))-ET69,0)</f>
        <v>0</v>
      </c>
      <c r="EV70" s="2000">
        <f>IFERROR(
SUM(EU70,SUMIF(防護具!$B$31:$B$163,EV$23&amp;$B69,防護具!$S$31:$S$163))-EU69,0)</f>
        <v>0</v>
      </c>
      <c r="EW70" s="2000">
        <f>IFERROR(
SUM(EV70,SUMIF(防護具!$B$31:$B$163,EW$23&amp;$B69,防護具!$S$31:$S$163))-EV69,0)</f>
        <v>0</v>
      </c>
      <c r="EX70" s="2000">
        <f>IFERROR(
SUM(EW70,SUMIF(防護具!$B$31:$B$163,EX$23&amp;$B69,防護具!$S$31:$S$163))-EW69,0)</f>
        <v>0</v>
      </c>
      <c r="EY70" s="2000">
        <f>IFERROR(
SUM(EX70,SUMIF(防護具!$B$31:$B$163,EY$23&amp;$B69,防護具!$S$31:$S$163))-EX69,0)</f>
        <v>0</v>
      </c>
      <c r="EZ70" s="2000">
        <f>IFERROR(
SUM(EY70,SUMIF(防護具!$B$31:$B$163,EZ$23&amp;$B69,防護具!$S$31:$S$163))-EY69,0)</f>
        <v>0</v>
      </c>
      <c r="FA70" s="2000">
        <f>IFERROR(
SUM(EZ70,SUMIF(防護具!$B$31:$B$163,FA$23&amp;$B69,防護具!$S$31:$S$163))-EZ69,0)</f>
        <v>0</v>
      </c>
      <c r="FB70" s="2000">
        <f>IFERROR(
SUM(FA70,SUMIF(防護具!$B$31:$B$163,FB$23&amp;$B69,防護具!$S$31:$S$163))-FA69,0)</f>
        <v>0</v>
      </c>
      <c r="FC70" s="2000">
        <f>IFERROR(
SUM(FB70,SUMIF(防護具!$B$31:$B$163,FC$23&amp;$B69,防護具!$S$31:$S$163))-FB69,0)</f>
        <v>0</v>
      </c>
      <c r="FD70" s="2000">
        <f>IFERROR(
SUM(FC70,SUMIF(防護具!$B$31:$B$163,FD$23&amp;$B69,防護具!$S$31:$S$163))-FC69,0)</f>
        <v>0</v>
      </c>
      <c r="FE70" s="2000">
        <f>IFERROR(
SUM(FD70,SUMIF(防護具!$B$31:$B$163,FE$23&amp;$B69,防護具!$S$31:$S$163))-FD69,0)</f>
        <v>0</v>
      </c>
      <c r="FF70" s="2000">
        <f>IFERROR(
SUM(FE70,SUMIF(防護具!$B$31:$B$163,FF$23&amp;$B69,防護具!$S$31:$S$163))-FE69,0)</f>
        <v>0</v>
      </c>
      <c r="FG70" s="2000">
        <f>IFERROR(
SUM(FF70,SUMIF(防護具!$B$31:$B$163,FG$23&amp;$B69,防護具!$S$31:$S$163))-FF69,0)</f>
        <v>0</v>
      </c>
      <c r="FH70" s="2000">
        <f>IFERROR(
SUM(FG70,SUMIF(防護具!$B$31:$B$163,FH$23&amp;$B69,防護具!$S$31:$S$163))-FG69,0)</f>
        <v>0</v>
      </c>
      <c r="FI70" s="2000">
        <f>IFERROR(
SUM(FH70,SUMIF(防護具!$B$31:$B$163,FI$23&amp;$B69,防護具!$S$31:$S$163))-FH69,0)</f>
        <v>0</v>
      </c>
      <c r="FJ70" s="2000">
        <f>IFERROR(
SUM(FI70,SUMIF(防護具!$B$31:$B$163,FJ$23&amp;$B69,防護具!$S$31:$S$163))-FI69,0)</f>
        <v>0</v>
      </c>
      <c r="FK70" s="2000">
        <f>IFERROR(
SUM(FJ70,SUMIF(防護具!$B$31:$B$163,FK$23&amp;$B69,防護具!$S$31:$S$163))-FJ69,0)</f>
        <v>0</v>
      </c>
      <c r="FL70" s="2000">
        <f>IFERROR(
SUM(FK70,SUMIF(防護具!$B$31:$B$163,FL$23&amp;$B69,防護具!$S$31:$S$163))-FK69,0)</f>
        <v>0</v>
      </c>
      <c r="FM70" s="2000">
        <f>IFERROR(
SUM(FL70,SUMIF(防護具!$B$31:$B$163,FM$23&amp;$B69,防護具!$S$31:$S$163))-FL69,0)</f>
        <v>0</v>
      </c>
      <c r="FN70" s="2000">
        <f>IFERROR(
SUM(FM70,SUMIF(防護具!$B$31:$B$163,FN$23&amp;$B69,防護具!$S$31:$S$163))-FM69,0)</f>
        <v>0</v>
      </c>
      <c r="FO70" s="2000">
        <f>IFERROR(
SUM(FN70,SUMIF(防護具!$B$31:$B$163,FO$23&amp;$B69,防護具!$S$31:$S$163))-FN69,0)</f>
        <v>0</v>
      </c>
      <c r="FP70" s="2000">
        <f>IFERROR(
SUM(FO70,SUMIF(防護具!$B$31:$B$163,FP$23&amp;$B69,防護具!$S$31:$S$163))-FO69,0)</f>
        <v>0</v>
      </c>
      <c r="FQ70" s="2000">
        <f>IFERROR(
SUM(FP70,SUMIF(防護具!$B$31:$B$163,FQ$23&amp;$B69,防護具!$S$31:$S$163))-FP69,0)</f>
        <v>0</v>
      </c>
      <c r="FR70" s="2000">
        <f>IFERROR(
SUM(FQ70,SUMIF(防護具!$B$31:$B$163,FR$23&amp;$B69,防護具!$S$31:$S$163))-FQ69,0)</f>
        <v>0</v>
      </c>
      <c r="FS70" s="2000">
        <f>IFERROR(
SUM(FR70,SUMIF(防護具!$B$31:$B$163,FS$23&amp;$B69,防護具!$S$31:$S$163))-FR69,0)</f>
        <v>0</v>
      </c>
      <c r="FT70" s="2000">
        <f>IFERROR(
SUM(FS70,SUMIF(防護具!$B$31:$B$163,FT$23&amp;$B69,防護具!$S$31:$S$163))-FS69,0)</f>
        <v>0</v>
      </c>
      <c r="FU70" s="2000">
        <f>IFERROR(
SUM(FT70,SUMIF(防護具!$B$31:$B$163,FU$23&amp;$B69,防護具!$S$31:$S$163))-FT69,0)</f>
        <v>0</v>
      </c>
      <c r="FV70" s="2000">
        <f>IFERROR(
SUM(FU70,SUMIF(防護具!$B$31:$B$163,FV$23&amp;$B69,防護具!$S$31:$S$163))-FU69,0)</f>
        <v>0</v>
      </c>
      <c r="FW70" s="2000">
        <f>IFERROR(
SUM(FV70,SUMIF(防護具!$B$31:$B$163,FW$23&amp;$B69,防護具!$S$31:$S$163))-FV69,0)</f>
        <v>0</v>
      </c>
      <c r="FX70" s="2000">
        <f>IFERROR(
SUM(FW70,SUMIF(防護具!$B$31:$B$163,FX$23&amp;$B69,防護具!$S$31:$S$163))-FW69,0)</f>
        <v>0</v>
      </c>
      <c r="FY70" s="2000">
        <f>IFERROR(
SUM(FX70,SUMIF(防護具!$B$31:$B$163,FY$23&amp;$B69,防護具!$S$31:$S$163))-FX69,0)</f>
        <v>0</v>
      </c>
      <c r="FZ70" s="2000">
        <f>IFERROR(
SUM(FY70,SUMIF(防護具!$B$31:$B$163,FZ$23&amp;$B69,防護具!$S$31:$S$163))-FY69,0)</f>
        <v>0</v>
      </c>
      <c r="GA70" s="2000">
        <f>IFERROR(
SUM(FZ70,SUMIF(防護具!$B$31:$B$163,GA$23&amp;$B69,防護具!$S$31:$S$163))-FZ69,0)</f>
        <v>0</v>
      </c>
      <c r="GB70" s="2000">
        <f>IFERROR(
SUM(GA70,SUMIF(防護具!$B$31:$B$163,GB$23&amp;$B69,防護具!$S$31:$S$163))-GA69,0)</f>
        <v>0</v>
      </c>
      <c r="GC70" s="2000">
        <f>IFERROR(
SUM(GB70,SUMIF(防護具!$B$31:$B$163,GC$23&amp;$B69,防護具!$S$31:$S$163))-GB69,0)</f>
        <v>0</v>
      </c>
      <c r="GD70" s="2000">
        <f>IFERROR(
SUM(GC70,SUMIF(防護具!$B$31:$B$163,GD$23&amp;$B69,防護具!$S$31:$S$163))-GC69,0)</f>
        <v>0</v>
      </c>
      <c r="GE70" s="2000">
        <f>IFERROR(
SUM(GD70,SUMIF(防護具!$B$31:$B$163,GE$23&amp;$B69,防護具!$S$31:$S$163))-GD69,0)</f>
        <v>0</v>
      </c>
      <c r="GF70" s="2000">
        <f>IFERROR(
SUM(GE70,SUMIF(防護具!$B$31:$B$163,GF$23&amp;$B69,防護具!$S$31:$S$163))-GE69,0)</f>
        <v>0</v>
      </c>
    </row>
    <row r="71" spans="1:188" s="639" customFormat="1" ht="15" customHeight="1" x14ac:dyDescent="0.4">
      <c r="A71" s="631"/>
      <c r="B71" s="639" t="s">
        <v>1264</v>
      </c>
      <c r="C71" s="1995" t="s">
        <v>1388</v>
      </c>
      <c r="D71" s="1996"/>
      <c r="E71" s="640"/>
      <c r="F71" s="2000">
        <f>SUMIF(防護具!$B$14:$B$30,F$23&amp;B69,防護具!$S$14:$S$30)</f>
        <v>0</v>
      </c>
      <c r="G71" s="2000">
        <f xml:space="preserve">
IF(G$25="休診日",F71,
IF(F71-VLOOKUP(F$22&amp;$B69,$B$96:$D$191,2,FALSE)&lt;0,0,F71-VLOOKUP(F$22&amp;$B69,$B$96:$D$191,2,FALSE)))</f>
        <v>0</v>
      </c>
      <c r="H71" s="2000">
        <f t="shared" ref="H71:BS71" si="73" xml:space="preserve">
IF(H$25="休診日",G71,
IF(G71-VLOOKUP(G$22&amp;$B69,$B$96:$D$191,2,FALSE)&lt;0,0,G71-VLOOKUP(G$22&amp;$B69,$B$96:$D$191,2,FALSE)))</f>
        <v>0</v>
      </c>
      <c r="I71" s="2000">
        <f t="shared" si="73"/>
        <v>0</v>
      </c>
      <c r="J71" s="2000">
        <f t="shared" si="73"/>
        <v>0</v>
      </c>
      <c r="K71" s="2000">
        <f t="shared" si="73"/>
        <v>0</v>
      </c>
      <c r="L71" s="2000">
        <f t="shared" si="73"/>
        <v>0</v>
      </c>
      <c r="M71" s="2000">
        <f t="shared" si="73"/>
        <v>0</v>
      </c>
      <c r="N71" s="2000">
        <f t="shared" si="73"/>
        <v>0</v>
      </c>
      <c r="O71" s="2000">
        <f t="shared" si="73"/>
        <v>0</v>
      </c>
      <c r="P71" s="2000">
        <f t="shared" si="73"/>
        <v>0</v>
      </c>
      <c r="Q71" s="2000">
        <f t="shared" si="73"/>
        <v>0</v>
      </c>
      <c r="R71" s="2000">
        <f t="shared" si="73"/>
        <v>0</v>
      </c>
      <c r="S71" s="2000">
        <f t="shared" si="73"/>
        <v>0</v>
      </c>
      <c r="T71" s="2000">
        <f t="shared" si="73"/>
        <v>0</v>
      </c>
      <c r="U71" s="2000">
        <f t="shared" si="73"/>
        <v>0</v>
      </c>
      <c r="V71" s="2000">
        <f t="shared" si="73"/>
        <v>0</v>
      </c>
      <c r="W71" s="2000">
        <f t="shared" si="73"/>
        <v>0</v>
      </c>
      <c r="X71" s="2000">
        <f t="shared" si="73"/>
        <v>0</v>
      </c>
      <c r="Y71" s="2000">
        <f t="shared" si="73"/>
        <v>0</v>
      </c>
      <c r="Z71" s="2000">
        <f t="shared" si="73"/>
        <v>0</v>
      </c>
      <c r="AA71" s="2000">
        <f t="shared" si="73"/>
        <v>0</v>
      </c>
      <c r="AB71" s="2000">
        <f t="shared" si="73"/>
        <v>0</v>
      </c>
      <c r="AC71" s="2000">
        <f t="shared" si="73"/>
        <v>0</v>
      </c>
      <c r="AD71" s="2000">
        <f t="shared" si="73"/>
        <v>0</v>
      </c>
      <c r="AE71" s="2000">
        <f t="shared" si="73"/>
        <v>0</v>
      </c>
      <c r="AF71" s="2000">
        <f t="shared" si="73"/>
        <v>0</v>
      </c>
      <c r="AG71" s="2000">
        <f t="shared" si="73"/>
        <v>0</v>
      </c>
      <c r="AH71" s="2000">
        <f t="shared" si="73"/>
        <v>0</v>
      </c>
      <c r="AI71" s="2000">
        <f t="shared" si="73"/>
        <v>0</v>
      </c>
      <c r="AJ71" s="2000">
        <f t="shared" si="73"/>
        <v>0</v>
      </c>
      <c r="AK71" s="2000">
        <f t="shared" si="73"/>
        <v>0</v>
      </c>
      <c r="AL71" s="2000">
        <f t="shared" si="73"/>
        <v>0</v>
      </c>
      <c r="AM71" s="2000">
        <f t="shared" si="73"/>
        <v>0</v>
      </c>
      <c r="AN71" s="2000">
        <f t="shared" si="73"/>
        <v>0</v>
      </c>
      <c r="AO71" s="2000">
        <f t="shared" si="73"/>
        <v>0</v>
      </c>
      <c r="AP71" s="2000">
        <f t="shared" si="73"/>
        <v>0</v>
      </c>
      <c r="AQ71" s="2000">
        <f t="shared" si="73"/>
        <v>0</v>
      </c>
      <c r="AR71" s="2000">
        <f t="shared" si="73"/>
        <v>0</v>
      </c>
      <c r="AS71" s="2000">
        <f t="shared" si="73"/>
        <v>0</v>
      </c>
      <c r="AT71" s="2000">
        <f t="shared" si="73"/>
        <v>0</v>
      </c>
      <c r="AU71" s="2000">
        <f t="shared" si="73"/>
        <v>0</v>
      </c>
      <c r="AV71" s="2000">
        <f t="shared" si="73"/>
        <v>0</v>
      </c>
      <c r="AW71" s="2000">
        <f t="shared" si="73"/>
        <v>0</v>
      </c>
      <c r="AX71" s="2000">
        <f t="shared" si="73"/>
        <v>0</v>
      </c>
      <c r="AY71" s="2000">
        <f t="shared" si="73"/>
        <v>0</v>
      </c>
      <c r="AZ71" s="2000">
        <f t="shared" si="73"/>
        <v>0</v>
      </c>
      <c r="BA71" s="2000">
        <f t="shared" si="73"/>
        <v>0</v>
      </c>
      <c r="BB71" s="2000">
        <f t="shared" si="73"/>
        <v>0</v>
      </c>
      <c r="BC71" s="2000">
        <f t="shared" si="73"/>
        <v>0</v>
      </c>
      <c r="BD71" s="2000">
        <f t="shared" si="73"/>
        <v>0</v>
      </c>
      <c r="BE71" s="2000">
        <f t="shared" si="73"/>
        <v>0</v>
      </c>
      <c r="BF71" s="2000">
        <f t="shared" si="73"/>
        <v>0</v>
      </c>
      <c r="BG71" s="2000">
        <f t="shared" si="73"/>
        <v>0</v>
      </c>
      <c r="BH71" s="2000">
        <f t="shared" si="73"/>
        <v>0</v>
      </c>
      <c r="BI71" s="2000">
        <f t="shared" si="73"/>
        <v>0</v>
      </c>
      <c r="BJ71" s="2000">
        <f t="shared" si="73"/>
        <v>0</v>
      </c>
      <c r="BK71" s="2000">
        <f t="shared" si="73"/>
        <v>0</v>
      </c>
      <c r="BL71" s="2000">
        <f t="shared" si="73"/>
        <v>0</v>
      </c>
      <c r="BM71" s="2000">
        <f t="shared" si="73"/>
        <v>0</v>
      </c>
      <c r="BN71" s="2000">
        <f t="shared" si="73"/>
        <v>0</v>
      </c>
      <c r="BO71" s="2000">
        <f t="shared" si="73"/>
        <v>0</v>
      </c>
      <c r="BP71" s="2000">
        <f t="shared" si="73"/>
        <v>0</v>
      </c>
      <c r="BQ71" s="2000">
        <f t="shared" si="73"/>
        <v>0</v>
      </c>
      <c r="BR71" s="2000">
        <f t="shared" si="73"/>
        <v>0</v>
      </c>
      <c r="BS71" s="2000">
        <f t="shared" si="73"/>
        <v>0</v>
      </c>
      <c r="BT71" s="2000">
        <f t="shared" ref="BT71:EE71" si="74" xml:space="preserve">
IF(BT$25="休診日",BS71,
IF(BS71-VLOOKUP(BS$22&amp;$B69,$B$96:$D$191,2,FALSE)&lt;0,0,BS71-VLOOKUP(BS$22&amp;$B69,$B$96:$D$191,2,FALSE)))</f>
        <v>0</v>
      </c>
      <c r="BU71" s="2000">
        <f t="shared" si="74"/>
        <v>0</v>
      </c>
      <c r="BV71" s="2000">
        <f t="shared" si="74"/>
        <v>0</v>
      </c>
      <c r="BW71" s="2000">
        <f t="shared" si="74"/>
        <v>0</v>
      </c>
      <c r="BX71" s="2000">
        <f t="shared" si="74"/>
        <v>0</v>
      </c>
      <c r="BY71" s="2000">
        <f t="shared" si="74"/>
        <v>0</v>
      </c>
      <c r="BZ71" s="2000">
        <f t="shared" si="74"/>
        <v>0</v>
      </c>
      <c r="CA71" s="2000">
        <f t="shared" si="74"/>
        <v>0</v>
      </c>
      <c r="CB71" s="2000">
        <f t="shared" si="74"/>
        <v>0</v>
      </c>
      <c r="CC71" s="2000">
        <f t="shared" si="74"/>
        <v>0</v>
      </c>
      <c r="CD71" s="2000">
        <f t="shared" si="74"/>
        <v>0</v>
      </c>
      <c r="CE71" s="2000">
        <f t="shared" si="74"/>
        <v>0</v>
      </c>
      <c r="CF71" s="2000">
        <f t="shared" si="74"/>
        <v>0</v>
      </c>
      <c r="CG71" s="2000">
        <f t="shared" si="74"/>
        <v>0</v>
      </c>
      <c r="CH71" s="2000">
        <f t="shared" si="74"/>
        <v>0</v>
      </c>
      <c r="CI71" s="2000">
        <f t="shared" si="74"/>
        <v>0</v>
      </c>
      <c r="CJ71" s="2000">
        <f t="shared" si="74"/>
        <v>0</v>
      </c>
      <c r="CK71" s="2000">
        <f t="shared" si="74"/>
        <v>0</v>
      </c>
      <c r="CL71" s="2000">
        <f t="shared" si="74"/>
        <v>0</v>
      </c>
      <c r="CM71" s="2000">
        <f t="shared" si="74"/>
        <v>0</v>
      </c>
      <c r="CN71" s="2000">
        <f t="shared" si="74"/>
        <v>0</v>
      </c>
      <c r="CO71" s="2000">
        <f t="shared" si="74"/>
        <v>0</v>
      </c>
      <c r="CP71" s="2000">
        <f t="shared" si="74"/>
        <v>0</v>
      </c>
      <c r="CQ71" s="2000">
        <f t="shared" si="74"/>
        <v>0</v>
      </c>
      <c r="CR71" s="2000">
        <f t="shared" si="74"/>
        <v>0</v>
      </c>
      <c r="CS71" s="2000">
        <f t="shared" si="74"/>
        <v>0</v>
      </c>
      <c r="CT71" s="2000">
        <f t="shared" si="74"/>
        <v>0</v>
      </c>
      <c r="CU71" s="2000">
        <f t="shared" si="74"/>
        <v>0</v>
      </c>
      <c r="CV71" s="2000">
        <f t="shared" si="74"/>
        <v>0</v>
      </c>
      <c r="CW71" s="2000">
        <f t="shared" si="74"/>
        <v>0</v>
      </c>
      <c r="CX71" s="2000">
        <f t="shared" si="74"/>
        <v>0</v>
      </c>
      <c r="CY71" s="2000">
        <f t="shared" si="74"/>
        <v>0</v>
      </c>
      <c r="CZ71" s="2000">
        <f t="shared" si="74"/>
        <v>0</v>
      </c>
      <c r="DA71" s="2000">
        <f t="shared" si="74"/>
        <v>0</v>
      </c>
      <c r="DB71" s="2000">
        <f t="shared" si="74"/>
        <v>0</v>
      </c>
      <c r="DC71" s="2000">
        <f t="shared" si="74"/>
        <v>0</v>
      </c>
      <c r="DD71" s="2000">
        <f t="shared" si="74"/>
        <v>0</v>
      </c>
      <c r="DE71" s="2000">
        <f t="shared" si="74"/>
        <v>0</v>
      </c>
      <c r="DF71" s="2000">
        <f t="shared" si="74"/>
        <v>0</v>
      </c>
      <c r="DG71" s="2000">
        <f t="shared" si="74"/>
        <v>0</v>
      </c>
      <c r="DH71" s="2000">
        <f t="shared" si="74"/>
        <v>0</v>
      </c>
      <c r="DI71" s="2000">
        <f t="shared" si="74"/>
        <v>0</v>
      </c>
      <c r="DJ71" s="2000">
        <f t="shared" si="74"/>
        <v>0</v>
      </c>
      <c r="DK71" s="2000">
        <f t="shared" si="74"/>
        <v>0</v>
      </c>
      <c r="DL71" s="2000">
        <f t="shared" si="74"/>
        <v>0</v>
      </c>
      <c r="DM71" s="2000">
        <f t="shared" si="74"/>
        <v>0</v>
      </c>
      <c r="DN71" s="2000">
        <f t="shared" si="74"/>
        <v>0</v>
      </c>
      <c r="DO71" s="2000">
        <f t="shared" si="74"/>
        <v>0</v>
      </c>
      <c r="DP71" s="2000">
        <f t="shared" si="74"/>
        <v>0</v>
      </c>
      <c r="DQ71" s="2000">
        <f t="shared" si="74"/>
        <v>0</v>
      </c>
      <c r="DR71" s="2000">
        <f t="shared" si="74"/>
        <v>0</v>
      </c>
      <c r="DS71" s="2000">
        <f t="shared" si="74"/>
        <v>0</v>
      </c>
      <c r="DT71" s="2000">
        <f t="shared" si="74"/>
        <v>0</v>
      </c>
      <c r="DU71" s="2000">
        <f t="shared" si="74"/>
        <v>0</v>
      </c>
      <c r="DV71" s="2000">
        <f t="shared" si="74"/>
        <v>0</v>
      </c>
      <c r="DW71" s="2000">
        <f t="shared" si="74"/>
        <v>0</v>
      </c>
      <c r="DX71" s="2000">
        <f t="shared" si="74"/>
        <v>0</v>
      </c>
      <c r="DY71" s="2000">
        <f t="shared" si="74"/>
        <v>0</v>
      </c>
      <c r="DZ71" s="2000">
        <f t="shared" si="74"/>
        <v>0</v>
      </c>
      <c r="EA71" s="2000">
        <f t="shared" si="74"/>
        <v>0</v>
      </c>
      <c r="EB71" s="2000">
        <f t="shared" si="74"/>
        <v>0</v>
      </c>
      <c r="EC71" s="2000">
        <f t="shared" si="74"/>
        <v>0</v>
      </c>
      <c r="ED71" s="2000">
        <f t="shared" si="74"/>
        <v>0</v>
      </c>
      <c r="EE71" s="2000">
        <f t="shared" si="74"/>
        <v>0</v>
      </c>
      <c r="EF71" s="2000">
        <f t="shared" ref="EF71:GF71" si="75" xml:space="preserve">
IF(EF$25="休診日",EE71,
IF(EE71-VLOOKUP(EE$22&amp;$B69,$B$96:$D$191,2,FALSE)&lt;0,0,EE71-VLOOKUP(EE$22&amp;$B69,$B$96:$D$191,2,FALSE)))</f>
        <v>0</v>
      </c>
      <c r="EG71" s="2000">
        <f t="shared" si="75"/>
        <v>0</v>
      </c>
      <c r="EH71" s="2000">
        <f t="shared" si="75"/>
        <v>0</v>
      </c>
      <c r="EI71" s="2000">
        <f t="shared" si="75"/>
        <v>0</v>
      </c>
      <c r="EJ71" s="2000">
        <f t="shared" si="75"/>
        <v>0</v>
      </c>
      <c r="EK71" s="2000">
        <f t="shared" si="75"/>
        <v>0</v>
      </c>
      <c r="EL71" s="2000">
        <f t="shared" si="75"/>
        <v>0</v>
      </c>
      <c r="EM71" s="2000">
        <f t="shared" si="75"/>
        <v>0</v>
      </c>
      <c r="EN71" s="2000">
        <f t="shared" si="75"/>
        <v>0</v>
      </c>
      <c r="EO71" s="2000">
        <f t="shared" si="75"/>
        <v>0</v>
      </c>
      <c r="EP71" s="2000">
        <f t="shared" si="75"/>
        <v>0</v>
      </c>
      <c r="EQ71" s="2000">
        <f t="shared" si="75"/>
        <v>0</v>
      </c>
      <c r="ER71" s="2000">
        <f t="shared" si="75"/>
        <v>0</v>
      </c>
      <c r="ES71" s="2000">
        <f t="shared" si="75"/>
        <v>0</v>
      </c>
      <c r="ET71" s="2000">
        <f t="shared" si="75"/>
        <v>0</v>
      </c>
      <c r="EU71" s="2000">
        <f t="shared" si="75"/>
        <v>0</v>
      </c>
      <c r="EV71" s="2000">
        <f t="shared" si="75"/>
        <v>0</v>
      </c>
      <c r="EW71" s="2000">
        <f t="shared" si="75"/>
        <v>0</v>
      </c>
      <c r="EX71" s="2000">
        <f t="shared" si="75"/>
        <v>0</v>
      </c>
      <c r="EY71" s="2000">
        <f t="shared" si="75"/>
        <v>0</v>
      </c>
      <c r="EZ71" s="2000">
        <f t="shared" si="75"/>
        <v>0</v>
      </c>
      <c r="FA71" s="2000">
        <f t="shared" si="75"/>
        <v>0</v>
      </c>
      <c r="FB71" s="2000">
        <f t="shared" si="75"/>
        <v>0</v>
      </c>
      <c r="FC71" s="2000">
        <f t="shared" si="75"/>
        <v>0</v>
      </c>
      <c r="FD71" s="2000">
        <f t="shared" si="75"/>
        <v>0</v>
      </c>
      <c r="FE71" s="2000">
        <f t="shared" si="75"/>
        <v>0</v>
      </c>
      <c r="FF71" s="2000">
        <f t="shared" si="75"/>
        <v>0</v>
      </c>
      <c r="FG71" s="2000">
        <f t="shared" si="75"/>
        <v>0</v>
      </c>
      <c r="FH71" s="2000">
        <f t="shared" si="75"/>
        <v>0</v>
      </c>
      <c r="FI71" s="2000">
        <f t="shared" si="75"/>
        <v>0</v>
      </c>
      <c r="FJ71" s="2000">
        <f t="shared" si="75"/>
        <v>0</v>
      </c>
      <c r="FK71" s="2000">
        <f t="shared" si="75"/>
        <v>0</v>
      </c>
      <c r="FL71" s="2000">
        <f t="shared" si="75"/>
        <v>0</v>
      </c>
      <c r="FM71" s="2000">
        <f t="shared" si="75"/>
        <v>0</v>
      </c>
      <c r="FN71" s="2000">
        <f t="shared" si="75"/>
        <v>0</v>
      </c>
      <c r="FO71" s="2000">
        <f t="shared" si="75"/>
        <v>0</v>
      </c>
      <c r="FP71" s="2000">
        <f t="shared" si="75"/>
        <v>0</v>
      </c>
      <c r="FQ71" s="2000">
        <f t="shared" si="75"/>
        <v>0</v>
      </c>
      <c r="FR71" s="2000">
        <f t="shared" si="75"/>
        <v>0</v>
      </c>
      <c r="FS71" s="2000">
        <f t="shared" si="75"/>
        <v>0</v>
      </c>
      <c r="FT71" s="2000">
        <f t="shared" si="75"/>
        <v>0</v>
      </c>
      <c r="FU71" s="2000">
        <f t="shared" si="75"/>
        <v>0</v>
      </c>
      <c r="FV71" s="2000">
        <f t="shared" si="75"/>
        <v>0</v>
      </c>
      <c r="FW71" s="2000">
        <f t="shared" si="75"/>
        <v>0</v>
      </c>
      <c r="FX71" s="2000">
        <f t="shared" si="75"/>
        <v>0</v>
      </c>
      <c r="FY71" s="2000">
        <f t="shared" si="75"/>
        <v>0</v>
      </c>
      <c r="FZ71" s="2000">
        <f t="shared" si="75"/>
        <v>0</v>
      </c>
      <c r="GA71" s="2000">
        <f t="shared" si="75"/>
        <v>0</v>
      </c>
      <c r="GB71" s="2000">
        <f t="shared" si="75"/>
        <v>0</v>
      </c>
      <c r="GC71" s="2000">
        <f t="shared" si="75"/>
        <v>0</v>
      </c>
      <c r="GD71" s="2000">
        <f t="shared" si="75"/>
        <v>0</v>
      </c>
      <c r="GE71" s="2000">
        <f t="shared" si="75"/>
        <v>0</v>
      </c>
      <c r="GF71" s="2000">
        <f t="shared" si="75"/>
        <v>0</v>
      </c>
    </row>
    <row r="72" spans="1:188" s="641" customFormat="1" ht="15" customHeight="1" x14ac:dyDescent="0.4">
      <c r="A72" s="631"/>
      <c r="B72" s="641" t="s">
        <v>1019</v>
      </c>
      <c r="C72" s="1989" t="s">
        <v>1386</v>
      </c>
      <c r="D72" s="1992"/>
      <c r="E72" s="642"/>
      <c r="F72" s="1998">
        <f xml:space="preserve">
IF($F$25="休診日",0,
MIN(F73,IF((VLOOKUP($F$22&amp;$B72,$B$96:$D$191,2,FALSE)-F74)&lt;0,0,VLOOKUP($F$22&amp;$B72,$B$96:$D$191,2,FALSE)-F74)))</f>
        <v>0</v>
      </c>
      <c r="G72" s="1998">
        <f xml:space="preserve">
IF(G$25="休診日",0,
IF(G74&gt;=VLOOKUP(G$22&amp;$B72,$B$96:$D$191,2,FALSE),0,
IF(AND(G74&lt;VLOOKUP(G$22&amp;$B72,$B$96:$D$191,2,FALSE),G73&lt;=VLOOKUP(G$22&amp;$B72,$B$96:$D$191,2,FALSE)),IF(G73-G74&lt;0,0,G73-G74),
IF(AND(G74&lt;VLOOKUP(G$22&amp;$B72,$B$96:$D$191,2,FALSE),G73&gt;VLOOKUP(G$22&amp;$B72,$B$96:$D$191,2,FALSE)),VLOOKUP(G$22&amp;$B72,$B$96:$D$191,2,FALSE)-G74))))</f>
        <v>0</v>
      </c>
      <c r="H72" s="1998">
        <f t="shared" ref="H72:BS72" si="76" xml:space="preserve">
IF(H$25="休診日",0,
IF(H74&gt;=VLOOKUP(H$22&amp;$B72,$B$96:$D$191,2,FALSE),0,
IF(AND(H74&lt;VLOOKUP(H$22&amp;$B72,$B$96:$D$191,2,FALSE),H73&lt;=VLOOKUP(H$22&amp;$B72,$B$96:$D$191,2,FALSE)),IF(H73-H74&lt;0,0,H73-H74),
IF(AND(H74&lt;VLOOKUP(H$22&amp;$B72,$B$96:$D$191,2,FALSE),H73&gt;VLOOKUP(H$22&amp;$B72,$B$96:$D$191,2,FALSE)),VLOOKUP(H$22&amp;$B72,$B$96:$D$191,2,FALSE)-H74))))</f>
        <v>0</v>
      </c>
      <c r="I72" s="1998">
        <f t="shared" si="76"/>
        <v>0</v>
      </c>
      <c r="J72" s="1998">
        <f t="shared" si="76"/>
        <v>0</v>
      </c>
      <c r="K72" s="1998">
        <f t="shared" si="76"/>
        <v>0</v>
      </c>
      <c r="L72" s="1998">
        <f t="shared" si="76"/>
        <v>0</v>
      </c>
      <c r="M72" s="1998">
        <f t="shared" si="76"/>
        <v>0</v>
      </c>
      <c r="N72" s="1998">
        <f t="shared" si="76"/>
        <v>0</v>
      </c>
      <c r="O72" s="1998">
        <f t="shared" si="76"/>
        <v>0</v>
      </c>
      <c r="P72" s="1998">
        <f t="shared" si="76"/>
        <v>0</v>
      </c>
      <c r="Q72" s="1998">
        <f t="shared" si="76"/>
        <v>0</v>
      </c>
      <c r="R72" s="1998">
        <f t="shared" si="76"/>
        <v>0</v>
      </c>
      <c r="S72" s="1998">
        <f t="shared" si="76"/>
        <v>0</v>
      </c>
      <c r="T72" s="1998">
        <f t="shared" si="76"/>
        <v>0</v>
      </c>
      <c r="U72" s="1998">
        <f t="shared" si="76"/>
        <v>0</v>
      </c>
      <c r="V72" s="1998">
        <f t="shared" si="76"/>
        <v>0</v>
      </c>
      <c r="W72" s="1998">
        <f t="shared" si="76"/>
        <v>0</v>
      </c>
      <c r="X72" s="1998">
        <f t="shared" si="76"/>
        <v>0</v>
      </c>
      <c r="Y72" s="1998">
        <f t="shared" si="76"/>
        <v>0</v>
      </c>
      <c r="Z72" s="1998">
        <f t="shared" si="76"/>
        <v>0</v>
      </c>
      <c r="AA72" s="1998">
        <f t="shared" si="76"/>
        <v>0</v>
      </c>
      <c r="AB72" s="1998">
        <f t="shared" si="76"/>
        <v>0</v>
      </c>
      <c r="AC72" s="1998">
        <f t="shared" si="76"/>
        <v>0</v>
      </c>
      <c r="AD72" s="1998">
        <f t="shared" si="76"/>
        <v>0</v>
      </c>
      <c r="AE72" s="1998">
        <f t="shared" si="76"/>
        <v>0</v>
      </c>
      <c r="AF72" s="1998">
        <f t="shared" si="76"/>
        <v>0</v>
      </c>
      <c r="AG72" s="1998">
        <f t="shared" si="76"/>
        <v>0</v>
      </c>
      <c r="AH72" s="1998">
        <f t="shared" si="76"/>
        <v>0</v>
      </c>
      <c r="AI72" s="1998">
        <f t="shared" si="76"/>
        <v>0</v>
      </c>
      <c r="AJ72" s="1998">
        <f t="shared" si="76"/>
        <v>0</v>
      </c>
      <c r="AK72" s="1998">
        <f t="shared" si="76"/>
        <v>0</v>
      </c>
      <c r="AL72" s="1998">
        <f t="shared" si="76"/>
        <v>0</v>
      </c>
      <c r="AM72" s="1998">
        <f t="shared" si="76"/>
        <v>0</v>
      </c>
      <c r="AN72" s="1998">
        <f t="shared" si="76"/>
        <v>0</v>
      </c>
      <c r="AO72" s="1998">
        <f t="shared" si="76"/>
        <v>0</v>
      </c>
      <c r="AP72" s="1998">
        <f t="shared" si="76"/>
        <v>0</v>
      </c>
      <c r="AQ72" s="1998">
        <f t="shared" si="76"/>
        <v>0</v>
      </c>
      <c r="AR72" s="1998">
        <f t="shared" si="76"/>
        <v>0</v>
      </c>
      <c r="AS72" s="1998">
        <f t="shared" si="76"/>
        <v>0</v>
      </c>
      <c r="AT72" s="1998">
        <f t="shared" si="76"/>
        <v>0</v>
      </c>
      <c r="AU72" s="1998">
        <f t="shared" si="76"/>
        <v>0</v>
      </c>
      <c r="AV72" s="1998">
        <f t="shared" si="76"/>
        <v>0</v>
      </c>
      <c r="AW72" s="1998">
        <f t="shared" si="76"/>
        <v>0</v>
      </c>
      <c r="AX72" s="1998">
        <f t="shared" si="76"/>
        <v>0</v>
      </c>
      <c r="AY72" s="1998">
        <f t="shared" si="76"/>
        <v>0</v>
      </c>
      <c r="AZ72" s="1998">
        <f t="shared" si="76"/>
        <v>0</v>
      </c>
      <c r="BA72" s="1998">
        <f t="shared" si="76"/>
        <v>0</v>
      </c>
      <c r="BB72" s="1998">
        <f t="shared" si="76"/>
        <v>0</v>
      </c>
      <c r="BC72" s="1998">
        <f t="shared" si="76"/>
        <v>0</v>
      </c>
      <c r="BD72" s="1998">
        <f t="shared" si="76"/>
        <v>0</v>
      </c>
      <c r="BE72" s="1998">
        <f t="shared" si="76"/>
        <v>0</v>
      </c>
      <c r="BF72" s="1998">
        <f t="shared" si="76"/>
        <v>0</v>
      </c>
      <c r="BG72" s="1998">
        <f t="shared" si="76"/>
        <v>0</v>
      </c>
      <c r="BH72" s="1998">
        <f t="shared" si="76"/>
        <v>0</v>
      </c>
      <c r="BI72" s="1998">
        <f t="shared" si="76"/>
        <v>0</v>
      </c>
      <c r="BJ72" s="1998">
        <f t="shared" si="76"/>
        <v>0</v>
      </c>
      <c r="BK72" s="1998">
        <f t="shared" si="76"/>
        <v>0</v>
      </c>
      <c r="BL72" s="1998">
        <f t="shared" si="76"/>
        <v>0</v>
      </c>
      <c r="BM72" s="1998">
        <f t="shared" si="76"/>
        <v>0</v>
      </c>
      <c r="BN72" s="1998">
        <f t="shared" si="76"/>
        <v>0</v>
      </c>
      <c r="BO72" s="1998">
        <f t="shared" si="76"/>
        <v>0</v>
      </c>
      <c r="BP72" s="1998">
        <f t="shared" si="76"/>
        <v>0</v>
      </c>
      <c r="BQ72" s="1998">
        <f t="shared" si="76"/>
        <v>0</v>
      </c>
      <c r="BR72" s="1998">
        <f t="shared" si="76"/>
        <v>0</v>
      </c>
      <c r="BS72" s="1998">
        <f t="shared" si="76"/>
        <v>0</v>
      </c>
      <c r="BT72" s="1998">
        <f t="shared" ref="BT72:EE72" si="77" xml:space="preserve">
IF(BT$25="休診日",0,
IF(BT74&gt;=VLOOKUP(BT$22&amp;$B72,$B$96:$D$191,2,FALSE),0,
IF(AND(BT74&lt;VLOOKUP(BT$22&amp;$B72,$B$96:$D$191,2,FALSE),BT73&lt;=VLOOKUP(BT$22&amp;$B72,$B$96:$D$191,2,FALSE)),IF(BT73-BT74&lt;0,0,BT73-BT74),
IF(AND(BT74&lt;VLOOKUP(BT$22&amp;$B72,$B$96:$D$191,2,FALSE),BT73&gt;VLOOKUP(BT$22&amp;$B72,$B$96:$D$191,2,FALSE)),VLOOKUP(BT$22&amp;$B72,$B$96:$D$191,2,FALSE)-BT74))))</f>
        <v>0</v>
      </c>
      <c r="BU72" s="1998">
        <f t="shared" si="77"/>
        <v>0</v>
      </c>
      <c r="BV72" s="1998">
        <f t="shared" si="77"/>
        <v>0</v>
      </c>
      <c r="BW72" s="1998">
        <f t="shared" si="77"/>
        <v>0</v>
      </c>
      <c r="BX72" s="1998">
        <f t="shared" si="77"/>
        <v>0</v>
      </c>
      <c r="BY72" s="1998">
        <f t="shared" si="77"/>
        <v>0</v>
      </c>
      <c r="BZ72" s="1998">
        <f t="shared" si="77"/>
        <v>0</v>
      </c>
      <c r="CA72" s="1998">
        <f t="shared" si="77"/>
        <v>0</v>
      </c>
      <c r="CB72" s="1998">
        <f t="shared" si="77"/>
        <v>0</v>
      </c>
      <c r="CC72" s="1998">
        <f t="shared" si="77"/>
        <v>0</v>
      </c>
      <c r="CD72" s="1998">
        <f t="shared" si="77"/>
        <v>0</v>
      </c>
      <c r="CE72" s="1998">
        <f t="shared" si="77"/>
        <v>0</v>
      </c>
      <c r="CF72" s="1998">
        <f t="shared" si="77"/>
        <v>0</v>
      </c>
      <c r="CG72" s="1998">
        <f t="shared" si="77"/>
        <v>0</v>
      </c>
      <c r="CH72" s="1998">
        <f t="shared" si="77"/>
        <v>0</v>
      </c>
      <c r="CI72" s="1998">
        <f t="shared" si="77"/>
        <v>0</v>
      </c>
      <c r="CJ72" s="1998">
        <f t="shared" si="77"/>
        <v>0</v>
      </c>
      <c r="CK72" s="1998">
        <f t="shared" si="77"/>
        <v>0</v>
      </c>
      <c r="CL72" s="1998">
        <f t="shared" si="77"/>
        <v>0</v>
      </c>
      <c r="CM72" s="1998">
        <f t="shared" si="77"/>
        <v>0</v>
      </c>
      <c r="CN72" s="1998">
        <f t="shared" si="77"/>
        <v>0</v>
      </c>
      <c r="CO72" s="1998">
        <f t="shared" si="77"/>
        <v>0</v>
      </c>
      <c r="CP72" s="1998">
        <f t="shared" si="77"/>
        <v>0</v>
      </c>
      <c r="CQ72" s="1998">
        <f t="shared" si="77"/>
        <v>0</v>
      </c>
      <c r="CR72" s="1998">
        <f t="shared" si="77"/>
        <v>0</v>
      </c>
      <c r="CS72" s="1998">
        <f t="shared" si="77"/>
        <v>0</v>
      </c>
      <c r="CT72" s="1998">
        <f t="shared" si="77"/>
        <v>0</v>
      </c>
      <c r="CU72" s="1998">
        <f t="shared" si="77"/>
        <v>0</v>
      </c>
      <c r="CV72" s="1998">
        <f t="shared" si="77"/>
        <v>0</v>
      </c>
      <c r="CW72" s="1998">
        <f t="shared" si="77"/>
        <v>0</v>
      </c>
      <c r="CX72" s="1998">
        <f t="shared" si="77"/>
        <v>0</v>
      </c>
      <c r="CY72" s="1998">
        <f t="shared" si="77"/>
        <v>0</v>
      </c>
      <c r="CZ72" s="1998">
        <f t="shared" si="77"/>
        <v>0</v>
      </c>
      <c r="DA72" s="1998">
        <f t="shared" si="77"/>
        <v>0</v>
      </c>
      <c r="DB72" s="1998">
        <f t="shared" si="77"/>
        <v>0</v>
      </c>
      <c r="DC72" s="1998">
        <f t="shared" si="77"/>
        <v>0</v>
      </c>
      <c r="DD72" s="1998">
        <f t="shared" si="77"/>
        <v>0</v>
      </c>
      <c r="DE72" s="1998">
        <f t="shared" si="77"/>
        <v>0</v>
      </c>
      <c r="DF72" s="1998">
        <f t="shared" si="77"/>
        <v>0</v>
      </c>
      <c r="DG72" s="1998">
        <f t="shared" si="77"/>
        <v>0</v>
      </c>
      <c r="DH72" s="1998">
        <f t="shared" si="77"/>
        <v>0</v>
      </c>
      <c r="DI72" s="1998">
        <f t="shared" si="77"/>
        <v>0</v>
      </c>
      <c r="DJ72" s="1998">
        <f t="shared" si="77"/>
        <v>0</v>
      </c>
      <c r="DK72" s="1998">
        <f t="shared" si="77"/>
        <v>0</v>
      </c>
      <c r="DL72" s="1998">
        <f t="shared" si="77"/>
        <v>0</v>
      </c>
      <c r="DM72" s="1998">
        <f t="shared" si="77"/>
        <v>0</v>
      </c>
      <c r="DN72" s="1998">
        <f t="shared" si="77"/>
        <v>0</v>
      </c>
      <c r="DO72" s="1998">
        <f t="shared" si="77"/>
        <v>0</v>
      </c>
      <c r="DP72" s="1998">
        <f t="shared" si="77"/>
        <v>0</v>
      </c>
      <c r="DQ72" s="1998">
        <f t="shared" si="77"/>
        <v>0</v>
      </c>
      <c r="DR72" s="1998">
        <f t="shared" si="77"/>
        <v>0</v>
      </c>
      <c r="DS72" s="1998">
        <f t="shared" si="77"/>
        <v>0</v>
      </c>
      <c r="DT72" s="1998">
        <f t="shared" si="77"/>
        <v>0</v>
      </c>
      <c r="DU72" s="1998">
        <f t="shared" si="77"/>
        <v>0</v>
      </c>
      <c r="DV72" s="1998">
        <f t="shared" si="77"/>
        <v>0</v>
      </c>
      <c r="DW72" s="1998">
        <f t="shared" si="77"/>
        <v>0</v>
      </c>
      <c r="DX72" s="1998">
        <f t="shared" si="77"/>
        <v>0</v>
      </c>
      <c r="DY72" s="1998">
        <f t="shared" si="77"/>
        <v>0</v>
      </c>
      <c r="DZ72" s="1998">
        <f t="shared" si="77"/>
        <v>0</v>
      </c>
      <c r="EA72" s="1998">
        <f t="shared" si="77"/>
        <v>0</v>
      </c>
      <c r="EB72" s="1998">
        <f t="shared" si="77"/>
        <v>0</v>
      </c>
      <c r="EC72" s="1998">
        <f t="shared" si="77"/>
        <v>0</v>
      </c>
      <c r="ED72" s="1998">
        <f t="shared" si="77"/>
        <v>0</v>
      </c>
      <c r="EE72" s="1998">
        <f t="shared" si="77"/>
        <v>0</v>
      </c>
      <c r="EF72" s="1998">
        <f t="shared" ref="EF72:GE72" si="78" xml:space="preserve">
IF(EF$25="休診日",0,
IF(EF74&gt;=VLOOKUP(EF$22&amp;$B72,$B$96:$D$191,2,FALSE),0,
IF(AND(EF74&lt;VLOOKUP(EF$22&amp;$B72,$B$96:$D$191,2,FALSE),EF73&lt;=VLOOKUP(EF$22&amp;$B72,$B$96:$D$191,2,FALSE)),IF(EF73-EF74&lt;0,0,EF73-EF74),
IF(AND(EF74&lt;VLOOKUP(EF$22&amp;$B72,$B$96:$D$191,2,FALSE),EF73&gt;VLOOKUP(EF$22&amp;$B72,$B$96:$D$191,2,FALSE)),VLOOKUP(EF$22&amp;$B72,$B$96:$D$191,2,FALSE)-EF74))))</f>
        <v>0</v>
      </c>
      <c r="EG72" s="1998">
        <f t="shared" si="78"/>
        <v>0</v>
      </c>
      <c r="EH72" s="1998">
        <f t="shared" si="78"/>
        <v>0</v>
      </c>
      <c r="EI72" s="1998">
        <f t="shared" si="78"/>
        <v>0</v>
      </c>
      <c r="EJ72" s="1998">
        <f t="shared" si="78"/>
        <v>0</v>
      </c>
      <c r="EK72" s="1998">
        <f t="shared" si="78"/>
        <v>0</v>
      </c>
      <c r="EL72" s="1998">
        <f t="shared" si="78"/>
        <v>0</v>
      </c>
      <c r="EM72" s="1998">
        <f t="shared" si="78"/>
        <v>0</v>
      </c>
      <c r="EN72" s="1998">
        <f t="shared" si="78"/>
        <v>0</v>
      </c>
      <c r="EO72" s="1998">
        <f t="shared" si="78"/>
        <v>0</v>
      </c>
      <c r="EP72" s="1998">
        <f t="shared" si="78"/>
        <v>0</v>
      </c>
      <c r="EQ72" s="1998">
        <f t="shared" si="78"/>
        <v>0</v>
      </c>
      <c r="ER72" s="1998">
        <f t="shared" si="78"/>
        <v>0</v>
      </c>
      <c r="ES72" s="1998">
        <f t="shared" si="78"/>
        <v>0</v>
      </c>
      <c r="ET72" s="1998">
        <f t="shared" si="78"/>
        <v>0</v>
      </c>
      <c r="EU72" s="1998">
        <f t="shared" si="78"/>
        <v>0</v>
      </c>
      <c r="EV72" s="1998">
        <f t="shared" si="78"/>
        <v>0</v>
      </c>
      <c r="EW72" s="1998">
        <f t="shared" si="78"/>
        <v>0</v>
      </c>
      <c r="EX72" s="1998">
        <f t="shared" si="78"/>
        <v>0</v>
      </c>
      <c r="EY72" s="1998">
        <f t="shared" si="78"/>
        <v>0</v>
      </c>
      <c r="EZ72" s="1998">
        <f t="shared" si="78"/>
        <v>0</v>
      </c>
      <c r="FA72" s="1998">
        <f t="shared" si="78"/>
        <v>0</v>
      </c>
      <c r="FB72" s="1998">
        <f t="shared" si="78"/>
        <v>0</v>
      </c>
      <c r="FC72" s="1998">
        <f t="shared" si="78"/>
        <v>0</v>
      </c>
      <c r="FD72" s="1998">
        <f t="shared" si="78"/>
        <v>0</v>
      </c>
      <c r="FE72" s="1998">
        <f t="shared" si="78"/>
        <v>0</v>
      </c>
      <c r="FF72" s="1998">
        <f t="shared" si="78"/>
        <v>0</v>
      </c>
      <c r="FG72" s="1998">
        <f t="shared" si="78"/>
        <v>0</v>
      </c>
      <c r="FH72" s="1998">
        <f t="shared" si="78"/>
        <v>0</v>
      </c>
      <c r="FI72" s="1998">
        <f t="shared" si="78"/>
        <v>0</v>
      </c>
      <c r="FJ72" s="1998">
        <f t="shared" si="78"/>
        <v>0</v>
      </c>
      <c r="FK72" s="1998">
        <f t="shared" si="78"/>
        <v>0</v>
      </c>
      <c r="FL72" s="1998">
        <f t="shared" si="78"/>
        <v>0</v>
      </c>
      <c r="FM72" s="1998">
        <f t="shared" si="78"/>
        <v>0</v>
      </c>
      <c r="FN72" s="1998">
        <f t="shared" si="78"/>
        <v>0</v>
      </c>
      <c r="FO72" s="1998">
        <f t="shared" si="78"/>
        <v>0</v>
      </c>
      <c r="FP72" s="1998">
        <f t="shared" si="78"/>
        <v>0</v>
      </c>
      <c r="FQ72" s="1998">
        <f t="shared" si="78"/>
        <v>0</v>
      </c>
      <c r="FR72" s="1998">
        <f t="shared" si="78"/>
        <v>0</v>
      </c>
      <c r="FS72" s="1998">
        <f t="shared" si="78"/>
        <v>0</v>
      </c>
      <c r="FT72" s="1998">
        <f t="shared" si="78"/>
        <v>0</v>
      </c>
      <c r="FU72" s="1998">
        <f t="shared" si="78"/>
        <v>0</v>
      </c>
      <c r="FV72" s="1998">
        <f t="shared" si="78"/>
        <v>0</v>
      </c>
      <c r="FW72" s="1998">
        <f t="shared" si="78"/>
        <v>0</v>
      </c>
      <c r="FX72" s="1998">
        <f t="shared" si="78"/>
        <v>0</v>
      </c>
      <c r="FY72" s="1998">
        <f t="shared" si="78"/>
        <v>0</v>
      </c>
      <c r="FZ72" s="1998">
        <f t="shared" si="78"/>
        <v>0</v>
      </c>
      <c r="GA72" s="1998">
        <f t="shared" si="78"/>
        <v>0</v>
      </c>
      <c r="GB72" s="1998">
        <f t="shared" si="78"/>
        <v>0</v>
      </c>
      <c r="GC72" s="1998">
        <f t="shared" si="78"/>
        <v>0</v>
      </c>
      <c r="GD72" s="1998">
        <f t="shared" si="78"/>
        <v>0</v>
      </c>
      <c r="GE72" s="1998">
        <f t="shared" si="78"/>
        <v>0</v>
      </c>
      <c r="GF72" s="1998">
        <f xml:space="preserve">
IF(GF$25="休診日",0,
IF(GF74&gt;=VLOOKUP(GF$22&amp;$B72,$B$96:$D$191,2,FALSE),0,
IF(AND(GF74&lt;VLOOKUP(GF$22&amp;$B72,$B$96:$D$191,2,FALSE),GF73&lt;=VLOOKUP(GF$22&amp;$B72,$B$96:$D$191,2,FALSE)),IF(GF73-GF74&lt;0,0,GF73-GF74),
IF(AND(GF74&lt;VLOOKUP(GF$22&amp;$B72,$B$96:$D$191,2,FALSE),GF73&gt;VLOOKUP(GF$22&amp;$B72,$B$96:$D$191,2,FALSE)),VLOOKUP(GF$22&amp;$B72,$B$96:$D$191,2,FALSE)-GF74))))</f>
        <v>0</v>
      </c>
    </row>
    <row r="73" spans="1:188" s="641" customFormat="1" ht="15" customHeight="1" x14ac:dyDescent="0.4">
      <c r="A73" s="631"/>
      <c r="B73" s="641" t="s">
        <v>1265</v>
      </c>
      <c r="C73" s="1989" t="s">
        <v>1387</v>
      </c>
      <c r="D73" s="1992"/>
      <c r="E73" s="642"/>
      <c r="F73" s="1998">
        <f>SUMIF(防護具!$B$31:$B$163,F$23&amp;$B72,防護具!$S$31:$S$163)</f>
        <v>0</v>
      </c>
      <c r="G73" s="2000">
        <f>IFERROR(
SUM(F73,SUMIF(防護具!$B$31:$B$163,G$23&amp;$B72,防護具!$S$31:$S$163))-F72,0)</f>
        <v>0</v>
      </c>
      <c r="H73" s="2000">
        <f>IFERROR(
SUM(G73,SUMIF(防護具!$B$31:$B$163,H$23&amp;$B72,防護具!$S$31:$S$163))-G72,0)</f>
        <v>0</v>
      </c>
      <c r="I73" s="2000">
        <f>IFERROR(
SUM(H73,SUMIF(防護具!$B$31:$B$163,I$23&amp;$B72,防護具!$S$31:$S$163))-H72,0)</f>
        <v>0</v>
      </c>
      <c r="J73" s="2000">
        <f>IFERROR(
SUM(I73,SUMIF(防護具!$B$31:$B$163,J$23&amp;$B72,防護具!$S$31:$S$163))-I72,0)</f>
        <v>0</v>
      </c>
      <c r="K73" s="2000">
        <f>IFERROR(
SUM(J73,SUMIF(防護具!$B$31:$B$163,K$23&amp;$B72,防護具!$S$31:$S$163))-J72,0)</f>
        <v>0</v>
      </c>
      <c r="L73" s="2000">
        <f>IFERROR(
SUM(K73,SUMIF(防護具!$B$31:$B$163,L$23&amp;$B72,防護具!$S$31:$S$163))-K72,0)</f>
        <v>0</v>
      </c>
      <c r="M73" s="2000">
        <f>IFERROR(
SUM(L73,SUMIF(防護具!$B$31:$B$163,M$23&amp;$B72,防護具!$S$31:$S$163))-L72,0)</f>
        <v>0</v>
      </c>
      <c r="N73" s="2000">
        <f>IFERROR(
SUM(M73,SUMIF(防護具!$B$31:$B$163,N$23&amp;$B72,防護具!$S$31:$S$163))-M72,0)</f>
        <v>0</v>
      </c>
      <c r="O73" s="2000">
        <f>IFERROR(
SUM(N73,SUMIF(防護具!$B$31:$B$163,O$23&amp;$B72,防護具!$S$31:$S$163))-N72,0)</f>
        <v>0</v>
      </c>
      <c r="P73" s="2000">
        <f>IFERROR(
SUM(O73,SUMIF(防護具!$B$31:$B$163,P$23&amp;$B72,防護具!$S$31:$S$163))-O72,0)</f>
        <v>0</v>
      </c>
      <c r="Q73" s="2000">
        <f>IFERROR(
SUM(P73,SUMIF(防護具!$B$31:$B$163,Q$23&amp;$B72,防護具!$S$31:$S$163))-P72,0)</f>
        <v>0</v>
      </c>
      <c r="R73" s="2000">
        <f>IFERROR(
SUM(Q73,SUMIF(防護具!$B$31:$B$163,R$23&amp;$B72,防護具!$S$31:$S$163))-Q72,0)</f>
        <v>0</v>
      </c>
      <c r="S73" s="2000">
        <f>IFERROR(
SUM(R73,SUMIF(防護具!$B$31:$B$163,S$23&amp;$B72,防護具!$S$31:$S$163))-R72,0)</f>
        <v>0</v>
      </c>
      <c r="T73" s="2000">
        <f>IFERROR(
SUM(S73,SUMIF(防護具!$B$31:$B$163,T$23&amp;$B72,防護具!$S$31:$S$163))-S72,0)</f>
        <v>0</v>
      </c>
      <c r="U73" s="2000">
        <f>IFERROR(
SUM(T73,SUMIF(防護具!$B$31:$B$163,U$23&amp;$B72,防護具!$S$31:$S$163))-T72,0)</f>
        <v>0</v>
      </c>
      <c r="V73" s="2000">
        <f>IFERROR(
SUM(U73,SUMIF(防護具!$B$31:$B$163,V$23&amp;$B72,防護具!$S$31:$S$163))-U72,0)</f>
        <v>0</v>
      </c>
      <c r="W73" s="2000">
        <f>IFERROR(
SUM(V73,SUMIF(防護具!$B$31:$B$163,W$23&amp;$B72,防護具!$S$31:$S$163))-V72,0)</f>
        <v>0</v>
      </c>
      <c r="X73" s="2000">
        <f>IFERROR(
SUM(W73,SUMIF(防護具!$B$31:$B$163,X$23&amp;$B72,防護具!$S$31:$S$163))-W72,0)</f>
        <v>0</v>
      </c>
      <c r="Y73" s="2000">
        <f>IFERROR(
SUM(X73,SUMIF(防護具!$B$31:$B$163,Y$23&amp;$B72,防護具!$S$31:$S$163))-X72,0)</f>
        <v>0</v>
      </c>
      <c r="Z73" s="2000">
        <f>IFERROR(
SUM(Y73,SUMIF(防護具!$B$31:$B$163,Z$23&amp;$B72,防護具!$S$31:$S$163))-Y72,0)</f>
        <v>0</v>
      </c>
      <c r="AA73" s="2000">
        <f>IFERROR(
SUM(Z73,SUMIF(防護具!$B$31:$B$163,AA$23&amp;$B72,防護具!$S$31:$S$163))-Z72,0)</f>
        <v>0</v>
      </c>
      <c r="AB73" s="2000">
        <f>IFERROR(
SUM(AA73,SUMIF(防護具!$B$31:$B$163,AB$23&amp;$B72,防護具!$S$31:$S$163))-AA72,0)</f>
        <v>0</v>
      </c>
      <c r="AC73" s="2000">
        <f>IFERROR(
SUM(AB73,SUMIF(防護具!$B$31:$B$163,AC$23&amp;$B72,防護具!$S$31:$S$163))-AB72,0)</f>
        <v>0</v>
      </c>
      <c r="AD73" s="2000">
        <f>IFERROR(
SUM(AC73,SUMIF(防護具!$B$31:$B$163,AD$23&amp;$B72,防護具!$S$31:$S$163))-AC72,0)</f>
        <v>0</v>
      </c>
      <c r="AE73" s="2000">
        <f>IFERROR(
SUM(AD73,SUMIF(防護具!$B$31:$B$163,AE$23&amp;$B72,防護具!$S$31:$S$163))-AD72,0)</f>
        <v>0</v>
      </c>
      <c r="AF73" s="2000">
        <f>IFERROR(
SUM(AE73,SUMIF(防護具!$B$31:$B$163,AF$23&amp;$B72,防護具!$S$31:$S$163))-AE72,0)</f>
        <v>0</v>
      </c>
      <c r="AG73" s="2000">
        <f>IFERROR(
SUM(AF73,SUMIF(防護具!$B$31:$B$163,AG$23&amp;$B72,防護具!$S$31:$S$163))-AF72,0)</f>
        <v>0</v>
      </c>
      <c r="AH73" s="2000">
        <f>IFERROR(
SUM(AG73,SUMIF(防護具!$B$31:$B$163,AH$23&amp;$B72,防護具!$S$31:$S$163))-AG72,0)</f>
        <v>0</v>
      </c>
      <c r="AI73" s="2000">
        <f>IFERROR(
SUM(AH73,SUMIF(防護具!$B$31:$B$163,AI$23&amp;$B72,防護具!$S$31:$S$163))-AH72,0)</f>
        <v>0</v>
      </c>
      <c r="AJ73" s="2000">
        <f>IFERROR(
SUM(AI73,SUMIF(防護具!$B$31:$B$163,AJ$23&amp;$B72,防護具!$S$31:$S$163))-AI72,0)</f>
        <v>0</v>
      </c>
      <c r="AK73" s="2000">
        <f>IFERROR(
SUM(AJ73,SUMIF(防護具!$B$31:$B$163,AK$23&amp;$B72,防護具!$S$31:$S$163))-AJ72,0)</f>
        <v>0</v>
      </c>
      <c r="AL73" s="2000">
        <f>IFERROR(
SUM(AK73,SUMIF(防護具!$B$31:$B$163,AL$23&amp;$B72,防護具!$S$31:$S$163))-AK72,0)</f>
        <v>0</v>
      </c>
      <c r="AM73" s="2000">
        <f>IFERROR(
SUM(AL73,SUMIF(防護具!$B$31:$B$163,AM$23&amp;$B72,防護具!$S$31:$S$163))-AL72,0)</f>
        <v>0</v>
      </c>
      <c r="AN73" s="2000">
        <f>IFERROR(
SUM(AM73,SUMIF(防護具!$B$31:$B$163,AN$23&amp;$B72,防護具!$S$31:$S$163))-AM72,0)</f>
        <v>0</v>
      </c>
      <c r="AO73" s="2000">
        <f>IFERROR(
SUM(AN73,SUMIF(防護具!$B$31:$B$163,AO$23&amp;$B72,防護具!$S$31:$S$163))-AN72,0)</f>
        <v>0</v>
      </c>
      <c r="AP73" s="2000">
        <f>IFERROR(
SUM(AO73,SUMIF(防護具!$B$31:$B$163,AP$23&amp;$B72,防護具!$S$31:$S$163))-AO72,0)</f>
        <v>0</v>
      </c>
      <c r="AQ73" s="2000">
        <f>IFERROR(
SUM(AP73,SUMIF(防護具!$B$31:$B$163,AQ$23&amp;$B72,防護具!$S$31:$S$163))-AP72,0)</f>
        <v>0</v>
      </c>
      <c r="AR73" s="2000">
        <f>IFERROR(
SUM(AQ73,SUMIF(防護具!$B$31:$B$163,AR$23&amp;$B72,防護具!$S$31:$S$163))-AQ72,0)</f>
        <v>0</v>
      </c>
      <c r="AS73" s="2000">
        <f>IFERROR(
SUM(AR73,SUMIF(防護具!$B$31:$B$163,AS$23&amp;$B72,防護具!$S$31:$S$163))-AR72,0)</f>
        <v>0</v>
      </c>
      <c r="AT73" s="2000">
        <f>IFERROR(
SUM(AS73,SUMIF(防護具!$B$31:$B$163,AT$23&amp;$B72,防護具!$S$31:$S$163))-AS72,0)</f>
        <v>0</v>
      </c>
      <c r="AU73" s="2000">
        <f>IFERROR(
SUM(AT73,SUMIF(防護具!$B$31:$B$163,AU$23&amp;$B72,防護具!$S$31:$S$163))-AT72,0)</f>
        <v>0</v>
      </c>
      <c r="AV73" s="2000">
        <f>IFERROR(
SUM(AU73,SUMIF(防護具!$B$31:$B$163,AV$23&amp;$B72,防護具!$S$31:$S$163))-AU72,0)</f>
        <v>0</v>
      </c>
      <c r="AW73" s="2000">
        <f>IFERROR(
SUM(AV73,SUMIF(防護具!$B$31:$B$163,AW$23&amp;$B72,防護具!$S$31:$S$163))-AV72,0)</f>
        <v>0</v>
      </c>
      <c r="AX73" s="2000">
        <f>IFERROR(
SUM(AW73,SUMIF(防護具!$B$31:$B$163,AX$23&amp;$B72,防護具!$S$31:$S$163))-AW72,0)</f>
        <v>0</v>
      </c>
      <c r="AY73" s="2000">
        <f>IFERROR(
SUM(AX73,SUMIF(防護具!$B$31:$B$163,AY$23&amp;$B72,防護具!$S$31:$S$163))-AX72,0)</f>
        <v>0</v>
      </c>
      <c r="AZ73" s="2000">
        <f>IFERROR(
SUM(AY73,SUMIF(防護具!$B$31:$B$163,AZ$23&amp;$B72,防護具!$S$31:$S$163))-AY72,0)</f>
        <v>0</v>
      </c>
      <c r="BA73" s="2000">
        <f>IFERROR(
SUM(AZ73,SUMIF(防護具!$B$31:$B$163,BA$23&amp;$B72,防護具!$S$31:$S$163))-AZ72,0)</f>
        <v>0</v>
      </c>
      <c r="BB73" s="2000">
        <f>IFERROR(
SUM(BA73,SUMIF(防護具!$B$31:$B$163,BB$23&amp;$B72,防護具!$S$31:$S$163))-BA72,0)</f>
        <v>0</v>
      </c>
      <c r="BC73" s="2000">
        <f>IFERROR(
SUM(BB73,SUMIF(防護具!$B$31:$B$163,BC$23&amp;$B72,防護具!$S$31:$S$163))-BB72,0)</f>
        <v>0</v>
      </c>
      <c r="BD73" s="2000">
        <f>IFERROR(
SUM(BC73,SUMIF(防護具!$B$31:$B$163,BD$23&amp;$B72,防護具!$S$31:$S$163))-BC72,0)</f>
        <v>0</v>
      </c>
      <c r="BE73" s="2000">
        <f>IFERROR(
SUM(BD73,SUMIF(防護具!$B$31:$B$163,BE$23&amp;$B72,防護具!$S$31:$S$163))-BD72,0)</f>
        <v>0</v>
      </c>
      <c r="BF73" s="2000">
        <f>IFERROR(
SUM(BE73,SUMIF(防護具!$B$31:$B$163,BF$23&amp;$B72,防護具!$S$31:$S$163))-BE72,0)</f>
        <v>0</v>
      </c>
      <c r="BG73" s="2000">
        <f>IFERROR(
SUM(BF73,SUMIF(防護具!$B$31:$B$163,BG$23&amp;$B72,防護具!$S$31:$S$163))-BF72,0)</f>
        <v>0</v>
      </c>
      <c r="BH73" s="2000">
        <f>IFERROR(
SUM(BG73,SUMIF(防護具!$B$31:$B$163,BH$23&amp;$B72,防護具!$S$31:$S$163))-BG72,0)</f>
        <v>0</v>
      </c>
      <c r="BI73" s="2000">
        <f>IFERROR(
SUM(BH73,SUMIF(防護具!$B$31:$B$163,BI$23&amp;$B72,防護具!$S$31:$S$163))-BH72,0)</f>
        <v>0</v>
      </c>
      <c r="BJ73" s="2000">
        <f>IFERROR(
SUM(BI73,SUMIF(防護具!$B$31:$B$163,BJ$23&amp;$B72,防護具!$S$31:$S$163))-BI72,0)</f>
        <v>0</v>
      </c>
      <c r="BK73" s="2000">
        <f>IFERROR(
SUM(BJ73,SUMIF(防護具!$B$31:$B$163,BK$23&amp;$B72,防護具!$S$31:$S$163))-BJ72,0)</f>
        <v>0</v>
      </c>
      <c r="BL73" s="2000">
        <f>IFERROR(
SUM(BK73,SUMIF(防護具!$B$31:$B$163,BL$23&amp;$B72,防護具!$S$31:$S$163))-BK72,0)</f>
        <v>0</v>
      </c>
      <c r="BM73" s="2000">
        <f>IFERROR(
SUM(BL73,SUMIF(防護具!$B$31:$B$163,BM$23&amp;$B72,防護具!$S$31:$S$163))-BL72,0)</f>
        <v>0</v>
      </c>
      <c r="BN73" s="2000">
        <f>IFERROR(
SUM(BM73,SUMIF(防護具!$B$31:$B$163,BN$23&amp;$B72,防護具!$S$31:$S$163))-BM72,0)</f>
        <v>0</v>
      </c>
      <c r="BO73" s="2000">
        <f>IFERROR(
SUM(BN73,SUMIF(防護具!$B$31:$B$163,BO$23&amp;$B72,防護具!$S$31:$S$163))-BN72,0)</f>
        <v>0</v>
      </c>
      <c r="BP73" s="2000">
        <f>IFERROR(
SUM(BO73,SUMIF(防護具!$B$31:$B$163,BP$23&amp;$B72,防護具!$S$31:$S$163))-BO72,0)</f>
        <v>0</v>
      </c>
      <c r="BQ73" s="2000">
        <f>IFERROR(
SUM(BP73,SUMIF(防護具!$B$31:$B$163,BQ$23&amp;$B72,防護具!$S$31:$S$163))-BP72,0)</f>
        <v>0</v>
      </c>
      <c r="BR73" s="2000">
        <f>IFERROR(
SUM(BQ73,SUMIF(防護具!$B$31:$B$163,BR$23&amp;$B72,防護具!$S$31:$S$163))-BQ72,0)</f>
        <v>0</v>
      </c>
      <c r="BS73" s="2000">
        <f>IFERROR(
SUM(BR73,SUMIF(防護具!$B$31:$B$163,BS$23&amp;$B72,防護具!$S$31:$S$163))-BR72,0)</f>
        <v>0</v>
      </c>
      <c r="BT73" s="2000">
        <f>IFERROR(
SUM(BS73,SUMIF(防護具!$B$31:$B$163,BT$23&amp;$B72,防護具!$S$31:$S$163))-BS72,0)</f>
        <v>0</v>
      </c>
      <c r="BU73" s="2000">
        <f>IFERROR(
SUM(BT73,SUMIF(防護具!$B$31:$B$163,BU$23&amp;$B72,防護具!$S$31:$S$163))-BT72,0)</f>
        <v>0</v>
      </c>
      <c r="BV73" s="2000">
        <f>IFERROR(
SUM(BU73,SUMIF(防護具!$B$31:$B$163,BV$23&amp;$B72,防護具!$S$31:$S$163))-BU72,0)</f>
        <v>0</v>
      </c>
      <c r="BW73" s="2000">
        <f>IFERROR(
SUM(BV73,SUMIF(防護具!$B$31:$B$163,BW$23&amp;$B72,防護具!$S$31:$S$163))-BV72,0)</f>
        <v>0</v>
      </c>
      <c r="BX73" s="2000">
        <f>IFERROR(
SUM(BW73,SUMIF(防護具!$B$31:$B$163,BX$23&amp;$B72,防護具!$S$31:$S$163))-BW72,0)</f>
        <v>0</v>
      </c>
      <c r="BY73" s="2000">
        <f>IFERROR(
SUM(BX73,SUMIF(防護具!$B$31:$B$163,BY$23&amp;$B72,防護具!$S$31:$S$163))-BX72,0)</f>
        <v>0</v>
      </c>
      <c r="BZ73" s="2000">
        <f>IFERROR(
SUM(BY73,SUMIF(防護具!$B$31:$B$163,BZ$23&amp;$B72,防護具!$S$31:$S$163))-BY72,0)</f>
        <v>0</v>
      </c>
      <c r="CA73" s="2000">
        <f>IFERROR(
SUM(BZ73,SUMIF(防護具!$B$31:$B$163,CA$23&amp;$B72,防護具!$S$31:$S$163))-BZ72,0)</f>
        <v>0</v>
      </c>
      <c r="CB73" s="2000">
        <f>IFERROR(
SUM(CA73,SUMIF(防護具!$B$31:$B$163,CB$23&amp;$B72,防護具!$S$31:$S$163))-CA72,0)</f>
        <v>0</v>
      </c>
      <c r="CC73" s="2000">
        <f>IFERROR(
SUM(CB73,SUMIF(防護具!$B$31:$B$163,CC$23&amp;$B72,防護具!$S$31:$S$163))-CB72,0)</f>
        <v>0</v>
      </c>
      <c r="CD73" s="2000">
        <f>IFERROR(
SUM(CC73,SUMIF(防護具!$B$31:$B$163,CD$23&amp;$B72,防護具!$S$31:$S$163))-CC72,0)</f>
        <v>0</v>
      </c>
      <c r="CE73" s="2000">
        <f>IFERROR(
SUM(CD73,SUMIF(防護具!$B$31:$B$163,CE$23&amp;$B72,防護具!$S$31:$S$163))-CD72,0)</f>
        <v>0</v>
      </c>
      <c r="CF73" s="2000">
        <f>IFERROR(
SUM(CE73,SUMIF(防護具!$B$31:$B$163,CF$23&amp;$B72,防護具!$S$31:$S$163))-CE72,0)</f>
        <v>0</v>
      </c>
      <c r="CG73" s="2000">
        <f>IFERROR(
SUM(CF73,SUMIF(防護具!$B$31:$B$163,CG$23&amp;$B72,防護具!$S$31:$S$163))-CF72,0)</f>
        <v>0</v>
      </c>
      <c r="CH73" s="2000">
        <f>IFERROR(
SUM(CG73,SUMIF(防護具!$B$31:$B$163,CH$23&amp;$B72,防護具!$S$31:$S$163))-CG72,0)</f>
        <v>0</v>
      </c>
      <c r="CI73" s="2000">
        <f>IFERROR(
SUM(CH73,SUMIF(防護具!$B$31:$B$163,CI$23&amp;$B72,防護具!$S$31:$S$163))-CH72,0)</f>
        <v>0</v>
      </c>
      <c r="CJ73" s="2000">
        <f>IFERROR(
SUM(CI73,SUMIF(防護具!$B$31:$B$163,CJ$23&amp;$B72,防護具!$S$31:$S$163))-CI72,0)</f>
        <v>0</v>
      </c>
      <c r="CK73" s="2000">
        <f>IFERROR(
SUM(CJ73,SUMIF(防護具!$B$31:$B$163,CK$23&amp;$B72,防護具!$S$31:$S$163))-CJ72,0)</f>
        <v>0</v>
      </c>
      <c r="CL73" s="2000">
        <f>IFERROR(
SUM(CK73,SUMIF(防護具!$B$31:$B$163,CL$23&amp;$B72,防護具!$S$31:$S$163))-CK72,0)</f>
        <v>0</v>
      </c>
      <c r="CM73" s="2000">
        <f>IFERROR(
SUM(CL73,SUMIF(防護具!$B$31:$B$163,CM$23&amp;$B72,防護具!$S$31:$S$163))-CL72,0)</f>
        <v>0</v>
      </c>
      <c r="CN73" s="2000">
        <f>IFERROR(
SUM(CM73,SUMIF(防護具!$B$31:$B$163,CN$23&amp;$B72,防護具!$S$31:$S$163))-CM72,0)</f>
        <v>0</v>
      </c>
      <c r="CO73" s="2000">
        <f>IFERROR(
SUM(CN73,SUMIF(防護具!$B$31:$B$163,CO$23&amp;$B72,防護具!$S$31:$S$163))-CN72,0)</f>
        <v>0</v>
      </c>
      <c r="CP73" s="2000">
        <f>IFERROR(
SUM(CO73,SUMIF(防護具!$B$31:$B$163,CP$23&amp;$B72,防護具!$S$31:$S$163))-CO72,0)</f>
        <v>0</v>
      </c>
      <c r="CQ73" s="2000">
        <f>IFERROR(
SUM(CP73,SUMIF(防護具!$B$31:$B$163,CQ$23&amp;$B72,防護具!$S$31:$S$163))-CP72,0)</f>
        <v>0</v>
      </c>
      <c r="CR73" s="2000">
        <f>IFERROR(
SUM(CQ73,SUMIF(防護具!$B$31:$B$163,CR$23&amp;$B72,防護具!$S$31:$S$163))-CQ72,0)</f>
        <v>0</v>
      </c>
      <c r="CS73" s="2000">
        <f>IFERROR(
SUM(CR73,SUMIF(防護具!$B$31:$B$163,CS$23&amp;$B72,防護具!$S$31:$S$163))-CR72,0)</f>
        <v>0</v>
      </c>
      <c r="CT73" s="2000">
        <f>IFERROR(
SUM(CS73,SUMIF(防護具!$B$31:$B$163,CT$23&amp;$B72,防護具!$S$31:$S$163))-CS72,0)</f>
        <v>0</v>
      </c>
      <c r="CU73" s="2000">
        <f>IFERROR(
SUM(CT73,SUMIF(防護具!$B$31:$B$163,CU$23&amp;$B72,防護具!$S$31:$S$163))-CT72,0)</f>
        <v>0</v>
      </c>
      <c r="CV73" s="2000">
        <f>IFERROR(
SUM(CU73,SUMIF(防護具!$B$31:$B$163,CV$23&amp;$B72,防護具!$S$31:$S$163))-CU72,0)</f>
        <v>0</v>
      </c>
      <c r="CW73" s="2000">
        <f>IFERROR(
SUM(CV73,SUMIF(防護具!$B$31:$B$163,CW$23&amp;$B72,防護具!$S$31:$S$163))-CV72,0)</f>
        <v>0</v>
      </c>
      <c r="CX73" s="2000">
        <f>IFERROR(
SUM(CW73,SUMIF(防護具!$B$31:$B$163,CX$23&amp;$B72,防護具!$S$31:$S$163))-CW72,0)</f>
        <v>0</v>
      </c>
      <c r="CY73" s="2000">
        <f>IFERROR(
SUM(CX73,SUMIF(防護具!$B$31:$B$163,CY$23&amp;$B72,防護具!$S$31:$S$163))-CX72,0)</f>
        <v>0</v>
      </c>
      <c r="CZ73" s="2000">
        <f>IFERROR(
SUM(CY73,SUMIF(防護具!$B$31:$B$163,CZ$23&amp;$B72,防護具!$S$31:$S$163))-CY72,0)</f>
        <v>0</v>
      </c>
      <c r="DA73" s="2000">
        <f>IFERROR(
SUM(CZ73,SUMIF(防護具!$B$31:$B$163,DA$23&amp;$B72,防護具!$S$31:$S$163))-CZ72,0)</f>
        <v>0</v>
      </c>
      <c r="DB73" s="2000">
        <f>IFERROR(
SUM(DA73,SUMIF(防護具!$B$31:$B$163,DB$23&amp;$B72,防護具!$S$31:$S$163))-DA72,0)</f>
        <v>0</v>
      </c>
      <c r="DC73" s="2000">
        <f>IFERROR(
SUM(DB73,SUMIF(防護具!$B$31:$B$163,DC$23&amp;$B72,防護具!$S$31:$S$163))-DB72,0)</f>
        <v>0</v>
      </c>
      <c r="DD73" s="2000">
        <f>IFERROR(
SUM(DC73,SUMIF(防護具!$B$31:$B$163,DD$23&amp;$B72,防護具!$S$31:$S$163))-DC72,0)</f>
        <v>0</v>
      </c>
      <c r="DE73" s="2000">
        <f>IFERROR(
SUM(DD73,SUMIF(防護具!$B$31:$B$163,DE$23&amp;$B72,防護具!$S$31:$S$163))-DD72,0)</f>
        <v>0</v>
      </c>
      <c r="DF73" s="2000">
        <f>IFERROR(
SUM(DE73,SUMIF(防護具!$B$31:$B$163,DF$23&amp;$B72,防護具!$S$31:$S$163))-DE72,0)</f>
        <v>0</v>
      </c>
      <c r="DG73" s="2000">
        <f>IFERROR(
SUM(DF73,SUMIF(防護具!$B$31:$B$163,DG$23&amp;$B72,防護具!$S$31:$S$163))-DF72,0)</f>
        <v>0</v>
      </c>
      <c r="DH73" s="2000">
        <f>IFERROR(
SUM(DG73,SUMIF(防護具!$B$31:$B$163,DH$23&amp;$B72,防護具!$S$31:$S$163))-DG72,0)</f>
        <v>0</v>
      </c>
      <c r="DI73" s="2000">
        <f>IFERROR(
SUM(DH73,SUMIF(防護具!$B$31:$B$163,DI$23&amp;$B72,防護具!$S$31:$S$163))-DH72,0)</f>
        <v>0</v>
      </c>
      <c r="DJ73" s="2000">
        <f>IFERROR(
SUM(DI73,SUMIF(防護具!$B$31:$B$163,DJ$23&amp;$B72,防護具!$S$31:$S$163))-DI72,0)</f>
        <v>0</v>
      </c>
      <c r="DK73" s="2000">
        <f>IFERROR(
SUM(DJ73,SUMIF(防護具!$B$31:$B$163,DK$23&amp;$B72,防護具!$S$31:$S$163))-DJ72,0)</f>
        <v>0</v>
      </c>
      <c r="DL73" s="2000">
        <f>IFERROR(
SUM(DK73,SUMIF(防護具!$B$31:$B$163,DL$23&amp;$B72,防護具!$S$31:$S$163))-DK72,0)</f>
        <v>0</v>
      </c>
      <c r="DM73" s="2000">
        <f>IFERROR(
SUM(DL73,SUMIF(防護具!$B$31:$B$163,DM$23&amp;$B72,防護具!$S$31:$S$163))-DL72,0)</f>
        <v>0</v>
      </c>
      <c r="DN73" s="2000">
        <f>IFERROR(
SUM(DM73,SUMIF(防護具!$B$31:$B$163,DN$23&amp;$B72,防護具!$S$31:$S$163))-DM72,0)</f>
        <v>0</v>
      </c>
      <c r="DO73" s="2000">
        <f>IFERROR(
SUM(DN73,SUMIF(防護具!$B$31:$B$163,DO$23&amp;$B72,防護具!$S$31:$S$163))-DN72,0)</f>
        <v>0</v>
      </c>
      <c r="DP73" s="2000">
        <f>IFERROR(
SUM(DO73,SUMIF(防護具!$B$31:$B$163,DP$23&amp;$B72,防護具!$S$31:$S$163))-DO72,0)</f>
        <v>0</v>
      </c>
      <c r="DQ73" s="2000">
        <f>IFERROR(
SUM(DP73,SUMIF(防護具!$B$31:$B$163,DQ$23&amp;$B72,防護具!$S$31:$S$163))-DP72,0)</f>
        <v>0</v>
      </c>
      <c r="DR73" s="2000">
        <f>IFERROR(
SUM(DQ73,SUMIF(防護具!$B$31:$B$163,DR$23&amp;$B72,防護具!$S$31:$S$163))-DQ72,0)</f>
        <v>0</v>
      </c>
      <c r="DS73" s="2000">
        <f>IFERROR(
SUM(DR73,SUMIF(防護具!$B$31:$B$163,DS$23&amp;$B72,防護具!$S$31:$S$163))-DR72,0)</f>
        <v>0</v>
      </c>
      <c r="DT73" s="2000">
        <f>IFERROR(
SUM(DS73,SUMIF(防護具!$B$31:$B$163,DT$23&amp;$B72,防護具!$S$31:$S$163))-DS72,0)</f>
        <v>0</v>
      </c>
      <c r="DU73" s="2000">
        <f>IFERROR(
SUM(DT73,SUMIF(防護具!$B$31:$B$163,DU$23&amp;$B72,防護具!$S$31:$S$163))-DT72,0)</f>
        <v>0</v>
      </c>
      <c r="DV73" s="2000">
        <f>IFERROR(
SUM(DU73,SUMIF(防護具!$B$31:$B$163,DV$23&amp;$B72,防護具!$S$31:$S$163))-DU72,0)</f>
        <v>0</v>
      </c>
      <c r="DW73" s="2000">
        <f>IFERROR(
SUM(DV73,SUMIF(防護具!$B$31:$B$163,DW$23&amp;$B72,防護具!$S$31:$S$163))-DV72,0)</f>
        <v>0</v>
      </c>
      <c r="DX73" s="2000">
        <f>IFERROR(
SUM(DW73,SUMIF(防護具!$B$31:$B$163,DX$23&amp;$B72,防護具!$S$31:$S$163))-DW72,0)</f>
        <v>0</v>
      </c>
      <c r="DY73" s="2000">
        <f>IFERROR(
SUM(DX73,SUMIF(防護具!$B$31:$B$163,DY$23&amp;$B72,防護具!$S$31:$S$163))-DX72,0)</f>
        <v>0</v>
      </c>
      <c r="DZ73" s="2000">
        <f>IFERROR(
SUM(DY73,SUMIF(防護具!$B$31:$B$163,DZ$23&amp;$B72,防護具!$S$31:$S$163))-DY72,0)</f>
        <v>0</v>
      </c>
      <c r="EA73" s="2000">
        <f>IFERROR(
SUM(DZ73,SUMIF(防護具!$B$31:$B$163,EA$23&amp;$B72,防護具!$S$31:$S$163))-DZ72,0)</f>
        <v>0</v>
      </c>
      <c r="EB73" s="2000">
        <f>IFERROR(
SUM(EA73,SUMIF(防護具!$B$31:$B$163,EB$23&amp;$B72,防護具!$S$31:$S$163))-EA72,0)</f>
        <v>0</v>
      </c>
      <c r="EC73" s="2000">
        <f>IFERROR(
SUM(EB73,SUMIF(防護具!$B$31:$B$163,EC$23&amp;$B72,防護具!$S$31:$S$163))-EB72,0)</f>
        <v>0</v>
      </c>
      <c r="ED73" s="2000">
        <f>IFERROR(
SUM(EC73,SUMIF(防護具!$B$31:$B$163,ED$23&amp;$B72,防護具!$S$31:$S$163))-EC72,0)</f>
        <v>0</v>
      </c>
      <c r="EE73" s="2000">
        <f>IFERROR(
SUM(ED73,SUMIF(防護具!$B$31:$B$163,EE$23&amp;$B72,防護具!$S$31:$S$163))-ED72,0)</f>
        <v>0</v>
      </c>
      <c r="EF73" s="2000">
        <f>IFERROR(
SUM(EE73,SUMIF(防護具!$B$31:$B$163,EF$23&amp;$B72,防護具!$S$31:$S$163))-EE72,0)</f>
        <v>0</v>
      </c>
      <c r="EG73" s="2000">
        <f>IFERROR(
SUM(EF73,SUMIF(防護具!$B$31:$B$163,EG$23&amp;$B72,防護具!$S$31:$S$163))-EF72,0)</f>
        <v>0</v>
      </c>
      <c r="EH73" s="2000">
        <f>IFERROR(
SUM(EG73,SUMIF(防護具!$B$31:$B$163,EH$23&amp;$B72,防護具!$S$31:$S$163))-EG72,0)</f>
        <v>0</v>
      </c>
      <c r="EI73" s="2000">
        <f>IFERROR(
SUM(EH73,SUMIF(防護具!$B$31:$B$163,EI$23&amp;$B72,防護具!$S$31:$S$163))-EH72,0)</f>
        <v>0</v>
      </c>
      <c r="EJ73" s="2000">
        <f>IFERROR(
SUM(EI73,SUMIF(防護具!$B$31:$B$163,EJ$23&amp;$B72,防護具!$S$31:$S$163))-EI72,0)</f>
        <v>0</v>
      </c>
      <c r="EK73" s="2000">
        <f>IFERROR(
SUM(EJ73,SUMIF(防護具!$B$31:$B$163,EK$23&amp;$B72,防護具!$S$31:$S$163))-EJ72,0)</f>
        <v>0</v>
      </c>
      <c r="EL73" s="2000">
        <f>IFERROR(
SUM(EK73,SUMIF(防護具!$B$31:$B$163,EL$23&amp;$B72,防護具!$S$31:$S$163))-EK72,0)</f>
        <v>0</v>
      </c>
      <c r="EM73" s="2000">
        <f>IFERROR(
SUM(EL73,SUMIF(防護具!$B$31:$B$163,EM$23&amp;$B72,防護具!$S$31:$S$163))-EL72,0)</f>
        <v>0</v>
      </c>
      <c r="EN73" s="2000">
        <f>IFERROR(
SUM(EM73,SUMIF(防護具!$B$31:$B$163,EN$23&amp;$B72,防護具!$S$31:$S$163))-EM72,0)</f>
        <v>0</v>
      </c>
      <c r="EO73" s="2000">
        <f>IFERROR(
SUM(EN73,SUMIF(防護具!$B$31:$B$163,EO$23&amp;$B72,防護具!$S$31:$S$163))-EN72,0)</f>
        <v>0</v>
      </c>
      <c r="EP73" s="2000">
        <f>IFERROR(
SUM(EO73,SUMIF(防護具!$B$31:$B$163,EP$23&amp;$B72,防護具!$S$31:$S$163))-EO72,0)</f>
        <v>0</v>
      </c>
      <c r="EQ73" s="2000">
        <f>IFERROR(
SUM(EP73,SUMIF(防護具!$B$31:$B$163,EQ$23&amp;$B72,防護具!$S$31:$S$163))-EP72,0)</f>
        <v>0</v>
      </c>
      <c r="ER73" s="2000">
        <f>IFERROR(
SUM(EQ73,SUMIF(防護具!$B$31:$B$163,ER$23&amp;$B72,防護具!$S$31:$S$163))-EQ72,0)</f>
        <v>0</v>
      </c>
      <c r="ES73" s="2000">
        <f>IFERROR(
SUM(ER73,SUMIF(防護具!$B$31:$B$163,ES$23&amp;$B72,防護具!$S$31:$S$163))-ER72,0)</f>
        <v>0</v>
      </c>
      <c r="ET73" s="2000">
        <f>IFERROR(
SUM(ES73,SUMIF(防護具!$B$31:$B$163,ET$23&amp;$B72,防護具!$S$31:$S$163))-ES72,0)</f>
        <v>0</v>
      </c>
      <c r="EU73" s="2000">
        <f>IFERROR(
SUM(ET73,SUMIF(防護具!$B$31:$B$163,EU$23&amp;$B72,防護具!$S$31:$S$163))-ET72,0)</f>
        <v>0</v>
      </c>
      <c r="EV73" s="2000">
        <f>IFERROR(
SUM(EU73,SUMIF(防護具!$B$31:$B$163,EV$23&amp;$B72,防護具!$S$31:$S$163))-EU72,0)</f>
        <v>0</v>
      </c>
      <c r="EW73" s="2000">
        <f>IFERROR(
SUM(EV73,SUMIF(防護具!$B$31:$B$163,EW$23&amp;$B72,防護具!$S$31:$S$163))-EV72,0)</f>
        <v>0</v>
      </c>
      <c r="EX73" s="2000">
        <f>IFERROR(
SUM(EW73,SUMIF(防護具!$B$31:$B$163,EX$23&amp;$B72,防護具!$S$31:$S$163))-EW72,0)</f>
        <v>0</v>
      </c>
      <c r="EY73" s="2000">
        <f>IFERROR(
SUM(EX73,SUMIF(防護具!$B$31:$B$163,EY$23&amp;$B72,防護具!$S$31:$S$163))-EX72,0)</f>
        <v>0</v>
      </c>
      <c r="EZ73" s="2000">
        <f>IFERROR(
SUM(EY73,SUMIF(防護具!$B$31:$B$163,EZ$23&amp;$B72,防護具!$S$31:$S$163))-EY72,0)</f>
        <v>0</v>
      </c>
      <c r="FA73" s="2000">
        <f>IFERROR(
SUM(EZ73,SUMIF(防護具!$B$31:$B$163,FA$23&amp;$B72,防護具!$S$31:$S$163))-EZ72,0)</f>
        <v>0</v>
      </c>
      <c r="FB73" s="2000">
        <f>IFERROR(
SUM(FA73,SUMIF(防護具!$B$31:$B$163,FB$23&amp;$B72,防護具!$S$31:$S$163))-FA72,0)</f>
        <v>0</v>
      </c>
      <c r="FC73" s="2000">
        <f>IFERROR(
SUM(FB73,SUMIF(防護具!$B$31:$B$163,FC$23&amp;$B72,防護具!$S$31:$S$163))-FB72,0)</f>
        <v>0</v>
      </c>
      <c r="FD73" s="2000">
        <f>IFERROR(
SUM(FC73,SUMIF(防護具!$B$31:$B$163,FD$23&amp;$B72,防護具!$S$31:$S$163))-FC72,0)</f>
        <v>0</v>
      </c>
      <c r="FE73" s="2000">
        <f>IFERROR(
SUM(FD73,SUMIF(防護具!$B$31:$B$163,FE$23&amp;$B72,防護具!$S$31:$S$163))-FD72,0)</f>
        <v>0</v>
      </c>
      <c r="FF73" s="2000">
        <f>IFERROR(
SUM(FE73,SUMIF(防護具!$B$31:$B$163,FF$23&amp;$B72,防護具!$S$31:$S$163))-FE72,0)</f>
        <v>0</v>
      </c>
      <c r="FG73" s="2000">
        <f>IFERROR(
SUM(FF73,SUMIF(防護具!$B$31:$B$163,FG$23&amp;$B72,防護具!$S$31:$S$163))-FF72,0)</f>
        <v>0</v>
      </c>
      <c r="FH73" s="2000">
        <f>IFERROR(
SUM(FG73,SUMIF(防護具!$B$31:$B$163,FH$23&amp;$B72,防護具!$S$31:$S$163))-FG72,0)</f>
        <v>0</v>
      </c>
      <c r="FI73" s="2000">
        <f>IFERROR(
SUM(FH73,SUMIF(防護具!$B$31:$B$163,FI$23&amp;$B72,防護具!$S$31:$S$163))-FH72,0)</f>
        <v>0</v>
      </c>
      <c r="FJ73" s="2000">
        <f>IFERROR(
SUM(FI73,SUMIF(防護具!$B$31:$B$163,FJ$23&amp;$B72,防護具!$S$31:$S$163))-FI72,0)</f>
        <v>0</v>
      </c>
      <c r="FK73" s="2000">
        <f>IFERROR(
SUM(FJ73,SUMIF(防護具!$B$31:$B$163,FK$23&amp;$B72,防護具!$S$31:$S$163))-FJ72,0)</f>
        <v>0</v>
      </c>
      <c r="FL73" s="2000">
        <f>IFERROR(
SUM(FK73,SUMIF(防護具!$B$31:$B$163,FL$23&amp;$B72,防護具!$S$31:$S$163))-FK72,0)</f>
        <v>0</v>
      </c>
      <c r="FM73" s="2000">
        <f>IFERROR(
SUM(FL73,SUMIF(防護具!$B$31:$B$163,FM$23&amp;$B72,防護具!$S$31:$S$163))-FL72,0)</f>
        <v>0</v>
      </c>
      <c r="FN73" s="2000">
        <f>IFERROR(
SUM(FM73,SUMIF(防護具!$B$31:$B$163,FN$23&amp;$B72,防護具!$S$31:$S$163))-FM72,0)</f>
        <v>0</v>
      </c>
      <c r="FO73" s="2000">
        <f>IFERROR(
SUM(FN73,SUMIF(防護具!$B$31:$B$163,FO$23&amp;$B72,防護具!$S$31:$S$163))-FN72,0)</f>
        <v>0</v>
      </c>
      <c r="FP73" s="2000">
        <f>IFERROR(
SUM(FO73,SUMIF(防護具!$B$31:$B$163,FP$23&amp;$B72,防護具!$S$31:$S$163))-FO72,0)</f>
        <v>0</v>
      </c>
      <c r="FQ73" s="2000">
        <f>IFERROR(
SUM(FP73,SUMIF(防護具!$B$31:$B$163,FQ$23&amp;$B72,防護具!$S$31:$S$163))-FP72,0)</f>
        <v>0</v>
      </c>
      <c r="FR73" s="2000">
        <f>IFERROR(
SUM(FQ73,SUMIF(防護具!$B$31:$B$163,FR$23&amp;$B72,防護具!$S$31:$S$163))-FQ72,0)</f>
        <v>0</v>
      </c>
      <c r="FS73" s="2000">
        <f>IFERROR(
SUM(FR73,SUMIF(防護具!$B$31:$B$163,FS$23&amp;$B72,防護具!$S$31:$S$163))-FR72,0)</f>
        <v>0</v>
      </c>
      <c r="FT73" s="2000">
        <f>IFERROR(
SUM(FS73,SUMIF(防護具!$B$31:$B$163,FT$23&amp;$B72,防護具!$S$31:$S$163))-FS72,0)</f>
        <v>0</v>
      </c>
      <c r="FU73" s="2000">
        <f>IFERROR(
SUM(FT73,SUMIF(防護具!$B$31:$B$163,FU$23&amp;$B72,防護具!$S$31:$S$163))-FT72,0)</f>
        <v>0</v>
      </c>
      <c r="FV73" s="2000">
        <f>IFERROR(
SUM(FU73,SUMIF(防護具!$B$31:$B$163,FV$23&amp;$B72,防護具!$S$31:$S$163))-FU72,0)</f>
        <v>0</v>
      </c>
      <c r="FW73" s="2000">
        <f>IFERROR(
SUM(FV73,SUMIF(防護具!$B$31:$B$163,FW$23&amp;$B72,防護具!$S$31:$S$163))-FV72,0)</f>
        <v>0</v>
      </c>
      <c r="FX73" s="2000">
        <f>IFERROR(
SUM(FW73,SUMIF(防護具!$B$31:$B$163,FX$23&amp;$B72,防護具!$S$31:$S$163))-FW72,0)</f>
        <v>0</v>
      </c>
      <c r="FY73" s="2000">
        <f>IFERROR(
SUM(FX73,SUMIF(防護具!$B$31:$B$163,FY$23&amp;$B72,防護具!$S$31:$S$163))-FX72,0)</f>
        <v>0</v>
      </c>
      <c r="FZ73" s="2000">
        <f>IFERROR(
SUM(FY73,SUMIF(防護具!$B$31:$B$163,FZ$23&amp;$B72,防護具!$S$31:$S$163))-FY72,0)</f>
        <v>0</v>
      </c>
      <c r="GA73" s="2000">
        <f>IFERROR(
SUM(FZ73,SUMIF(防護具!$B$31:$B$163,GA$23&amp;$B72,防護具!$S$31:$S$163))-FZ72,0)</f>
        <v>0</v>
      </c>
      <c r="GB73" s="2000">
        <f>IFERROR(
SUM(GA73,SUMIF(防護具!$B$31:$B$163,GB$23&amp;$B72,防護具!$S$31:$S$163))-GA72,0)</f>
        <v>0</v>
      </c>
      <c r="GC73" s="2000">
        <f>IFERROR(
SUM(GB73,SUMIF(防護具!$B$31:$B$163,GC$23&amp;$B72,防護具!$S$31:$S$163))-GB72,0)</f>
        <v>0</v>
      </c>
      <c r="GD73" s="2000">
        <f>IFERROR(
SUM(GC73,SUMIF(防護具!$B$31:$B$163,GD$23&amp;$B72,防護具!$S$31:$S$163))-GC72,0)</f>
        <v>0</v>
      </c>
      <c r="GE73" s="2000">
        <f>IFERROR(
SUM(GD73,SUMIF(防護具!$B$31:$B$163,GE$23&amp;$B72,防護具!$S$31:$S$163))-GD72,0)</f>
        <v>0</v>
      </c>
      <c r="GF73" s="2000">
        <f>IFERROR(
SUM(GE73,SUMIF(防護具!$B$31:$B$163,GF$23&amp;$B72,防護具!$S$31:$S$163))-GE72,0)</f>
        <v>0</v>
      </c>
    </row>
    <row r="74" spans="1:188" s="641" customFormat="1" ht="15" customHeight="1" x14ac:dyDescent="0.4">
      <c r="A74" s="631"/>
      <c r="B74" s="641" t="s">
        <v>1264</v>
      </c>
      <c r="C74" s="1989" t="s">
        <v>1388</v>
      </c>
      <c r="D74" s="1992"/>
      <c r="E74" s="642"/>
      <c r="F74" s="2000">
        <f>SUMIF(防護具!$B$14:$B$30,F$23&amp;B72,防護具!$S$14:$S$30)</f>
        <v>0</v>
      </c>
      <c r="G74" s="2000">
        <f xml:space="preserve">
IF(G$25="休診日",F74,
IF(F74-VLOOKUP(F$22&amp;$B72,$B$96:$D$191,2,FALSE)&lt;0,0,F74-VLOOKUP(F$22&amp;$B72,$B$96:$D$191,2,FALSE)))</f>
        <v>0</v>
      </c>
      <c r="H74" s="2000">
        <f t="shared" ref="H74:BS74" si="79" xml:space="preserve">
IF(H$25="休診日",G74,
IF(G74-VLOOKUP(G$22&amp;$B72,$B$96:$D$191,2,FALSE)&lt;0,0,G74-VLOOKUP(G$22&amp;$B72,$B$96:$D$191,2,FALSE)))</f>
        <v>0</v>
      </c>
      <c r="I74" s="2000">
        <f t="shared" si="79"/>
        <v>0</v>
      </c>
      <c r="J74" s="2000">
        <f t="shared" si="79"/>
        <v>0</v>
      </c>
      <c r="K74" s="2000">
        <f t="shared" si="79"/>
        <v>0</v>
      </c>
      <c r="L74" s="2000">
        <f t="shared" si="79"/>
        <v>0</v>
      </c>
      <c r="M74" s="2000">
        <f t="shared" si="79"/>
        <v>0</v>
      </c>
      <c r="N74" s="2000">
        <f t="shared" si="79"/>
        <v>0</v>
      </c>
      <c r="O74" s="2000">
        <f t="shared" si="79"/>
        <v>0</v>
      </c>
      <c r="P74" s="2000">
        <f t="shared" si="79"/>
        <v>0</v>
      </c>
      <c r="Q74" s="2000">
        <f t="shared" si="79"/>
        <v>0</v>
      </c>
      <c r="R74" s="2000">
        <f t="shared" si="79"/>
        <v>0</v>
      </c>
      <c r="S74" s="2000">
        <f t="shared" si="79"/>
        <v>0</v>
      </c>
      <c r="T74" s="2000">
        <f t="shared" si="79"/>
        <v>0</v>
      </c>
      <c r="U74" s="2000">
        <f t="shared" si="79"/>
        <v>0</v>
      </c>
      <c r="V74" s="2000">
        <f t="shared" si="79"/>
        <v>0</v>
      </c>
      <c r="W74" s="2000">
        <f t="shared" si="79"/>
        <v>0</v>
      </c>
      <c r="X74" s="2000">
        <f t="shared" si="79"/>
        <v>0</v>
      </c>
      <c r="Y74" s="2000">
        <f t="shared" si="79"/>
        <v>0</v>
      </c>
      <c r="Z74" s="2000">
        <f t="shared" si="79"/>
        <v>0</v>
      </c>
      <c r="AA74" s="2000">
        <f t="shared" si="79"/>
        <v>0</v>
      </c>
      <c r="AB74" s="2000">
        <f t="shared" si="79"/>
        <v>0</v>
      </c>
      <c r="AC74" s="2000">
        <f t="shared" si="79"/>
        <v>0</v>
      </c>
      <c r="AD74" s="2000">
        <f t="shared" si="79"/>
        <v>0</v>
      </c>
      <c r="AE74" s="2000">
        <f t="shared" si="79"/>
        <v>0</v>
      </c>
      <c r="AF74" s="2000">
        <f t="shared" si="79"/>
        <v>0</v>
      </c>
      <c r="AG74" s="2000">
        <f t="shared" si="79"/>
        <v>0</v>
      </c>
      <c r="AH74" s="2000">
        <f t="shared" si="79"/>
        <v>0</v>
      </c>
      <c r="AI74" s="2000">
        <f t="shared" si="79"/>
        <v>0</v>
      </c>
      <c r="AJ74" s="2000">
        <f t="shared" si="79"/>
        <v>0</v>
      </c>
      <c r="AK74" s="2000">
        <f t="shared" si="79"/>
        <v>0</v>
      </c>
      <c r="AL74" s="2000">
        <f t="shared" si="79"/>
        <v>0</v>
      </c>
      <c r="AM74" s="2000">
        <f t="shared" si="79"/>
        <v>0</v>
      </c>
      <c r="AN74" s="2000">
        <f t="shared" si="79"/>
        <v>0</v>
      </c>
      <c r="AO74" s="2000">
        <f t="shared" si="79"/>
        <v>0</v>
      </c>
      <c r="AP74" s="2000">
        <f t="shared" si="79"/>
        <v>0</v>
      </c>
      <c r="AQ74" s="2000">
        <f t="shared" si="79"/>
        <v>0</v>
      </c>
      <c r="AR74" s="2000">
        <f t="shared" si="79"/>
        <v>0</v>
      </c>
      <c r="AS74" s="2000">
        <f t="shared" si="79"/>
        <v>0</v>
      </c>
      <c r="AT74" s="2000">
        <f t="shared" si="79"/>
        <v>0</v>
      </c>
      <c r="AU74" s="2000">
        <f t="shared" si="79"/>
        <v>0</v>
      </c>
      <c r="AV74" s="2000">
        <f t="shared" si="79"/>
        <v>0</v>
      </c>
      <c r="AW74" s="2000">
        <f t="shared" si="79"/>
        <v>0</v>
      </c>
      <c r="AX74" s="2000">
        <f t="shared" si="79"/>
        <v>0</v>
      </c>
      <c r="AY74" s="2000">
        <f t="shared" si="79"/>
        <v>0</v>
      </c>
      <c r="AZ74" s="2000">
        <f t="shared" si="79"/>
        <v>0</v>
      </c>
      <c r="BA74" s="2000">
        <f t="shared" si="79"/>
        <v>0</v>
      </c>
      <c r="BB74" s="2000">
        <f t="shared" si="79"/>
        <v>0</v>
      </c>
      <c r="BC74" s="2000">
        <f t="shared" si="79"/>
        <v>0</v>
      </c>
      <c r="BD74" s="2000">
        <f t="shared" si="79"/>
        <v>0</v>
      </c>
      <c r="BE74" s="2000">
        <f t="shared" si="79"/>
        <v>0</v>
      </c>
      <c r="BF74" s="2000">
        <f t="shared" si="79"/>
        <v>0</v>
      </c>
      <c r="BG74" s="2000">
        <f t="shared" si="79"/>
        <v>0</v>
      </c>
      <c r="BH74" s="2000">
        <f t="shared" si="79"/>
        <v>0</v>
      </c>
      <c r="BI74" s="2000">
        <f t="shared" si="79"/>
        <v>0</v>
      </c>
      <c r="BJ74" s="2000">
        <f t="shared" si="79"/>
        <v>0</v>
      </c>
      <c r="BK74" s="2000">
        <f t="shared" si="79"/>
        <v>0</v>
      </c>
      <c r="BL74" s="2000">
        <f t="shared" si="79"/>
        <v>0</v>
      </c>
      <c r="BM74" s="2000">
        <f t="shared" si="79"/>
        <v>0</v>
      </c>
      <c r="BN74" s="2000">
        <f t="shared" si="79"/>
        <v>0</v>
      </c>
      <c r="BO74" s="2000">
        <f t="shared" si="79"/>
        <v>0</v>
      </c>
      <c r="BP74" s="2000">
        <f t="shared" si="79"/>
        <v>0</v>
      </c>
      <c r="BQ74" s="2000">
        <f t="shared" si="79"/>
        <v>0</v>
      </c>
      <c r="BR74" s="2000">
        <f t="shared" si="79"/>
        <v>0</v>
      </c>
      <c r="BS74" s="2000">
        <f t="shared" si="79"/>
        <v>0</v>
      </c>
      <c r="BT74" s="2000">
        <f t="shared" ref="BT74:EE74" si="80" xml:space="preserve">
IF(BT$25="休診日",BS74,
IF(BS74-VLOOKUP(BS$22&amp;$B72,$B$96:$D$191,2,FALSE)&lt;0,0,BS74-VLOOKUP(BS$22&amp;$B72,$B$96:$D$191,2,FALSE)))</f>
        <v>0</v>
      </c>
      <c r="BU74" s="2000">
        <f t="shared" si="80"/>
        <v>0</v>
      </c>
      <c r="BV74" s="2000">
        <f t="shared" si="80"/>
        <v>0</v>
      </c>
      <c r="BW74" s="2000">
        <f t="shared" si="80"/>
        <v>0</v>
      </c>
      <c r="BX74" s="2000">
        <f t="shared" si="80"/>
        <v>0</v>
      </c>
      <c r="BY74" s="2000">
        <f t="shared" si="80"/>
        <v>0</v>
      </c>
      <c r="BZ74" s="2000">
        <f t="shared" si="80"/>
        <v>0</v>
      </c>
      <c r="CA74" s="2000">
        <f t="shared" si="80"/>
        <v>0</v>
      </c>
      <c r="CB74" s="2000">
        <f t="shared" si="80"/>
        <v>0</v>
      </c>
      <c r="CC74" s="2000">
        <f t="shared" si="80"/>
        <v>0</v>
      </c>
      <c r="CD74" s="2000">
        <f t="shared" si="80"/>
        <v>0</v>
      </c>
      <c r="CE74" s="2000">
        <f t="shared" si="80"/>
        <v>0</v>
      </c>
      <c r="CF74" s="2000">
        <f t="shared" si="80"/>
        <v>0</v>
      </c>
      <c r="CG74" s="2000">
        <f t="shared" si="80"/>
        <v>0</v>
      </c>
      <c r="CH74" s="2000">
        <f t="shared" si="80"/>
        <v>0</v>
      </c>
      <c r="CI74" s="2000">
        <f t="shared" si="80"/>
        <v>0</v>
      </c>
      <c r="CJ74" s="2000">
        <f t="shared" si="80"/>
        <v>0</v>
      </c>
      <c r="CK74" s="2000">
        <f t="shared" si="80"/>
        <v>0</v>
      </c>
      <c r="CL74" s="2000">
        <f t="shared" si="80"/>
        <v>0</v>
      </c>
      <c r="CM74" s="2000">
        <f t="shared" si="80"/>
        <v>0</v>
      </c>
      <c r="CN74" s="2000">
        <f t="shared" si="80"/>
        <v>0</v>
      </c>
      <c r="CO74" s="2000">
        <f t="shared" si="80"/>
        <v>0</v>
      </c>
      <c r="CP74" s="2000">
        <f t="shared" si="80"/>
        <v>0</v>
      </c>
      <c r="CQ74" s="2000">
        <f t="shared" si="80"/>
        <v>0</v>
      </c>
      <c r="CR74" s="2000">
        <f t="shared" si="80"/>
        <v>0</v>
      </c>
      <c r="CS74" s="2000">
        <f t="shared" si="80"/>
        <v>0</v>
      </c>
      <c r="CT74" s="2000">
        <f t="shared" si="80"/>
        <v>0</v>
      </c>
      <c r="CU74" s="2000">
        <f t="shared" si="80"/>
        <v>0</v>
      </c>
      <c r="CV74" s="2000">
        <f t="shared" si="80"/>
        <v>0</v>
      </c>
      <c r="CW74" s="2000">
        <f t="shared" si="80"/>
        <v>0</v>
      </c>
      <c r="CX74" s="2000">
        <f t="shared" si="80"/>
        <v>0</v>
      </c>
      <c r="CY74" s="2000">
        <f t="shared" si="80"/>
        <v>0</v>
      </c>
      <c r="CZ74" s="2000">
        <f t="shared" si="80"/>
        <v>0</v>
      </c>
      <c r="DA74" s="2000">
        <f t="shared" si="80"/>
        <v>0</v>
      </c>
      <c r="DB74" s="2000">
        <f t="shared" si="80"/>
        <v>0</v>
      </c>
      <c r="DC74" s="2000">
        <f t="shared" si="80"/>
        <v>0</v>
      </c>
      <c r="DD74" s="2000">
        <f t="shared" si="80"/>
        <v>0</v>
      </c>
      <c r="DE74" s="2000">
        <f t="shared" si="80"/>
        <v>0</v>
      </c>
      <c r="DF74" s="2000">
        <f t="shared" si="80"/>
        <v>0</v>
      </c>
      <c r="DG74" s="2000">
        <f t="shared" si="80"/>
        <v>0</v>
      </c>
      <c r="DH74" s="2000">
        <f t="shared" si="80"/>
        <v>0</v>
      </c>
      <c r="DI74" s="2000">
        <f t="shared" si="80"/>
        <v>0</v>
      </c>
      <c r="DJ74" s="2000">
        <f t="shared" si="80"/>
        <v>0</v>
      </c>
      <c r="DK74" s="2000">
        <f t="shared" si="80"/>
        <v>0</v>
      </c>
      <c r="DL74" s="2000">
        <f t="shared" si="80"/>
        <v>0</v>
      </c>
      <c r="DM74" s="2000">
        <f t="shared" si="80"/>
        <v>0</v>
      </c>
      <c r="DN74" s="2000">
        <f t="shared" si="80"/>
        <v>0</v>
      </c>
      <c r="DO74" s="2000">
        <f t="shared" si="80"/>
        <v>0</v>
      </c>
      <c r="DP74" s="2000">
        <f t="shared" si="80"/>
        <v>0</v>
      </c>
      <c r="DQ74" s="2000">
        <f t="shared" si="80"/>
        <v>0</v>
      </c>
      <c r="DR74" s="2000">
        <f t="shared" si="80"/>
        <v>0</v>
      </c>
      <c r="DS74" s="2000">
        <f t="shared" si="80"/>
        <v>0</v>
      </c>
      <c r="DT74" s="2000">
        <f t="shared" si="80"/>
        <v>0</v>
      </c>
      <c r="DU74" s="2000">
        <f t="shared" si="80"/>
        <v>0</v>
      </c>
      <c r="DV74" s="2000">
        <f t="shared" si="80"/>
        <v>0</v>
      </c>
      <c r="DW74" s="2000">
        <f t="shared" si="80"/>
        <v>0</v>
      </c>
      <c r="DX74" s="2000">
        <f t="shared" si="80"/>
        <v>0</v>
      </c>
      <c r="DY74" s="2000">
        <f t="shared" si="80"/>
        <v>0</v>
      </c>
      <c r="DZ74" s="2000">
        <f t="shared" si="80"/>
        <v>0</v>
      </c>
      <c r="EA74" s="2000">
        <f t="shared" si="80"/>
        <v>0</v>
      </c>
      <c r="EB74" s="2000">
        <f t="shared" si="80"/>
        <v>0</v>
      </c>
      <c r="EC74" s="2000">
        <f t="shared" si="80"/>
        <v>0</v>
      </c>
      <c r="ED74" s="2000">
        <f t="shared" si="80"/>
        <v>0</v>
      </c>
      <c r="EE74" s="2000">
        <f t="shared" si="80"/>
        <v>0</v>
      </c>
      <c r="EF74" s="2000">
        <f t="shared" ref="EF74:GE74" si="81" xml:space="preserve">
IF(EF$25="休診日",EE74,
IF(EE74-VLOOKUP(EE$22&amp;$B72,$B$96:$D$191,2,FALSE)&lt;0,0,EE74-VLOOKUP(EE$22&amp;$B72,$B$96:$D$191,2,FALSE)))</f>
        <v>0</v>
      </c>
      <c r="EG74" s="2000">
        <f t="shared" si="81"/>
        <v>0</v>
      </c>
      <c r="EH74" s="2000">
        <f t="shared" si="81"/>
        <v>0</v>
      </c>
      <c r="EI74" s="2000">
        <f t="shared" si="81"/>
        <v>0</v>
      </c>
      <c r="EJ74" s="2000">
        <f t="shared" si="81"/>
        <v>0</v>
      </c>
      <c r="EK74" s="2000">
        <f t="shared" si="81"/>
        <v>0</v>
      </c>
      <c r="EL74" s="2000">
        <f t="shared" si="81"/>
        <v>0</v>
      </c>
      <c r="EM74" s="2000">
        <f t="shared" si="81"/>
        <v>0</v>
      </c>
      <c r="EN74" s="2000">
        <f t="shared" si="81"/>
        <v>0</v>
      </c>
      <c r="EO74" s="2000">
        <f t="shared" si="81"/>
        <v>0</v>
      </c>
      <c r="EP74" s="2000">
        <f t="shared" si="81"/>
        <v>0</v>
      </c>
      <c r="EQ74" s="2000">
        <f t="shared" si="81"/>
        <v>0</v>
      </c>
      <c r="ER74" s="2000">
        <f t="shared" si="81"/>
        <v>0</v>
      </c>
      <c r="ES74" s="2000">
        <f t="shared" si="81"/>
        <v>0</v>
      </c>
      <c r="ET74" s="2000">
        <f t="shared" si="81"/>
        <v>0</v>
      </c>
      <c r="EU74" s="2000">
        <f t="shared" si="81"/>
        <v>0</v>
      </c>
      <c r="EV74" s="2000">
        <f t="shared" si="81"/>
        <v>0</v>
      </c>
      <c r="EW74" s="2000">
        <f t="shared" si="81"/>
        <v>0</v>
      </c>
      <c r="EX74" s="2000">
        <f t="shared" si="81"/>
        <v>0</v>
      </c>
      <c r="EY74" s="2000">
        <f t="shared" si="81"/>
        <v>0</v>
      </c>
      <c r="EZ74" s="2000">
        <f t="shared" si="81"/>
        <v>0</v>
      </c>
      <c r="FA74" s="2000">
        <f t="shared" si="81"/>
        <v>0</v>
      </c>
      <c r="FB74" s="2000">
        <f t="shared" si="81"/>
        <v>0</v>
      </c>
      <c r="FC74" s="2000">
        <f t="shared" si="81"/>
        <v>0</v>
      </c>
      <c r="FD74" s="2000">
        <f t="shared" si="81"/>
        <v>0</v>
      </c>
      <c r="FE74" s="2000">
        <f t="shared" si="81"/>
        <v>0</v>
      </c>
      <c r="FF74" s="2000">
        <f t="shared" si="81"/>
        <v>0</v>
      </c>
      <c r="FG74" s="2000">
        <f t="shared" si="81"/>
        <v>0</v>
      </c>
      <c r="FH74" s="2000">
        <f t="shared" si="81"/>
        <v>0</v>
      </c>
      <c r="FI74" s="2000">
        <f t="shared" si="81"/>
        <v>0</v>
      </c>
      <c r="FJ74" s="2000">
        <f t="shared" si="81"/>
        <v>0</v>
      </c>
      <c r="FK74" s="2000">
        <f t="shared" si="81"/>
        <v>0</v>
      </c>
      <c r="FL74" s="2000">
        <f t="shared" si="81"/>
        <v>0</v>
      </c>
      <c r="FM74" s="2000">
        <f t="shared" si="81"/>
        <v>0</v>
      </c>
      <c r="FN74" s="2000">
        <f t="shared" si="81"/>
        <v>0</v>
      </c>
      <c r="FO74" s="2000">
        <f t="shared" si="81"/>
        <v>0</v>
      </c>
      <c r="FP74" s="2000">
        <f t="shared" si="81"/>
        <v>0</v>
      </c>
      <c r="FQ74" s="2000">
        <f t="shared" si="81"/>
        <v>0</v>
      </c>
      <c r="FR74" s="2000">
        <f t="shared" si="81"/>
        <v>0</v>
      </c>
      <c r="FS74" s="2000">
        <f t="shared" si="81"/>
        <v>0</v>
      </c>
      <c r="FT74" s="2000">
        <f t="shared" si="81"/>
        <v>0</v>
      </c>
      <c r="FU74" s="2000">
        <f t="shared" si="81"/>
        <v>0</v>
      </c>
      <c r="FV74" s="2000">
        <f t="shared" si="81"/>
        <v>0</v>
      </c>
      <c r="FW74" s="2000">
        <f t="shared" si="81"/>
        <v>0</v>
      </c>
      <c r="FX74" s="2000">
        <f t="shared" si="81"/>
        <v>0</v>
      </c>
      <c r="FY74" s="2000">
        <f t="shared" si="81"/>
        <v>0</v>
      </c>
      <c r="FZ74" s="2000">
        <f t="shared" si="81"/>
        <v>0</v>
      </c>
      <c r="GA74" s="2000">
        <f t="shared" si="81"/>
        <v>0</v>
      </c>
      <c r="GB74" s="2000">
        <f t="shared" si="81"/>
        <v>0</v>
      </c>
      <c r="GC74" s="2000">
        <f t="shared" si="81"/>
        <v>0</v>
      </c>
      <c r="GD74" s="2000">
        <f t="shared" si="81"/>
        <v>0</v>
      </c>
      <c r="GE74" s="2000">
        <f t="shared" si="81"/>
        <v>0</v>
      </c>
      <c r="GF74" s="2000">
        <f xml:space="preserve">
IF(GF$25="休診日",GE74,
IF(GE74-VLOOKUP(GE$22&amp;$B72,$B$96:$D$191,2,FALSE)&lt;0,0,GE74-VLOOKUP(GE$22&amp;$B72,$B$96:$D$191,2,FALSE)))</f>
        <v>0</v>
      </c>
    </row>
    <row r="75" spans="1:188" s="639" customFormat="1" ht="15" customHeight="1" x14ac:dyDescent="0.4">
      <c r="A75" s="631"/>
      <c r="B75" s="639" t="s">
        <v>1020</v>
      </c>
      <c r="C75" s="1995" t="s">
        <v>1386</v>
      </c>
      <c r="D75" s="1996"/>
      <c r="E75" s="640"/>
      <c r="F75" s="1998">
        <f xml:space="preserve">
IF($F$25="休診日",0,
MIN(F76,IF((VLOOKUP($F$22&amp;$B75,$B$96:$D$191,2,FALSE)-F77)&lt;0,0,VLOOKUP($F$22&amp;$B75,$B$96:$D$191,2,FALSE)-F77)))</f>
        <v>0</v>
      </c>
      <c r="G75" s="1998">
        <f xml:space="preserve">
IF(G$25="休診日",0,
IF(G77&gt;=VLOOKUP(G$22&amp;$B75,$B$96:$D$191,2,FALSE),0,
IF(AND(G77&lt;VLOOKUP(G$22&amp;$B75,$B$96:$D$191,2,FALSE),G76&lt;=VLOOKUP(G$22&amp;$B75,$B$96:$D$191,2,FALSE)),IF(G76-G77&lt;0,0,G76-G77),
IF(AND(G77&lt;VLOOKUP(G$22&amp;$B75,$B$96:$D$191,2,FALSE),G76&gt;VLOOKUP(G$22&amp;$B75,$B$96:$D$191,2,FALSE)),VLOOKUP(G$22&amp;$B75,$B$96:$D$191,2,FALSE)-G77))))</f>
        <v>0</v>
      </c>
      <c r="H75" s="1998">
        <f t="shared" ref="H75:BS75" si="82" xml:space="preserve">
IF(H$25="休診日",0,
IF(H77&gt;=VLOOKUP(H$22&amp;$B75,$B$96:$D$191,2,FALSE),0,
IF(AND(H77&lt;VLOOKUP(H$22&amp;$B75,$B$96:$D$191,2,FALSE),H76&lt;=VLOOKUP(H$22&amp;$B75,$B$96:$D$191,2,FALSE)),IF(H76-H77&lt;0,0,H76-H77),
IF(AND(H77&lt;VLOOKUP(H$22&amp;$B75,$B$96:$D$191,2,FALSE),H76&gt;VLOOKUP(H$22&amp;$B75,$B$96:$D$191,2,FALSE)),VLOOKUP(H$22&amp;$B75,$B$96:$D$191,2,FALSE)-H77))))</f>
        <v>0</v>
      </c>
      <c r="I75" s="1998">
        <f t="shared" si="82"/>
        <v>0</v>
      </c>
      <c r="J75" s="1998">
        <f t="shared" si="82"/>
        <v>0</v>
      </c>
      <c r="K75" s="1998">
        <f t="shared" si="82"/>
        <v>0</v>
      </c>
      <c r="L75" s="1998">
        <f t="shared" si="82"/>
        <v>0</v>
      </c>
      <c r="M75" s="1998">
        <f t="shared" si="82"/>
        <v>0</v>
      </c>
      <c r="N75" s="1998">
        <f t="shared" si="82"/>
        <v>0</v>
      </c>
      <c r="O75" s="1998">
        <f t="shared" si="82"/>
        <v>0</v>
      </c>
      <c r="P75" s="1998">
        <f t="shared" si="82"/>
        <v>0</v>
      </c>
      <c r="Q75" s="1998">
        <f t="shared" si="82"/>
        <v>0</v>
      </c>
      <c r="R75" s="1998">
        <f t="shared" si="82"/>
        <v>0</v>
      </c>
      <c r="S75" s="1998">
        <f t="shared" si="82"/>
        <v>0</v>
      </c>
      <c r="T75" s="1998">
        <f t="shared" si="82"/>
        <v>0</v>
      </c>
      <c r="U75" s="1998">
        <f t="shared" si="82"/>
        <v>0</v>
      </c>
      <c r="V75" s="1998">
        <f t="shared" si="82"/>
        <v>0</v>
      </c>
      <c r="W75" s="1998">
        <f t="shared" si="82"/>
        <v>0</v>
      </c>
      <c r="X75" s="1998">
        <f t="shared" si="82"/>
        <v>0</v>
      </c>
      <c r="Y75" s="1998">
        <f t="shared" si="82"/>
        <v>0</v>
      </c>
      <c r="Z75" s="1998">
        <f t="shared" si="82"/>
        <v>0</v>
      </c>
      <c r="AA75" s="1998">
        <f t="shared" si="82"/>
        <v>0</v>
      </c>
      <c r="AB75" s="1998">
        <f t="shared" si="82"/>
        <v>0</v>
      </c>
      <c r="AC75" s="1998">
        <f t="shared" si="82"/>
        <v>0</v>
      </c>
      <c r="AD75" s="1998">
        <f t="shared" si="82"/>
        <v>0</v>
      </c>
      <c r="AE75" s="1998">
        <f t="shared" si="82"/>
        <v>0</v>
      </c>
      <c r="AF75" s="1998">
        <f t="shared" si="82"/>
        <v>0</v>
      </c>
      <c r="AG75" s="1998">
        <f t="shared" si="82"/>
        <v>0</v>
      </c>
      <c r="AH75" s="1998">
        <f t="shared" si="82"/>
        <v>0</v>
      </c>
      <c r="AI75" s="1998">
        <f t="shared" si="82"/>
        <v>0</v>
      </c>
      <c r="AJ75" s="1998">
        <f t="shared" si="82"/>
        <v>0</v>
      </c>
      <c r="AK75" s="1998">
        <f t="shared" si="82"/>
        <v>0</v>
      </c>
      <c r="AL75" s="1998">
        <f t="shared" si="82"/>
        <v>0</v>
      </c>
      <c r="AM75" s="1998">
        <f t="shared" si="82"/>
        <v>0</v>
      </c>
      <c r="AN75" s="1998">
        <f t="shared" si="82"/>
        <v>0</v>
      </c>
      <c r="AO75" s="1998">
        <f t="shared" si="82"/>
        <v>0</v>
      </c>
      <c r="AP75" s="1998">
        <f t="shared" si="82"/>
        <v>0</v>
      </c>
      <c r="AQ75" s="1998">
        <f t="shared" si="82"/>
        <v>0</v>
      </c>
      <c r="AR75" s="1998">
        <f t="shared" si="82"/>
        <v>0</v>
      </c>
      <c r="AS75" s="1998">
        <f t="shared" si="82"/>
        <v>0</v>
      </c>
      <c r="AT75" s="1998">
        <f t="shared" si="82"/>
        <v>0</v>
      </c>
      <c r="AU75" s="1998">
        <f t="shared" si="82"/>
        <v>0</v>
      </c>
      <c r="AV75" s="1998">
        <f t="shared" si="82"/>
        <v>0</v>
      </c>
      <c r="AW75" s="1998">
        <f t="shared" si="82"/>
        <v>0</v>
      </c>
      <c r="AX75" s="1998">
        <f t="shared" si="82"/>
        <v>0</v>
      </c>
      <c r="AY75" s="1998">
        <f t="shared" si="82"/>
        <v>0</v>
      </c>
      <c r="AZ75" s="1998">
        <f t="shared" si="82"/>
        <v>0</v>
      </c>
      <c r="BA75" s="1998">
        <f t="shared" si="82"/>
        <v>0</v>
      </c>
      <c r="BB75" s="1998">
        <f t="shared" si="82"/>
        <v>0</v>
      </c>
      <c r="BC75" s="1998">
        <f t="shared" si="82"/>
        <v>0</v>
      </c>
      <c r="BD75" s="1998">
        <f t="shared" si="82"/>
        <v>0</v>
      </c>
      <c r="BE75" s="1998">
        <f t="shared" si="82"/>
        <v>0</v>
      </c>
      <c r="BF75" s="1998">
        <f t="shared" si="82"/>
        <v>0</v>
      </c>
      <c r="BG75" s="1998">
        <f t="shared" si="82"/>
        <v>0</v>
      </c>
      <c r="BH75" s="1998">
        <f t="shared" si="82"/>
        <v>0</v>
      </c>
      <c r="BI75" s="1998">
        <f t="shared" si="82"/>
        <v>0</v>
      </c>
      <c r="BJ75" s="1998">
        <f t="shared" si="82"/>
        <v>0</v>
      </c>
      <c r="BK75" s="1998">
        <f t="shared" si="82"/>
        <v>0</v>
      </c>
      <c r="BL75" s="1998">
        <f t="shared" si="82"/>
        <v>0</v>
      </c>
      <c r="BM75" s="1998">
        <f t="shared" si="82"/>
        <v>0</v>
      </c>
      <c r="BN75" s="1998">
        <f t="shared" si="82"/>
        <v>0</v>
      </c>
      <c r="BO75" s="1998">
        <f t="shared" si="82"/>
        <v>0</v>
      </c>
      <c r="BP75" s="1998">
        <f t="shared" si="82"/>
        <v>0</v>
      </c>
      <c r="BQ75" s="1998">
        <f t="shared" si="82"/>
        <v>0</v>
      </c>
      <c r="BR75" s="1998">
        <f t="shared" si="82"/>
        <v>0</v>
      </c>
      <c r="BS75" s="1998">
        <f t="shared" si="82"/>
        <v>0</v>
      </c>
      <c r="BT75" s="1998">
        <f t="shared" ref="BT75:EE75" si="83" xml:space="preserve">
IF(BT$25="休診日",0,
IF(BT77&gt;=VLOOKUP(BT$22&amp;$B75,$B$96:$D$191,2,FALSE),0,
IF(AND(BT77&lt;VLOOKUP(BT$22&amp;$B75,$B$96:$D$191,2,FALSE),BT76&lt;=VLOOKUP(BT$22&amp;$B75,$B$96:$D$191,2,FALSE)),IF(BT76-BT77&lt;0,0,BT76-BT77),
IF(AND(BT77&lt;VLOOKUP(BT$22&amp;$B75,$B$96:$D$191,2,FALSE),BT76&gt;VLOOKUP(BT$22&amp;$B75,$B$96:$D$191,2,FALSE)),VLOOKUP(BT$22&amp;$B75,$B$96:$D$191,2,FALSE)-BT77))))</f>
        <v>0</v>
      </c>
      <c r="BU75" s="1998">
        <f t="shared" si="83"/>
        <v>0</v>
      </c>
      <c r="BV75" s="1998">
        <f t="shared" si="83"/>
        <v>0</v>
      </c>
      <c r="BW75" s="1998">
        <f t="shared" si="83"/>
        <v>0</v>
      </c>
      <c r="BX75" s="1998">
        <f t="shared" si="83"/>
        <v>0</v>
      </c>
      <c r="BY75" s="1998">
        <f t="shared" si="83"/>
        <v>0</v>
      </c>
      <c r="BZ75" s="1998">
        <f t="shared" si="83"/>
        <v>0</v>
      </c>
      <c r="CA75" s="1998">
        <f t="shared" si="83"/>
        <v>0</v>
      </c>
      <c r="CB75" s="1998">
        <f t="shared" si="83"/>
        <v>0</v>
      </c>
      <c r="CC75" s="1998">
        <f t="shared" si="83"/>
        <v>0</v>
      </c>
      <c r="CD75" s="1998">
        <f t="shared" si="83"/>
        <v>0</v>
      </c>
      <c r="CE75" s="1998">
        <f t="shared" si="83"/>
        <v>0</v>
      </c>
      <c r="CF75" s="1998">
        <f t="shared" si="83"/>
        <v>0</v>
      </c>
      <c r="CG75" s="1998">
        <f t="shared" si="83"/>
        <v>0</v>
      </c>
      <c r="CH75" s="1998">
        <f t="shared" si="83"/>
        <v>0</v>
      </c>
      <c r="CI75" s="1998">
        <f t="shared" si="83"/>
        <v>0</v>
      </c>
      <c r="CJ75" s="1998">
        <f t="shared" si="83"/>
        <v>0</v>
      </c>
      <c r="CK75" s="1998">
        <f t="shared" si="83"/>
        <v>0</v>
      </c>
      <c r="CL75" s="1998">
        <f t="shared" si="83"/>
        <v>0</v>
      </c>
      <c r="CM75" s="1998">
        <f t="shared" si="83"/>
        <v>0</v>
      </c>
      <c r="CN75" s="1998">
        <f t="shared" si="83"/>
        <v>0</v>
      </c>
      <c r="CO75" s="1998">
        <f t="shared" si="83"/>
        <v>0</v>
      </c>
      <c r="CP75" s="1998">
        <f t="shared" si="83"/>
        <v>0</v>
      </c>
      <c r="CQ75" s="1998">
        <f t="shared" si="83"/>
        <v>0</v>
      </c>
      <c r="CR75" s="1998">
        <f t="shared" si="83"/>
        <v>0</v>
      </c>
      <c r="CS75" s="1998">
        <f t="shared" si="83"/>
        <v>0</v>
      </c>
      <c r="CT75" s="1998">
        <f t="shared" si="83"/>
        <v>0</v>
      </c>
      <c r="CU75" s="1998">
        <f t="shared" si="83"/>
        <v>0</v>
      </c>
      <c r="CV75" s="1998">
        <f t="shared" si="83"/>
        <v>0</v>
      </c>
      <c r="CW75" s="1998">
        <f t="shared" si="83"/>
        <v>0</v>
      </c>
      <c r="CX75" s="1998">
        <f t="shared" si="83"/>
        <v>0</v>
      </c>
      <c r="CY75" s="1998">
        <f t="shared" si="83"/>
        <v>0</v>
      </c>
      <c r="CZ75" s="1998">
        <f t="shared" si="83"/>
        <v>0</v>
      </c>
      <c r="DA75" s="1998">
        <f t="shared" si="83"/>
        <v>0</v>
      </c>
      <c r="DB75" s="1998">
        <f t="shared" si="83"/>
        <v>0</v>
      </c>
      <c r="DC75" s="1998">
        <f t="shared" si="83"/>
        <v>0</v>
      </c>
      <c r="DD75" s="1998">
        <f t="shared" si="83"/>
        <v>0</v>
      </c>
      <c r="DE75" s="1998">
        <f t="shared" si="83"/>
        <v>0</v>
      </c>
      <c r="DF75" s="1998">
        <f t="shared" si="83"/>
        <v>0</v>
      </c>
      <c r="DG75" s="1998">
        <f t="shared" si="83"/>
        <v>0</v>
      </c>
      <c r="DH75" s="1998">
        <f t="shared" si="83"/>
        <v>0</v>
      </c>
      <c r="DI75" s="1998">
        <f t="shared" si="83"/>
        <v>0</v>
      </c>
      <c r="DJ75" s="1998">
        <f t="shared" si="83"/>
        <v>0</v>
      </c>
      <c r="DK75" s="1998">
        <f t="shared" si="83"/>
        <v>0</v>
      </c>
      <c r="DL75" s="1998">
        <f t="shared" si="83"/>
        <v>0</v>
      </c>
      <c r="DM75" s="1998">
        <f t="shared" si="83"/>
        <v>0</v>
      </c>
      <c r="DN75" s="1998">
        <f t="shared" si="83"/>
        <v>0</v>
      </c>
      <c r="DO75" s="1998">
        <f t="shared" si="83"/>
        <v>0</v>
      </c>
      <c r="DP75" s="1998">
        <f t="shared" si="83"/>
        <v>0</v>
      </c>
      <c r="DQ75" s="1998">
        <f t="shared" si="83"/>
        <v>0</v>
      </c>
      <c r="DR75" s="1998">
        <f t="shared" si="83"/>
        <v>0</v>
      </c>
      <c r="DS75" s="1998">
        <f t="shared" si="83"/>
        <v>0</v>
      </c>
      <c r="DT75" s="1998">
        <f t="shared" si="83"/>
        <v>0</v>
      </c>
      <c r="DU75" s="1998">
        <f t="shared" si="83"/>
        <v>0</v>
      </c>
      <c r="DV75" s="1998">
        <f t="shared" si="83"/>
        <v>0</v>
      </c>
      <c r="DW75" s="1998">
        <f t="shared" si="83"/>
        <v>0</v>
      </c>
      <c r="DX75" s="1998">
        <f t="shared" si="83"/>
        <v>0</v>
      </c>
      <c r="DY75" s="1998">
        <f t="shared" si="83"/>
        <v>0</v>
      </c>
      <c r="DZ75" s="1998">
        <f t="shared" si="83"/>
        <v>0</v>
      </c>
      <c r="EA75" s="1998">
        <f t="shared" si="83"/>
        <v>0</v>
      </c>
      <c r="EB75" s="1998">
        <f t="shared" si="83"/>
        <v>0</v>
      </c>
      <c r="EC75" s="1998">
        <f t="shared" si="83"/>
        <v>0</v>
      </c>
      <c r="ED75" s="1998">
        <f t="shared" si="83"/>
        <v>0</v>
      </c>
      <c r="EE75" s="1998">
        <f t="shared" si="83"/>
        <v>0</v>
      </c>
      <c r="EF75" s="1998">
        <f t="shared" ref="EF75:GE75" si="84" xml:space="preserve">
IF(EF$25="休診日",0,
IF(EF77&gt;=VLOOKUP(EF$22&amp;$B75,$B$96:$D$191,2,FALSE),0,
IF(AND(EF77&lt;VLOOKUP(EF$22&amp;$B75,$B$96:$D$191,2,FALSE),EF76&lt;=VLOOKUP(EF$22&amp;$B75,$B$96:$D$191,2,FALSE)),IF(EF76-EF77&lt;0,0,EF76-EF77),
IF(AND(EF77&lt;VLOOKUP(EF$22&amp;$B75,$B$96:$D$191,2,FALSE),EF76&gt;VLOOKUP(EF$22&amp;$B75,$B$96:$D$191,2,FALSE)),VLOOKUP(EF$22&amp;$B75,$B$96:$D$191,2,FALSE)-EF77))))</f>
        <v>0</v>
      </c>
      <c r="EG75" s="1998">
        <f t="shared" si="84"/>
        <v>0</v>
      </c>
      <c r="EH75" s="1998">
        <f t="shared" si="84"/>
        <v>0</v>
      </c>
      <c r="EI75" s="1998">
        <f t="shared" si="84"/>
        <v>0</v>
      </c>
      <c r="EJ75" s="1998">
        <f t="shared" si="84"/>
        <v>0</v>
      </c>
      <c r="EK75" s="1998">
        <f t="shared" si="84"/>
        <v>0</v>
      </c>
      <c r="EL75" s="1998">
        <f t="shared" si="84"/>
        <v>0</v>
      </c>
      <c r="EM75" s="1998">
        <f t="shared" si="84"/>
        <v>0</v>
      </c>
      <c r="EN75" s="1998">
        <f t="shared" si="84"/>
        <v>0</v>
      </c>
      <c r="EO75" s="1998">
        <f t="shared" si="84"/>
        <v>0</v>
      </c>
      <c r="EP75" s="1998">
        <f t="shared" si="84"/>
        <v>0</v>
      </c>
      <c r="EQ75" s="1998">
        <f t="shared" si="84"/>
        <v>0</v>
      </c>
      <c r="ER75" s="1998">
        <f t="shared" si="84"/>
        <v>0</v>
      </c>
      <c r="ES75" s="1998">
        <f t="shared" si="84"/>
        <v>0</v>
      </c>
      <c r="ET75" s="1998">
        <f t="shared" si="84"/>
        <v>0</v>
      </c>
      <c r="EU75" s="1998">
        <f t="shared" si="84"/>
        <v>0</v>
      </c>
      <c r="EV75" s="1998">
        <f t="shared" si="84"/>
        <v>0</v>
      </c>
      <c r="EW75" s="1998">
        <f t="shared" si="84"/>
        <v>0</v>
      </c>
      <c r="EX75" s="1998">
        <f t="shared" si="84"/>
        <v>0</v>
      </c>
      <c r="EY75" s="1998">
        <f t="shared" si="84"/>
        <v>0</v>
      </c>
      <c r="EZ75" s="1998">
        <f t="shared" si="84"/>
        <v>0</v>
      </c>
      <c r="FA75" s="1998">
        <f t="shared" si="84"/>
        <v>0</v>
      </c>
      <c r="FB75" s="1998">
        <f t="shared" si="84"/>
        <v>0</v>
      </c>
      <c r="FC75" s="1998">
        <f t="shared" si="84"/>
        <v>0</v>
      </c>
      <c r="FD75" s="1998">
        <f t="shared" si="84"/>
        <v>0</v>
      </c>
      <c r="FE75" s="1998">
        <f t="shared" si="84"/>
        <v>0</v>
      </c>
      <c r="FF75" s="1998">
        <f t="shared" si="84"/>
        <v>0</v>
      </c>
      <c r="FG75" s="1998">
        <f t="shared" si="84"/>
        <v>0</v>
      </c>
      <c r="FH75" s="1998">
        <f t="shared" si="84"/>
        <v>0</v>
      </c>
      <c r="FI75" s="1998">
        <f t="shared" si="84"/>
        <v>0</v>
      </c>
      <c r="FJ75" s="1998">
        <f t="shared" si="84"/>
        <v>0</v>
      </c>
      <c r="FK75" s="1998">
        <f t="shared" si="84"/>
        <v>0</v>
      </c>
      <c r="FL75" s="1998">
        <f t="shared" si="84"/>
        <v>0</v>
      </c>
      <c r="FM75" s="1998">
        <f t="shared" si="84"/>
        <v>0</v>
      </c>
      <c r="FN75" s="1998">
        <f t="shared" si="84"/>
        <v>0</v>
      </c>
      <c r="FO75" s="1998">
        <f t="shared" si="84"/>
        <v>0</v>
      </c>
      <c r="FP75" s="1998">
        <f t="shared" si="84"/>
        <v>0</v>
      </c>
      <c r="FQ75" s="1998">
        <f t="shared" si="84"/>
        <v>0</v>
      </c>
      <c r="FR75" s="1998">
        <f t="shared" si="84"/>
        <v>0</v>
      </c>
      <c r="FS75" s="1998">
        <f t="shared" si="84"/>
        <v>0</v>
      </c>
      <c r="FT75" s="1998">
        <f t="shared" si="84"/>
        <v>0</v>
      </c>
      <c r="FU75" s="1998">
        <f t="shared" si="84"/>
        <v>0</v>
      </c>
      <c r="FV75" s="1998">
        <f t="shared" si="84"/>
        <v>0</v>
      </c>
      <c r="FW75" s="1998">
        <f t="shared" si="84"/>
        <v>0</v>
      </c>
      <c r="FX75" s="1998">
        <f t="shared" si="84"/>
        <v>0</v>
      </c>
      <c r="FY75" s="1998">
        <f t="shared" si="84"/>
        <v>0</v>
      </c>
      <c r="FZ75" s="1998">
        <f t="shared" si="84"/>
        <v>0</v>
      </c>
      <c r="GA75" s="1998">
        <f t="shared" si="84"/>
        <v>0</v>
      </c>
      <c r="GB75" s="1998">
        <f t="shared" si="84"/>
        <v>0</v>
      </c>
      <c r="GC75" s="1998">
        <f t="shared" si="84"/>
        <v>0</v>
      </c>
      <c r="GD75" s="1998">
        <f t="shared" si="84"/>
        <v>0</v>
      </c>
      <c r="GE75" s="1998">
        <f t="shared" si="84"/>
        <v>0</v>
      </c>
      <c r="GF75" s="1998">
        <f xml:space="preserve">
IF(GF$25="休診日",0,
IF(GF77&gt;=VLOOKUP(GF$22&amp;$B75,$B$96:$D$191,2,FALSE),0,
IF(AND(GF77&lt;VLOOKUP(GF$22&amp;$B75,$B$96:$D$191,2,FALSE),GF76&lt;=VLOOKUP(GF$22&amp;$B75,$B$96:$D$191,2,FALSE)),IF(GF76-GF77&lt;0,0,GF76-GF77),
IF(AND(GF77&lt;VLOOKUP(GF$22&amp;$B75,$B$96:$D$191,2,FALSE),GF76&gt;VLOOKUP(GF$22&amp;$B75,$B$96:$D$191,2,FALSE)),VLOOKUP(GF$22&amp;$B75,$B$96:$D$191,2,FALSE)-GF77))))</f>
        <v>0</v>
      </c>
    </row>
    <row r="76" spans="1:188" s="639" customFormat="1" ht="15" customHeight="1" x14ac:dyDescent="0.4">
      <c r="A76" s="631"/>
      <c r="B76" s="639" t="s">
        <v>1265</v>
      </c>
      <c r="C76" s="1995" t="s">
        <v>1387</v>
      </c>
      <c r="D76" s="1996"/>
      <c r="E76" s="640"/>
      <c r="F76" s="1998">
        <f>SUMIF(防護具!$B$31:$B$163,F$23&amp;$B75,防護具!$S$31:$S$163)</f>
        <v>0</v>
      </c>
      <c r="G76" s="2000">
        <f>IFERROR(
SUM(F76,SUMIF(防護具!$B$31:$B$163,G$23&amp;$B75,防護具!$S$31:$S$163))-F75,0)</f>
        <v>0</v>
      </c>
      <c r="H76" s="2000">
        <f>IFERROR(
SUM(G76,SUMIF(防護具!$B$31:$B$163,H$23&amp;$B75,防護具!$S$31:$S$163))-G75,0)</f>
        <v>0</v>
      </c>
      <c r="I76" s="2000">
        <f>IFERROR(
SUM(H76,SUMIF(防護具!$B$31:$B$163,I$23&amp;$B75,防護具!$S$31:$S$163))-H75,0)</f>
        <v>0</v>
      </c>
      <c r="J76" s="2000">
        <f>IFERROR(
SUM(I76,SUMIF(防護具!$B$31:$B$163,J$23&amp;$B75,防護具!$S$31:$S$163))-I75,0)</f>
        <v>0</v>
      </c>
      <c r="K76" s="2000">
        <f>IFERROR(
SUM(J76,SUMIF(防護具!$B$31:$B$163,K$23&amp;$B75,防護具!$S$31:$S$163))-J75,0)</f>
        <v>0</v>
      </c>
      <c r="L76" s="2000">
        <f>IFERROR(
SUM(K76,SUMIF(防護具!$B$31:$B$163,L$23&amp;$B75,防護具!$S$31:$S$163))-K75,0)</f>
        <v>0</v>
      </c>
      <c r="M76" s="2000">
        <f>IFERROR(
SUM(L76,SUMIF(防護具!$B$31:$B$163,M$23&amp;$B75,防護具!$S$31:$S$163))-L75,0)</f>
        <v>0</v>
      </c>
      <c r="N76" s="2000">
        <f>IFERROR(
SUM(M76,SUMIF(防護具!$B$31:$B$163,N$23&amp;$B75,防護具!$S$31:$S$163))-M75,0)</f>
        <v>0</v>
      </c>
      <c r="O76" s="2000">
        <f>IFERROR(
SUM(N76,SUMIF(防護具!$B$31:$B$163,O$23&amp;$B75,防護具!$S$31:$S$163))-N75,0)</f>
        <v>0</v>
      </c>
      <c r="P76" s="2000">
        <f>IFERROR(
SUM(O76,SUMIF(防護具!$B$31:$B$163,P$23&amp;$B75,防護具!$S$31:$S$163))-O75,0)</f>
        <v>0</v>
      </c>
      <c r="Q76" s="2000">
        <f>IFERROR(
SUM(P76,SUMIF(防護具!$B$31:$B$163,Q$23&amp;$B75,防護具!$S$31:$S$163))-P75,0)</f>
        <v>0</v>
      </c>
      <c r="R76" s="2000">
        <f>IFERROR(
SUM(Q76,SUMIF(防護具!$B$31:$B$163,R$23&amp;$B75,防護具!$S$31:$S$163))-Q75,0)</f>
        <v>0</v>
      </c>
      <c r="S76" s="2000">
        <f>IFERROR(
SUM(R76,SUMIF(防護具!$B$31:$B$163,S$23&amp;$B75,防護具!$S$31:$S$163))-R75,0)</f>
        <v>0</v>
      </c>
      <c r="T76" s="2000">
        <f>IFERROR(
SUM(S76,SUMIF(防護具!$B$31:$B$163,T$23&amp;$B75,防護具!$S$31:$S$163))-S75,0)</f>
        <v>0</v>
      </c>
      <c r="U76" s="2000">
        <f>IFERROR(
SUM(T76,SUMIF(防護具!$B$31:$B$163,U$23&amp;$B75,防護具!$S$31:$S$163))-T75,0)</f>
        <v>0</v>
      </c>
      <c r="V76" s="2000">
        <f>IFERROR(
SUM(U76,SUMIF(防護具!$B$31:$B$163,V$23&amp;$B75,防護具!$S$31:$S$163))-U75,0)</f>
        <v>0</v>
      </c>
      <c r="W76" s="2000">
        <f>IFERROR(
SUM(V76,SUMIF(防護具!$B$31:$B$163,W$23&amp;$B75,防護具!$S$31:$S$163))-V75,0)</f>
        <v>0</v>
      </c>
      <c r="X76" s="2000">
        <f>IFERROR(
SUM(W76,SUMIF(防護具!$B$31:$B$163,X$23&amp;$B75,防護具!$S$31:$S$163))-W75,0)</f>
        <v>0</v>
      </c>
      <c r="Y76" s="2000">
        <f>IFERROR(
SUM(X76,SUMIF(防護具!$B$31:$B$163,Y$23&amp;$B75,防護具!$S$31:$S$163))-X75,0)</f>
        <v>0</v>
      </c>
      <c r="Z76" s="2000">
        <f>IFERROR(
SUM(Y76,SUMIF(防護具!$B$31:$B$163,Z$23&amp;$B75,防護具!$S$31:$S$163))-Y75,0)</f>
        <v>0</v>
      </c>
      <c r="AA76" s="2000">
        <f>IFERROR(
SUM(Z76,SUMIF(防護具!$B$31:$B$163,AA$23&amp;$B75,防護具!$S$31:$S$163))-Z75,0)</f>
        <v>0</v>
      </c>
      <c r="AB76" s="2000">
        <f>IFERROR(
SUM(AA76,SUMIF(防護具!$B$31:$B$163,AB$23&amp;$B75,防護具!$S$31:$S$163))-AA75,0)</f>
        <v>0</v>
      </c>
      <c r="AC76" s="2000">
        <f>IFERROR(
SUM(AB76,SUMIF(防護具!$B$31:$B$163,AC$23&amp;$B75,防護具!$S$31:$S$163))-AB75,0)</f>
        <v>0</v>
      </c>
      <c r="AD76" s="2000">
        <f>IFERROR(
SUM(AC76,SUMIF(防護具!$B$31:$B$163,AD$23&amp;$B75,防護具!$S$31:$S$163))-AC75,0)</f>
        <v>0</v>
      </c>
      <c r="AE76" s="2000">
        <f>IFERROR(
SUM(AD76,SUMIF(防護具!$B$31:$B$163,AE$23&amp;$B75,防護具!$S$31:$S$163))-AD75,0)</f>
        <v>0</v>
      </c>
      <c r="AF76" s="2000">
        <f>IFERROR(
SUM(AE76,SUMIF(防護具!$B$31:$B$163,AF$23&amp;$B75,防護具!$S$31:$S$163))-AE75,0)</f>
        <v>0</v>
      </c>
      <c r="AG76" s="2000">
        <f>IFERROR(
SUM(AF76,SUMIF(防護具!$B$31:$B$163,AG$23&amp;$B75,防護具!$S$31:$S$163))-AF75,0)</f>
        <v>0</v>
      </c>
      <c r="AH76" s="2000">
        <f>IFERROR(
SUM(AG76,SUMIF(防護具!$B$31:$B$163,AH$23&amp;$B75,防護具!$S$31:$S$163))-AG75,0)</f>
        <v>0</v>
      </c>
      <c r="AI76" s="2000">
        <f>IFERROR(
SUM(AH76,SUMIF(防護具!$B$31:$B$163,AI$23&amp;$B75,防護具!$S$31:$S$163))-AH75,0)</f>
        <v>0</v>
      </c>
      <c r="AJ76" s="2000">
        <f>IFERROR(
SUM(AI76,SUMIF(防護具!$B$31:$B$163,AJ$23&amp;$B75,防護具!$S$31:$S$163))-AI75,0)</f>
        <v>0</v>
      </c>
      <c r="AK76" s="2000">
        <f>IFERROR(
SUM(AJ76,SUMIF(防護具!$B$31:$B$163,AK$23&amp;$B75,防護具!$S$31:$S$163))-AJ75,0)</f>
        <v>0</v>
      </c>
      <c r="AL76" s="2000">
        <f>IFERROR(
SUM(AK76,SUMIF(防護具!$B$31:$B$163,AL$23&amp;$B75,防護具!$S$31:$S$163))-AK75,0)</f>
        <v>0</v>
      </c>
      <c r="AM76" s="2000">
        <f>IFERROR(
SUM(AL76,SUMIF(防護具!$B$31:$B$163,AM$23&amp;$B75,防護具!$S$31:$S$163))-AL75,0)</f>
        <v>0</v>
      </c>
      <c r="AN76" s="2000">
        <f>IFERROR(
SUM(AM76,SUMIF(防護具!$B$31:$B$163,AN$23&amp;$B75,防護具!$S$31:$S$163))-AM75,0)</f>
        <v>0</v>
      </c>
      <c r="AO76" s="2000">
        <f>IFERROR(
SUM(AN76,SUMIF(防護具!$B$31:$B$163,AO$23&amp;$B75,防護具!$S$31:$S$163))-AN75,0)</f>
        <v>0</v>
      </c>
      <c r="AP76" s="2000">
        <f>IFERROR(
SUM(AO76,SUMIF(防護具!$B$31:$B$163,AP$23&amp;$B75,防護具!$S$31:$S$163))-AO75,0)</f>
        <v>0</v>
      </c>
      <c r="AQ76" s="2000">
        <f>IFERROR(
SUM(AP76,SUMIF(防護具!$B$31:$B$163,AQ$23&amp;$B75,防護具!$S$31:$S$163))-AP75,0)</f>
        <v>0</v>
      </c>
      <c r="AR76" s="2000">
        <f>IFERROR(
SUM(AQ76,SUMIF(防護具!$B$31:$B$163,AR$23&amp;$B75,防護具!$S$31:$S$163))-AQ75,0)</f>
        <v>0</v>
      </c>
      <c r="AS76" s="2000">
        <f>IFERROR(
SUM(AR76,SUMIF(防護具!$B$31:$B$163,AS$23&amp;$B75,防護具!$S$31:$S$163))-AR75,0)</f>
        <v>0</v>
      </c>
      <c r="AT76" s="2000">
        <f>IFERROR(
SUM(AS76,SUMIF(防護具!$B$31:$B$163,AT$23&amp;$B75,防護具!$S$31:$S$163))-AS75,0)</f>
        <v>0</v>
      </c>
      <c r="AU76" s="2000">
        <f>IFERROR(
SUM(AT76,SUMIF(防護具!$B$31:$B$163,AU$23&amp;$B75,防護具!$S$31:$S$163))-AT75,0)</f>
        <v>0</v>
      </c>
      <c r="AV76" s="2000">
        <f>IFERROR(
SUM(AU76,SUMIF(防護具!$B$31:$B$163,AV$23&amp;$B75,防護具!$S$31:$S$163))-AU75,0)</f>
        <v>0</v>
      </c>
      <c r="AW76" s="2000">
        <f>IFERROR(
SUM(AV76,SUMIF(防護具!$B$31:$B$163,AW$23&amp;$B75,防護具!$S$31:$S$163))-AV75,0)</f>
        <v>0</v>
      </c>
      <c r="AX76" s="2000">
        <f>IFERROR(
SUM(AW76,SUMIF(防護具!$B$31:$B$163,AX$23&amp;$B75,防護具!$S$31:$S$163))-AW75,0)</f>
        <v>0</v>
      </c>
      <c r="AY76" s="2000">
        <f>IFERROR(
SUM(AX76,SUMIF(防護具!$B$31:$B$163,AY$23&amp;$B75,防護具!$S$31:$S$163))-AX75,0)</f>
        <v>0</v>
      </c>
      <c r="AZ76" s="2000">
        <f>IFERROR(
SUM(AY76,SUMIF(防護具!$B$31:$B$163,AZ$23&amp;$B75,防護具!$S$31:$S$163))-AY75,0)</f>
        <v>0</v>
      </c>
      <c r="BA76" s="2000">
        <f>IFERROR(
SUM(AZ76,SUMIF(防護具!$B$31:$B$163,BA$23&amp;$B75,防護具!$S$31:$S$163))-AZ75,0)</f>
        <v>0</v>
      </c>
      <c r="BB76" s="2000">
        <f>IFERROR(
SUM(BA76,SUMIF(防護具!$B$31:$B$163,BB$23&amp;$B75,防護具!$S$31:$S$163))-BA75,0)</f>
        <v>0</v>
      </c>
      <c r="BC76" s="2000">
        <f>IFERROR(
SUM(BB76,SUMIF(防護具!$B$31:$B$163,BC$23&amp;$B75,防護具!$S$31:$S$163))-BB75,0)</f>
        <v>0</v>
      </c>
      <c r="BD76" s="2000">
        <f>IFERROR(
SUM(BC76,SUMIF(防護具!$B$31:$B$163,BD$23&amp;$B75,防護具!$S$31:$S$163))-BC75,0)</f>
        <v>0</v>
      </c>
      <c r="BE76" s="2000">
        <f>IFERROR(
SUM(BD76,SUMIF(防護具!$B$31:$B$163,BE$23&amp;$B75,防護具!$S$31:$S$163))-BD75,0)</f>
        <v>0</v>
      </c>
      <c r="BF76" s="2000">
        <f>IFERROR(
SUM(BE76,SUMIF(防護具!$B$31:$B$163,BF$23&amp;$B75,防護具!$S$31:$S$163))-BE75,0)</f>
        <v>0</v>
      </c>
      <c r="BG76" s="2000">
        <f>IFERROR(
SUM(BF76,SUMIF(防護具!$B$31:$B$163,BG$23&amp;$B75,防護具!$S$31:$S$163))-BF75,0)</f>
        <v>0</v>
      </c>
      <c r="BH76" s="2000">
        <f>IFERROR(
SUM(BG76,SUMIF(防護具!$B$31:$B$163,BH$23&amp;$B75,防護具!$S$31:$S$163))-BG75,0)</f>
        <v>0</v>
      </c>
      <c r="BI76" s="2000">
        <f>IFERROR(
SUM(BH76,SUMIF(防護具!$B$31:$B$163,BI$23&amp;$B75,防護具!$S$31:$S$163))-BH75,0)</f>
        <v>0</v>
      </c>
      <c r="BJ76" s="2000">
        <f>IFERROR(
SUM(BI76,SUMIF(防護具!$B$31:$B$163,BJ$23&amp;$B75,防護具!$S$31:$S$163))-BI75,0)</f>
        <v>0</v>
      </c>
      <c r="BK76" s="2000">
        <f>IFERROR(
SUM(BJ76,SUMIF(防護具!$B$31:$B$163,BK$23&amp;$B75,防護具!$S$31:$S$163))-BJ75,0)</f>
        <v>0</v>
      </c>
      <c r="BL76" s="2000">
        <f>IFERROR(
SUM(BK76,SUMIF(防護具!$B$31:$B$163,BL$23&amp;$B75,防護具!$S$31:$S$163))-BK75,0)</f>
        <v>0</v>
      </c>
      <c r="BM76" s="2000">
        <f>IFERROR(
SUM(BL76,SUMIF(防護具!$B$31:$B$163,BM$23&amp;$B75,防護具!$S$31:$S$163))-BL75,0)</f>
        <v>0</v>
      </c>
      <c r="BN76" s="2000">
        <f>IFERROR(
SUM(BM76,SUMIF(防護具!$B$31:$B$163,BN$23&amp;$B75,防護具!$S$31:$S$163))-BM75,0)</f>
        <v>0</v>
      </c>
      <c r="BO76" s="2000">
        <f>IFERROR(
SUM(BN76,SUMIF(防護具!$B$31:$B$163,BO$23&amp;$B75,防護具!$S$31:$S$163))-BN75,0)</f>
        <v>0</v>
      </c>
      <c r="BP76" s="2000">
        <f>IFERROR(
SUM(BO76,SUMIF(防護具!$B$31:$B$163,BP$23&amp;$B75,防護具!$S$31:$S$163))-BO75,0)</f>
        <v>0</v>
      </c>
      <c r="BQ76" s="2000">
        <f>IFERROR(
SUM(BP76,SUMIF(防護具!$B$31:$B$163,BQ$23&amp;$B75,防護具!$S$31:$S$163))-BP75,0)</f>
        <v>0</v>
      </c>
      <c r="BR76" s="2000">
        <f>IFERROR(
SUM(BQ76,SUMIF(防護具!$B$31:$B$163,BR$23&amp;$B75,防護具!$S$31:$S$163))-BQ75,0)</f>
        <v>0</v>
      </c>
      <c r="BS76" s="2000">
        <f>IFERROR(
SUM(BR76,SUMIF(防護具!$B$31:$B$163,BS$23&amp;$B75,防護具!$S$31:$S$163))-BR75,0)</f>
        <v>0</v>
      </c>
      <c r="BT76" s="2000">
        <f>IFERROR(
SUM(BS76,SUMIF(防護具!$B$31:$B$163,BT$23&amp;$B75,防護具!$S$31:$S$163))-BS75,0)</f>
        <v>0</v>
      </c>
      <c r="BU76" s="2000">
        <f>IFERROR(
SUM(BT76,SUMIF(防護具!$B$31:$B$163,BU$23&amp;$B75,防護具!$S$31:$S$163))-BT75,0)</f>
        <v>0</v>
      </c>
      <c r="BV76" s="2000">
        <f>IFERROR(
SUM(BU76,SUMIF(防護具!$B$31:$B$163,BV$23&amp;$B75,防護具!$S$31:$S$163))-BU75,0)</f>
        <v>0</v>
      </c>
      <c r="BW76" s="2000">
        <f>IFERROR(
SUM(BV76,SUMIF(防護具!$B$31:$B$163,BW$23&amp;$B75,防護具!$S$31:$S$163))-BV75,0)</f>
        <v>0</v>
      </c>
      <c r="BX76" s="2000">
        <f>IFERROR(
SUM(BW76,SUMIF(防護具!$B$31:$B$163,BX$23&amp;$B75,防護具!$S$31:$S$163))-BW75,0)</f>
        <v>0</v>
      </c>
      <c r="BY76" s="2000">
        <f>IFERROR(
SUM(BX76,SUMIF(防護具!$B$31:$B$163,BY$23&amp;$B75,防護具!$S$31:$S$163))-BX75,0)</f>
        <v>0</v>
      </c>
      <c r="BZ76" s="2000">
        <f>IFERROR(
SUM(BY76,SUMIF(防護具!$B$31:$B$163,BZ$23&amp;$B75,防護具!$S$31:$S$163))-BY75,0)</f>
        <v>0</v>
      </c>
      <c r="CA76" s="2000">
        <f>IFERROR(
SUM(BZ76,SUMIF(防護具!$B$31:$B$163,CA$23&amp;$B75,防護具!$S$31:$S$163))-BZ75,0)</f>
        <v>0</v>
      </c>
      <c r="CB76" s="2000">
        <f>IFERROR(
SUM(CA76,SUMIF(防護具!$B$31:$B$163,CB$23&amp;$B75,防護具!$S$31:$S$163))-CA75,0)</f>
        <v>0</v>
      </c>
      <c r="CC76" s="2000">
        <f>IFERROR(
SUM(CB76,SUMIF(防護具!$B$31:$B$163,CC$23&amp;$B75,防護具!$S$31:$S$163))-CB75,0)</f>
        <v>0</v>
      </c>
      <c r="CD76" s="2000">
        <f>IFERROR(
SUM(CC76,SUMIF(防護具!$B$31:$B$163,CD$23&amp;$B75,防護具!$S$31:$S$163))-CC75,0)</f>
        <v>0</v>
      </c>
      <c r="CE76" s="2000">
        <f>IFERROR(
SUM(CD76,SUMIF(防護具!$B$31:$B$163,CE$23&amp;$B75,防護具!$S$31:$S$163))-CD75,0)</f>
        <v>0</v>
      </c>
      <c r="CF76" s="2000">
        <f>IFERROR(
SUM(CE76,SUMIF(防護具!$B$31:$B$163,CF$23&amp;$B75,防護具!$S$31:$S$163))-CE75,0)</f>
        <v>0</v>
      </c>
      <c r="CG76" s="2000">
        <f>IFERROR(
SUM(CF76,SUMIF(防護具!$B$31:$B$163,CG$23&amp;$B75,防護具!$S$31:$S$163))-CF75,0)</f>
        <v>0</v>
      </c>
      <c r="CH76" s="2000">
        <f>IFERROR(
SUM(CG76,SUMIF(防護具!$B$31:$B$163,CH$23&amp;$B75,防護具!$S$31:$S$163))-CG75,0)</f>
        <v>0</v>
      </c>
      <c r="CI76" s="2000">
        <f>IFERROR(
SUM(CH76,SUMIF(防護具!$B$31:$B$163,CI$23&amp;$B75,防護具!$S$31:$S$163))-CH75,0)</f>
        <v>0</v>
      </c>
      <c r="CJ76" s="2000">
        <f>IFERROR(
SUM(CI76,SUMIF(防護具!$B$31:$B$163,CJ$23&amp;$B75,防護具!$S$31:$S$163))-CI75,0)</f>
        <v>0</v>
      </c>
      <c r="CK76" s="2000">
        <f>IFERROR(
SUM(CJ76,SUMIF(防護具!$B$31:$B$163,CK$23&amp;$B75,防護具!$S$31:$S$163))-CJ75,0)</f>
        <v>0</v>
      </c>
      <c r="CL76" s="2000">
        <f>IFERROR(
SUM(CK76,SUMIF(防護具!$B$31:$B$163,CL$23&amp;$B75,防護具!$S$31:$S$163))-CK75,0)</f>
        <v>0</v>
      </c>
      <c r="CM76" s="2000">
        <f>IFERROR(
SUM(CL76,SUMIF(防護具!$B$31:$B$163,CM$23&amp;$B75,防護具!$S$31:$S$163))-CL75,0)</f>
        <v>0</v>
      </c>
      <c r="CN76" s="2000">
        <f>IFERROR(
SUM(CM76,SUMIF(防護具!$B$31:$B$163,CN$23&amp;$B75,防護具!$S$31:$S$163))-CM75,0)</f>
        <v>0</v>
      </c>
      <c r="CO76" s="2000">
        <f>IFERROR(
SUM(CN76,SUMIF(防護具!$B$31:$B$163,CO$23&amp;$B75,防護具!$S$31:$S$163))-CN75,0)</f>
        <v>0</v>
      </c>
      <c r="CP76" s="2000">
        <f>IFERROR(
SUM(CO76,SUMIF(防護具!$B$31:$B$163,CP$23&amp;$B75,防護具!$S$31:$S$163))-CO75,0)</f>
        <v>0</v>
      </c>
      <c r="CQ76" s="2000">
        <f>IFERROR(
SUM(CP76,SUMIF(防護具!$B$31:$B$163,CQ$23&amp;$B75,防護具!$S$31:$S$163))-CP75,0)</f>
        <v>0</v>
      </c>
      <c r="CR76" s="2000">
        <f>IFERROR(
SUM(CQ76,SUMIF(防護具!$B$31:$B$163,CR$23&amp;$B75,防護具!$S$31:$S$163))-CQ75,0)</f>
        <v>0</v>
      </c>
      <c r="CS76" s="2000">
        <f>IFERROR(
SUM(CR76,SUMIF(防護具!$B$31:$B$163,CS$23&amp;$B75,防護具!$S$31:$S$163))-CR75,0)</f>
        <v>0</v>
      </c>
      <c r="CT76" s="2000">
        <f>IFERROR(
SUM(CS76,SUMIF(防護具!$B$31:$B$163,CT$23&amp;$B75,防護具!$S$31:$S$163))-CS75,0)</f>
        <v>0</v>
      </c>
      <c r="CU76" s="2000">
        <f>IFERROR(
SUM(CT76,SUMIF(防護具!$B$31:$B$163,CU$23&amp;$B75,防護具!$S$31:$S$163))-CT75,0)</f>
        <v>0</v>
      </c>
      <c r="CV76" s="2000">
        <f>IFERROR(
SUM(CU76,SUMIF(防護具!$B$31:$B$163,CV$23&amp;$B75,防護具!$S$31:$S$163))-CU75,0)</f>
        <v>0</v>
      </c>
      <c r="CW76" s="2000">
        <f>IFERROR(
SUM(CV76,SUMIF(防護具!$B$31:$B$163,CW$23&amp;$B75,防護具!$S$31:$S$163))-CV75,0)</f>
        <v>0</v>
      </c>
      <c r="CX76" s="2000">
        <f>IFERROR(
SUM(CW76,SUMIF(防護具!$B$31:$B$163,CX$23&amp;$B75,防護具!$S$31:$S$163))-CW75,0)</f>
        <v>0</v>
      </c>
      <c r="CY76" s="2000">
        <f>IFERROR(
SUM(CX76,SUMIF(防護具!$B$31:$B$163,CY$23&amp;$B75,防護具!$S$31:$S$163))-CX75,0)</f>
        <v>0</v>
      </c>
      <c r="CZ76" s="2000">
        <f>IFERROR(
SUM(CY76,SUMIF(防護具!$B$31:$B$163,CZ$23&amp;$B75,防護具!$S$31:$S$163))-CY75,0)</f>
        <v>0</v>
      </c>
      <c r="DA76" s="2000">
        <f>IFERROR(
SUM(CZ76,SUMIF(防護具!$B$31:$B$163,DA$23&amp;$B75,防護具!$S$31:$S$163))-CZ75,0)</f>
        <v>0</v>
      </c>
      <c r="DB76" s="2000">
        <f>IFERROR(
SUM(DA76,SUMIF(防護具!$B$31:$B$163,DB$23&amp;$B75,防護具!$S$31:$S$163))-DA75,0)</f>
        <v>0</v>
      </c>
      <c r="DC76" s="2000">
        <f>IFERROR(
SUM(DB76,SUMIF(防護具!$B$31:$B$163,DC$23&amp;$B75,防護具!$S$31:$S$163))-DB75,0)</f>
        <v>0</v>
      </c>
      <c r="DD76" s="2000">
        <f>IFERROR(
SUM(DC76,SUMIF(防護具!$B$31:$B$163,DD$23&amp;$B75,防護具!$S$31:$S$163))-DC75,0)</f>
        <v>0</v>
      </c>
      <c r="DE76" s="2000">
        <f>IFERROR(
SUM(DD76,SUMIF(防護具!$B$31:$B$163,DE$23&amp;$B75,防護具!$S$31:$S$163))-DD75,0)</f>
        <v>0</v>
      </c>
      <c r="DF76" s="2000">
        <f>IFERROR(
SUM(DE76,SUMIF(防護具!$B$31:$B$163,DF$23&amp;$B75,防護具!$S$31:$S$163))-DE75,0)</f>
        <v>0</v>
      </c>
      <c r="DG76" s="2000">
        <f>IFERROR(
SUM(DF76,SUMIF(防護具!$B$31:$B$163,DG$23&amp;$B75,防護具!$S$31:$S$163))-DF75,0)</f>
        <v>0</v>
      </c>
      <c r="DH76" s="2000">
        <f>IFERROR(
SUM(DG76,SUMIF(防護具!$B$31:$B$163,DH$23&amp;$B75,防護具!$S$31:$S$163))-DG75,0)</f>
        <v>0</v>
      </c>
      <c r="DI76" s="2000">
        <f>IFERROR(
SUM(DH76,SUMIF(防護具!$B$31:$B$163,DI$23&amp;$B75,防護具!$S$31:$S$163))-DH75,0)</f>
        <v>0</v>
      </c>
      <c r="DJ76" s="2000">
        <f>IFERROR(
SUM(DI76,SUMIF(防護具!$B$31:$B$163,DJ$23&amp;$B75,防護具!$S$31:$S$163))-DI75,0)</f>
        <v>0</v>
      </c>
      <c r="DK76" s="2000">
        <f>IFERROR(
SUM(DJ76,SUMIF(防護具!$B$31:$B$163,DK$23&amp;$B75,防護具!$S$31:$S$163))-DJ75,0)</f>
        <v>0</v>
      </c>
      <c r="DL76" s="2000">
        <f>IFERROR(
SUM(DK76,SUMIF(防護具!$B$31:$B$163,DL$23&amp;$B75,防護具!$S$31:$S$163))-DK75,0)</f>
        <v>0</v>
      </c>
      <c r="DM76" s="2000">
        <f>IFERROR(
SUM(DL76,SUMIF(防護具!$B$31:$B$163,DM$23&amp;$B75,防護具!$S$31:$S$163))-DL75,0)</f>
        <v>0</v>
      </c>
      <c r="DN76" s="2000">
        <f>IFERROR(
SUM(DM76,SUMIF(防護具!$B$31:$B$163,DN$23&amp;$B75,防護具!$S$31:$S$163))-DM75,0)</f>
        <v>0</v>
      </c>
      <c r="DO76" s="2000">
        <f>IFERROR(
SUM(DN76,SUMIF(防護具!$B$31:$B$163,DO$23&amp;$B75,防護具!$S$31:$S$163))-DN75,0)</f>
        <v>0</v>
      </c>
      <c r="DP76" s="2000">
        <f>IFERROR(
SUM(DO76,SUMIF(防護具!$B$31:$B$163,DP$23&amp;$B75,防護具!$S$31:$S$163))-DO75,0)</f>
        <v>0</v>
      </c>
      <c r="DQ76" s="2000">
        <f>IFERROR(
SUM(DP76,SUMIF(防護具!$B$31:$B$163,DQ$23&amp;$B75,防護具!$S$31:$S$163))-DP75,0)</f>
        <v>0</v>
      </c>
      <c r="DR76" s="2000">
        <f>IFERROR(
SUM(DQ76,SUMIF(防護具!$B$31:$B$163,DR$23&amp;$B75,防護具!$S$31:$S$163))-DQ75,0)</f>
        <v>0</v>
      </c>
      <c r="DS76" s="2000">
        <f>IFERROR(
SUM(DR76,SUMIF(防護具!$B$31:$B$163,DS$23&amp;$B75,防護具!$S$31:$S$163))-DR75,0)</f>
        <v>0</v>
      </c>
      <c r="DT76" s="2000">
        <f>IFERROR(
SUM(DS76,SUMIF(防護具!$B$31:$B$163,DT$23&amp;$B75,防護具!$S$31:$S$163))-DS75,0)</f>
        <v>0</v>
      </c>
      <c r="DU76" s="2000">
        <f>IFERROR(
SUM(DT76,SUMIF(防護具!$B$31:$B$163,DU$23&amp;$B75,防護具!$S$31:$S$163))-DT75,0)</f>
        <v>0</v>
      </c>
      <c r="DV76" s="2000">
        <f>IFERROR(
SUM(DU76,SUMIF(防護具!$B$31:$B$163,DV$23&amp;$B75,防護具!$S$31:$S$163))-DU75,0)</f>
        <v>0</v>
      </c>
      <c r="DW76" s="2000">
        <f>IFERROR(
SUM(DV76,SUMIF(防護具!$B$31:$B$163,DW$23&amp;$B75,防護具!$S$31:$S$163))-DV75,0)</f>
        <v>0</v>
      </c>
      <c r="DX76" s="2000">
        <f>IFERROR(
SUM(DW76,SUMIF(防護具!$B$31:$B$163,DX$23&amp;$B75,防護具!$S$31:$S$163))-DW75,0)</f>
        <v>0</v>
      </c>
      <c r="DY76" s="2000">
        <f>IFERROR(
SUM(DX76,SUMIF(防護具!$B$31:$B$163,DY$23&amp;$B75,防護具!$S$31:$S$163))-DX75,0)</f>
        <v>0</v>
      </c>
      <c r="DZ76" s="2000">
        <f>IFERROR(
SUM(DY76,SUMIF(防護具!$B$31:$B$163,DZ$23&amp;$B75,防護具!$S$31:$S$163))-DY75,0)</f>
        <v>0</v>
      </c>
      <c r="EA76" s="2000">
        <f>IFERROR(
SUM(DZ76,SUMIF(防護具!$B$31:$B$163,EA$23&amp;$B75,防護具!$S$31:$S$163))-DZ75,0)</f>
        <v>0</v>
      </c>
      <c r="EB76" s="2000">
        <f>IFERROR(
SUM(EA76,SUMIF(防護具!$B$31:$B$163,EB$23&amp;$B75,防護具!$S$31:$S$163))-EA75,0)</f>
        <v>0</v>
      </c>
      <c r="EC76" s="2000">
        <f>IFERROR(
SUM(EB76,SUMIF(防護具!$B$31:$B$163,EC$23&amp;$B75,防護具!$S$31:$S$163))-EB75,0)</f>
        <v>0</v>
      </c>
      <c r="ED76" s="2000">
        <f>IFERROR(
SUM(EC76,SUMIF(防護具!$B$31:$B$163,ED$23&amp;$B75,防護具!$S$31:$S$163))-EC75,0)</f>
        <v>0</v>
      </c>
      <c r="EE76" s="2000">
        <f>IFERROR(
SUM(ED76,SUMIF(防護具!$B$31:$B$163,EE$23&amp;$B75,防護具!$S$31:$S$163))-ED75,0)</f>
        <v>0</v>
      </c>
      <c r="EF76" s="2000">
        <f>IFERROR(
SUM(EE76,SUMIF(防護具!$B$31:$B$163,EF$23&amp;$B75,防護具!$S$31:$S$163))-EE75,0)</f>
        <v>0</v>
      </c>
      <c r="EG76" s="2000">
        <f>IFERROR(
SUM(EF76,SUMIF(防護具!$B$31:$B$163,EG$23&amp;$B75,防護具!$S$31:$S$163))-EF75,0)</f>
        <v>0</v>
      </c>
      <c r="EH76" s="2000">
        <f>IFERROR(
SUM(EG76,SUMIF(防護具!$B$31:$B$163,EH$23&amp;$B75,防護具!$S$31:$S$163))-EG75,0)</f>
        <v>0</v>
      </c>
      <c r="EI76" s="2000">
        <f>IFERROR(
SUM(EH76,SUMIF(防護具!$B$31:$B$163,EI$23&amp;$B75,防護具!$S$31:$S$163))-EH75,0)</f>
        <v>0</v>
      </c>
      <c r="EJ76" s="2000">
        <f>IFERROR(
SUM(EI76,SUMIF(防護具!$B$31:$B$163,EJ$23&amp;$B75,防護具!$S$31:$S$163))-EI75,0)</f>
        <v>0</v>
      </c>
      <c r="EK76" s="2000">
        <f>IFERROR(
SUM(EJ76,SUMIF(防護具!$B$31:$B$163,EK$23&amp;$B75,防護具!$S$31:$S$163))-EJ75,0)</f>
        <v>0</v>
      </c>
      <c r="EL76" s="2000">
        <f>IFERROR(
SUM(EK76,SUMIF(防護具!$B$31:$B$163,EL$23&amp;$B75,防護具!$S$31:$S$163))-EK75,0)</f>
        <v>0</v>
      </c>
      <c r="EM76" s="2000">
        <f>IFERROR(
SUM(EL76,SUMIF(防護具!$B$31:$B$163,EM$23&amp;$B75,防護具!$S$31:$S$163))-EL75,0)</f>
        <v>0</v>
      </c>
      <c r="EN76" s="2000">
        <f>IFERROR(
SUM(EM76,SUMIF(防護具!$B$31:$B$163,EN$23&amp;$B75,防護具!$S$31:$S$163))-EM75,0)</f>
        <v>0</v>
      </c>
      <c r="EO76" s="2000">
        <f>IFERROR(
SUM(EN76,SUMIF(防護具!$B$31:$B$163,EO$23&amp;$B75,防護具!$S$31:$S$163))-EN75,0)</f>
        <v>0</v>
      </c>
      <c r="EP76" s="2000">
        <f>IFERROR(
SUM(EO76,SUMIF(防護具!$B$31:$B$163,EP$23&amp;$B75,防護具!$S$31:$S$163))-EO75,0)</f>
        <v>0</v>
      </c>
      <c r="EQ76" s="2000">
        <f>IFERROR(
SUM(EP76,SUMIF(防護具!$B$31:$B$163,EQ$23&amp;$B75,防護具!$S$31:$S$163))-EP75,0)</f>
        <v>0</v>
      </c>
      <c r="ER76" s="2000">
        <f>IFERROR(
SUM(EQ76,SUMIF(防護具!$B$31:$B$163,ER$23&amp;$B75,防護具!$S$31:$S$163))-EQ75,0)</f>
        <v>0</v>
      </c>
      <c r="ES76" s="2000">
        <f>IFERROR(
SUM(ER76,SUMIF(防護具!$B$31:$B$163,ES$23&amp;$B75,防護具!$S$31:$S$163))-ER75,0)</f>
        <v>0</v>
      </c>
      <c r="ET76" s="2000">
        <f>IFERROR(
SUM(ES76,SUMIF(防護具!$B$31:$B$163,ET$23&amp;$B75,防護具!$S$31:$S$163))-ES75,0)</f>
        <v>0</v>
      </c>
      <c r="EU76" s="2000">
        <f>IFERROR(
SUM(ET76,SUMIF(防護具!$B$31:$B$163,EU$23&amp;$B75,防護具!$S$31:$S$163))-ET75,0)</f>
        <v>0</v>
      </c>
      <c r="EV76" s="2000">
        <f>IFERROR(
SUM(EU76,SUMIF(防護具!$B$31:$B$163,EV$23&amp;$B75,防護具!$S$31:$S$163))-EU75,0)</f>
        <v>0</v>
      </c>
      <c r="EW76" s="2000">
        <f>IFERROR(
SUM(EV76,SUMIF(防護具!$B$31:$B$163,EW$23&amp;$B75,防護具!$S$31:$S$163))-EV75,0)</f>
        <v>0</v>
      </c>
      <c r="EX76" s="2000">
        <f>IFERROR(
SUM(EW76,SUMIF(防護具!$B$31:$B$163,EX$23&amp;$B75,防護具!$S$31:$S$163))-EW75,0)</f>
        <v>0</v>
      </c>
      <c r="EY76" s="2000">
        <f>IFERROR(
SUM(EX76,SUMIF(防護具!$B$31:$B$163,EY$23&amp;$B75,防護具!$S$31:$S$163))-EX75,0)</f>
        <v>0</v>
      </c>
      <c r="EZ76" s="2000">
        <f>IFERROR(
SUM(EY76,SUMIF(防護具!$B$31:$B$163,EZ$23&amp;$B75,防護具!$S$31:$S$163))-EY75,0)</f>
        <v>0</v>
      </c>
      <c r="FA76" s="2000">
        <f>IFERROR(
SUM(EZ76,SUMIF(防護具!$B$31:$B$163,FA$23&amp;$B75,防護具!$S$31:$S$163))-EZ75,0)</f>
        <v>0</v>
      </c>
      <c r="FB76" s="2000">
        <f>IFERROR(
SUM(FA76,SUMIF(防護具!$B$31:$B$163,FB$23&amp;$B75,防護具!$S$31:$S$163))-FA75,0)</f>
        <v>0</v>
      </c>
      <c r="FC76" s="2000">
        <f>IFERROR(
SUM(FB76,SUMIF(防護具!$B$31:$B$163,FC$23&amp;$B75,防護具!$S$31:$S$163))-FB75,0)</f>
        <v>0</v>
      </c>
      <c r="FD76" s="2000">
        <f>IFERROR(
SUM(FC76,SUMIF(防護具!$B$31:$B$163,FD$23&amp;$B75,防護具!$S$31:$S$163))-FC75,0)</f>
        <v>0</v>
      </c>
      <c r="FE76" s="2000">
        <f>IFERROR(
SUM(FD76,SUMIF(防護具!$B$31:$B$163,FE$23&amp;$B75,防護具!$S$31:$S$163))-FD75,0)</f>
        <v>0</v>
      </c>
      <c r="FF76" s="2000">
        <f>IFERROR(
SUM(FE76,SUMIF(防護具!$B$31:$B$163,FF$23&amp;$B75,防護具!$S$31:$S$163))-FE75,0)</f>
        <v>0</v>
      </c>
      <c r="FG76" s="2000">
        <f>IFERROR(
SUM(FF76,SUMIF(防護具!$B$31:$B$163,FG$23&amp;$B75,防護具!$S$31:$S$163))-FF75,0)</f>
        <v>0</v>
      </c>
      <c r="FH76" s="2000">
        <f>IFERROR(
SUM(FG76,SUMIF(防護具!$B$31:$B$163,FH$23&amp;$B75,防護具!$S$31:$S$163))-FG75,0)</f>
        <v>0</v>
      </c>
      <c r="FI76" s="2000">
        <f>IFERROR(
SUM(FH76,SUMIF(防護具!$B$31:$B$163,FI$23&amp;$B75,防護具!$S$31:$S$163))-FH75,0)</f>
        <v>0</v>
      </c>
      <c r="FJ76" s="2000">
        <f>IFERROR(
SUM(FI76,SUMIF(防護具!$B$31:$B$163,FJ$23&amp;$B75,防護具!$S$31:$S$163))-FI75,0)</f>
        <v>0</v>
      </c>
      <c r="FK76" s="2000">
        <f>IFERROR(
SUM(FJ76,SUMIF(防護具!$B$31:$B$163,FK$23&amp;$B75,防護具!$S$31:$S$163))-FJ75,0)</f>
        <v>0</v>
      </c>
      <c r="FL76" s="2000">
        <f>IFERROR(
SUM(FK76,SUMIF(防護具!$B$31:$B$163,FL$23&amp;$B75,防護具!$S$31:$S$163))-FK75,0)</f>
        <v>0</v>
      </c>
      <c r="FM76" s="2000">
        <f>IFERROR(
SUM(FL76,SUMIF(防護具!$B$31:$B$163,FM$23&amp;$B75,防護具!$S$31:$S$163))-FL75,0)</f>
        <v>0</v>
      </c>
      <c r="FN76" s="2000">
        <f>IFERROR(
SUM(FM76,SUMIF(防護具!$B$31:$B$163,FN$23&amp;$B75,防護具!$S$31:$S$163))-FM75,0)</f>
        <v>0</v>
      </c>
      <c r="FO76" s="2000">
        <f>IFERROR(
SUM(FN76,SUMIF(防護具!$B$31:$B$163,FO$23&amp;$B75,防護具!$S$31:$S$163))-FN75,0)</f>
        <v>0</v>
      </c>
      <c r="FP76" s="2000">
        <f>IFERROR(
SUM(FO76,SUMIF(防護具!$B$31:$B$163,FP$23&amp;$B75,防護具!$S$31:$S$163))-FO75,0)</f>
        <v>0</v>
      </c>
      <c r="FQ76" s="2000">
        <f>IFERROR(
SUM(FP76,SUMIF(防護具!$B$31:$B$163,FQ$23&amp;$B75,防護具!$S$31:$S$163))-FP75,0)</f>
        <v>0</v>
      </c>
      <c r="FR76" s="2000">
        <f>IFERROR(
SUM(FQ76,SUMIF(防護具!$B$31:$B$163,FR$23&amp;$B75,防護具!$S$31:$S$163))-FQ75,0)</f>
        <v>0</v>
      </c>
      <c r="FS76" s="2000">
        <f>IFERROR(
SUM(FR76,SUMIF(防護具!$B$31:$B$163,FS$23&amp;$B75,防護具!$S$31:$S$163))-FR75,0)</f>
        <v>0</v>
      </c>
      <c r="FT76" s="2000">
        <f>IFERROR(
SUM(FS76,SUMIF(防護具!$B$31:$B$163,FT$23&amp;$B75,防護具!$S$31:$S$163))-FS75,0)</f>
        <v>0</v>
      </c>
      <c r="FU76" s="2000">
        <f>IFERROR(
SUM(FT76,SUMIF(防護具!$B$31:$B$163,FU$23&amp;$B75,防護具!$S$31:$S$163))-FT75,0)</f>
        <v>0</v>
      </c>
      <c r="FV76" s="2000">
        <f>IFERROR(
SUM(FU76,SUMIF(防護具!$B$31:$B$163,FV$23&amp;$B75,防護具!$S$31:$S$163))-FU75,0)</f>
        <v>0</v>
      </c>
      <c r="FW76" s="2000">
        <f>IFERROR(
SUM(FV76,SUMIF(防護具!$B$31:$B$163,FW$23&amp;$B75,防護具!$S$31:$S$163))-FV75,0)</f>
        <v>0</v>
      </c>
      <c r="FX76" s="2000">
        <f>IFERROR(
SUM(FW76,SUMIF(防護具!$B$31:$B$163,FX$23&amp;$B75,防護具!$S$31:$S$163))-FW75,0)</f>
        <v>0</v>
      </c>
      <c r="FY76" s="2000">
        <f>IFERROR(
SUM(FX76,SUMIF(防護具!$B$31:$B$163,FY$23&amp;$B75,防護具!$S$31:$S$163))-FX75,0)</f>
        <v>0</v>
      </c>
      <c r="FZ76" s="2000">
        <f>IFERROR(
SUM(FY76,SUMIF(防護具!$B$31:$B$163,FZ$23&amp;$B75,防護具!$S$31:$S$163))-FY75,0)</f>
        <v>0</v>
      </c>
      <c r="GA76" s="2000">
        <f>IFERROR(
SUM(FZ76,SUMIF(防護具!$B$31:$B$163,GA$23&amp;$B75,防護具!$S$31:$S$163))-FZ75,0)</f>
        <v>0</v>
      </c>
      <c r="GB76" s="2000">
        <f>IFERROR(
SUM(GA76,SUMIF(防護具!$B$31:$B$163,GB$23&amp;$B75,防護具!$S$31:$S$163))-GA75,0)</f>
        <v>0</v>
      </c>
      <c r="GC76" s="2000">
        <f>IFERROR(
SUM(GB76,SUMIF(防護具!$B$31:$B$163,GC$23&amp;$B75,防護具!$S$31:$S$163))-GB75,0)</f>
        <v>0</v>
      </c>
      <c r="GD76" s="2000">
        <f>IFERROR(
SUM(GC76,SUMIF(防護具!$B$31:$B$163,GD$23&amp;$B75,防護具!$S$31:$S$163))-GC75,0)</f>
        <v>0</v>
      </c>
      <c r="GE76" s="2000">
        <f>IFERROR(
SUM(GD76,SUMIF(防護具!$B$31:$B$163,GE$23&amp;$B75,防護具!$S$31:$S$163))-GD75,0)</f>
        <v>0</v>
      </c>
      <c r="GF76" s="2000">
        <f>IFERROR(
SUM(GE76,SUMIF(防護具!$B$31:$B$163,GF$23&amp;$B75,防護具!$S$31:$S$163))-GE75,0)</f>
        <v>0</v>
      </c>
    </row>
    <row r="77" spans="1:188" s="639" customFormat="1" ht="15" customHeight="1" x14ac:dyDescent="0.4">
      <c r="A77" s="631"/>
      <c r="B77" s="639" t="s">
        <v>1264</v>
      </c>
      <c r="C77" s="1995" t="s">
        <v>1388</v>
      </c>
      <c r="D77" s="1996"/>
      <c r="E77" s="640"/>
      <c r="F77" s="2000">
        <f>SUMIF(防護具!$B$14:$B$30,F$23&amp;B75,防護具!$S$14:$S$30)</f>
        <v>0</v>
      </c>
      <c r="G77" s="2000">
        <f xml:space="preserve">
IF(G$25="休診日",F77,
IF(F77-VLOOKUP(F$22&amp;$B75,$B$96:$D$191,2,FALSE)&lt;0,0,F77-VLOOKUP(F$22&amp;$B75,$B$96:$D$191,2,FALSE)))</f>
        <v>0</v>
      </c>
      <c r="H77" s="2000">
        <f t="shared" ref="H77:BS77" si="85" xml:space="preserve">
IF(H$25="休診日",G77,
IF(G77-VLOOKUP(G$22&amp;$B75,$B$96:$D$191,2,FALSE)&lt;0,0,G77-VLOOKUP(G$22&amp;$B75,$B$96:$D$191,2,FALSE)))</f>
        <v>0</v>
      </c>
      <c r="I77" s="2000">
        <f t="shared" si="85"/>
        <v>0</v>
      </c>
      <c r="J77" s="2000">
        <f t="shared" si="85"/>
        <v>0</v>
      </c>
      <c r="K77" s="2000">
        <f t="shared" si="85"/>
        <v>0</v>
      </c>
      <c r="L77" s="2000">
        <f t="shared" si="85"/>
        <v>0</v>
      </c>
      <c r="M77" s="2000">
        <f t="shared" si="85"/>
        <v>0</v>
      </c>
      <c r="N77" s="2000">
        <f t="shared" si="85"/>
        <v>0</v>
      </c>
      <c r="O77" s="2000">
        <f t="shared" si="85"/>
        <v>0</v>
      </c>
      <c r="P77" s="2000">
        <f t="shared" si="85"/>
        <v>0</v>
      </c>
      <c r="Q77" s="2000">
        <f t="shared" si="85"/>
        <v>0</v>
      </c>
      <c r="R77" s="2000">
        <f t="shared" si="85"/>
        <v>0</v>
      </c>
      <c r="S77" s="2000">
        <f t="shared" si="85"/>
        <v>0</v>
      </c>
      <c r="T77" s="2000">
        <f t="shared" si="85"/>
        <v>0</v>
      </c>
      <c r="U77" s="2000">
        <f t="shared" si="85"/>
        <v>0</v>
      </c>
      <c r="V77" s="2000">
        <f t="shared" si="85"/>
        <v>0</v>
      </c>
      <c r="W77" s="2000">
        <f t="shared" si="85"/>
        <v>0</v>
      </c>
      <c r="X77" s="2000">
        <f t="shared" si="85"/>
        <v>0</v>
      </c>
      <c r="Y77" s="2000">
        <f t="shared" si="85"/>
        <v>0</v>
      </c>
      <c r="Z77" s="2000">
        <f t="shared" si="85"/>
        <v>0</v>
      </c>
      <c r="AA77" s="2000">
        <f t="shared" si="85"/>
        <v>0</v>
      </c>
      <c r="AB77" s="2000">
        <f t="shared" si="85"/>
        <v>0</v>
      </c>
      <c r="AC77" s="2000">
        <f t="shared" si="85"/>
        <v>0</v>
      </c>
      <c r="AD77" s="2000">
        <f t="shared" si="85"/>
        <v>0</v>
      </c>
      <c r="AE77" s="2000">
        <f t="shared" si="85"/>
        <v>0</v>
      </c>
      <c r="AF77" s="2000">
        <f t="shared" si="85"/>
        <v>0</v>
      </c>
      <c r="AG77" s="2000">
        <f t="shared" si="85"/>
        <v>0</v>
      </c>
      <c r="AH77" s="2000">
        <f t="shared" si="85"/>
        <v>0</v>
      </c>
      <c r="AI77" s="2000">
        <f t="shared" si="85"/>
        <v>0</v>
      </c>
      <c r="AJ77" s="2000">
        <f t="shared" si="85"/>
        <v>0</v>
      </c>
      <c r="AK77" s="2000">
        <f t="shared" si="85"/>
        <v>0</v>
      </c>
      <c r="AL77" s="2000">
        <f t="shared" si="85"/>
        <v>0</v>
      </c>
      <c r="AM77" s="2000">
        <f t="shared" si="85"/>
        <v>0</v>
      </c>
      <c r="AN77" s="2000">
        <f t="shared" si="85"/>
        <v>0</v>
      </c>
      <c r="AO77" s="2000">
        <f t="shared" si="85"/>
        <v>0</v>
      </c>
      <c r="AP77" s="2000">
        <f t="shared" si="85"/>
        <v>0</v>
      </c>
      <c r="AQ77" s="2000">
        <f t="shared" si="85"/>
        <v>0</v>
      </c>
      <c r="AR77" s="2000">
        <f t="shared" si="85"/>
        <v>0</v>
      </c>
      <c r="AS77" s="2000">
        <f t="shared" si="85"/>
        <v>0</v>
      </c>
      <c r="AT77" s="2000">
        <f t="shared" si="85"/>
        <v>0</v>
      </c>
      <c r="AU77" s="2000">
        <f t="shared" si="85"/>
        <v>0</v>
      </c>
      <c r="AV77" s="2000">
        <f t="shared" si="85"/>
        <v>0</v>
      </c>
      <c r="AW77" s="2000">
        <f t="shared" si="85"/>
        <v>0</v>
      </c>
      <c r="AX77" s="2000">
        <f t="shared" si="85"/>
        <v>0</v>
      </c>
      <c r="AY77" s="2000">
        <f t="shared" si="85"/>
        <v>0</v>
      </c>
      <c r="AZ77" s="2000">
        <f t="shared" si="85"/>
        <v>0</v>
      </c>
      <c r="BA77" s="2000">
        <f t="shared" si="85"/>
        <v>0</v>
      </c>
      <c r="BB77" s="2000">
        <f t="shared" si="85"/>
        <v>0</v>
      </c>
      <c r="BC77" s="2000">
        <f t="shared" si="85"/>
        <v>0</v>
      </c>
      <c r="BD77" s="2000">
        <f t="shared" si="85"/>
        <v>0</v>
      </c>
      <c r="BE77" s="2000">
        <f t="shared" si="85"/>
        <v>0</v>
      </c>
      <c r="BF77" s="2000">
        <f t="shared" si="85"/>
        <v>0</v>
      </c>
      <c r="BG77" s="2000">
        <f t="shared" si="85"/>
        <v>0</v>
      </c>
      <c r="BH77" s="2000">
        <f t="shared" si="85"/>
        <v>0</v>
      </c>
      <c r="BI77" s="2000">
        <f t="shared" si="85"/>
        <v>0</v>
      </c>
      <c r="BJ77" s="2000">
        <f t="shared" si="85"/>
        <v>0</v>
      </c>
      <c r="BK77" s="2000">
        <f t="shared" si="85"/>
        <v>0</v>
      </c>
      <c r="BL77" s="2000">
        <f t="shared" si="85"/>
        <v>0</v>
      </c>
      <c r="BM77" s="2000">
        <f t="shared" si="85"/>
        <v>0</v>
      </c>
      <c r="BN77" s="2000">
        <f t="shared" si="85"/>
        <v>0</v>
      </c>
      <c r="BO77" s="2000">
        <f t="shared" si="85"/>
        <v>0</v>
      </c>
      <c r="BP77" s="2000">
        <f t="shared" si="85"/>
        <v>0</v>
      </c>
      <c r="BQ77" s="2000">
        <f t="shared" si="85"/>
        <v>0</v>
      </c>
      <c r="BR77" s="2000">
        <f t="shared" si="85"/>
        <v>0</v>
      </c>
      <c r="BS77" s="2000">
        <f t="shared" si="85"/>
        <v>0</v>
      </c>
      <c r="BT77" s="2000">
        <f t="shared" ref="BT77:EE77" si="86" xml:space="preserve">
IF(BT$25="休診日",BS77,
IF(BS77-VLOOKUP(BS$22&amp;$B75,$B$96:$D$191,2,FALSE)&lt;0,0,BS77-VLOOKUP(BS$22&amp;$B75,$B$96:$D$191,2,FALSE)))</f>
        <v>0</v>
      </c>
      <c r="BU77" s="2000">
        <f t="shared" si="86"/>
        <v>0</v>
      </c>
      <c r="BV77" s="2000">
        <f t="shared" si="86"/>
        <v>0</v>
      </c>
      <c r="BW77" s="2000">
        <f t="shared" si="86"/>
        <v>0</v>
      </c>
      <c r="BX77" s="2000">
        <f t="shared" si="86"/>
        <v>0</v>
      </c>
      <c r="BY77" s="2000">
        <f t="shared" si="86"/>
        <v>0</v>
      </c>
      <c r="BZ77" s="2000">
        <f t="shared" si="86"/>
        <v>0</v>
      </c>
      <c r="CA77" s="2000">
        <f t="shared" si="86"/>
        <v>0</v>
      </c>
      <c r="CB77" s="2000">
        <f t="shared" si="86"/>
        <v>0</v>
      </c>
      <c r="CC77" s="2000">
        <f t="shared" si="86"/>
        <v>0</v>
      </c>
      <c r="CD77" s="2000">
        <f t="shared" si="86"/>
        <v>0</v>
      </c>
      <c r="CE77" s="2000">
        <f t="shared" si="86"/>
        <v>0</v>
      </c>
      <c r="CF77" s="2000">
        <f t="shared" si="86"/>
        <v>0</v>
      </c>
      <c r="CG77" s="2000">
        <f t="shared" si="86"/>
        <v>0</v>
      </c>
      <c r="CH77" s="2000">
        <f t="shared" si="86"/>
        <v>0</v>
      </c>
      <c r="CI77" s="2000">
        <f t="shared" si="86"/>
        <v>0</v>
      </c>
      <c r="CJ77" s="2000">
        <f t="shared" si="86"/>
        <v>0</v>
      </c>
      <c r="CK77" s="2000">
        <f t="shared" si="86"/>
        <v>0</v>
      </c>
      <c r="CL77" s="2000">
        <f t="shared" si="86"/>
        <v>0</v>
      </c>
      <c r="CM77" s="2000">
        <f t="shared" si="86"/>
        <v>0</v>
      </c>
      <c r="CN77" s="2000">
        <f t="shared" si="86"/>
        <v>0</v>
      </c>
      <c r="CO77" s="2000">
        <f t="shared" si="86"/>
        <v>0</v>
      </c>
      <c r="CP77" s="2000">
        <f t="shared" si="86"/>
        <v>0</v>
      </c>
      <c r="CQ77" s="2000">
        <f t="shared" si="86"/>
        <v>0</v>
      </c>
      <c r="CR77" s="2000">
        <f t="shared" si="86"/>
        <v>0</v>
      </c>
      <c r="CS77" s="2000">
        <f t="shared" si="86"/>
        <v>0</v>
      </c>
      <c r="CT77" s="2000">
        <f t="shared" si="86"/>
        <v>0</v>
      </c>
      <c r="CU77" s="2000">
        <f t="shared" si="86"/>
        <v>0</v>
      </c>
      <c r="CV77" s="2000">
        <f t="shared" si="86"/>
        <v>0</v>
      </c>
      <c r="CW77" s="2000">
        <f t="shared" si="86"/>
        <v>0</v>
      </c>
      <c r="CX77" s="2000">
        <f t="shared" si="86"/>
        <v>0</v>
      </c>
      <c r="CY77" s="2000">
        <f t="shared" si="86"/>
        <v>0</v>
      </c>
      <c r="CZ77" s="2000">
        <f t="shared" si="86"/>
        <v>0</v>
      </c>
      <c r="DA77" s="2000">
        <f t="shared" si="86"/>
        <v>0</v>
      </c>
      <c r="DB77" s="2000">
        <f t="shared" si="86"/>
        <v>0</v>
      </c>
      <c r="DC77" s="2000">
        <f t="shared" si="86"/>
        <v>0</v>
      </c>
      <c r="DD77" s="2000">
        <f t="shared" si="86"/>
        <v>0</v>
      </c>
      <c r="DE77" s="2000">
        <f t="shared" si="86"/>
        <v>0</v>
      </c>
      <c r="DF77" s="2000">
        <f t="shared" si="86"/>
        <v>0</v>
      </c>
      <c r="DG77" s="2000">
        <f t="shared" si="86"/>
        <v>0</v>
      </c>
      <c r="DH77" s="2000">
        <f t="shared" si="86"/>
        <v>0</v>
      </c>
      <c r="DI77" s="2000">
        <f t="shared" si="86"/>
        <v>0</v>
      </c>
      <c r="DJ77" s="2000">
        <f t="shared" si="86"/>
        <v>0</v>
      </c>
      <c r="DK77" s="2000">
        <f t="shared" si="86"/>
        <v>0</v>
      </c>
      <c r="DL77" s="2000">
        <f t="shared" si="86"/>
        <v>0</v>
      </c>
      <c r="DM77" s="2000">
        <f t="shared" si="86"/>
        <v>0</v>
      </c>
      <c r="DN77" s="2000">
        <f t="shared" si="86"/>
        <v>0</v>
      </c>
      <c r="DO77" s="2000">
        <f t="shared" si="86"/>
        <v>0</v>
      </c>
      <c r="DP77" s="2000">
        <f t="shared" si="86"/>
        <v>0</v>
      </c>
      <c r="DQ77" s="2000">
        <f t="shared" si="86"/>
        <v>0</v>
      </c>
      <c r="DR77" s="2000">
        <f t="shared" si="86"/>
        <v>0</v>
      </c>
      <c r="DS77" s="2000">
        <f t="shared" si="86"/>
        <v>0</v>
      </c>
      <c r="DT77" s="2000">
        <f t="shared" si="86"/>
        <v>0</v>
      </c>
      <c r="DU77" s="2000">
        <f t="shared" si="86"/>
        <v>0</v>
      </c>
      <c r="DV77" s="2000">
        <f t="shared" si="86"/>
        <v>0</v>
      </c>
      <c r="DW77" s="2000">
        <f t="shared" si="86"/>
        <v>0</v>
      </c>
      <c r="DX77" s="2000">
        <f t="shared" si="86"/>
        <v>0</v>
      </c>
      <c r="DY77" s="2000">
        <f t="shared" si="86"/>
        <v>0</v>
      </c>
      <c r="DZ77" s="2000">
        <f t="shared" si="86"/>
        <v>0</v>
      </c>
      <c r="EA77" s="2000">
        <f t="shared" si="86"/>
        <v>0</v>
      </c>
      <c r="EB77" s="2000">
        <f t="shared" si="86"/>
        <v>0</v>
      </c>
      <c r="EC77" s="2000">
        <f t="shared" si="86"/>
        <v>0</v>
      </c>
      <c r="ED77" s="2000">
        <f t="shared" si="86"/>
        <v>0</v>
      </c>
      <c r="EE77" s="2000">
        <f t="shared" si="86"/>
        <v>0</v>
      </c>
      <c r="EF77" s="2000">
        <f t="shared" ref="EF77:GE77" si="87" xml:space="preserve">
IF(EF$25="休診日",EE77,
IF(EE77-VLOOKUP(EE$22&amp;$B75,$B$96:$D$191,2,FALSE)&lt;0,0,EE77-VLOOKUP(EE$22&amp;$B75,$B$96:$D$191,2,FALSE)))</f>
        <v>0</v>
      </c>
      <c r="EG77" s="2000">
        <f t="shared" si="87"/>
        <v>0</v>
      </c>
      <c r="EH77" s="2000">
        <f t="shared" si="87"/>
        <v>0</v>
      </c>
      <c r="EI77" s="2000">
        <f t="shared" si="87"/>
        <v>0</v>
      </c>
      <c r="EJ77" s="2000">
        <f t="shared" si="87"/>
        <v>0</v>
      </c>
      <c r="EK77" s="2000">
        <f t="shared" si="87"/>
        <v>0</v>
      </c>
      <c r="EL77" s="2000">
        <f t="shared" si="87"/>
        <v>0</v>
      </c>
      <c r="EM77" s="2000">
        <f t="shared" si="87"/>
        <v>0</v>
      </c>
      <c r="EN77" s="2000">
        <f t="shared" si="87"/>
        <v>0</v>
      </c>
      <c r="EO77" s="2000">
        <f t="shared" si="87"/>
        <v>0</v>
      </c>
      <c r="EP77" s="2000">
        <f t="shared" si="87"/>
        <v>0</v>
      </c>
      <c r="EQ77" s="2000">
        <f t="shared" si="87"/>
        <v>0</v>
      </c>
      <c r="ER77" s="2000">
        <f t="shared" si="87"/>
        <v>0</v>
      </c>
      <c r="ES77" s="2000">
        <f t="shared" si="87"/>
        <v>0</v>
      </c>
      <c r="ET77" s="2000">
        <f t="shared" si="87"/>
        <v>0</v>
      </c>
      <c r="EU77" s="2000">
        <f t="shared" si="87"/>
        <v>0</v>
      </c>
      <c r="EV77" s="2000">
        <f t="shared" si="87"/>
        <v>0</v>
      </c>
      <c r="EW77" s="2000">
        <f t="shared" si="87"/>
        <v>0</v>
      </c>
      <c r="EX77" s="2000">
        <f t="shared" si="87"/>
        <v>0</v>
      </c>
      <c r="EY77" s="2000">
        <f t="shared" si="87"/>
        <v>0</v>
      </c>
      <c r="EZ77" s="2000">
        <f t="shared" si="87"/>
        <v>0</v>
      </c>
      <c r="FA77" s="2000">
        <f t="shared" si="87"/>
        <v>0</v>
      </c>
      <c r="FB77" s="2000">
        <f t="shared" si="87"/>
        <v>0</v>
      </c>
      <c r="FC77" s="2000">
        <f t="shared" si="87"/>
        <v>0</v>
      </c>
      <c r="FD77" s="2000">
        <f t="shared" si="87"/>
        <v>0</v>
      </c>
      <c r="FE77" s="2000">
        <f t="shared" si="87"/>
        <v>0</v>
      </c>
      <c r="FF77" s="2000">
        <f t="shared" si="87"/>
        <v>0</v>
      </c>
      <c r="FG77" s="2000">
        <f t="shared" si="87"/>
        <v>0</v>
      </c>
      <c r="FH77" s="2000">
        <f t="shared" si="87"/>
        <v>0</v>
      </c>
      <c r="FI77" s="2000">
        <f t="shared" si="87"/>
        <v>0</v>
      </c>
      <c r="FJ77" s="2000">
        <f t="shared" si="87"/>
        <v>0</v>
      </c>
      <c r="FK77" s="2000">
        <f t="shared" si="87"/>
        <v>0</v>
      </c>
      <c r="FL77" s="2000">
        <f t="shared" si="87"/>
        <v>0</v>
      </c>
      <c r="FM77" s="2000">
        <f t="shared" si="87"/>
        <v>0</v>
      </c>
      <c r="FN77" s="2000">
        <f t="shared" si="87"/>
        <v>0</v>
      </c>
      <c r="FO77" s="2000">
        <f t="shared" si="87"/>
        <v>0</v>
      </c>
      <c r="FP77" s="2000">
        <f t="shared" si="87"/>
        <v>0</v>
      </c>
      <c r="FQ77" s="2000">
        <f t="shared" si="87"/>
        <v>0</v>
      </c>
      <c r="FR77" s="2000">
        <f t="shared" si="87"/>
        <v>0</v>
      </c>
      <c r="FS77" s="2000">
        <f t="shared" si="87"/>
        <v>0</v>
      </c>
      <c r="FT77" s="2000">
        <f t="shared" si="87"/>
        <v>0</v>
      </c>
      <c r="FU77" s="2000">
        <f t="shared" si="87"/>
        <v>0</v>
      </c>
      <c r="FV77" s="2000">
        <f t="shared" si="87"/>
        <v>0</v>
      </c>
      <c r="FW77" s="2000">
        <f t="shared" si="87"/>
        <v>0</v>
      </c>
      <c r="FX77" s="2000">
        <f t="shared" si="87"/>
        <v>0</v>
      </c>
      <c r="FY77" s="2000">
        <f t="shared" si="87"/>
        <v>0</v>
      </c>
      <c r="FZ77" s="2000">
        <f t="shared" si="87"/>
        <v>0</v>
      </c>
      <c r="GA77" s="2000">
        <f t="shared" si="87"/>
        <v>0</v>
      </c>
      <c r="GB77" s="2000">
        <f t="shared" si="87"/>
        <v>0</v>
      </c>
      <c r="GC77" s="2000">
        <f t="shared" si="87"/>
        <v>0</v>
      </c>
      <c r="GD77" s="2000">
        <f t="shared" si="87"/>
        <v>0</v>
      </c>
      <c r="GE77" s="2000">
        <f t="shared" si="87"/>
        <v>0</v>
      </c>
      <c r="GF77" s="2000">
        <f xml:space="preserve">
IF(GF$25="休診日",GE77,
IF(GE77-VLOOKUP(GE$22&amp;$B75,$B$96:$D$191,2,FALSE)&lt;0,0,GE77-VLOOKUP(GE$22&amp;$B75,$B$96:$D$191,2,FALSE)))</f>
        <v>0</v>
      </c>
    </row>
    <row r="78" spans="1:188" s="641" customFormat="1" ht="15" customHeight="1" x14ac:dyDescent="0.4">
      <c r="A78" s="631"/>
      <c r="B78" s="641" t="s">
        <v>1022</v>
      </c>
      <c r="C78" s="1989" t="s">
        <v>1386</v>
      </c>
      <c r="D78" s="1992"/>
      <c r="E78" s="642"/>
      <c r="F78" s="1998">
        <f xml:space="preserve">
IF($F$25="休診日",0,
MIN(F79,IF((VLOOKUP($F$22&amp;$B78,$B$96:$D$191,2,FALSE)-F80)&lt;0,0,VLOOKUP($F$22&amp;$B78,$B$96:$D$191,2,FALSE)-F80)))</f>
        <v>0</v>
      </c>
      <c r="G78" s="1998">
        <f xml:space="preserve">
IF(G$25="休診日",0,
IF(G80&gt;=VLOOKUP(G$22&amp;$B78,$B$96:$D$191,2,FALSE),0,
IF(AND(G80&lt;VLOOKUP(G$22&amp;$B78,$B$96:$D$191,2,FALSE),G79&lt;=VLOOKUP(G$22&amp;$B78,$B$96:$D$191,2,FALSE)),IF(G79-G80&lt;0,0,G79-G80),
IF(AND(G80&lt;VLOOKUP(G$22&amp;$B78,$B$96:$D$191,2,FALSE),G79&gt;VLOOKUP(G$22&amp;$B78,$B$96:$D$191,2,FALSE)),VLOOKUP(G$22&amp;$B78,$B$96:$D$191,2,FALSE)-G80))))</f>
        <v>0</v>
      </c>
      <c r="H78" s="1998">
        <f t="shared" ref="H78:BS78" si="88" xml:space="preserve">
IF(H$25="休診日",0,
IF(H80&gt;=VLOOKUP(H$22&amp;$B78,$B$96:$D$191,2,FALSE),0,
IF(AND(H80&lt;VLOOKUP(H$22&amp;$B78,$B$96:$D$191,2,FALSE),H79&lt;=VLOOKUP(H$22&amp;$B78,$B$96:$D$191,2,FALSE)),IF(H79-H80&lt;0,0,H79-H80),
IF(AND(H80&lt;VLOOKUP(H$22&amp;$B78,$B$96:$D$191,2,FALSE),H79&gt;VLOOKUP(H$22&amp;$B78,$B$96:$D$191,2,FALSE)),VLOOKUP(H$22&amp;$B78,$B$96:$D$191,2,FALSE)-H80))))</f>
        <v>0</v>
      </c>
      <c r="I78" s="1998">
        <f t="shared" si="88"/>
        <v>0</v>
      </c>
      <c r="J78" s="1998">
        <f t="shared" si="88"/>
        <v>0</v>
      </c>
      <c r="K78" s="1998">
        <f t="shared" si="88"/>
        <v>0</v>
      </c>
      <c r="L78" s="1998">
        <f t="shared" si="88"/>
        <v>0</v>
      </c>
      <c r="M78" s="1998">
        <f t="shared" si="88"/>
        <v>0</v>
      </c>
      <c r="N78" s="1998">
        <f t="shared" si="88"/>
        <v>0</v>
      </c>
      <c r="O78" s="1998">
        <f t="shared" si="88"/>
        <v>0</v>
      </c>
      <c r="P78" s="1998">
        <f t="shared" si="88"/>
        <v>0</v>
      </c>
      <c r="Q78" s="1998">
        <f t="shared" si="88"/>
        <v>0</v>
      </c>
      <c r="R78" s="1998">
        <f t="shared" si="88"/>
        <v>0</v>
      </c>
      <c r="S78" s="1998">
        <f t="shared" si="88"/>
        <v>0</v>
      </c>
      <c r="T78" s="1998">
        <f t="shared" si="88"/>
        <v>0</v>
      </c>
      <c r="U78" s="1998">
        <f t="shared" si="88"/>
        <v>0</v>
      </c>
      <c r="V78" s="1998">
        <f t="shared" si="88"/>
        <v>0</v>
      </c>
      <c r="W78" s="1998">
        <f t="shared" si="88"/>
        <v>0</v>
      </c>
      <c r="X78" s="1998">
        <f t="shared" si="88"/>
        <v>0</v>
      </c>
      <c r="Y78" s="1998">
        <f t="shared" si="88"/>
        <v>0</v>
      </c>
      <c r="Z78" s="1998">
        <f t="shared" si="88"/>
        <v>0</v>
      </c>
      <c r="AA78" s="1998">
        <f t="shared" si="88"/>
        <v>0</v>
      </c>
      <c r="AB78" s="1998">
        <f t="shared" si="88"/>
        <v>0</v>
      </c>
      <c r="AC78" s="1998">
        <f t="shared" si="88"/>
        <v>0</v>
      </c>
      <c r="AD78" s="1998">
        <f t="shared" si="88"/>
        <v>0</v>
      </c>
      <c r="AE78" s="1998">
        <f t="shared" si="88"/>
        <v>0</v>
      </c>
      <c r="AF78" s="1998">
        <f t="shared" si="88"/>
        <v>0</v>
      </c>
      <c r="AG78" s="1998">
        <f t="shared" si="88"/>
        <v>0</v>
      </c>
      <c r="AH78" s="1998">
        <f t="shared" si="88"/>
        <v>0</v>
      </c>
      <c r="AI78" s="1998">
        <f t="shared" si="88"/>
        <v>0</v>
      </c>
      <c r="AJ78" s="1998">
        <f t="shared" si="88"/>
        <v>0</v>
      </c>
      <c r="AK78" s="1998">
        <f t="shared" si="88"/>
        <v>0</v>
      </c>
      <c r="AL78" s="1998">
        <f t="shared" si="88"/>
        <v>0</v>
      </c>
      <c r="AM78" s="1998">
        <f t="shared" si="88"/>
        <v>0</v>
      </c>
      <c r="AN78" s="1998">
        <f t="shared" si="88"/>
        <v>0</v>
      </c>
      <c r="AO78" s="1998">
        <f t="shared" si="88"/>
        <v>0</v>
      </c>
      <c r="AP78" s="1998">
        <f t="shared" si="88"/>
        <v>0</v>
      </c>
      <c r="AQ78" s="1998">
        <f t="shared" si="88"/>
        <v>0</v>
      </c>
      <c r="AR78" s="1998">
        <f t="shared" si="88"/>
        <v>0</v>
      </c>
      <c r="AS78" s="1998">
        <f t="shared" si="88"/>
        <v>0</v>
      </c>
      <c r="AT78" s="1998">
        <f t="shared" si="88"/>
        <v>0</v>
      </c>
      <c r="AU78" s="1998">
        <f t="shared" si="88"/>
        <v>0</v>
      </c>
      <c r="AV78" s="1998">
        <f t="shared" si="88"/>
        <v>0</v>
      </c>
      <c r="AW78" s="1998">
        <f t="shared" si="88"/>
        <v>0</v>
      </c>
      <c r="AX78" s="1998">
        <f t="shared" si="88"/>
        <v>0</v>
      </c>
      <c r="AY78" s="1998">
        <f t="shared" si="88"/>
        <v>0</v>
      </c>
      <c r="AZ78" s="1998">
        <f t="shared" si="88"/>
        <v>0</v>
      </c>
      <c r="BA78" s="1998">
        <f t="shared" si="88"/>
        <v>0</v>
      </c>
      <c r="BB78" s="1998">
        <f t="shared" si="88"/>
        <v>0</v>
      </c>
      <c r="BC78" s="1998">
        <f t="shared" si="88"/>
        <v>0</v>
      </c>
      <c r="BD78" s="1998">
        <f t="shared" si="88"/>
        <v>0</v>
      </c>
      <c r="BE78" s="1998">
        <f t="shared" si="88"/>
        <v>0</v>
      </c>
      <c r="BF78" s="1998">
        <f t="shared" si="88"/>
        <v>0</v>
      </c>
      <c r="BG78" s="1998">
        <f t="shared" si="88"/>
        <v>0</v>
      </c>
      <c r="BH78" s="1998">
        <f t="shared" si="88"/>
        <v>0</v>
      </c>
      <c r="BI78" s="1998">
        <f t="shared" si="88"/>
        <v>0</v>
      </c>
      <c r="BJ78" s="1998">
        <f t="shared" si="88"/>
        <v>0</v>
      </c>
      <c r="BK78" s="1998">
        <f t="shared" si="88"/>
        <v>0</v>
      </c>
      <c r="BL78" s="1998">
        <f t="shared" si="88"/>
        <v>0</v>
      </c>
      <c r="BM78" s="1998">
        <f t="shared" si="88"/>
        <v>0</v>
      </c>
      <c r="BN78" s="1998">
        <f t="shared" si="88"/>
        <v>0</v>
      </c>
      <c r="BO78" s="1998">
        <f t="shared" si="88"/>
        <v>0</v>
      </c>
      <c r="BP78" s="1998">
        <f t="shared" si="88"/>
        <v>0</v>
      </c>
      <c r="BQ78" s="1998">
        <f t="shared" si="88"/>
        <v>0</v>
      </c>
      <c r="BR78" s="1998">
        <f t="shared" si="88"/>
        <v>0</v>
      </c>
      <c r="BS78" s="1998">
        <f t="shared" si="88"/>
        <v>0</v>
      </c>
      <c r="BT78" s="1998">
        <f t="shared" ref="BT78:EE78" si="89" xml:space="preserve">
IF(BT$25="休診日",0,
IF(BT80&gt;=VLOOKUP(BT$22&amp;$B78,$B$96:$D$191,2,FALSE),0,
IF(AND(BT80&lt;VLOOKUP(BT$22&amp;$B78,$B$96:$D$191,2,FALSE),BT79&lt;=VLOOKUP(BT$22&amp;$B78,$B$96:$D$191,2,FALSE)),IF(BT79-BT80&lt;0,0,BT79-BT80),
IF(AND(BT80&lt;VLOOKUP(BT$22&amp;$B78,$B$96:$D$191,2,FALSE),BT79&gt;VLOOKUP(BT$22&amp;$B78,$B$96:$D$191,2,FALSE)),VLOOKUP(BT$22&amp;$B78,$B$96:$D$191,2,FALSE)-BT80))))</f>
        <v>0</v>
      </c>
      <c r="BU78" s="1998">
        <f t="shared" si="89"/>
        <v>0</v>
      </c>
      <c r="BV78" s="1998">
        <f t="shared" si="89"/>
        <v>0</v>
      </c>
      <c r="BW78" s="1998">
        <f t="shared" si="89"/>
        <v>0</v>
      </c>
      <c r="BX78" s="1998">
        <f t="shared" si="89"/>
        <v>0</v>
      </c>
      <c r="BY78" s="1998">
        <f t="shared" si="89"/>
        <v>0</v>
      </c>
      <c r="BZ78" s="1998">
        <f t="shared" si="89"/>
        <v>0</v>
      </c>
      <c r="CA78" s="1998">
        <f t="shared" si="89"/>
        <v>0</v>
      </c>
      <c r="CB78" s="1998">
        <f t="shared" si="89"/>
        <v>0</v>
      </c>
      <c r="CC78" s="1998">
        <f t="shared" si="89"/>
        <v>0</v>
      </c>
      <c r="CD78" s="1998">
        <f t="shared" si="89"/>
        <v>0</v>
      </c>
      <c r="CE78" s="1998">
        <f t="shared" si="89"/>
        <v>0</v>
      </c>
      <c r="CF78" s="1998">
        <f t="shared" si="89"/>
        <v>0</v>
      </c>
      <c r="CG78" s="1998">
        <f t="shared" si="89"/>
        <v>0</v>
      </c>
      <c r="CH78" s="1998">
        <f t="shared" si="89"/>
        <v>0</v>
      </c>
      <c r="CI78" s="1998">
        <f t="shared" si="89"/>
        <v>0</v>
      </c>
      <c r="CJ78" s="1998">
        <f t="shared" si="89"/>
        <v>0</v>
      </c>
      <c r="CK78" s="1998">
        <f t="shared" si="89"/>
        <v>0</v>
      </c>
      <c r="CL78" s="1998">
        <f t="shared" si="89"/>
        <v>0</v>
      </c>
      <c r="CM78" s="1998">
        <f t="shared" si="89"/>
        <v>0</v>
      </c>
      <c r="CN78" s="1998">
        <f t="shared" si="89"/>
        <v>0</v>
      </c>
      <c r="CO78" s="1998">
        <f t="shared" si="89"/>
        <v>0</v>
      </c>
      <c r="CP78" s="1998">
        <f t="shared" si="89"/>
        <v>0</v>
      </c>
      <c r="CQ78" s="1998">
        <f t="shared" si="89"/>
        <v>0</v>
      </c>
      <c r="CR78" s="1998">
        <f t="shared" si="89"/>
        <v>0</v>
      </c>
      <c r="CS78" s="1998">
        <f t="shared" si="89"/>
        <v>0</v>
      </c>
      <c r="CT78" s="1998">
        <f t="shared" si="89"/>
        <v>0</v>
      </c>
      <c r="CU78" s="1998">
        <f t="shared" si="89"/>
        <v>0</v>
      </c>
      <c r="CV78" s="1998">
        <f t="shared" si="89"/>
        <v>0</v>
      </c>
      <c r="CW78" s="1998">
        <f t="shared" si="89"/>
        <v>0</v>
      </c>
      <c r="CX78" s="1998">
        <f t="shared" si="89"/>
        <v>0</v>
      </c>
      <c r="CY78" s="1998">
        <f t="shared" si="89"/>
        <v>0</v>
      </c>
      <c r="CZ78" s="1998">
        <f t="shared" si="89"/>
        <v>0</v>
      </c>
      <c r="DA78" s="1998">
        <f t="shared" si="89"/>
        <v>0</v>
      </c>
      <c r="DB78" s="1998">
        <f t="shared" si="89"/>
        <v>0</v>
      </c>
      <c r="DC78" s="1998">
        <f t="shared" si="89"/>
        <v>0</v>
      </c>
      <c r="DD78" s="1998">
        <f t="shared" si="89"/>
        <v>0</v>
      </c>
      <c r="DE78" s="1998">
        <f t="shared" si="89"/>
        <v>0</v>
      </c>
      <c r="DF78" s="1998">
        <f t="shared" si="89"/>
        <v>0</v>
      </c>
      <c r="DG78" s="1998">
        <f t="shared" si="89"/>
        <v>0</v>
      </c>
      <c r="DH78" s="1998">
        <f t="shared" si="89"/>
        <v>0</v>
      </c>
      <c r="DI78" s="1998">
        <f t="shared" si="89"/>
        <v>0</v>
      </c>
      <c r="DJ78" s="1998">
        <f t="shared" si="89"/>
        <v>0</v>
      </c>
      <c r="DK78" s="1998">
        <f t="shared" si="89"/>
        <v>0</v>
      </c>
      <c r="DL78" s="1998">
        <f t="shared" si="89"/>
        <v>0</v>
      </c>
      <c r="DM78" s="1998">
        <f t="shared" si="89"/>
        <v>0</v>
      </c>
      <c r="DN78" s="1998">
        <f t="shared" si="89"/>
        <v>0</v>
      </c>
      <c r="DO78" s="1998">
        <f t="shared" si="89"/>
        <v>0</v>
      </c>
      <c r="DP78" s="1998">
        <f t="shared" si="89"/>
        <v>0</v>
      </c>
      <c r="DQ78" s="1998">
        <f t="shared" si="89"/>
        <v>0</v>
      </c>
      <c r="DR78" s="1998">
        <f t="shared" si="89"/>
        <v>0</v>
      </c>
      <c r="DS78" s="1998">
        <f t="shared" si="89"/>
        <v>0</v>
      </c>
      <c r="DT78" s="1998">
        <f t="shared" si="89"/>
        <v>0</v>
      </c>
      <c r="DU78" s="1998">
        <f t="shared" si="89"/>
        <v>0</v>
      </c>
      <c r="DV78" s="1998">
        <f t="shared" si="89"/>
        <v>0</v>
      </c>
      <c r="DW78" s="1998">
        <f t="shared" si="89"/>
        <v>0</v>
      </c>
      <c r="DX78" s="1998">
        <f t="shared" si="89"/>
        <v>0</v>
      </c>
      <c r="DY78" s="1998">
        <f t="shared" si="89"/>
        <v>0</v>
      </c>
      <c r="DZ78" s="1998">
        <f t="shared" si="89"/>
        <v>0</v>
      </c>
      <c r="EA78" s="1998">
        <f t="shared" si="89"/>
        <v>0</v>
      </c>
      <c r="EB78" s="1998">
        <f t="shared" si="89"/>
        <v>0</v>
      </c>
      <c r="EC78" s="1998">
        <f t="shared" si="89"/>
        <v>0</v>
      </c>
      <c r="ED78" s="1998">
        <f t="shared" si="89"/>
        <v>0</v>
      </c>
      <c r="EE78" s="1998">
        <f t="shared" si="89"/>
        <v>0</v>
      </c>
      <c r="EF78" s="1998">
        <f t="shared" ref="EF78:GE78" si="90" xml:space="preserve">
IF(EF$25="休診日",0,
IF(EF80&gt;=VLOOKUP(EF$22&amp;$B78,$B$96:$D$191,2,FALSE),0,
IF(AND(EF80&lt;VLOOKUP(EF$22&amp;$B78,$B$96:$D$191,2,FALSE),EF79&lt;=VLOOKUP(EF$22&amp;$B78,$B$96:$D$191,2,FALSE)),IF(EF79-EF80&lt;0,0,EF79-EF80),
IF(AND(EF80&lt;VLOOKUP(EF$22&amp;$B78,$B$96:$D$191,2,FALSE),EF79&gt;VLOOKUP(EF$22&amp;$B78,$B$96:$D$191,2,FALSE)),VLOOKUP(EF$22&amp;$B78,$B$96:$D$191,2,FALSE)-EF80))))</f>
        <v>0</v>
      </c>
      <c r="EG78" s="1998">
        <f t="shared" si="90"/>
        <v>0</v>
      </c>
      <c r="EH78" s="1998">
        <f t="shared" si="90"/>
        <v>0</v>
      </c>
      <c r="EI78" s="1998">
        <f t="shared" si="90"/>
        <v>0</v>
      </c>
      <c r="EJ78" s="1998">
        <f t="shared" si="90"/>
        <v>0</v>
      </c>
      <c r="EK78" s="1998">
        <f t="shared" si="90"/>
        <v>0</v>
      </c>
      <c r="EL78" s="1998">
        <f t="shared" si="90"/>
        <v>0</v>
      </c>
      <c r="EM78" s="1998">
        <f t="shared" si="90"/>
        <v>0</v>
      </c>
      <c r="EN78" s="1998">
        <f t="shared" si="90"/>
        <v>0</v>
      </c>
      <c r="EO78" s="1998">
        <f t="shared" si="90"/>
        <v>0</v>
      </c>
      <c r="EP78" s="1998">
        <f t="shared" si="90"/>
        <v>0</v>
      </c>
      <c r="EQ78" s="1998">
        <f t="shared" si="90"/>
        <v>0</v>
      </c>
      <c r="ER78" s="1998">
        <f t="shared" si="90"/>
        <v>0</v>
      </c>
      <c r="ES78" s="1998">
        <f t="shared" si="90"/>
        <v>0</v>
      </c>
      <c r="ET78" s="1998">
        <f t="shared" si="90"/>
        <v>0</v>
      </c>
      <c r="EU78" s="1998">
        <f t="shared" si="90"/>
        <v>0</v>
      </c>
      <c r="EV78" s="1998">
        <f t="shared" si="90"/>
        <v>0</v>
      </c>
      <c r="EW78" s="1998">
        <f t="shared" si="90"/>
        <v>0</v>
      </c>
      <c r="EX78" s="1998">
        <f t="shared" si="90"/>
        <v>0</v>
      </c>
      <c r="EY78" s="1998">
        <f t="shared" si="90"/>
        <v>0</v>
      </c>
      <c r="EZ78" s="1998">
        <f t="shared" si="90"/>
        <v>0</v>
      </c>
      <c r="FA78" s="1998">
        <f t="shared" si="90"/>
        <v>0</v>
      </c>
      <c r="FB78" s="1998">
        <f t="shared" si="90"/>
        <v>0</v>
      </c>
      <c r="FC78" s="1998">
        <f t="shared" si="90"/>
        <v>0</v>
      </c>
      <c r="FD78" s="1998">
        <f t="shared" si="90"/>
        <v>0</v>
      </c>
      <c r="FE78" s="1998">
        <f t="shared" si="90"/>
        <v>0</v>
      </c>
      <c r="FF78" s="1998">
        <f t="shared" si="90"/>
        <v>0</v>
      </c>
      <c r="FG78" s="1998">
        <f t="shared" si="90"/>
        <v>0</v>
      </c>
      <c r="FH78" s="1998">
        <f t="shared" si="90"/>
        <v>0</v>
      </c>
      <c r="FI78" s="1998">
        <f t="shared" si="90"/>
        <v>0</v>
      </c>
      <c r="FJ78" s="1998">
        <f t="shared" si="90"/>
        <v>0</v>
      </c>
      <c r="FK78" s="1998">
        <f t="shared" si="90"/>
        <v>0</v>
      </c>
      <c r="FL78" s="1998">
        <f t="shared" si="90"/>
        <v>0</v>
      </c>
      <c r="FM78" s="1998">
        <f t="shared" si="90"/>
        <v>0</v>
      </c>
      <c r="FN78" s="1998">
        <f t="shared" si="90"/>
        <v>0</v>
      </c>
      <c r="FO78" s="1998">
        <f t="shared" si="90"/>
        <v>0</v>
      </c>
      <c r="FP78" s="1998">
        <f t="shared" si="90"/>
        <v>0</v>
      </c>
      <c r="FQ78" s="1998">
        <f t="shared" si="90"/>
        <v>0</v>
      </c>
      <c r="FR78" s="1998">
        <f t="shared" si="90"/>
        <v>0</v>
      </c>
      <c r="FS78" s="1998">
        <f t="shared" si="90"/>
        <v>0</v>
      </c>
      <c r="FT78" s="1998">
        <f t="shared" si="90"/>
        <v>0</v>
      </c>
      <c r="FU78" s="1998">
        <f t="shared" si="90"/>
        <v>0</v>
      </c>
      <c r="FV78" s="1998">
        <f t="shared" si="90"/>
        <v>0</v>
      </c>
      <c r="FW78" s="1998">
        <f t="shared" si="90"/>
        <v>0</v>
      </c>
      <c r="FX78" s="1998">
        <f t="shared" si="90"/>
        <v>0</v>
      </c>
      <c r="FY78" s="1998">
        <f t="shared" si="90"/>
        <v>0</v>
      </c>
      <c r="FZ78" s="1998">
        <f t="shared" si="90"/>
        <v>0</v>
      </c>
      <c r="GA78" s="1998">
        <f t="shared" si="90"/>
        <v>0</v>
      </c>
      <c r="GB78" s="1998">
        <f t="shared" si="90"/>
        <v>0</v>
      </c>
      <c r="GC78" s="1998">
        <f t="shared" si="90"/>
        <v>0</v>
      </c>
      <c r="GD78" s="1998">
        <f t="shared" si="90"/>
        <v>0</v>
      </c>
      <c r="GE78" s="1998">
        <f t="shared" si="90"/>
        <v>0</v>
      </c>
      <c r="GF78" s="1998">
        <f xml:space="preserve">
IF(GF$25="休診日",0,
IF(GF80&gt;=VLOOKUP(GF$22&amp;$B78,$B$96:$D$191,2,FALSE),0,
IF(AND(GF80&lt;VLOOKUP(GF$22&amp;$B78,$B$96:$D$191,2,FALSE),GF79&lt;=VLOOKUP(GF$22&amp;$B78,$B$96:$D$191,2,FALSE)),IF(GF79-GF80&lt;0,0,GF79-GF80),
IF(AND(GF80&lt;VLOOKUP(GF$22&amp;$B78,$B$96:$D$191,2,FALSE),GF79&gt;VLOOKUP(GF$22&amp;$B78,$B$96:$D$191,2,FALSE)),VLOOKUP(GF$22&amp;$B78,$B$96:$D$191,2,FALSE)-GF80))))</f>
        <v>0</v>
      </c>
    </row>
    <row r="79" spans="1:188" s="641" customFormat="1" ht="15" customHeight="1" x14ac:dyDescent="0.4">
      <c r="A79" s="631"/>
      <c r="B79" s="641" t="s">
        <v>1265</v>
      </c>
      <c r="C79" s="1989" t="s">
        <v>1387</v>
      </c>
      <c r="D79" s="1992"/>
      <c r="E79" s="642"/>
      <c r="F79" s="1998">
        <f>SUMIF(防護具!$B$31:$B$163,F$23&amp;$B78,防護具!$S$31:$S$163)</f>
        <v>0</v>
      </c>
      <c r="G79" s="2000">
        <f>IFERROR(
SUM(F79,SUMIF(防護具!$B$31:$B$163,G$23&amp;$B78,防護具!$S$31:$S$163))-F78,0)</f>
        <v>0</v>
      </c>
      <c r="H79" s="2000">
        <f>IFERROR(
SUM(G79,SUMIF(防護具!$B$31:$B$163,H$23&amp;$B78,防護具!$S$31:$S$163))-G78,0)</f>
        <v>0</v>
      </c>
      <c r="I79" s="2000">
        <f>IFERROR(
SUM(H79,SUMIF(防護具!$B$31:$B$163,I$23&amp;$B78,防護具!$S$31:$S$163))-H78,0)</f>
        <v>0</v>
      </c>
      <c r="J79" s="2000">
        <f>IFERROR(
SUM(I79,SUMIF(防護具!$B$31:$B$163,J$23&amp;$B78,防護具!$S$31:$S$163))-I78,0)</f>
        <v>0</v>
      </c>
      <c r="K79" s="2000">
        <f>IFERROR(
SUM(J79,SUMIF(防護具!$B$31:$B$163,K$23&amp;$B78,防護具!$S$31:$S$163))-J78,0)</f>
        <v>0</v>
      </c>
      <c r="L79" s="2000">
        <f>IFERROR(
SUM(K79,SUMIF(防護具!$B$31:$B$163,L$23&amp;$B78,防護具!$S$31:$S$163))-K78,0)</f>
        <v>0</v>
      </c>
      <c r="M79" s="2000">
        <f>IFERROR(
SUM(L79,SUMIF(防護具!$B$31:$B$163,M$23&amp;$B78,防護具!$S$31:$S$163))-L78,0)</f>
        <v>0</v>
      </c>
      <c r="N79" s="2000">
        <f>IFERROR(
SUM(M79,SUMIF(防護具!$B$31:$B$163,N$23&amp;$B78,防護具!$S$31:$S$163))-M78,0)</f>
        <v>0</v>
      </c>
      <c r="O79" s="2000">
        <f>IFERROR(
SUM(N79,SUMIF(防護具!$B$31:$B$163,O$23&amp;$B78,防護具!$S$31:$S$163))-N78,0)</f>
        <v>0</v>
      </c>
      <c r="P79" s="2000">
        <f>IFERROR(
SUM(O79,SUMIF(防護具!$B$31:$B$163,P$23&amp;$B78,防護具!$S$31:$S$163))-O78,0)</f>
        <v>0</v>
      </c>
      <c r="Q79" s="2000">
        <f>IFERROR(
SUM(P79,SUMIF(防護具!$B$31:$B$163,Q$23&amp;$B78,防護具!$S$31:$S$163))-P78,0)</f>
        <v>0</v>
      </c>
      <c r="R79" s="2000">
        <f>IFERROR(
SUM(Q79,SUMIF(防護具!$B$31:$B$163,R$23&amp;$B78,防護具!$S$31:$S$163))-Q78,0)</f>
        <v>0</v>
      </c>
      <c r="S79" s="2000">
        <f>IFERROR(
SUM(R79,SUMIF(防護具!$B$31:$B$163,S$23&amp;$B78,防護具!$S$31:$S$163))-R78,0)</f>
        <v>0</v>
      </c>
      <c r="T79" s="2000">
        <f>IFERROR(
SUM(S79,SUMIF(防護具!$B$31:$B$163,T$23&amp;$B78,防護具!$S$31:$S$163))-S78,0)</f>
        <v>0</v>
      </c>
      <c r="U79" s="2000">
        <f>IFERROR(
SUM(T79,SUMIF(防護具!$B$31:$B$163,U$23&amp;$B78,防護具!$S$31:$S$163))-T78,0)</f>
        <v>0</v>
      </c>
      <c r="V79" s="2000">
        <f>IFERROR(
SUM(U79,SUMIF(防護具!$B$31:$B$163,V$23&amp;$B78,防護具!$S$31:$S$163))-U78,0)</f>
        <v>0</v>
      </c>
      <c r="W79" s="2000">
        <f>IFERROR(
SUM(V79,SUMIF(防護具!$B$31:$B$163,W$23&amp;$B78,防護具!$S$31:$S$163))-V78,0)</f>
        <v>0</v>
      </c>
      <c r="X79" s="2000">
        <f>IFERROR(
SUM(W79,SUMIF(防護具!$B$31:$B$163,X$23&amp;$B78,防護具!$S$31:$S$163))-W78,0)</f>
        <v>0</v>
      </c>
      <c r="Y79" s="2000">
        <f>IFERROR(
SUM(X79,SUMIF(防護具!$B$31:$B$163,Y$23&amp;$B78,防護具!$S$31:$S$163))-X78,0)</f>
        <v>0</v>
      </c>
      <c r="Z79" s="2000">
        <f>IFERROR(
SUM(Y79,SUMIF(防護具!$B$31:$B$163,Z$23&amp;$B78,防護具!$S$31:$S$163))-Y78,0)</f>
        <v>0</v>
      </c>
      <c r="AA79" s="2000">
        <f>IFERROR(
SUM(Z79,SUMIF(防護具!$B$31:$B$163,AA$23&amp;$B78,防護具!$S$31:$S$163))-Z78,0)</f>
        <v>0</v>
      </c>
      <c r="AB79" s="2000">
        <f>IFERROR(
SUM(AA79,SUMIF(防護具!$B$31:$B$163,AB$23&amp;$B78,防護具!$S$31:$S$163))-AA78,0)</f>
        <v>0</v>
      </c>
      <c r="AC79" s="2000">
        <f>IFERROR(
SUM(AB79,SUMIF(防護具!$B$31:$B$163,AC$23&amp;$B78,防護具!$S$31:$S$163))-AB78,0)</f>
        <v>0</v>
      </c>
      <c r="AD79" s="2000">
        <f>IFERROR(
SUM(AC79,SUMIF(防護具!$B$31:$B$163,AD$23&amp;$B78,防護具!$S$31:$S$163))-AC78,0)</f>
        <v>0</v>
      </c>
      <c r="AE79" s="2000">
        <f>IFERROR(
SUM(AD79,SUMIF(防護具!$B$31:$B$163,AE$23&amp;$B78,防護具!$S$31:$S$163))-AD78,0)</f>
        <v>0</v>
      </c>
      <c r="AF79" s="2000">
        <f>IFERROR(
SUM(AE79,SUMIF(防護具!$B$31:$B$163,AF$23&amp;$B78,防護具!$S$31:$S$163))-AE78,0)</f>
        <v>0</v>
      </c>
      <c r="AG79" s="2000">
        <f>IFERROR(
SUM(AF79,SUMIF(防護具!$B$31:$B$163,AG$23&amp;$B78,防護具!$S$31:$S$163))-AF78,0)</f>
        <v>0</v>
      </c>
      <c r="AH79" s="2000">
        <f>IFERROR(
SUM(AG79,SUMIF(防護具!$B$31:$B$163,AH$23&amp;$B78,防護具!$S$31:$S$163))-AG78,0)</f>
        <v>0</v>
      </c>
      <c r="AI79" s="2000">
        <f>IFERROR(
SUM(AH79,SUMIF(防護具!$B$31:$B$163,AI$23&amp;$B78,防護具!$S$31:$S$163))-AH78,0)</f>
        <v>0</v>
      </c>
      <c r="AJ79" s="2000">
        <f>IFERROR(
SUM(AI79,SUMIF(防護具!$B$31:$B$163,AJ$23&amp;$B78,防護具!$S$31:$S$163))-AI78,0)</f>
        <v>0</v>
      </c>
      <c r="AK79" s="2000">
        <f>IFERROR(
SUM(AJ79,SUMIF(防護具!$B$31:$B$163,AK$23&amp;$B78,防護具!$S$31:$S$163))-AJ78,0)</f>
        <v>0</v>
      </c>
      <c r="AL79" s="2000">
        <f>IFERROR(
SUM(AK79,SUMIF(防護具!$B$31:$B$163,AL$23&amp;$B78,防護具!$S$31:$S$163))-AK78,0)</f>
        <v>0</v>
      </c>
      <c r="AM79" s="2000">
        <f>IFERROR(
SUM(AL79,SUMIF(防護具!$B$31:$B$163,AM$23&amp;$B78,防護具!$S$31:$S$163))-AL78,0)</f>
        <v>0</v>
      </c>
      <c r="AN79" s="2000">
        <f>IFERROR(
SUM(AM79,SUMIF(防護具!$B$31:$B$163,AN$23&amp;$B78,防護具!$S$31:$S$163))-AM78,0)</f>
        <v>0</v>
      </c>
      <c r="AO79" s="2000">
        <f>IFERROR(
SUM(AN79,SUMIF(防護具!$B$31:$B$163,AO$23&amp;$B78,防護具!$S$31:$S$163))-AN78,0)</f>
        <v>0</v>
      </c>
      <c r="AP79" s="2000">
        <f>IFERROR(
SUM(AO79,SUMIF(防護具!$B$31:$B$163,AP$23&amp;$B78,防護具!$S$31:$S$163))-AO78,0)</f>
        <v>0</v>
      </c>
      <c r="AQ79" s="2000">
        <f>IFERROR(
SUM(AP79,SUMIF(防護具!$B$31:$B$163,AQ$23&amp;$B78,防護具!$S$31:$S$163))-AP78,0)</f>
        <v>0</v>
      </c>
      <c r="AR79" s="2000">
        <f>IFERROR(
SUM(AQ79,SUMIF(防護具!$B$31:$B$163,AR$23&amp;$B78,防護具!$S$31:$S$163))-AQ78,0)</f>
        <v>0</v>
      </c>
      <c r="AS79" s="2000">
        <f>IFERROR(
SUM(AR79,SUMIF(防護具!$B$31:$B$163,AS$23&amp;$B78,防護具!$S$31:$S$163))-AR78,0)</f>
        <v>0</v>
      </c>
      <c r="AT79" s="2000">
        <f>IFERROR(
SUM(AS79,SUMIF(防護具!$B$31:$B$163,AT$23&amp;$B78,防護具!$S$31:$S$163))-AS78,0)</f>
        <v>0</v>
      </c>
      <c r="AU79" s="2000">
        <f>IFERROR(
SUM(AT79,SUMIF(防護具!$B$31:$B$163,AU$23&amp;$B78,防護具!$S$31:$S$163))-AT78,0)</f>
        <v>0</v>
      </c>
      <c r="AV79" s="2000">
        <f>IFERROR(
SUM(AU79,SUMIF(防護具!$B$31:$B$163,AV$23&amp;$B78,防護具!$S$31:$S$163))-AU78,0)</f>
        <v>0</v>
      </c>
      <c r="AW79" s="2000">
        <f>IFERROR(
SUM(AV79,SUMIF(防護具!$B$31:$B$163,AW$23&amp;$B78,防護具!$S$31:$S$163))-AV78,0)</f>
        <v>0</v>
      </c>
      <c r="AX79" s="2000">
        <f>IFERROR(
SUM(AW79,SUMIF(防護具!$B$31:$B$163,AX$23&amp;$B78,防護具!$S$31:$S$163))-AW78,0)</f>
        <v>0</v>
      </c>
      <c r="AY79" s="2000">
        <f>IFERROR(
SUM(AX79,SUMIF(防護具!$B$31:$B$163,AY$23&amp;$B78,防護具!$S$31:$S$163))-AX78,0)</f>
        <v>0</v>
      </c>
      <c r="AZ79" s="2000">
        <f>IFERROR(
SUM(AY79,SUMIF(防護具!$B$31:$B$163,AZ$23&amp;$B78,防護具!$S$31:$S$163))-AY78,0)</f>
        <v>0</v>
      </c>
      <c r="BA79" s="2000">
        <f>IFERROR(
SUM(AZ79,SUMIF(防護具!$B$31:$B$163,BA$23&amp;$B78,防護具!$S$31:$S$163))-AZ78,0)</f>
        <v>0</v>
      </c>
      <c r="BB79" s="2000">
        <f>IFERROR(
SUM(BA79,SUMIF(防護具!$B$31:$B$163,BB$23&amp;$B78,防護具!$S$31:$S$163))-BA78,0)</f>
        <v>0</v>
      </c>
      <c r="BC79" s="2000">
        <f>IFERROR(
SUM(BB79,SUMIF(防護具!$B$31:$B$163,BC$23&amp;$B78,防護具!$S$31:$S$163))-BB78,0)</f>
        <v>0</v>
      </c>
      <c r="BD79" s="2000">
        <f>IFERROR(
SUM(BC79,SUMIF(防護具!$B$31:$B$163,BD$23&amp;$B78,防護具!$S$31:$S$163))-BC78,0)</f>
        <v>0</v>
      </c>
      <c r="BE79" s="2000">
        <f>IFERROR(
SUM(BD79,SUMIF(防護具!$B$31:$B$163,BE$23&amp;$B78,防護具!$S$31:$S$163))-BD78,0)</f>
        <v>0</v>
      </c>
      <c r="BF79" s="2000">
        <f>IFERROR(
SUM(BE79,SUMIF(防護具!$B$31:$B$163,BF$23&amp;$B78,防護具!$S$31:$S$163))-BE78,0)</f>
        <v>0</v>
      </c>
      <c r="BG79" s="2000">
        <f>IFERROR(
SUM(BF79,SUMIF(防護具!$B$31:$B$163,BG$23&amp;$B78,防護具!$S$31:$S$163))-BF78,0)</f>
        <v>0</v>
      </c>
      <c r="BH79" s="2000">
        <f>IFERROR(
SUM(BG79,SUMIF(防護具!$B$31:$B$163,BH$23&amp;$B78,防護具!$S$31:$S$163))-BG78,0)</f>
        <v>0</v>
      </c>
      <c r="BI79" s="2000">
        <f>IFERROR(
SUM(BH79,SUMIF(防護具!$B$31:$B$163,BI$23&amp;$B78,防護具!$S$31:$S$163))-BH78,0)</f>
        <v>0</v>
      </c>
      <c r="BJ79" s="2000">
        <f>IFERROR(
SUM(BI79,SUMIF(防護具!$B$31:$B$163,BJ$23&amp;$B78,防護具!$S$31:$S$163))-BI78,0)</f>
        <v>0</v>
      </c>
      <c r="BK79" s="2000">
        <f>IFERROR(
SUM(BJ79,SUMIF(防護具!$B$31:$B$163,BK$23&amp;$B78,防護具!$S$31:$S$163))-BJ78,0)</f>
        <v>0</v>
      </c>
      <c r="BL79" s="2000">
        <f>IFERROR(
SUM(BK79,SUMIF(防護具!$B$31:$B$163,BL$23&amp;$B78,防護具!$S$31:$S$163))-BK78,0)</f>
        <v>0</v>
      </c>
      <c r="BM79" s="2000">
        <f>IFERROR(
SUM(BL79,SUMIF(防護具!$B$31:$B$163,BM$23&amp;$B78,防護具!$S$31:$S$163))-BL78,0)</f>
        <v>0</v>
      </c>
      <c r="BN79" s="2000">
        <f>IFERROR(
SUM(BM79,SUMIF(防護具!$B$31:$B$163,BN$23&amp;$B78,防護具!$S$31:$S$163))-BM78,0)</f>
        <v>0</v>
      </c>
      <c r="BO79" s="2000">
        <f>IFERROR(
SUM(BN79,SUMIF(防護具!$B$31:$B$163,BO$23&amp;$B78,防護具!$S$31:$S$163))-BN78,0)</f>
        <v>0</v>
      </c>
      <c r="BP79" s="2000">
        <f>IFERROR(
SUM(BO79,SUMIF(防護具!$B$31:$B$163,BP$23&amp;$B78,防護具!$S$31:$S$163))-BO78,0)</f>
        <v>0</v>
      </c>
      <c r="BQ79" s="2000">
        <f>IFERROR(
SUM(BP79,SUMIF(防護具!$B$31:$B$163,BQ$23&amp;$B78,防護具!$S$31:$S$163))-BP78,0)</f>
        <v>0</v>
      </c>
      <c r="BR79" s="2000">
        <f>IFERROR(
SUM(BQ79,SUMIF(防護具!$B$31:$B$163,BR$23&amp;$B78,防護具!$S$31:$S$163))-BQ78,0)</f>
        <v>0</v>
      </c>
      <c r="BS79" s="2000">
        <f>IFERROR(
SUM(BR79,SUMIF(防護具!$B$31:$B$163,BS$23&amp;$B78,防護具!$S$31:$S$163))-BR78,0)</f>
        <v>0</v>
      </c>
      <c r="BT79" s="2000">
        <f>IFERROR(
SUM(BS79,SUMIF(防護具!$B$31:$B$163,BT$23&amp;$B78,防護具!$S$31:$S$163))-BS78,0)</f>
        <v>0</v>
      </c>
      <c r="BU79" s="2000">
        <f>IFERROR(
SUM(BT79,SUMIF(防護具!$B$31:$B$163,BU$23&amp;$B78,防護具!$S$31:$S$163))-BT78,0)</f>
        <v>0</v>
      </c>
      <c r="BV79" s="2000">
        <f>IFERROR(
SUM(BU79,SUMIF(防護具!$B$31:$B$163,BV$23&amp;$B78,防護具!$S$31:$S$163))-BU78,0)</f>
        <v>0</v>
      </c>
      <c r="BW79" s="2000">
        <f>IFERROR(
SUM(BV79,SUMIF(防護具!$B$31:$B$163,BW$23&amp;$B78,防護具!$S$31:$S$163))-BV78,0)</f>
        <v>0</v>
      </c>
      <c r="BX79" s="2000">
        <f>IFERROR(
SUM(BW79,SUMIF(防護具!$B$31:$B$163,BX$23&amp;$B78,防護具!$S$31:$S$163))-BW78,0)</f>
        <v>0</v>
      </c>
      <c r="BY79" s="2000">
        <f>IFERROR(
SUM(BX79,SUMIF(防護具!$B$31:$B$163,BY$23&amp;$B78,防護具!$S$31:$S$163))-BX78,0)</f>
        <v>0</v>
      </c>
      <c r="BZ79" s="2000">
        <f>IFERROR(
SUM(BY79,SUMIF(防護具!$B$31:$B$163,BZ$23&amp;$B78,防護具!$S$31:$S$163))-BY78,0)</f>
        <v>0</v>
      </c>
      <c r="CA79" s="2000">
        <f>IFERROR(
SUM(BZ79,SUMIF(防護具!$B$31:$B$163,CA$23&amp;$B78,防護具!$S$31:$S$163))-BZ78,0)</f>
        <v>0</v>
      </c>
      <c r="CB79" s="2000">
        <f>IFERROR(
SUM(CA79,SUMIF(防護具!$B$31:$B$163,CB$23&amp;$B78,防護具!$S$31:$S$163))-CA78,0)</f>
        <v>0</v>
      </c>
      <c r="CC79" s="2000">
        <f>IFERROR(
SUM(CB79,SUMIF(防護具!$B$31:$B$163,CC$23&amp;$B78,防護具!$S$31:$S$163))-CB78,0)</f>
        <v>0</v>
      </c>
      <c r="CD79" s="2000">
        <f>IFERROR(
SUM(CC79,SUMIF(防護具!$B$31:$B$163,CD$23&amp;$B78,防護具!$S$31:$S$163))-CC78,0)</f>
        <v>0</v>
      </c>
      <c r="CE79" s="2000">
        <f>IFERROR(
SUM(CD79,SUMIF(防護具!$B$31:$B$163,CE$23&amp;$B78,防護具!$S$31:$S$163))-CD78,0)</f>
        <v>0</v>
      </c>
      <c r="CF79" s="2000">
        <f>IFERROR(
SUM(CE79,SUMIF(防護具!$B$31:$B$163,CF$23&amp;$B78,防護具!$S$31:$S$163))-CE78,0)</f>
        <v>0</v>
      </c>
      <c r="CG79" s="2000">
        <f>IFERROR(
SUM(CF79,SUMIF(防護具!$B$31:$B$163,CG$23&amp;$B78,防護具!$S$31:$S$163))-CF78,0)</f>
        <v>0</v>
      </c>
      <c r="CH79" s="2000">
        <f>IFERROR(
SUM(CG79,SUMIF(防護具!$B$31:$B$163,CH$23&amp;$B78,防護具!$S$31:$S$163))-CG78,0)</f>
        <v>0</v>
      </c>
      <c r="CI79" s="2000">
        <f>IFERROR(
SUM(CH79,SUMIF(防護具!$B$31:$B$163,CI$23&amp;$B78,防護具!$S$31:$S$163))-CH78,0)</f>
        <v>0</v>
      </c>
      <c r="CJ79" s="2000">
        <f>IFERROR(
SUM(CI79,SUMIF(防護具!$B$31:$B$163,CJ$23&amp;$B78,防護具!$S$31:$S$163))-CI78,0)</f>
        <v>0</v>
      </c>
      <c r="CK79" s="2000">
        <f>IFERROR(
SUM(CJ79,SUMIF(防護具!$B$31:$B$163,CK$23&amp;$B78,防護具!$S$31:$S$163))-CJ78,0)</f>
        <v>0</v>
      </c>
      <c r="CL79" s="2000">
        <f>IFERROR(
SUM(CK79,SUMIF(防護具!$B$31:$B$163,CL$23&amp;$B78,防護具!$S$31:$S$163))-CK78,0)</f>
        <v>0</v>
      </c>
      <c r="CM79" s="2000">
        <f>IFERROR(
SUM(CL79,SUMIF(防護具!$B$31:$B$163,CM$23&amp;$B78,防護具!$S$31:$S$163))-CL78,0)</f>
        <v>0</v>
      </c>
      <c r="CN79" s="2000">
        <f>IFERROR(
SUM(CM79,SUMIF(防護具!$B$31:$B$163,CN$23&amp;$B78,防護具!$S$31:$S$163))-CM78,0)</f>
        <v>0</v>
      </c>
      <c r="CO79" s="2000">
        <f>IFERROR(
SUM(CN79,SUMIF(防護具!$B$31:$B$163,CO$23&amp;$B78,防護具!$S$31:$S$163))-CN78,0)</f>
        <v>0</v>
      </c>
      <c r="CP79" s="2000">
        <f>IFERROR(
SUM(CO79,SUMIF(防護具!$B$31:$B$163,CP$23&amp;$B78,防護具!$S$31:$S$163))-CO78,0)</f>
        <v>0</v>
      </c>
      <c r="CQ79" s="2000">
        <f>IFERROR(
SUM(CP79,SUMIF(防護具!$B$31:$B$163,CQ$23&amp;$B78,防護具!$S$31:$S$163))-CP78,0)</f>
        <v>0</v>
      </c>
      <c r="CR79" s="2000">
        <f>IFERROR(
SUM(CQ79,SUMIF(防護具!$B$31:$B$163,CR$23&amp;$B78,防護具!$S$31:$S$163))-CQ78,0)</f>
        <v>0</v>
      </c>
      <c r="CS79" s="2000">
        <f>IFERROR(
SUM(CR79,SUMIF(防護具!$B$31:$B$163,CS$23&amp;$B78,防護具!$S$31:$S$163))-CR78,0)</f>
        <v>0</v>
      </c>
      <c r="CT79" s="2000">
        <f>IFERROR(
SUM(CS79,SUMIF(防護具!$B$31:$B$163,CT$23&amp;$B78,防護具!$S$31:$S$163))-CS78,0)</f>
        <v>0</v>
      </c>
      <c r="CU79" s="2000">
        <f>IFERROR(
SUM(CT79,SUMIF(防護具!$B$31:$B$163,CU$23&amp;$B78,防護具!$S$31:$S$163))-CT78,0)</f>
        <v>0</v>
      </c>
      <c r="CV79" s="2000">
        <f>IFERROR(
SUM(CU79,SUMIF(防護具!$B$31:$B$163,CV$23&amp;$B78,防護具!$S$31:$S$163))-CU78,0)</f>
        <v>0</v>
      </c>
      <c r="CW79" s="2000">
        <f>IFERROR(
SUM(CV79,SUMIF(防護具!$B$31:$B$163,CW$23&amp;$B78,防護具!$S$31:$S$163))-CV78,0)</f>
        <v>0</v>
      </c>
      <c r="CX79" s="2000">
        <f>IFERROR(
SUM(CW79,SUMIF(防護具!$B$31:$B$163,CX$23&amp;$B78,防護具!$S$31:$S$163))-CW78,0)</f>
        <v>0</v>
      </c>
      <c r="CY79" s="2000">
        <f>IFERROR(
SUM(CX79,SUMIF(防護具!$B$31:$B$163,CY$23&amp;$B78,防護具!$S$31:$S$163))-CX78,0)</f>
        <v>0</v>
      </c>
      <c r="CZ79" s="2000">
        <f>IFERROR(
SUM(CY79,SUMIF(防護具!$B$31:$B$163,CZ$23&amp;$B78,防護具!$S$31:$S$163))-CY78,0)</f>
        <v>0</v>
      </c>
      <c r="DA79" s="2000">
        <f>IFERROR(
SUM(CZ79,SUMIF(防護具!$B$31:$B$163,DA$23&amp;$B78,防護具!$S$31:$S$163))-CZ78,0)</f>
        <v>0</v>
      </c>
      <c r="DB79" s="2000">
        <f>IFERROR(
SUM(DA79,SUMIF(防護具!$B$31:$B$163,DB$23&amp;$B78,防護具!$S$31:$S$163))-DA78,0)</f>
        <v>0</v>
      </c>
      <c r="DC79" s="2000">
        <f>IFERROR(
SUM(DB79,SUMIF(防護具!$B$31:$B$163,DC$23&amp;$B78,防護具!$S$31:$S$163))-DB78,0)</f>
        <v>0</v>
      </c>
      <c r="DD79" s="2000">
        <f>IFERROR(
SUM(DC79,SUMIF(防護具!$B$31:$B$163,DD$23&amp;$B78,防護具!$S$31:$S$163))-DC78,0)</f>
        <v>0</v>
      </c>
      <c r="DE79" s="2000">
        <f>IFERROR(
SUM(DD79,SUMIF(防護具!$B$31:$B$163,DE$23&amp;$B78,防護具!$S$31:$S$163))-DD78,0)</f>
        <v>0</v>
      </c>
      <c r="DF79" s="2000">
        <f>IFERROR(
SUM(DE79,SUMIF(防護具!$B$31:$B$163,DF$23&amp;$B78,防護具!$S$31:$S$163))-DE78,0)</f>
        <v>0</v>
      </c>
      <c r="DG79" s="2000">
        <f>IFERROR(
SUM(DF79,SUMIF(防護具!$B$31:$B$163,DG$23&amp;$B78,防護具!$S$31:$S$163))-DF78,0)</f>
        <v>0</v>
      </c>
      <c r="DH79" s="2000">
        <f>IFERROR(
SUM(DG79,SUMIF(防護具!$B$31:$B$163,DH$23&amp;$B78,防護具!$S$31:$S$163))-DG78,0)</f>
        <v>0</v>
      </c>
      <c r="DI79" s="2000">
        <f>IFERROR(
SUM(DH79,SUMIF(防護具!$B$31:$B$163,DI$23&amp;$B78,防護具!$S$31:$S$163))-DH78,0)</f>
        <v>0</v>
      </c>
      <c r="DJ79" s="2000">
        <f>IFERROR(
SUM(DI79,SUMIF(防護具!$B$31:$B$163,DJ$23&amp;$B78,防護具!$S$31:$S$163))-DI78,0)</f>
        <v>0</v>
      </c>
      <c r="DK79" s="2000">
        <f>IFERROR(
SUM(DJ79,SUMIF(防護具!$B$31:$B$163,DK$23&amp;$B78,防護具!$S$31:$S$163))-DJ78,0)</f>
        <v>0</v>
      </c>
      <c r="DL79" s="2000">
        <f>IFERROR(
SUM(DK79,SUMIF(防護具!$B$31:$B$163,DL$23&amp;$B78,防護具!$S$31:$S$163))-DK78,0)</f>
        <v>0</v>
      </c>
      <c r="DM79" s="2000">
        <f>IFERROR(
SUM(DL79,SUMIF(防護具!$B$31:$B$163,DM$23&amp;$B78,防護具!$S$31:$S$163))-DL78,0)</f>
        <v>0</v>
      </c>
      <c r="DN79" s="2000">
        <f>IFERROR(
SUM(DM79,SUMIF(防護具!$B$31:$B$163,DN$23&amp;$B78,防護具!$S$31:$S$163))-DM78,0)</f>
        <v>0</v>
      </c>
      <c r="DO79" s="2000">
        <f>IFERROR(
SUM(DN79,SUMIF(防護具!$B$31:$B$163,DO$23&amp;$B78,防護具!$S$31:$S$163))-DN78,0)</f>
        <v>0</v>
      </c>
      <c r="DP79" s="2000">
        <f>IFERROR(
SUM(DO79,SUMIF(防護具!$B$31:$B$163,DP$23&amp;$B78,防護具!$S$31:$S$163))-DO78,0)</f>
        <v>0</v>
      </c>
      <c r="DQ79" s="2000">
        <f>IFERROR(
SUM(DP79,SUMIF(防護具!$B$31:$B$163,DQ$23&amp;$B78,防護具!$S$31:$S$163))-DP78,0)</f>
        <v>0</v>
      </c>
      <c r="DR79" s="2000">
        <f>IFERROR(
SUM(DQ79,SUMIF(防護具!$B$31:$B$163,DR$23&amp;$B78,防護具!$S$31:$S$163))-DQ78,0)</f>
        <v>0</v>
      </c>
      <c r="DS79" s="2000">
        <f>IFERROR(
SUM(DR79,SUMIF(防護具!$B$31:$B$163,DS$23&amp;$B78,防護具!$S$31:$S$163))-DR78,0)</f>
        <v>0</v>
      </c>
      <c r="DT79" s="2000">
        <f>IFERROR(
SUM(DS79,SUMIF(防護具!$B$31:$B$163,DT$23&amp;$B78,防護具!$S$31:$S$163))-DS78,0)</f>
        <v>0</v>
      </c>
      <c r="DU79" s="2000">
        <f>IFERROR(
SUM(DT79,SUMIF(防護具!$B$31:$B$163,DU$23&amp;$B78,防護具!$S$31:$S$163))-DT78,0)</f>
        <v>0</v>
      </c>
      <c r="DV79" s="2000">
        <f>IFERROR(
SUM(DU79,SUMIF(防護具!$B$31:$B$163,DV$23&amp;$B78,防護具!$S$31:$S$163))-DU78,0)</f>
        <v>0</v>
      </c>
      <c r="DW79" s="2000">
        <f>IFERROR(
SUM(DV79,SUMIF(防護具!$B$31:$B$163,DW$23&amp;$B78,防護具!$S$31:$S$163))-DV78,0)</f>
        <v>0</v>
      </c>
      <c r="DX79" s="2000">
        <f>IFERROR(
SUM(DW79,SUMIF(防護具!$B$31:$B$163,DX$23&amp;$B78,防護具!$S$31:$S$163))-DW78,0)</f>
        <v>0</v>
      </c>
      <c r="DY79" s="2000">
        <f>IFERROR(
SUM(DX79,SUMIF(防護具!$B$31:$B$163,DY$23&amp;$B78,防護具!$S$31:$S$163))-DX78,0)</f>
        <v>0</v>
      </c>
      <c r="DZ79" s="2000">
        <f>IFERROR(
SUM(DY79,SUMIF(防護具!$B$31:$B$163,DZ$23&amp;$B78,防護具!$S$31:$S$163))-DY78,0)</f>
        <v>0</v>
      </c>
      <c r="EA79" s="2000">
        <f>IFERROR(
SUM(DZ79,SUMIF(防護具!$B$31:$B$163,EA$23&amp;$B78,防護具!$S$31:$S$163))-DZ78,0)</f>
        <v>0</v>
      </c>
      <c r="EB79" s="2000">
        <f>IFERROR(
SUM(EA79,SUMIF(防護具!$B$31:$B$163,EB$23&amp;$B78,防護具!$S$31:$S$163))-EA78,0)</f>
        <v>0</v>
      </c>
      <c r="EC79" s="2000">
        <f>IFERROR(
SUM(EB79,SUMIF(防護具!$B$31:$B$163,EC$23&amp;$B78,防護具!$S$31:$S$163))-EB78,0)</f>
        <v>0</v>
      </c>
      <c r="ED79" s="2000">
        <f>IFERROR(
SUM(EC79,SUMIF(防護具!$B$31:$B$163,ED$23&amp;$B78,防護具!$S$31:$S$163))-EC78,0)</f>
        <v>0</v>
      </c>
      <c r="EE79" s="2000">
        <f>IFERROR(
SUM(ED79,SUMIF(防護具!$B$31:$B$163,EE$23&amp;$B78,防護具!$S$31:$S$163))-ED78,0)</f>
        <v>0</v>
      </c>
      <c r="EF79" s="2000">
        <f>IFERROR(
SUM(EE79,SUMIF(防護具!$B$31:$B$163,EF$23&amp;$B78,防護具!$S$31:$S$163))-EE78,0)</f>
        <v>0</v>
      </c>
      <c r="EG79" s="2000">
        <f>IFERROR(
SUM(EF79,SUMIF(防護具!$B$31:$B$163,EG$23&amp;$B78,防護具!$S$31:$S$163))-EF78,0)</f>
        <v>0</v>
      </c>
      <c r="EH79" s="2000">
        <f>IFERROR(
SUM(EG79,SUMIF(防護具!$B$31:$B$163,EH$23&amp;$B78,防護具!$S$31:$S$163))-EG78,0)</f>
        <v>0</v>
      </c>
      <c r="EI79" s="2000">
        <f>IFERROR(
SUM(EH79,SUMIF(防護具!$B$31:$B$163,EI$23&amp;$B78,防護具!$S$31:$S$163))-EH78,0)</f>
        <v>0</v>
      </c>
      <c r="EJ79" s="2000">
        <f>IFERROR(
SUM(EI79,SUMIF(防護具!$B$31:$B$163,EJ$23&amp;$B78,防護具!$S$31:$S$163))-EI78,0)</f>
        <v>0</v>
      </c>
      <c r="EK79" s="2000">
        <f>IFERROR(
SUM(EJ79,SUMIF(防護具!$B$31:$B$163,EK$23&amp;$B78,防護具!$S$31:$S$163))-EJ78,0)</f>
        <v>0</v>
      </c>
      <c r="EL79" s="2000">
        <f>IFERROR(
SUM(EK79,SUMIF(防護具!$B$31:$B$163,EL$23&amp;$B78,防護具!$S$31:$S$163))-EK78,0)</f>
        <v>0</v>
      </c>
      <c r="EM79" s="2000">
        <f>IFERROR(
SUM(EL79,SUMIF(防護具!$B$31:$B$163,EM$23&amp;$B78,防護具!$S$31:$S$163))-EL78,0)</f>
        <v>0</v>
      </c>
      <c r="EN79" s="2000">
        <f>IFERROR(
SUM(EM79,SUMIF(防護具!$B$31:$B$163,EN$23&amp;$B78,防護具!$S$31:$S$163))-EM78,0)</f>
        <v>0</v>
      </c>
      <c r="EO79" s="2000">
        <f>IFERROR(
SUM(EN79,SUMIF(防護具!$B$31:$B$163,EO$23&amp;$B78,防護具!$S$31:$S$163))-EN78,0)</f>
        <v>0</v>
      </c>
      <c r="EP79" s="2000">
        <f>IFERROR(
SUM(EO79,SUMIF(防護具!$B$31:$B$163,EP$23&amp;$B78,防護具!$S$31:$S$163))-EO78,0)</f>
        <v>0</v>
      </c>
      <c r="EQ79" s="2000">
        <f>IFERROR(
SUM(EP79,SUMIF(防護具!$B$31:$B$163,EQ$23&amp;$B78,防護具!$S$31:$S$163))-EP78,0)</f>
        <v>0</v>
      </c>
      <c r="ER79" s="2000">
        <f>IFERROR(
SUM(EQ79,SUMIF(防護具!$B$31:$B$163,ER$23&amp;$B78,防護具!$S$31:$S$163))-EQ78,0)</f>
        <v>0</v>
      </c>
      <c r="ES79" s="2000">
        <f>IFERROR(
SUM(ER79,SUMIF(防護具!$B$31:$B$163,ES$23&amp;$B78,防護具!$S$31:$S$163))-ER78,0)</f>
        <v>0</v>
      </c>
      <c r="ET79" s="2000">
        <f>IFERROR(
SUM(ES79,SUMIF(防護具!$B$31:$B$163,ET$23&amp;$B78,防護具!$S$31:$S$163))-ES78,0)</f>
        <v>0</v>
      </c>
      <c r="EU79" s="2000">
        <f>IFERROR(
SUM(ET79,SUMIF(防護具!$B$31:$B$163,EU$23&amp;$B78,防護具!$S$31:$S$163))-ET78,0)</f>
        <v>0</v>
      </c>
      <c r="EV79" s="2000">
        <f>IFERROR(
SUM(EU79,SUMIF(防護具!$B$31:$B$163,EV$23&amp;$B78,防護具!$S$31:$S$163))-EU78,0)</f>
        <v>0</v>
      </c>
      <c r="EW79" s="2000">
        <f>IFERROR(
SUM(EV79,SUMIF(防護具!$B$31:$B$163,EW$23&amp;$B78,防護具!$S$31:$S$163))-EV78,0)</f>
        <v>0</v>
      </c>
      <c r="EX79" s="2000">
        <f>IFERROR(
SUM(EW79,SUMIF(防護具!$B$31:$B$163,EX$23&amp;$B78,防護具!$S$31:$S$163))-EW78,0)</f>
        <v>0</v>
      </c>
      <c r="EY79" s="2000">
        <f>IFERROR(
SUM(EX79,SUMIF(防護具!$B$31:$B$163,EY$23&amp;$B78,防護具!$S$31:$S$163))-EX78,0)</f>
        <v>0</v>
      </c>
      <c r="EZ79" s="2000">
        <f>IFERROR(
SUM(EY79,SUMIF(防護具!$B$31:$B$163,EZ$23&amp;$B78,防護具!$S$31:$S$163))-EY78,0)</f>
        <v>0</v>
      </c>
      <c r="FA79" s="2000">
        <f>IFERROR(
SUM(EZ79,SUMIF(防護具!$B$31:$B$163,FA$23&amp;$B78,防護具!$S$31:$S$163))-EZ78,0)</f>
        <v>0</v>
      </c>
      <c r="FB79" s="2000">
        <f>IFERROR(
SUM(FA79,SUMIF(防護具!$B$31:$B$163,FB$23&amp;$B78,防護具!$S$31:$S$163))-FA78,0)</f>
        <v>0</v>
      </c>
      <c r="FC79" s="2000">
        <f>IFERROR(
SUM(FB79,SUMIF(防護具!$B$31:$B$163,FC$23&amp;$B78,防護具!$S$31:$S$163))-FB78,0)</f>
        <v>0</v>
      </c>
      <c r="FD79" s="2000">
        <f>IFERROR(
SUM(FC79,SUMIF(防護具!$B$31:$B$163,FD$23&amp;$B78,防護具!$S$31:$S$163))-FC78,0)</f>
        <v>0</v>
      </c>
      <c r="FE79" s="2000">
        <f>IFERROR(
SUM(FD79,SUMIF(防護具!$B$31:$B$163,FE$23&amp;$B78,防護具!$S$31:$S$163))-FD78,0)</f>
        <v>0</v>
      </c>
      <c r="FF79" s="2000">
        <f>IFERROR(
SUM(FE79,SUMIF(防護具!$B$31:$B$163,FF$23&amp;$B78,防護具!$S$31:$S$163))-FE78,0)</f>
        <v>0</v>
      </c>
      <c r="FG79" s="2000">
        <f>IFERROR(
SUM(FF79,SUMIF(防護具!$B$31:$B$163,FG$23&amp;$B78,防護具!$S$31:$S$163))-FF78,0)</f>
        <v>0</v>
      </c>
      <c r="FH79" s="2000">
        <f>IFERROR(
SUM(FG79,SUMIF(防護具!$B$31:$B$163,FH$23&amp;$B78,防護具!$S$31:$S$163))-FG78,0)</f>
        <v>0</v>
      </c>
      <c r="FI79" s="2000">
        <f>IFERROR(
SUM(FH79,SUMIF(防護具!$B$31:$B$163,FI$23&amp;$B78,防護具!$S$31:$S$163))-FH78,0)</f>
        <v>0</v>
      </c>
      <c r="FJ79" s="2000">
        <f>IFERROR(
SUM(FI79,SUMIF(防護具!$B$31:$B$163,FJ$23&amp;$B78,防護具!$S$31:$S$163))-FI78,0)</f>
        <v>0</v>
      </c>
      <c r="FK79" s="2000">
        <f>IFERROR(
SUM(FJ79,SUMIF(防護具!$B$31:$B$163,FK$23&amp;$B78,防護具!$S$31:$S$163))-FJ78,0)</f>
        <v>0</v>
      </c>
      <c r="FL79" s="2000">
        <f>IFERROR(
SUM(FK79,SUMIF(防護具!$B$31:$B$163,FL$23&amp;$B78,防護具!$S$31:$S$163))-FK78,0)</f>
        <v>0</v>
      </c>
      <c r="FM79" s="2000">
        <f>IFERROR(
SUM(FL79,SUMIF(防護具!$B$31:$B$163,FM$23&amp;$B78,防護具!$S$31:$S$163))-FL78,0)</f>
        <v>0</v>
      </c>
      <c r="FN79" s="2000">
        <f>IFERROR(
SUM(FM79,SUMIF(防護具!$B$31:$B$163,FN$23&amp;$B78,防護具!$S$31:$S$163))-FM78,0)</f>
        <v>0</v>
      </c>
      <c r="FO79" s="2000">
        <f>IFERROR(
SUM(FN79,SUMIF(防護具!$B$31:$B$163,FO$23&amp;$B78,防護具!$S$31:$S$163))-FN78,0)</f>
        <v>0</v>
      </c>
      <c r="FP79" s="2000">
        <f>IFERROR(
SUM(FO79,SUMIF(防護具!$B$31:$B$163,FP$23&amp;$B78,防護具!$S$31:$S$163))-FO78,0)</f>
        <v>0</v>
      </c>
      <c r="FQ79" s="2000">
        <f>IFERROR(
SUM(FP79,SUMIF(防護具!$B$31:$B$163,FQ$23&amp;$B78,防護具!$S$31:$S$163))-FP78,0)</f>
        <v>0</v>
      </c>
      <c r="FR79" s="2000">
        <f>IFERROR(
SUM(FQ79,SUMIF(防護具!$B$31:$B$163,FR$23&amp;$B78,防護具!$S$31:$S$163))-FQ78,0)</f>
        <v>0</v>
      </c>
      <c r="FS79" s="2000">
        <f>IFERROR(
SUM(FR79,SUMIF(防護具!$B$31:$B$163,FS$23&amp;$B78,防護具!$S$31:$S$163))-FR78,0)</f>
        <v>0</v>
      </c>
      <c r="FT79" s="2000">
        <f>IFERROR(
SUM(FS79,SUMIF(防護具!$B$31:$B$163,FT$23&amp;$B78,防護具!$S$31:$S$163))-FS78,0)</f>
        <v>0</v>
      </c>
      <c r="FU79" s="2000">
        <f>IFERROR(
SUM(FT79,SUMIF(防護具!$B$31:$B$163,FU$23&amp;$B78,防護具!$S$31:$S$163))-FT78,0)</f>
        <v>0</v>
      </c>
      <c r="FV79" s="2000">
        <f>IFERROR(
SUM(FU79,SUMIF(防護具!$B$31:$B$163,FV$23&amp;$B78,防護具!$S$31:$S$163))-FU78,0)</f>
        <v>0</v>
      </c>
      <c r="FW79" s="2000">
        <f>IFERROR(
SUM(FV79,SUMIF(防護具!$B$31:$B$163,FW$23&amp;$B78,防護具!$S$31:$S$163))-FV78,0)</f>
        <v>0</v>
      </c>
      <c r="FX79" s="2000">
        <f>IFERROR(
SUM(FW79,SUMIF(防護具!$B$31:$B$163,FX$23&amp;$B78,防護具!$S$31:$S$163))-FW78,0)</f>
        <v>0</v>
      </c>
      <c r="FY79" s="2000">
        <f>IFERROR(
SUM(FX79,SUMIF(防護具!$B$31:$B$163,FY$23&amp;$B78,防護具!$S$31:$S$163))-FX78,0)</f>
        <v>0</v>
      </c>
      <c r="FZ79" s="2000">
        <f>IFERROR(
SUM(FY79,SUMIF(防護具!$B$31:$B$163,FZ$23&amp;$B78,防護具!$S$31:$S$163))-FY78,0)</f>
        <v>0</v>
      </c>
      <c r="GA79" s="2000">
        <f>IFERROR(
SUM(FZ79,SUMIF(防護具!$B$31:$B$163,GA$23&amp;$B78,防護具!$S$31:$S$163))-FZ78,0)</f>
        <v>0</v>
      </c>
      <c r="GB79" s="2000">
        <f>IFERROR(
SUM(GA79,SUMIF(防護具!$B$31:$B$163,GB$23&amp;$B78,防護具!$S$31:$S$163))-GA78,0)</f>
        <v>0</v>
      </c>
      <c r="GC79" s="2000">
        <f>IFERROR(
SUM(GB79,SUMIF(防護具!$B$31:$B$163,GC$23&amp;$B78,防護具!$S$31:$S$163))-GB78,0)</f>
        <v>0</v>
      </c>
      <c r="GD79" s="2000">
        <f>IFERROR(
SUM(GC79,SUMIF(防護具!$B$31:$B$163,GD$23&amp;$B78,防護具!$S$31:$S$163))-GC78,0)</f>
        <v>0</v>
      </c>
      <c r="GE79" s="2000">
        <f>IFERROR(
SUM(GD79,SUMIF(防護具!$B$31:$B$163,GE$23&amp;$B78,防護具!$S$31:$S$163))-GD78,0)</f>
        <v>0</v>
      </c>
      <c r="GF79" s="2000">
        <f>IFERROR(
SUM(GE79,SUMIF(防護具!$B$31:$B$163,GF$23&amp;$B78,防護具!$S$31:$S$163))-GE78,0)</f>
        <v>0</v>
      </c>
    </row>
    <row r="80" spans="1:188" s="641" customFormat="1" ht="15" customHeight="1" x14ac:dyDescent="0.4">
      <c r="A80" s="631"/>
      <c r="B80" s="641" t="s">
        <v>1264</v>
      </c>
      <c r="C80" s="1989" t="s">
        <v>1388</v>
      </c>
      <c r="D80" s="1992"/>
      <c r="E80" s="642"/>
      <c r="F80" s="2000">
        <f>SUMIF(防護具!$B$14:$B$30,F$23&amp;B78,防護具!$S$14:$S$30)</f>
        <v>0</v>
      </c>
      <c r="G80" s="2000">
        <f xml:space="preserve">
IF(G$25="休診日",F80,
IF(F80-VLOOKUP(F$22&amp;$B78,$B$96:$D$191,2,FALSE)&lt;0,0,F80-VLOOKUP(F$22&amp;$B78,$B$96:$D$191,2,FALSE)))</f>
        <v>0</v>
      </c>
      <c r="H80" s="2000">
        <f t="shared" ref="H80:BS80" si="91" xml:space="preserve">
IF(H$25="休診日",G80,
IF(G80-VLOOKUP(G$22&amp;$B78,$B$96:$D$191,2,FALSE)&lt;0,0,G80-VLOOKUP(G$22&amp;$B78,$B$96:$D$191,2,FALSE)))</f>
        <v>0</v>
      </c>
      <c r="I80" s="2000">
        <f t="shared" si="91"/>
        <v>0</v>
      </c>
      <c r="J80" s="2000">
        <f t="shared" si="91"/>
        <v>0</v>
      </c>
      <c r="K80" s="2000">
        <f t="shared" si="91"/>
        <v>0</v>
      </c>
      <c r="L80" s="2000">
        <f t="shared" si="91"/>
        <v>0</v>
      </c>
      <c r="M80" s="2000">
        <f t="shared" si="91"/>
        <v>0</v>
      </c>
      <c r="N80" s="2000">
        <f t="shared" si="91"/>
        <v>0</v>
      </c>
      <c r="O80" s="2000">
        <f t="shared" si="91"/>
        <v>0</v>
      </c>
      <c r="P80" s="2000">
        <f t="shared" si="91"/>
        <v>0</v>
      </c>
      <c r="Q80" s="2000">
        <f t="shared" si="91"/>
        <v>0</v>
      </c>
      <c r="R80" s="2000">
        <f t="shared" si="91"/>
        <v>0</v>
      </c>
      <c r="S80" s="2000">
        <f t="shared" si="91"/>
        <v>0</v>
      </c>
      <c r="T80" s="2000">
        <f t="shared" si="91"/>
        <v>0</v>
      </c>
      <c r="U80" s="2000">
        <f t="shared" si="91"/>
        <v>0</v>
      </c>
      <c r="V80" s="2000">
        <f t="shared" si="91"/>
        <v>0</v>
      </c>
      <c r="W80" s="2000">
        <f t="shared" si="91"/>
        <v>0</v>
      </c>
      <c r="X80" s="2000">
        <f t="shared" si="91"/>
        <v>0</v>
      </c>
      <c r="Y80" s="2000">
        <f t="shared" si="91"/>
        <v>0</v>
      </c>
      <c r="Z80" s="2000">
        <f t="shared" si="91"/>
        <v>0</v>
      </c>
      <c r="AA80" s="2000">
        <f t="shared" si="91"/>
        <v>0</v>
      </c>
      <c r="AB80" s="2000">
        <f t="shared" si="91"/>
        <v>0</v>
      </c>
      <c r="AC80" s="2000">
        <f t="shared" si="91"/>
        <v>0</v>
      </c>
      <c r="AD80" s="2000">
        <f t="shared" si="91"/>
        <v>0</v>
      </c>
      <c r="AE80" s="2000">
        <f t="shared" si="91"/>
        <v>0</v>
      </c>
      <c r="AF80" s="2000">
        <f t="shared" si="91"/>
        <v>0</v>
      </c>
      <c r="AG80" s="2000">
        <f t="shared" si="91"/>
        <v>0</v>
      </c>
      <c r="AH80" s="2000">
        <f t="shared" si="91"/>
        <v>0</v>
      </c>
      <c r="AI80" s="2000">
        <f t="shared" si="91"/>
        <v>0</v>
      </c>
      <c r="AJ80" s="2000">
        <f t="shared" si="91"/>
        <v>0</v>
      </c>
      <c r="AK80" s="2000">
        <f t="shared" si="91"/>
        <v>0</v>
      </c>
      <c r="AL80" s="2000">
        <f t="shared" si="91"/>
        <v>0</v>
      </c>
      <c r="AM80" s="2000">
        <f t="shared" si="91"/>
        <v>0</v>
      </c>
      <c r="AN80" s="2000">
        <f t="shared" si="91"/>
        <v>0</v>
      </c>
      <c r="AO80" s="2000">
        <f t="shared" si="91"/>
        <v>0</v>
      </c>
      <c r="AP80" s="2000">
        <f t="shared" si="91"/>
        <v>0</v>
      </c>
      <c r="AQ80" s="2000">
        <f t="shared" si="91"/>
        <v>0</v>
      </c>
      <c r="AR80" s="2000">
        <f t="shared" si="91"/>
        <v>0</v>
      </c>
      <c r="AS80" s="2000">
        <f t="shared" si="91"/>
        <v>0</v>
      </c>
      <c r="AT80" s="2000">
        <f t="shared" si="91"/>
        <v>0</v>
      </c>
      <c r="AU80" s="2000">
        <f t="shared" si="91"/>
        <v>0</v>
      </c>
      <c r="AV80" s="2000">
        <f t="shared" si="91"/>
        <v>0</v>
      </c>
      <c r="AW80" s="2000">
        <f t="shared" si="91"/>
        <v>0</v>
      </c>
      <c r="AX80" s="2000">
        <f t="shared" si="91"/>
        <v>0</v>
      </c>
      <c r="AY80" s="2000">
        <f t="shared" si="91"/>
        <v>0</v>
      </c>
      <c r="AZ80" s="2000">
        <f t="shared" si="91"/>
        <v>0</v>
      </c>
      <c r="BA80" s="2000">
        <f t="shared" si="91"/>
        <v>0</v>
      </c>
      <c r="BB80" s="2000">
        <f t="shared" si="91"/>
        <v>0</v>
      </c>
      <c r="BC80" s="2000">
        <f t="shared" si="91"/>
        <v>0</v>
      </c>
      <c r="BD80" s="2000">
        <f t="shared" si="91"/>
        <v>0</v>
      </c>
      <c r="BE80" s="2000">
        <f t="shared" si="91"/>
        <v>0</v>
      </c>
      <c r="BF80" s="2000">
        <f t="shared" si="91"/>
        <v>0</v>
      </c>
      <c r="BG80" s="2000">
        <f t="shared" si="91"/>
        <v>0</v>
      </c>
      <c r="BH80" s="2000">
        <f t="shared" si="91"/>
        <v>0</v>
      </c>
      <c r="BI80" s="2000">
        <f t="shared" si="91"/>
        <v>0</v>
      </c>
      <c r="BJ80" s="2000">
        <f t="shared" si="91"/>
        <v>0</v>
      </c>
      <c r="BK80" s="2000">
        <f t="shared" si="91"/>
        <v>0</v>
      </c>
      <c r="BL80" s="2000">
        <f t="shared" si="91"/>
        <v>0</v>
      </c>
      <c r="BM80" s="2000">
        <f t="shared" si="91"/>
        <v>0</v>
      </c>
      <c r="BN80" s="2000">
        <f t="shared" si="91"/>
        <v>0</v>
      </c>
      <c r="BO80" s="2000">
        <f t="shared" si="91"/>
        <v>0</v>
      </c>
      <c r="BP80" s="2000">
        <f t="shared" si="91"/>
        <v>0</v>
      </c>
      <c r="BQ80" s="2000">
        <f t="shared" si="91"/>
        <v>0</v>
      </c>
      <c r="BR80" s="2000">
        <f t="shared" si="91"/>
        <v>0</v>
      </c>
      <c r="BS80" s="2000">
        <f t="shared" si="91"/>
        <v>0</v>
      </c>
      <c r="BT80" s="2000">
        <f t="shared" ref="BT80:EE80" si="92" xml:space="preserve">
IF(BT$25="休診日",BS80,
IF(BS80-VLOOKUP(BS$22&amp;$B78,$B$96:$D$191,2,FALSE)&lt;0,0,BS80-VLOOKUP(BS$22&amp;$B78,$B$96:$D$191,2,FALSE)))</f>
        <v>0</v>
      </c>
      <c r="BU80" s="2000">
        <f t="shared" si="92"/>
        <v>0</v>
      </c>
      <c r="BV80" s="2000">
        <f t="shared" si="92"/>
        <v>0</v>
      </c>
      <c r="BW80" s="2000">
        <f t="shared" si="92"/>
        <v>0</v>
      </c>
      <c r="BX80" s="2000">
        <f t="shared" si="92"/>
        <v>0</v>
      </c>
      <c r="BY80" s="2000">
        <f t="shared" si="92"/>
        <v>0</v>
      </c>
      <c r="BZ80" s="2000">
        <f t="shared" si="92"/>
        <v>0</v>
      </c>
      <c r="CA80" s="2000">
        <f t="shared" si="92"/>
        <v>0</v>
      </c>
      <c r="CB80" s="2000">
        <f t="shared" si="92"/>
        <v>0</v>
      </c>
      <c r="CC80" s="2000">
        <f t="shared" si="92"/>
        <v>0</v>
      </c>
      <c r="CD80" s="2000">
        <f t="shared" si="92"/>
        <v>0</v>
      </c>
      <c r="CE80" s="2000">
        <f t="shared" si="92"/>
        <v>0</v>
      </c>
      <c r="CF80" s="2000">
        <f t="shared" si="92"/>
        <v>0</v>
      </c>
      <c r="CG80" s="2000">
        <f t="shared" si="92"/>
        <v>0</v>
      </c>
      <c r="CH80" s="2000">
        <f t="shared" si="92"/>
        <v>0</v>
      </c>
      <c r="CI80" s="2000">
        <f t="shared" si="92"/>
        <v>0</v>
      </c>
      <c r="CJ80" s="2000">
        <f t="shared" si="92"/>
        <v>0</v>
      </c>
      <c r="CK80" s="2000">
        <f t="shared" si="92"/>
        <v>0</v>
      </c>
      <c r="CL80" s="2000">
        <f t="shared" si="92"/>
        <v>0</v>
      </c>
      <c r="CM80" s="2000">
        <f t="shared" si="92"/>
        <v>0</v>
      </c>
      <c r="CN80" s="2000">
        <f t="shared" si="92"/>
        <v>0</v>
      </c>
      <c r="CO80" s="2000">
        <f t="shared" si="92"/>
        <v>0</v>
      </c>
      <c r="CP80" s="2000">
        <f t="shared" si="92"/>
        <v>0</v>
      </c>
      <c r="CQ80" s="2000">
        <f t="shared" si="92"/>
        <v>0</v>
      </c>
      <c r="CR80" s="2000">
        <f t="shared" si="92"/>
        <v>0</v>
      </c>
      <c r="CS80" s="2000">
        <f t="shared" si="92"/>
        <v>0</v>
      </c>
      <c r="CT80" s="2000">
        <f t="shared" si="92"/>
        <v>0</v>
      </c>
      <c r="CU80" s="2000">
        <f t="shared" si="92"/>
        <v>0</v>
      </c>
      <c r="CV80" s="2000">
        <f t="shared" si="92"/>
        <v>0</v>
      </c>
      <c r="CW80" s="2000">
        <f t="shared" si="92"/>
        <v>0</v>
      </c>
      <c r="CX80" s="2000">
        <f t="shared" si="92"/>
        <v>0</v>
      </c>
      <c r="CY80" s="2000">
        <f t="shared" si="92"/>
        <v>0</v>
      </c>
      <c r="CZ80" s="2000">
        <f t="shared" si="92"/>
        <v>0</v>
      </c>
      <c r="DA80" s="2000">
        <f t="shared" si="92"/>
        <v>0</v>
      </c>
      <c r="DB80" s="2000">
        <f t="shared" si="92"/>
        <v>0</v>
      </c>
      <c r="DC80" s="2000">
        <f t="shared" si="92"/>
        <v>0</v>
      </c>
      <c r="DD80" s="2000">
        <f t="shared" si="92"/>
        <v>0</v>
      </c>
      <c r="DE80" s="2000">
        <f t="shared" si="92"/>
        <v>0</v>
      </c>
      <c r="DF80" s="2000">
        <f t="shared" si="92"/>
        <v>0</v>
      </c>
      <c r="DG80" s="2000">
        <f t="shared" si="92"/>
        <v>0</v>
      </c>
      <c r="DH80" s="2000">
        <f t="shared" si="92"/>
        <v>0</v>
      </c>
      <c r="DI80" s="2000">
        <f t="shared" si="92"/>
        <v>0</v>
      </c>
      <c r="DJ80" s="2000">
        <f t="shared" si="92"/>
        <v>0</v>
      </c>
      <c r="DK80" s="2000">
        <f t="shared" si="92"/>
        <v>0</v>
      </c>
      <c r="DL80" s="2000">
        <f t="shared" si="92"/>
        <v>0</v>
      </c>
      <c r="DM80" s="2000">
        <f t="shared" si="92"/>
        <v>0</v>
      </c>
      <c r="DN80" s="2000">
        <f t="shared" si="92"/>
        <v>0</v>
      </c>
      <c r="DO80" s="2000">
        <f t="shared" si="92"/>
        <v>0</v>
      </c>
      <c r="DP80" s="2000">
        <f t="shared" si="92"/>
        <v>0</v>
      </c>
      <c r="DQ80" s="2000">
        <f t="shared" si="92"/>
        <v>0</v>
      </c>
      <c r="DR80" s="2000">
        <f t="shared" si="92"/>
        <v>0</v>
      </c>
      <c r="DS80" s="2000">
        <f t="shared" si="92"/>
        <v>0</v>
      </c>
      <c r="DT80" s="2000">
        <f t="shared" si="92"/>
        <v>0</v>
      </c>
      <c r="DU80" s="2000">
        <f t="shared" si="92"/>
        <v>0</v>
      </c>
      <c r="DV80" s="2000">
        <f t="shared" si="92"/>
        <v>0</v>
      </c>
      <c r="DW80" s="2000">
        <f t="shared" si="92"/>
        <v>0</v>
      </c>
      <c r="DX80" s="2000">
        <f t="shared" si="92"/>
        <v>0</v>
      </c>
      <c r="DY80" s="2000">
        <f t="shared" si="92"/>
        <v>0</v>
      </c>
      <c r="DZ80" s="2000">
        <f t="shared" si="92"/>
        <v>0</v>
      </c>
      <c r="EA80" s="2000">
        <f t="shared" si="92"/>
        <v>0</v>
      </c>
      <c r="EB80" s="2000">
        <f t="shared" si="92"/>
        <v>0</v>
      </c>
      <c r="EC80" s="2000">
        <f t="shared" si="92"/>
        <v>0</v>
      </c>
      <c r="ED80" s="2000">
        <f t="shared" si="92"/>
        <v>0</v>
      </c>
      <c r="EE80" s="2000">
        <f t="shared" si="92"/>
        <v>0</v>
      </c>
      <c r="EF80" s="2000">
        <f t="shared" ref="EF80:GE80" si="93" xml:space="preserve">
IF(EF$25="休診日",EE80,
IF(EE80-VLOOKUP(EE$22&amp;$B78,$B$96:$D$191,2,FALSE)&lt;0,0,EE80-VLOOKUP(EE$22&amp;$B78,$B$96:$D$191,2,FALSE)))</f>
        <v>0</v>
      </c>
      <c r="EG80" s="2000">
        <f t="shared" si="93"/>
        <v>0</v>
      </c>
      <c r="EH80" s="2000">
        <f t="shared" si="93"/>
        <v>0</v>
      </c>
      <c r="EI80" s="2000">
        <f t="shared" si="93"/>
        <v>0</v>
      </c>
      <c r="EJ80" s="2000">
        <f t="shared" si="93"/>
        <v>0</v>
      </c>
      <c r="EK80" s="2000">
        <f t="shared" si="93"/>
        <v>0</v>
      </c>
      <c r="EL80" s="2000">
        <f t="shared" si="93"/>
        <v>0</v>
      </c>
      <c r="EM80" s="2000">
        <f t="shared" si="93"/>
        <v>0</v>
      </c>
      <c r="EN80" s="2000">
        <f t="shared" si="93"/>
        <v>0</v>
      </c>
      <c r="EO80" s="2000">
        <f t="shared" si="93"/>
        <v>0</v>
      </c>
      <c r="EP80" s="2000">
        <f t="shared" si="93"/>
        <v>0</v>
      </c>
      <c r="EQ80" s="2000">
        <f t="shared" si="93"/>
        <v>0</v>
      </c>
      <c r="ER80" s="2000">
        <f t="shared" si="93"/>
        <v>0</v>
      </c>
      <c r="ES80" s="2000">
        <f t="shared" si="93"/>
        <v>0</v>
      </c>
      <c r="ET80" s="2000">
        <f t="shared" si="93"/>
        <v>0</v>
      </c>
      <c r="EU80" s="2000">
        <f t="shared" si="93"/>
        <v>0</v>
      </c>
      <c r="EV80" s="2000">
        <f t="shared" si="93"/>
        <v>0</v>
      </c>
      <c r="EW80" s="2000">
        <f t="shared" si="93"/>
        <v>0</v>
      </c>
      <c r="EX80" s="2000">
        <f t="shared" si="93"/>
        <v>0</v>
      </c>
      <c r="EY80" s="2000">
        <f t="shared" si="93"/>
        <v>0</v>
      </c>
      <c r="EZ80" s="2000">
        <f t="shared" si="93"/>
        <v>0</v>
      </c>
      <c r="FA80" s="2000">
        <f t="shared" si="93"/>
        <v>0</v>
      </c>
      <c r="FB80" s="2000">
        <f t="shared" si="93"/>
        <v>0</v>
      </c>
      <c r="FC80" s="2000">
        <f t="shared" si="93"/>
        <v>0</v>
      </c>
      <c r="FD80" s="2000">
        <f t="shared" si="93"/>
        <v>0</v>
      </c>
      <c r="FE80" s="2000">
        <f t="shared" si="93"/>
        <v>0</v>
      </c>
      <c r="FF80" s="2000">
        <f t="shared" si="93"/>
        <v>0</v>
      </c>
      <c r="FG80" s="2000">
        <f t="shared" si="93"/>
        <v>0</v>
      </c>
      <c r="FH80" s="2000">
        <f t="shared" si="93"/>
        <v>0</v>
      </c>
      <c r="FI80" s="2000">
        <f t="shared" si="93"/>
        <v>0</v>
      </c>
      <c r="FJ80" s="2000">
        <f t="shared" si="93"/>
        <v>0</v>
      </c>
      <c r="FK80" s="2000">
        <f t="shared" si="93"/>
        <v>0</v>
      </c>
      <c r="FL80" s="2000">
        <f t="shared" si="93"/>
        <v>0</v>
      </c>
      <c r="FM80" s="2000">
        <f t="shared" si="93"/>
        <v>0</v>
      </c>
      <c r="FN80" s="2000">
        <f t="shared" si="93"/>
        <v>0</v>
      </c>
      <c r="FO80" s="2000">
        <f t="shared" si="93"/>
        <v>0</v>
      </c>
      <c r="FP80" s="2000">
        <f t="shared" si="93"/>
        <v>0</v>
      </c>
      <c r="FQ80" s="2000">
        <f t="shared" si="93"/>
        <v>0</v>
      </c>
      <c r="FR80" s="2000">
        <f t="shared" si="93"/>
        <v>0</v>
      </c>
      <c r="FS80" s="2000">
        <f t="shared" si="93"/>
        <v>0</v>
      </c>
      <c r="FT80" s="2000">
        <f t="shared" si="93"/>
        <v>0</v>
      </c>
      <c r="FU80" s="2000">
        <f t="shared" si="93"/>
        <v>0</v>
      </c>
      <c r="FV80" s="2000">
        <f t="shared" si="93"/>
        <v>0</v>
      </c>
      <c r="FW80" s="2000">
        <f t="shared" si="93"/>
        <v>0</v>
      </c>
      <c r="FX80" s="2000">
        <f t="shared" si="93"/>
        <v>0</v>
      </c>
      <c r="FY80" s="2000">
        <f t="shared" si="93"/>
        <v>0</v>
      </c>
      <c r="FZ80" s="2000">
        <f t="shared" si="93"/>
        <v>0</v>
      </c>
      <c r="GA80" s="2000">
        <f t="shared" si="93"/>
        <v>0</v>
      </c>
      <c r="GB80" s="2000">
        <f t="shared" si="93"/>
        <v>0</v>
      </c>
      <c r="GC80" s="2000">
        <f t="shared" si="93"/>
        <v>0</v>
      </c>
      <c r="GD80" s="2000">
        <f t="shared" si="93"/>
        <v>0</v>
      </c>
      <c r="GE80" s="2000">
        <f t="shared" si="93"/>
        <v>0</v>
      </c>
      <c r="GF80" s="2000">
        <f xml:space="preserve">
IF(GF$25="休診日",GE80,
IF(GE80-VLOOKUP(GE$22&amp;$B78,$B$96:$D$191,2,FALSE)&lt;0,0,GE80-VLOOKUP(GE$22&amp;$B78,$B$96:$D$191,2,FALSE)))</f>
        <v>0</v>
      </c>
    </row>
    <row r="81" spans="1:188" s="639" customFormat="1" ht="15" customHeight="1" x14ac:dyDescent="0.4">
      <c r="A81" s="631"/>
      <c r="B81" s="639" t="s">
        <v>1259</v>
      </c>
      <c r="C81" s="1995" t="s">
        <v>1386</v>
      </c>
      <c r="D81" s="1996"/>
      <c r="E81" s="640"/>
      <c r="F81" s="1998">
        <f xml:space="preserve">
IF($F$25="休診日",0,
MIN(F82,IF((VLOOKUP($F$22&amp;$B81,$B$96:$D$191,2,FALSE)-F83)&lt;0,0,VLOOKUP($F$22&amp;$B81,$B$96:$D$191,2,FALSE)-F83)))</f>
        <v>0</v>
      </c>
      <c r="G81" s="1998">
        <f xml:space="preserve">
IF(G$25="休診日",0,
IF(G83&gt;=VLOOKUP(G$22&amp;$B81,$B$96:$D$191,2,FALSE),0,
IF(AND(G83&lt;VLOOKUP(G$22&amp;$B81,$B$96:$D$191,2,FALSE),G82&lt;=VLOOKUP(G$22&amp;$B81,$B$96:$D$191,2,FALSE)),IF(G82-G83&lt;0,0,G82-G83),
IF(AND(G83&lt;VLOOKUP(G$22&amp;$B81,$B$96:$D$191,2,FALSE),G82&gt;VLOOKUP(G$22&amp;$B81,$B$96:$D$191,2,FALSE)),VLOOKUP(G$22&amp;$B81,$B$96:$D$191,2,FALSE)-G83))))</f>
        <v>0</v>
      </c>
      <c r="H81" s="1998">
        <f t="shared" ref="H81:BS81" si="94" xml:space="preserve">
IF(H$25="休診日",0,
IF(H83&gt;=VLOOKUP(H$22&amp;$B81,$B$96:$D$191,2,FALSE),0,
IF(AND(H83&lt;VLOOKUP(H$22&amp;$B81,$B$96:$D$191,2,FALSE),H82&lt;=VLOOKUP(H$22&amp;$B81,$B$96:$D$191,2,FALSE)),IF(H82-H83&lt;0,0,H82-H83),
IF(AND(H83&lt;VLOOKUP(H$22&amp;$B81,$B$96:$D$191,2,FALSE),H82&gt;VLOOKUP(H$22&amp;$B81,$B$96:$D$191,2,FALSE)),VLOOKUP(H$22&amp;$B81,$B$96:$D$191,2,FALSE)-H83))))</f>
        <v>0</v>
      </c>
      <c r="I81" s="1998">
        <f t="shared" si="94"/>
        <v>0</v>
      </c>
      <c r="J81" s="1998">
        <f t="shared" si="94"/>
        <v>0</v>
      </c>
      <c r="K81" s="1998">
        <f t="shared" si="94"/>
        <v>0</v>
      </c>
      <c r="L81" s="1998">
        <f t="shared" si="94"/>
        <v>0</v>
      </c>
      <c r="M81" s="1998">
        <f t="shared" si="94"/>
        <v>0</v>
      </c>
      <c r="N81" s="1998">
        <f t="shared" si="94"/>
        <v>0</v>
      </c>
      <c r="O81" s="1998">
        <f t="shared" si="94"/>
        <v>0</v>
      </c>
      <c r="P81" s="1998">
        <f t="shared" si="94"/>
        <v>0</v>
      </c>
      <c r="Q81" s="1998">
        <f t="shared" si="94"/>
        <v>0</v>
      </c>
      <c r="R81" s="1998">
        <f t="shared" si="94"/>
        <v>0</v>
      </c>
      <c r="S81" s="1998">
        <f t="shared" si="94"/>
        <v>0</v>
      </c>
      <c r="T81" s="1998">
        <f t="shared" si="94"/>
        <v>0</v>
      </c>
      <c r="U81" s="1998">
        <f t="shared" si="94"/>
        <v>0</v>
      </c>
      <c r="V81" s="1998">
        <f t="shared" si="94"/>
        <v>0</v>
      </c>
      <c r="W81" s="1998">
        <f t="shared" si="94"/>
        <v>0</v>
      </c>
      <c r="X81" s="1998">
        <f t="shared" si="94"/>
        <v>0</v>
      </c>
      <c r="Y81" s="1998">
        <f t="shared" si="94"/>
        <v>0</v>
      </c>
      <c r="Z81" s="1998">
        <f t="shared" si="94"/>
        <v>0</v>
      </c>
      <c r="AA81" s="1998">
        <f t="shared" si="94"/>
        <v>0</v>
      </c>
      <c r="AB81" s="1998">
        <f t="shared" si="94"/>
        <v>0</v>
      </c>
      <c r="AC81" s="1998">
        <f t="shared" si="94"/>
        <v>0</v>
      </c>
      <c r="AD81" s="1998">
        <f t="shared" si="94"/>
        <v>0</v>
      </c>
      <c r="AE81" s="1998">
        <f t="shared" si="94"/>
        <v>0</v>
      </c>
      <c r="AF81" s="1998">
        <f t="shared" si="94"/>
        <v>0</v>
      </c>
      <c r="AG81" s="1998">
        <f t="shared" si="94"/>
        <v>0</v>
      </c>
      <c r="AH81" s="1998">
        <f t="shared" si="94"/>
        <v>0</v>
      </c>
      <c r="AI81" s="1998">
        <f t="shared" si="94"/>
        <v>0</v>
      </c>
      <c r="AJ81" s="1998">
        <f t="shared" si="94"/>
        <v>0</v>
      </c>
      <c r="AK81" s="1998">
        <f t="shared" si="94"/>
        <v>0</v>
      </c>
      <c r="AL81" s="1998">
        <f t="shared" si="94"/>
        <v>0</v>
      </c>
      <c r="AM81" s="1998">
        <f t="shared" si="94"/>
        <v>0</v>
      </c>
      <c r="AN81" s="1998">
        <f t="shared" si="94"/>
        <v>0</v>
      </c>
      <c r="AO81" s="1998">
        <f t="shared" si="94"/>
        <v>0</v>
      </c>
      <c r="AP81" s="1998">
        <f t="shared" si="94"/>
        <v>0</v>
      </c>
      <c r="AQ81" s="1998">
        <f t="shared" si="94"/>
        <v>0</v>
      </c>
      <c r="AR81" s="1998">
        <f t="shared" si="94"/>
        <v>0</v>
      </c>
      <c r="AS81" s="1998">
        <f t="shared" si="94"/>
        <v>0</v>
      </c>
      <c r="AT81" s="1998">
        <f t="shared" si="94"/>
        <v>0</v>
      </c>
      <c r="AU81" s="1998">
        <f t="shared" si="94"/>
        <v>0</v>
      </c>
      <c r="AV81" s="1998">
        <f t="shared" si="94"/>
        <v>0</v>
      </c>
      <c r="AW81" s="1998">
        <f t="shared" si="94"/>
        <v>0</v>
      </c>
      <c r="AX81" s="1998">
        <f t="shared" si="94"/>
        <v>0</v>
      </c>
      <c r="AY81" s="1998">
        <f t="shared" si="94"/>
        <v>0</v>
      </c>
      <c r="AZ81" s="1998">
        <f t="shared" si="94"/>
        <v>0</v>
      </c>
      <c r="BA81" s="1998">
        <f t="shared" si="94"/>
        <v>0</v>
      </c>
      <c r="BB81" s="1998">
        <f t="shared" si="94"/>
        <v>0</v>
      </c>
      <c r="BC81" s="1998">
        <f t="shared" si="94"/>
        <v>0</v>
      </c>
      <c r="BD81" s="1998">
        <f t="shared" si="94"/>
        <v>0</v>
      </c>
      <c r="BE81" s="1998">
        <f t="shared" si="94"/>
        <v>0</v>
      </c>
      <c r="BF81" s="1998">
        <f t="shared" si="94"/>
        <v>0</v>
      </c>
      <c r="BG81" s="1998">
        <f t="shared" si="94"/>
        <v>0</v>
      </c>
      <c r="BH81" s="1998">
        <f t="shared" si="94"/>
        <v>0</v>
      </c>
      <c r="BI81" s="1998">
        <f t="shared" si="94"/>
        <v>0</v>
      </c>
      <c r="BJ81" s="1998">
        <f t="shared" si="94"/>
        <v>0</v>
      </c>
      <c r="BK81" s="1998">
        <f t="shared" si="94"/>
        <v>0</v>
      </c>
      <c r="BL81" s="1998">
        <f t="shared" si="94"/>
        <v>0</v>
      </c>
      <c r="BM81" s="1998">
        <f t="shared" si="94"/>
        <v>0</v>
      </c>
      <c r="BN81" s="1998">
        <f t="shared" si="94"/>
        <v>0</v>
      </c>
      <c r="BO81" s="1998">
        <f t="shared" si="94"/>
        <v>0</v>
      </c>
      <c r="BP81" s="1998">
        <f t="shared" si="94"/>
        <v>0</v>
      </c>
      <c r="BQ81" s="1998">
        <f t="shared" si="94"/>
        <v>0</v>
      </c>
      <c r="BR81" s="1998">
        <f t="shared" si="94"/>
        <v>0</v>
      </c>
      <c r="BS81" s="1998">
        <f t="shared" si="94"/>
        <v>0</v>
      </c>
      <c r="BT81" s="1998">
        <f t="shared" ref="BT81:EE81" si="95" xml:space="preserve">
IF(BT$25="休診日",0,
IF(BT83&gt;=VLOOKUP(BT$22&amp;$B81,$B$96:$D$191,2,FALSE),0,
IF(AND(BT83&lt;VLOOKUP(BT$22&amp;$B81,$B$96:$D$191,2,FALSE),BT82&lt;=VLOOKUP(BT$22&amp;$B81,$B$96:$D$191,2,FALSE)),IF(BT82-BT83&lt;0,0,BT82-BT83),
IF(AND(BT83&lt;VLOOKUP(BT$22&amp;$B81,$B$96:$D$191,2,FALSE),BT82&gt;VLOOKUP(BT$22&amp;$B81,$B$96:$D$191,2,FALSE)),VLOOKUP(BT$22&amp;$B81,$B$96:$D$191,2,FALSE)-BT83))))</f>
        <v>0</v>
      </c>
      <c r="BU81" s="1998">
        <f t="shared" si="95"/>
        <v>0</v>
      </c>
      <c r="BV81" s="1998">
        <f t="shared" si="95"/>
        <v>0</v>
      </c>
      <c r="BW81" s="1998">
        <f t="shared" si="95"/>
        <v>0</v>
      </c>
      <c r="BX81" s="1998">
        <f t="shared" si="95"/>
        <v>0</v>
      </c>
      <c r="BY81" s="1998">
        <f t="shared" si="95"/>
        <v>0</v>
      </c>
      <c r="BZ81" s="1998">
        <f t="shared" si="95"/>
        <v>0</v>
      </c>
      <c r="CA81" s="1998">
        <f t="shared" si="95"/>
        <v>0</v>
      </c>
      <c r="CB81" s="1998">
        <f t="shared" si="95"/>
        <v>0</v>
      </c>
      <c r="CC81" s="1998">
        <f t="shared" si="95"/>
        <v>0</v>
      </c>
      <c r="CD81" s="1998">
        <f t="shared" si="95"/>
        <v>0</v>
      </c>
      <c r="CE81" s="1998">
        <f t="shared" si="95"/>
        <v>0</v>
      </c>
      <c r="CF81" s="1998">
        <f t="shared" si="95"/>
        <v>0</v>
      </c>
      <c r="CG81" s="1998">
        <f t="shared" si="95"/>
        <v>0</v>
      </c>
      <c r="CH81" s="1998">
        <f t="shared" si="95"/>
        <v>0</v>
      </c>
      <c r="CI81" s="1998">
        <f t="shared" si="95"/>
        <v>0</v>
      </c>
      <c r="CJ81" s="1998">
        <f t="shared" si="95"/>
        <v>0</v>
      </c>
      <c r="CK81" s="1998">
        <f t="shared" si="95"/>
        <v>0</v>
      </c>
      <c r="CL81" s="1998">
        <f t="shared" si="95"/>
        <v>0</v>
      </c>
      <c r="CM81" s="1998">
        <f t="shared" si="95"/>
        <v>0</v>
      </c>
      <c r="CN81" s="1998">
        <f t="shared" si="95"/>
        <v>0</v>
      </c>
      <c r="CO81" s="1998">
        <f t="shared" si="95"/>
        <v>0</v>
      </c>
      <c r="CP81" s="1998">
        <f t="shared" si="95"/>
        <v>0</v>
      </c>
      <c r="CQ81" s="1998">
        <f t="shared" si="95"/>
        <v>0</v>
      </c>
      <c r="CR81" s="1998">
        <f t="shared" si="95"/>
        <v>0</v>
      </c>
      <c r="CS81" s="1998">
        <f t="shared" si="95"/>
        <v>0</v>
      </c>
      <c r="CT81" s="1998">
        <f t="shared" si="95"/>
        <v>0</v>
      </c>
      <c r="CU81" s="1998">
        <f t="shared" si="95"/>
        <v>0</v>
      </c>
      <c r="CV81" s="1998">
        <f t="shared" si="95"/>
        <v>0</v>
      </c>
      <c r="CW81" s="1998">
        <f t="shared" si="95"/>
        <v>0</v>
      </c>
      <c r="CX81" s="1998">
        <f t="shared" si="95"/>
        <v>0</v>
      </c>
      <c r="CY81" s="1998">
        <f t="shared" si="95"/>
        <v>0</v>
      </c>
      <c r="CZ81" s="1998">
        <f t="shared" si="95"/>
        <v>0</v>
      </c>
      <c r="DA81" s="1998">
        <f t="shared" si="95"/>
        <v>0</v>
      </c>
      <c r="DB81" s="1998">
        <f t="shared" si="95"/>
        <v>0</v>
      </c>
      <c r="DC81" s="1998">
        <f t="shared" si="95"/>
        <v>0</v>
      </c>
      <c r="DD81" s="1998">
        <f t="shared" si="95"/>
        <v>0</v>
      </c>
      <c r="DE81" s="1998">
        <f t="shared" si="95"/>
        <v>0</v>
      </c>
      <c r="DF81" s="1998">
        <f t="shared" si="95"/>
        <v>0</v>
      </c>
      <c r="DG81" s="1998">
        <f t="shared" si="95"/>
        <v>0</v>
      </c>
      <c r="DH81" s="1998">
        <f t="shared" si="95"/>
        <v>0</v>
      </c>
      <c r="DI81" s="1998">
        <f t="shared" si="95"/>
        <v>0</v>
      </c>
      <c r="DJ81" s="1998">
        <f t="shared" si="95"/>
        <v>0</v>
      </c>
      <c r="DK81" s="1998">
        <f t="shared" si="95"/>
        <v>0</v>
      </c>
      <c r="DL81" s="1998">
        <f t="shared" si="95"/>
        <v>0</v>
      </c>
      <c r="DM81" s="1998">
        <f t="shared" si="95"/>
        <v>0</v>
      </c>
      <c r="DN81" s="1998">
        <f t="shared" si="95"/>
        <v>0</v>
      </c>
      <c r="DO81" s="1998">
        <f t="shared" si="95"/>
        <v>0</v>
      </c>
      <c r="DP81" s="1998">
        <f t="shared" si="95"/>
        <v>0</v>
      </c>
      <c r="DQ81" s="1998">
        <f t="shared" si="95"/>
        <v>0</v>
      </c>
      <c r="DR81" s="1998">
        <f t="shared" si="95"/>
        <v>0</v>
      </c>
      <c r="DS81" s="1998">
        <f t="shared" si="95"/>
        <v>0</v>
      </c>
      <c r="DT81" s="1998">
        <f t="shared" si="95"/>
        <v>0</v>
      </c>
      <c r="DU81" s="1998">
        <f t="shared" si="95"/>
        <v>0</v>
      </c>
      <c r="DV81" s="1998">
        <f t="shared" si="95"/>
        <v>0</v>
      </c>
      <c r="DW81" s="1998">
        <f t="shared" si="95"/>
        <v>0</v>
      </c>
      <c r="DX81" s="1998">
        <f t="shared" si="95"/>
        <v>0</v>
      </c>
      <c r="DY81" s="1998">
        <f t="shared" si="95"/>
        <v>0</v>
      </c>
      <c r="DZ81" s="1998">
        <f t="shared" si="95"/>
        <v>0</v>
      </c>
      <c r="EA81" s="1998">
        <f t="shared" si="95"/>
        <v>0</v>
      </c>
      <c r="EB81" s="1998">
        <f t="shared" si="95"/>
        <v>0</v>
      </c>
      <c r="EC81" s="1998">
        <f t="shared" si="95"/>
        <v>0</v>
      </c>
      <c r="ED81" s="1998">
        <f t="shared" si="95"/>
        <v>0</v>
      </c>
      <c r="EE81" s="1998">
        <f t="shared" si="95"/>
        <v>0</v>
      </c>
      <c r="EF81" s="1998">
        <f t="shared" ref="EF81:GE81" si="96" xml:space="preserve">
IF(EF$25="休診日",0,
IF(EF83&gt;=VLOOKUP(EF$22&amp;$B81,$B$96:$D$191,2,FALSE),0,
IF(AND(EF83&lt;VLOOKUP(EF$22&amp;$B81,$B$96:$D$191,2,FALSE),EF82&lt;=VLOOKUP(EF$22&amp;$B81,$B$96:$D$191,2,FALSE)),IF(EF82-EF83&lt;0,0,EF82-EF83),
IF(AND(EF83&lt;VLOOKUP(EF$22&amp;$B81,$B$96:$D$191,2,FALSE),EF82&gt;VLOOKUP(EF$22&amp;$B81,$B$96:$D$191,2,FALSE)),VLOOKUP(EF$22&amp;$B81,$B$96:$D$191,2,FALSE)-EF83))))</f>
        <v>0</v>
      </c>
      <c r="EG81" s="1998">
        <f t="shared" si="96"/>
        <v>0</v>
      </c>
      <c r="EH81" s="1998">
        <f t="shared" si="96"/>
        <v>0</v>
      </c>
      <c r="EI81" s="1998">
        <f t="shared" si="96"/>
        <v>0</v>
      </c>
      <c r="EJ81" s="1998">
        <f t="shared" si="96"/>
        <v>0</v>
      </c>
      <c r="EK81" s="1998">
        <f t="shared" si="96"/>
        <v>0</v>
      </c>
      <c r="EL81" s="1998">
        <f t="shared" si="96"/>
        <v>0</v>
      </c>
      <c r="EM81" s="1998">
        <f t="shared" si="96"/>
        <v>0</v>
      </c>
      <c r="EN81" s="1998">
        <f t="shared" si="96"/>
        <v>0</v>
      </c>
      <c r="EO81" s="1998">
        <f t="shared" si="96"/>
        <v>0</v>
      </c>
      <c r="EP81" s="1998">
        <f t="shared" si="96"/>
        <v>0</v>
      </c>
      <c r="EQ81" s="1998">
        <f t="shared" si="96"/>
        <v>0</v>
      </c>
      <c r="ER81" s="1998">
        <f t="shared" si="96"/>
        <v>0</v>
      </c>
      <c r="ES81" s="1998">
        <f t="shared" si="96"/>
        <v>0</v>
      </c>
      <c r="ET81" s="1998">
        <f t="shared" si="96"/>
        <v>0</v>
      </c>
      <c r="EU81" s="1998">
        <f t="shared" si="96"/>
        <v>0</v>
      </c>
      <c r="EV81" s="1998">
        <f t="shared" si="96"/>
        <v>0</v>
      </c>
      <c r="EW81" s="1998">
        <f t="shared" si="96"/>
        <v>0</v>
      </c>
      <c r="EX81" s="1998">
        <f t="shared" si="96"/>
        <v>0</v>
      </c>
      <c r="EY81" s="1998">
        <f t="shared" si="96"/>
        <v>0</v>
      </c>
      <c r="EZ81" s="1998">
        <f t="shared" si="96"/>
        <v>0</v>
      </c>
      <c r="FA81" s="1998">
        <f t="shared" si="96"/>
        <v>0</v>
      </c>
      <c r="FB81" s="1998">
        <f t="shared" si="96"/>
        <v>0</v>
      </c>
      <c r="FC81" s="1998">
        <f t="shared" si="96"/>
        <v>0</v>
      </c>
      <c r="FD81" s="1998">
        <f t="shared" si="96"/>
        <v>0</v>
      </c>
      <c r="FE81" s="1998">
        <f t="shared" si="96"/>
        <v>0</v>
      </c>
      <c r="FF81" s="1998">
        <f t="shared" si="96"/>
        <v>0</v>
      </c>
      <c r="FG81" s="1998">
        <f t="shared" si="96"/>
        <v>0</v>
      </c>
      <c r="FH81" s="1998">
        <f t="shared" si="96"/>
        <v>0</v>
      </c>
      <c r="FI81" s="1998">
        <f t="shared" si="96"/>
        <v>0</v>
      </c>
      <c r="FJ81" s="1998">
        <f t="shared" si="96"/>
        <v>0</v>
      </c>
      <c r="FK81" s="1998">
        <f t="shared" si="96"/>
        <v>0</v>
      </c>
      <c r="FL81" s="1998">
        <f t="shared" si="96"/>
        <v>0</v>
      </c>
      <c r="FM81" s="1998">
        <f t="shared" si="96"/>
        <v>0</v>
      </c>
      <c r="FN81" s="1998">
        <f t="shared" si="96"/>
        <v>0</v>
      </c>
      <c r="FO81" s="1998">
        <f t="shared" si="96"/>
        <v>0</v>
      </c>
      <c r="FP81" s="1998">
        <f t="shared" si="96"/>
        <v>0</v>
      </c>
      <c r="FQ81" s="1998">
        <f t="shared" si="96"/>
        <v>0</v>
      </c>
      <c r="FR81" s="1998">
        <f t="shared" si="96"/>
        <v>0</v>
      </c>
      <c r="FS81" s="1998">
        <f t="shared" si="96"/>
        <v>0</v>
      </c>
      <c r="FT81" s="1998">
        <f t="shared" si="96"/>
        <v>0</v>
      </c>
      <c r="FU81" s="1998">
        <f t="shared" si="96"/>
        <v>0</v>
      </c>
      <c r="FV81" s="1998">
        <f t="shared" si="96"/>
        <v>0</v>
      </c>
      <c r="FW81" s="1998">
        <f t="shared" si="96"/>
        <v>0</v>
      </c>
      <c r="FX81" s="1998">
        <f t="shared" si="96"/>
        <v>0</v>
      </c>
      <c r="FY81" s="1998">
        <f t="shared" si="96"/>
        <v>0</v>
      </c>
      <c r="FZ81" s="1998">
        <f t="shared" si="96"/>
        <v>0</v>
      </c>
      <c r="GA81" s="1998">
        <f t="shared" si="96"/>
        <v>0</v>
      </c>
      <c r="GB81" s="1998">
        <f t="shared" si="96"/>
        <v>0</v>
      </c>
      <c r="GC81" s="1998">
        <f t="shared" si="96"/>
        <v>0</v>
      </c>
      <c r="GD81" s="1998">
        <f t="shared" si="96"/>
        <v>0</v>
      </c>
      <c r="GE81" s="1998">
        <f t="shared" si="96"/>
        <v>0</v>
      </c>
      <c r="GF81" s="1998">
        <f xml:space="preserve">
IF(GF$25="休診日",0,
IF(GF83&gt;=VLOOKUP(GF$22&amp;$B81,$B$96:$D$191,2,FALSE),0,
IF(AND(GF83&lt;VLOOKUP(GF$22&amp;$B81,$B$96:$D$191,2,FALSE),GF82&lt;=VLOOKUP(GF$22&amp;$B81,$B$96:$D$191,2,FALSE)),IF(GF82-GF83&lt;0,0,GF82-GF83),
IF(AND(GF83&lt;VLOOKUP(GF$22&amp;$B81,$B$96:$D$191,2,FALSE),GF82&gt;VLOOKUP(GF$22&amp;$B81,$B$96:$D$191,2,FALSE)),VLOOKUP(GF$22&amp;$B81,$B$96:$D$191,2,FALSE)-GF83))))</f>
        <v>0</v>
      </c>
    </row>
    <row r="82" spans="1:188" s="639" customFormat="1" ht="15" customHeight="1" x14ac:dyDescent="0.4">
      <c r="A82" s="631"/>
      <c r="B82" s="639" t="s">
        <v>1265</v>
      </c>
      <c r="C82" s="1995" t="s">
        <v>1387</v>
      </c>
      <c r="D82" s="1996"/>
      <c r="E82" s="640"/>
      <c r="F82" s="1998">
        <f>SUMIF(防護具!$B$31:$B$163,F$23&amp;$B81,防護具!$S$31:$S$163)</f>
        <v>0</v>
      </c>
      <c r="G82" s="2000">
        <f>IFERROR(
SUM(F82,SUMIF(防護具!$B$31:$B$163,G$23&amp;$B81,防護具!$S$31:$S$163))-F81,0)</f>
        <v>0</v>
      </c>
      <c r="H82" s="2000">
        <f>IFERROR(
SUM(G82,SUMIF(防護具!$B$31:$B$163,H$23&amp;$B81,防護具!$S$31:$S$163))-G81,0)</f>
        <v>0</v>
      </c>
      <c r="I82" s="2000">
        <f>IFERROR(
SUM(H82,SUMIF(防護具!$B$31:$B$163,I$23&amp;$B81,防護具!$S$31:$S$163))-H81,0)</f>
        <v>0</v>
      </c>
      <c r="J82" s="2000">
        <f>IFERROR(
SUM(I82,SUMIF(防護具!$B$31:$B$163,J$23&amp;$B81,防護具!$S$31:$S$163))-I81,0)</f>
        <v>0</v>
      </c>
      <c r="K82" s="2000">
        <f>IFERROR(
SUM(J82,SUMIF(防護具!$B$31:$B$163,K$23&amp;$B81,防護具!$S$31:$S$163))-J81,0)</f>
        <v>0</v>
      </c>
      <c r="L82" s="2000">
        <f>IFERROR(
SUM(K82,SUMIF(防護具!$B$31:$B$163,L$23&amp;$B81,防護具!$S$31:$S$163))-K81,0)</f>
        <v>0</v>
      </c>
      <c r="M82" s="2000">
        <f>IFERROR(
SUM(L82,SUMIF(防護具!$B$31:$B$163,M$23&amp;$B81,防護具!$S$31:$S$163))-L81,0)</f>
        <v>0</v>
      </c>
      <c r="N82" s="2000">
        <f>IFERROR(
SUM(M82,SUMIF(防護具!$B$31:$B$163,N$23&amp;$B81,防護具!$S$31:$S$163))-M81,0)</f>
        <v>0</v>
      </c>
      <c r="O82" s="2000">
        <f>IFERROR(
SUM(N82,SUMIF(防護具!$B$31:$B$163,O$23&amp;$B81,防護具!$S$31:$S$163))-N81,0)</f>
        <v>0</v>
      </c>
      <c r="P82" s="2000">
        <f>IFERROR(
SUM(O82,SUMIF(防護具!$B$31:$B$163,P$23&amp;$B81,防護具!$S$31:$S$163))-O81,0)</f>
        <v>0</v>
      </c>
      <c r="Q82" s="2000">
        <f>IFERROR(
SUM(P82,SUMIF(防護具!$B$31:$B$163,Q$23&amp;$B81,防護具!$S$31:$S$163))-P81,0)</f>
        <v>0</v>
      </c>
      <c r="R82" s="2000">
        <f>IFERROR(
SUM(Q82,SUMIF(防護具!$B$31:$B$163,R$23&amp;$B81,防護具!$S$31:$S$163))-Q81,0)</f>
        <v>0</v>
      </c>
      <c r="S82" s="2000">
        <f>IFERROR(
SUM(R82,SUMIF(防護具!$B$31:$B$163,S$23&amp;$B81,防護具!$S$31:$S$163))-R81,0)</f>
        <v>0</v>
      </c>
      <c r="T82" s="2000">
        <f>IFERROR(
SUM(S82,SUMIF(防護具!$B$31:$B$163,T$23&amp;$B81,防護具!$S$31:$S$163))-S81,0)</f>
        <v>0</v>
      </c>
      <c r="U82" s="2000">
        <f>IFERROR(
SUM(T82,SUMIF(防護具!$B$31:$B$163,U$23&amp;$B81,防護具!$S$31:$S$163))-T81,0)</f>
        <v>0</v>
      </c>
      <c r="V82" s="2000">
        <f>IFERROR(
SUM(U82,SUMIF(防護具!$B$31:$B$163,V$23&amp;$B81,防護具!$S$31:$S$163))-U81,0)</f>
        <v>0</v>
      </c>
      <c r="W82" s="2000">
        <f>IFERROR(
SUM(V82,SUMIF(防護具!$B$31:$B$163,W$23&amp;$B81,防護具!$S$31:$S$163))-V81,0)</f>
        <v>0</v>
      </c>
      <c r="X82" s="2000">
        <f>IFERROR(
SUM(W82,SUMIF(防護具!$B$31:$B$163,X$23&amp;$B81,防護具!$S$31:$S$163))-W81,0)</f>
        <v>0</v>
      </c>
      <c r="Y82" s="2000">
        <f>IFERROR(
SUM(X82,SUMIF(防護具!$B$31:$B$163,Y$23&amp;$B81,防護具!$S$31:$S$163))-X81,0)</f>
        <v>0</v>
      </c>
      <c r="Z82" s="2000">
        <f>IFERROR(
SUM(Y82,SUMIF(防護具!$B$31:$B$163,Z$23&amp;$B81,防護具!$S$31:$S$163))-Y81,0)</f>
        <v>0</v>
      </c>
      <c r="AA82" s="2000">
        <f>IFERROR(
SUM(Z82,SUMIF(防護具!$B$31:$B$163,AA$23&amp;$B81,防護具!$S$31:$S$163))-Z81,0)</f>
        <v>0</v>
      </c>
      <c r="AB82" s="2000">
        <f>IFERROR(
SUM(AA82,SUMIF(防護具!$B$31:$B$163,AB$23&amp;$B81,防護具!$S$31:$S$163))-AA81,0)</f>
        <v>0</v>
      </c>
      <c r="AC82" s="2000">
        <f>IFERROR(
SUM(AB82,SUMIF(防護具!$B$31:$B$163,AC$23&amp;$B81,防護具!$S$31:$S$163))-AB81,0)</f>
        <v>0</v>
      </c>
      <c r="AD82" s="2000">
        <f>IFERROR(
SUM(AC82,SUMIF(防護具!$B$31:$B$163,AD$23&amp;$B81,防護具!$S$31:$S$163))-AC81,0)</f>
        <v>0</v>
      </c>
      <c r="AE82" s="2000">
        <f>IFERROR(
SUM(AD82,SUMIF(防護具!$B$31:$B$163,AE$23&amp;$B81,防護具!$S$31:$S$163))-AD81,0)</f>
        <v>0</v>
      </c>
      <c r="AF82" s="2000">
        <f>IFERROR(
SUM(AE82,SUMIF(防護具!$B$31:$B$163,AF$23&amp;$B81,防護具!$S$31:$S$163))-AE81,0)</f>
        <v>0</v>
      </c>
      <c r="AG82" s="2000">
        <f>IFERROR(
SUM(AF82,SUMIF(防護具!$B$31:$B$163,AG$23&amp;$B81,防護具!$S$31:$S$163))-AF81,0)</f>
        <v>0</v>
      </c>
      <c r="AH82" s="2000">
        <f>IFERROR(
SUM(AG82,SUMIF(防護具!$B$31:$B$163,AH$23&amp;$B81,防護具!$S$31:$S$163))-AG81,0)</f>
        <v>0</v>
      </c>
      <c r="AI82" s="2000">
        <f>IFERROR(
SUM(AH82,SUMIF(防護具!$B$31:$B$163,AI$23&amp;$B81,防護具!$S$31:$S$163))-AH81,0)</f>
        <v>0</v>
      </c>
      <c r="AJ82" s="2000">
        <f>IFERROR(
SUM(AI82,SUMIF(防護具!$B$31:$B$163,AJ$23&amp;$B81,防護具!$S$31:$S$163))-AI81,0)</f>
        <v>0</v>
      </c>
      <c r="AK82" s="2000">
        <f>IFERROR(
SUM(AJ82,SUMIF(防護具!$B$31:$B$163,AK$23&amp;$B81,防護具!$S$31:$S$163))-AJ81,0)</f>
        <v>0</v>
      </c>
      <c r="AL82" s="2000">
        <f>IFERROR(
SUM(AK82,SUMIF(防護具!$B$31:$B$163,AL$23&amp;$B81,防護具!$S$31:$S$163))-AK81,0)</f>
        <v>0</v>
      </c>
      <c r="AM82" s="2000">
        <f>IFERROR(
SUM(AL82,SUMIF(防護具!$B$31:$B$163,AM$23&amp;$B81,防護具!$S$31:$S$163))-AL81,0)</f>
        <v>0</v>
      </c>
      <c r="AN82" s="2000">
        <f>IFERROR(
SUM(AM82,SUMIF(防護具!$B$31:$B$163,AN$23&amp;$B81,防護具!$S$31:$S$163))-AM81,0)</f>
        <v>0</v>
      </c>
      <c r="AO82" s="2000">
        <f>IFERROR(
SUM(AN82,SUMIF(防護具!$B$31:$B$163,AO$23&amp;$B81,防護具!$S$31:$S$163))-AN81,0)</f>
        <v>0</v>
      </c>
      <c r="AP82" s="2000">
        <f>IFERROR(
SUM(AO82,SUMIF(防護具!$B$31:$B$163,AP$23&amp;$B81,防護具!$S$31:$S$163))-AO81,0)</f>
        <v>0</v>
      </c>
      <c r="AQ82" s="2000">
        <f>IFERROR(
SUM(AP82,SUMIF(防護具!$B$31:$B$163,AQ$23&amp;$B81,防護具!$S$31:$S$163))-AP81,0)</f>
        <v>0</v>
      </c>
      <c r="AR82" s="2000">
        <f>IFERROR(
SUM(AQ82,SUMIF(防護具!$B$31:$B$163,AR$23&amp;$B81,防護具!$S$31:$S$163))-AQ81,0)</f>
        <v>0</v>
      </c>
      <c r="AS82" s="2000">
        <f>IFERROR(
SUM(AR82,SUMIF(防護具!$B$31:$B$163,AS$23&amp;$B81,防護具!$S$31:$S$163))-AR81,0)</f>
        <v>0</v>
      </c>
      <c r="AT82" s="2000">
        <f>IFERROR(
SUM(AS82,SUMIF(防護具!$B$31:$B$163,AT$23&amp;$B81,防護具!$S$31:$S$163))-AS81,0)</f>
        <v>0</v>
      </c>
      <c r="AU82" s="2000">
        <f>IFERROR(
SUM(AT82,SUMIF(防護具!$B$31:$B$163,AU$23&amp;$B81,防護具!$S$31:$S$163))-AT81,0)</f>
        <v>0</v>
      </c>
      <c r="AV82" s="2000">
        <f>IFERROR(
SUM(AU82,SUMIF(防護具!$B$31:$B$163,AV$23&amp;$B81,防護具!$S$31:$S$163))-AU81,0)</f>
        <v>0</v>
      </c>
      <c r="AW82" s="2000">
        <f>IFERROR(
SUM(AV82,SUMIF(防護具!$B$31:$B$163,AW$23&amp;$B81,防護具!$S$31:$S$163))-AV81,0)</f>
        <v>0</v>
      </c>
      <c r="AX82" s="2000">
        <f>IFERROR(
SUM(AW82,SUMIF(防護具!$B$31:$B$163,AX$23&amp;$B81,防護具!$S$31:$S$163))-AW81,0)</f>
        <v>0</v>
      </c>
      <c r="AY82" s="2000">
        <f>IFERROR(
SUM(AX82,SUMIF(防護具!$B$31:$B$163,AY$23&amp;$B81,防護具!$S$31:$S$163))-AX81,0)</f>
        <v>0</v>
      </c>
      <c r="AZ82" s="2000">
        <f>IFERROR(
SUM(AY82,SUMIF(防護具!$B$31:$B$163,AZ$23&amp;$B81,防護具!$S$31:$S$163))-AY81,0)</f>
        <v>0</v>
      </c>
      <c r="BA82" s="2000">
        <f>IFERROR(
SUM(AZ82,SUMIF(防護具!$B$31:$B$163,BA$23&amp;$B81,防護具!$S$31:$S$163))-AZ81,0)</f>
        <v>0</v>
      </c>
      <c r="BB82" s="2000">
        <f>IFERROR(
SUM(BA82,SUMIF(防護具!$B$31:$B$163,BB$23&amp;$B81,防護具!$S$31:$S$163))-BA81,0)</f>
        <v>0</v>
      </c>
      <c r="BC82" s="2000">
        <f>IFERROR(
SUM(BB82,SUMIF(防護具!$B$31:$B$163,BC$23&amp;$B81,防護具!$S$31:$S$163))-BB81,0)</f>
        <v>0</v>
      </c>
      <c r="BD82" s="2000">
        <f>IFERROR(
SUM(BC82,SUMIF(防護具!$B$31:$B$163,BD$23&amp;$B81,防護具!$S$31:$S$163))-BC81,0)</f>
        <v>0</v>
      </c>
      <c r="BE82" s="2000">
        <f>IFERROR(
SUM(BD82,SUMIF(防護具!$B$31:$B$163,BE$23&amp;$B81,防護具!$S$31:$S$163))-BD81,0)</f>
        <v>0</v>
      </c>
      <c r="BF82" s="2000">
        <f>IFERROR(
SUM(BE82,SUMIF(防護具!$B$31:$B$163,BF$23&amp;$B81,防護具!$S$31:$S$163))-BE81,0)</f>
        <v>0</v>
      </c>
      <c r="BG82" s="2000">
        <f>IFERROR(
SUM(BF82,SUMIF(防護具!$B$31:$B$163,BG$23&amp;$B81,防護具!$S$31:$S$163))-BF81,0)</f>
        <v>0</v>
      </c>
      <c r="BH82" s="2000">
        <f>IFERROR(
SUM(BG82,SUMIF(防護具!$B$31:$B$163,BH$23&amp;$B81,防護具!$S$31:$S$163))-BG81,0)</f>
        <v>0</v>
      </c>
      <c r="BI82" s="2000">
        <f>IFERROR(
SUM(BH82,SUMIF(防護具!$B$31:$B$163,BI$23&amp;$B81,防護具!$S$31:$S$163))-BH81,0)</f>
        <v>0</v>
      </c>
      <c r="BJ82" s="2000">
        <f>IFERROR(
SUM(BI82,SUMIF(防護具!$B$31:$B$163,BJ$23&amp;$B81,防護具!$S$31:$S$163))-BI81,0)</f>
        <v>0</v>
      </c>
      <c r="BK82" s="2000">
        <f>IFERROR(
SUM(BJ82,SUMIF(防護具!$B$31:$B$163,BK$23&amp;$B81,防護具!$S$31:$S$163))-BJ81,0)</f>
        <v>0</v>
      </c>
      <c r="BL82" s="2000">
        <f>IFERROR(
SUM(BK82,SUMIF(防護具!$B$31:$B$163,BL$23&amp;$B81,防護具!$S$31:$S$163))-BK81,0)</f>
        <v>0</v>
      </c>
      <c r="BM82" s="2000">
        <f>IFERROR(
SUM(BL82,SUMIF(防護具!$B$31:$B$163,BM$23&amp;$B81,防護具!$S$31:$S$163))-BL81,0)</f>
        <v>0</v>
      </c>
      <c r="BN82" s="2000">
        <f>IFERROR(
SUM(BM82,SUMIF(防護具!$B$31:$B$163,BN$23&amp;$B81,防護具!$S$31:$S$163))-BM81,0)</f>
        <v>0</v>
      </c>
      <c r="BO82" s="2000">
        <f>IFERROR(
SUM(BN82,SUMIF(防護具!$B$31:$B$163,BO$23&amp;$B81,防護具!$S$31:$S$163))-BN81,0)</f>
        <v>0</v>
      </c>
      <c r="BP82" s="2000">
        <f>IFERROR(
SUM(BO82,SUMIF(防護具!$B$31:$B$163,BP$23&amp;$B81,防護具!$S$31:$S$163))-BO81,0)</f>
        <v>0</v>
      </c>
      <c r="BQ82" s="2000">
        <f>IFERROR(
SUM(BP82,SUMIF(防護具!$B$31:$B$163,BQ$23&amp;$B81,防護具!$S$31:$S$163))-BP81,0)</f>
        <v>0</v>
      </c>
      <c r="BR82" s="2000">
        <f>IFERROR(
SUM(BQ82,SUMIF(防護具!$B$31:$B$163,BR$23&amp;$B81,防護具!$S$31:$S$163))-BQ81,0)</f>
        <v>0</v>
      </c>
      <c r="BS82" s="2000">
        <f>IFERROR(
SUM(BR82,SUMIF(防護具!$B$31:$B$163,BS$23&amp;$B81,防護具!$S$31:$S$163))-BR81,0)</f>
        <v>0</v>
      </c>
      <c r="BT82" s="2000">
        <f>IFERROR(
SUM(BS82,SUMIF(防護具!$B$31:$B$163,BT$23&amp;$B81,防護具!$S$31:$S$163))-BS81,0)</f>
        <v>0</v>
      </c>
      <c r="BU82" s="2000">
        <f>IFERROR(
SUM(BT82,SUMIF(防護具!$B$31:$B$163,BU$23&amp;$B81,防護具!$S$31:$S$163))-BT81,0)</f>
        <v>0</v>
      </c>
      <c r="BV82" s="2000">
        <f>IFERROR(
SUM(BU82,SUMIF(防護具!$B$31:$B$163,BV$23&amp;$B81,防護具!$S$31:$S$163))-BU81,0)</f>
        <v>0</v>
      </c>
      <c r="BW82" s="2000">
        <f>IFERROR(
SUM(BV82,SUMIF(防護具!$B$31:$B$163,BW$23&amp;$B81,防護具!$S$31:$S$163))-BV81,0)</f>
        <v>0</v>
      </c>
      <c r="BX82" s="2000">
        <f>IFERROR(
SUM(BW82,SUMIF(防護具!$B$31:$B$163,BX$23&amp;$B81,防護具!$S$31:$S$163))-BW81,0)</f>
        <v>0</v>
      </c>
      <c r="BY82" s="2000">
        <f>IFERROR(
SUM(BX82,SUMIF(防護具!$B$31:$B$163,BY$23&amp;$B81,防護具!$S$31:$S$163))-BX81,0)</f>
        <v>0</v>
      </c>
      <c r="BZ82" s="2000">
        <f>IFERROR(
SUM(BY82,SUMIF(防護具!$B$31:$B$163,BZ$23&amp;$B81,防護具!$S$31:$S$163))-BY81,0)</f>
        <v>0</v>
      </c>
      <c r="CA82" s="2000">
        <f>IFERROR(
SUM(BZ82,SUMIF(防護具!$B$31:$B$163,CA$23&amp;$B81,防護具!$S$31:$S$163))-BZ81,0)</f>
        <v>0</v>
      </c>
      <c r="CB82" s="2000">
        <f>IFERROR(
SUM(CA82,SUMIF(防護具!$B$31:$B$163,CB$23&amp;$B81,防護具!$S$31:$S$163))-CA81,0)</f>
        <v>0</v>
      </c>
      <c r="CC82" s="2000">
        <f>IFERROR(
SUM(CB82,SUMIF(防護具!$B$31:$B$163,CC$23&amp;$B81,防護具!$S$31:$S$163))-CB81,0)</f>
        <v>0</v>
      </c>
      <c r="CD82" s="2000">
        <f>IFERROR(
SUM(CC82,SUMIF(防護具!$B$31:$B$163,CD$23&amp;$B81,防護具!$S$31:$S$163))-CC81,0)</f>
        <v>0</v>
      </c>
      <c r="CE82" s="2000">
        <f>IFERROR(
SUM(CD82,SUMIF(防護具!$B$31:$B$163,CE$23&amp;$B81,防護具!$S$31:$S$163))-CD81,0)</f>
        <v>0</v>
      </c>
      <c r="CF82" s="2000">
        <f>IFERROR(
SUM(CE82,SUMIF(防護具!$B$31:$B$163,CF$23&amp;$B81,防護具!$S$31:$S$163))-CE81,0)</f>
        <v>0</v>
      </c>
      <c r="CG82" s="2000">
        <f>IFERROR(
SUM(CF82,SUMIF(防護具!$B$31:$B$163,CG$23&amp;$B81,防護具!$S$31:$S$163))-CF81,0)</f>
        <v>0</v>
      </c>
      <c r="CH82" s="2000">
        <f>IFERROR(
SUM(CG82,SUMIF(防護具!$B$31:$B$163,CH$23&amp;$B81,防護具!$S$31:$S$163))-CG81,0)</f>
        <v>0</v>
      </c>
      <c r="CI82" s="2000">
        <f>IFERROR(
SUM(CH82,SUMIF(防護具!$B$31:$B$163,CI$23&amp;$B81,防護具!$S$31:$S$163))-CH81,0)</f>
        <v>0</v>
      </c>
      <c r="CJ82" s="2000">
        <f>IFERROR(
SUM(CI82,SUMIF(防護具!$B$31:$B$163,CJ$23&amp;$B81,防護具!$S$31:$S$163))-CI81,0)</f>
        <v>0</v>
      </c>
      <c r="CK82" s="2000">
        <f>IFERROR(
SUM(CJ82,SUMIF(防護具!$B$31:$B$163,CK$23&amp;$B81,防護具!$S$31:$S$163))-CJ81,0)</f>
        <v>0</v>
      </c>
      <c r="CL82" s="2000">
        <f>IFERROR(
SUM(CK82,SUMIF(防護具!$B$31:$B$163,CL$23&amp;$B81,防護具!$S$31:$S$163))-CK81,0)</f>
        <v>0</v>
      </c>
      <c r="CM82" s="2000">
        <f>IFERROR(
SUM(CL82,SUMIF(防護具!$B$31:$B$163,CM$23&amp;$B81,防護具!$S$31:$S$163))-CL81,0)</f>
        <v>0</v>
      </c>
      <c r="CN82" s="2000">
        <f>IFERROR(
SUM(CM82,SUMIF(防護具!$B$31:$B$163,CN$23&amp;$B81,防護具!$S$31:$S$163))-CM81,0)</f>
        <v>0</v>
      </c>
      <c r="CO82" s="2000">
        <f>IFERROR(
SUM(CN82,SUMIF(防護具!$B$31:$B$163,CO$23&amp;$B81,防護具!$S$31:$S$163))-CN81,0)</f>
        <v>0</v>
      </c>
      <c r="CP82" s="2000">
        <f>IFERROR(
SUM(CO82,SUMIF(防護具!$B$31:$B$163,CP$23&amp;$B81,防護具!$S$31:$S$163))-CO81,0)</f>
        <v>0</v>
      </c>
      <c r="CQ82" s="2000">
        <f>IFERROR(
SUM(CP82,SUMIF(防護具!$B$31:$B$163,CQ$23&amp;$B81,防護具!$S$31:$S$163))-CP81,0)</f>
        <v>0</v>
      </c>
      <c r="CR82" s="2000">
        <f>IFERROR(
SUM(CQ82,SUMIF(防護具!$B$31:$B$163,CR$23&amp;$B81,防護具!$S$31:$S$163))-CQ81,0)</f>
        <v>0</v>
      </c>
      <c r="CS82" s="2000">
        <f>IFERROR(
SUM(CR82,SUMIF(防護具!$B$31:$B$163,CS$23&amp;$B81,防護具!$S$31:$S$163))-CR81,0)</f>
        <v>0</v>
      </c>
      <c r="CT82" s="2000">
        <f>IFERROR(
SUM(CS82,SUMIF(防護具!$B$31:$B$163,CT$23&amp;$B81,防護具!$S$31:$S$163))-CS81,0)</f>
        <v>0</v>
      </c>
      <c r="CU82" s="2000">
        <f>IFERROR(
SUM(CT82,SUMIF(防護具!$B$31:$B$163,CU$23&amp;$B81,防護具!$S$31:$S$163))-CT81,0)</f>
        <v>0</v>
      </c>
      <c r="CV82" s="2000">
        <f>IFERROR(
SUM(CU82,SUMIF(防護具!$B$31:$B$163,CV$23&amp;$B81,防護具!$S$31:$S$163))-CU81,0)</f>
        <v>0</v>
      </c>
      <c r="CW82" s="2000">
        <f>IFERROR(
SUM(CV82,SUMIF(防護具!$B$31:$B$163,CW$23&amp;$B81,防護具!$S$31:$S$163))-CV81,0)</f>
        <v>0</v>
      </c>
      <c r="CX82" s="2000">
        <f>IFERROR(
SUM(CW82,SUMIF(防護具!$B$31:$B$163,CX$23&amp;$B81,防護具!$S$31:$S$163))-CW81,0)</f>
        <v>0</v>
      </c>
      <c r="CY82" s="2000">
        <f>IFERROR(
SUM(CX82,SUMIF(防護具!$B$31:$B$163,CY$23&amp;$B81,防護具!$S$31:$S$163))-CX81,0)</f>
        <v>0</v>
      </c>
      <c r="CZ82" s="2000">
        <f>IFERROR(
SUM(CY82,SUMIF(防護具!$B$31:$B$163,CZ$23&amp;$B81,防護具!$S$31:$S$163))-CY81,0)</f>
        <v>0</v>
      </c>
      <c r="DA82" s="2000">
        <f>IFERROR(
SUM(CZ82,SUMIF(防護具!$B$31:$B$163,DA$23&amp;$B81,防護具!$S$31:$S$163))-CZ81,0)</f>
        <v>0</v>
      </c>
      <c r="DB82" s="2000">
        <f>IFERROR(
SUM(DA82,SUMIF(防護具!$B$31:$B$163,DB$23&amp;$B81,防護具!$S$31:$S$163))-DA81,0)</f>
        <v>0</v>
      </c>
      <c r="DC82" s="2000">
        <f>IFERROR(
SUM(DB82,SUMIF(防護具!$B$31:$B$163,DC$23&amp;$B81,防護具!$S$31:$S$163))-DB81,0)</f>
        <v>0</v>
      </c>
      <c r="DD82" s="2000">
        <f>IFERROR(
SUM(DC82,SUMIF(防護具!$B$31:$B$163,DD$23&amp;$B81,防護具!$S$31:$S$163))-DC81,0)</f>
        <v>0</v>
      </c>
      <c r="DE82" s="2000">
        <f>IFERROR(
SUM(DD82,SUMIF(防護具!$B$31:$B$163,DE$23&amp;$B81,防護具!$S$31:$S$163))-DD81,0)</f>
        <v>0</v>
      </c>
      <c r="DF82" s="2000">
        <f>IFERROR(
SUM(DE82,SUMIF(防護具!$B$31:$B$163,DF$23&amp;$B81,防護具!$S$31:$S$163))-DE81,0)</f>
        <v>0</v>
      </c>
      <c r="DG82" s="2000">
        <f>IFERROR(
SUM(DF82,SUMIF(防護具!$B$31:$B$163,DG$23&amp;$B81,防護具!$S$31:$S$163))-DF81,0)</f>
        <v>0</v>
      </c>
      <c r="DH82" s="2000">
        <f>IFERROR(
SUM(DG82,SUMIF(防護具!$B$31:$B$163,DH$23&amp;$B81,防護具!$S$31:$S$163))-DG81,0)</f>
        <v>0</v>
      </c>
      <c r="DI82" s="2000">
        <f>IFERROR(
SUM(DH82,SUMIF(防護具!$B$31:$B$163,DI$23&amp;$B81,防護具!$S$31:$S$163))-DH81,0)</f>
        <v>0</v>
      </c>
      <c r="DJ82" s="2000">
        <f>IFERROR(
SUM(DI82,SUMIF(防護具!$B$31:$B$163,DJ$23&amp;$B81,防護具!$S$31:$S$163))-DI81,0)</f>
        <v>0</v>
      </c>
      <c r="DK82" s="2000">
        <f>IFERROR(
SUM(DJ82,SUMIF(防護具!$B$31:$B$163,DK$23&amp;$B81,防護具!$S$31:$S$163))-DJ81,0)</f>
        <v>0</v>
      </c>
      <c r="DL82" s="2000">
        <f>IFERROR(
SUM(DK82,SUMIF(防護具!$B$31:$B$163,DL$23&amp;$B81,防護具!$S$31:$S$163))-DK81,0)</f>
        <v>0</v>
      </c>
      <c r="DM82" s="2000">
        <f>IFERROR(
SUM(DL82,SUMIF(防護具!$B$31:$B$163,DM$23&amp;$B81,防護具!$S$31:$S$163))-DL81,0)</f>
        <v>0</v>
      </c>
      <c r="DN82" s="2000">
        <f>IFERROR(
SUM(DM82,SUMIF(防護具!$B$31:$B$163,DN$23&amp;$B81,防護具!$S$31:$S$163))-DM81,0)</f>
        <v>0</v>
      </c>
      <c r="DO82" s="2000">
        <f>IFERROR(
SUM(DN82,SUMIF(防護具!$B$31:$B$163,DO$23&amp;$B81,防護具!$S$31:$S$163))-DN81,0)</f>
        <v>0</v>
      </c>
      <c r="DP82" s="2000">
        <f>IFERROR(
SUM(DO82,SUMIF(防護具!$B$31:$B$163,DP$23&amp;$B81,防護具!$S$31:$S$163))-DO81,0)</f>
        <v>0</v>
      </c>
      <c r="DQ82" s="2000">
        <f>IFERROR(
SUM(DP82,SUMIF(防護具!$B$31:$B$163,DQ$23&amp;$B81,防護具!$S$31:$S$163))-DP81,0)</f>
        <v>0</v>
      </c>
      <c r="DR82" s="2000">
        <f>IFERROR(
SUM(DQ82,SUMIF(防護具!$B$31:$B$163,DR$23&amp;$B81,防護具!$S$31:$S$163))-DQ81,0)</f>
        <v>0</v>
      </c>
      <c r="DS82" s="2000">
        <f>IFERROR(
SUM(DR82,SUMIF(防護具!$B$31:$B$163,DS$23&amp;$B81,防護具!$S$31:$S$163))-DR81,0)</f>
        <v>0</v>
      </c>
      <c r="DT82" s="2000">
        <f>IFERROR(
SUM(DS82,SUMIF(防護具!$B$31:$B$163,DT$23&amp;$B81,防護具!$S$31:$S$163))-DS81,0)</f>
        <v>0</v>
      </c>
      <c r="DU82" s="2000">
        <f>IFERROR(
SUM(DT82,SUMIF(防護具!$B$31:$B$163,DU$23&amp;$B81,防護具!$S$31:$S$163))-DT81,0)</f>
        <v>0</v>
      </c>
      <c r="DV82" s="2000">
        <f>IFERROR(
SUM(DU82,SUMIF(防護具!$B$31:$B$163,DV$23&amp;$B81,防護具!$S$31:$S$163))-DU81,0)</f>
        <v>0</v>
      </c>
      <c r="DW82" s="2000">
        <f>IFERROR(
SUM(DV82,SUMIF(防護具!$B$31:$B$163,DW$23&amp;$B81,防護具!$S$31:$S$163))-DV81,0)</f>
        <v>0</v>
      </c>
      <c r="DX82" s="2000">
        <f>IFERROR(
SUM(DW82,SUMIF(防護具!$B$31:$B$163,DX$23&amp;$B81,防護具!$S$31:$S$163))-DW81,0)</f>
        <v>0</v>
      </c>
      <c r="DY82" s="2000">
        <f>IFERROR(
SUM(DX82,SUMIF(防護具!$B$31:$B$163,DY$23&amp;$B81,防護具!$S$31:$S$163))-DX81,0)</f>
        <v>0</v>
      </c>
      <c r="DZ82" s="2000">
        <f>IFERROR(
SUM(DY82,SUMIF(防護具!$B$31:$B$163,DZ$23&amp;$B81,防護具!$S$31:$S$163))-DY81,0)</f>
        <v>0</v>
      </c>
      <c r="EA82" s="2000">
        <f>IFERROR(
SUM(DZ82,SUMIF(防護具!$B$31:$B$163,EA$23&amp;$B81,防護具!$S$31:$S$163))-DZ81,0)</f>
        <v>0</v>
      </c>
      <c r="EB82" s="2000">
        <f>IFERROR(
SUM(EA82,SUMIF(防護具!$B$31:$B$163,EB$23&amp;$B81,防護具!$S$31:$S$163))-EA81,0)</f>
        <v>0</v>
      </c>
      <c r="EC82" s="2000">
        <f>IFERROR(
SUM(EB82,SUMIF(防護具!$B$31:$B$163,EC$23&amp;$B81,防護具!$S$31:$S$163))-EB81,0)</f>
        <v>0</v>
      </c>
      <c r="ED82" s="2000">
        <f>IFERROR(
SUM(EC82,SUMIF(防護具!$B$31:$B$163,ED$23&amp;$B81,防護具!$S$31:$S$163))-EC81,0)</f>
        <v>0</v>
      </c>
      <c r="EE82" s="2000">
        <f>IFERROR(
SUM(ED82,SUMIF(防護具!$B$31:$B$163,EE$23&amp;$B81,防護具!$S$31:$S$163))-ED81,0)</f>
        <v>0</v>
      </c>
      <c r="EF82" s="2000">
        <f>IFERROR(
SUM(EE82,SUMIF(防護具!$B$31:$B$163,EF$23&amp;$B81,防護具!$S$31:$S$163))-EE81,0)</f>
        <v>0</v>
      </c>
      <c r="EG82" s="2000">
        <f>IFERROR(
SUM(EF82,SUMIF(防護具!$B$31:$B$163,EG$23&amp;$B81,防護具!$S$31:$S$163))-EF81,0)</f>
        <v>0</v>
      </c>
      <c r="EH82" s="2000">
        <f>IFERROR(
SUM(EG82,SUMIF(防護具!$B$31:$B$163,EH$23&amp;$B81,防護具!$S$31:$S$163))-EG81,0)</f>
        <v>0</v>
      </c>
      <c r="EI82" s="2000">
        <f>IFERROR(
SUM(EH82,SUMIF(防護具!$B$31:$B$163,EI$23&amp;$B81,防護具!$S$31:$S$163))-EH81,0)</f>
        <v>0</v>
      </c>
      <c r="EJ82" s="2000">
        <f>IFERROR(
SUM(EI82,SUMIF(防護具!$B$31:$B$163,EJ$23&amp;$B81,防護具!$S$31:$S$163))-EI81,0)</f>
        <v>0</v>
      </c>
      <c r="EK82" s="2000">
        <f>IFERROR(
SUM(EJ82,SUMIF(防護具!$B$31:$B$163,EK$23&amp;$B81,防護具!$S$31:$S$163))-EJ81,0)</f>
        <v>0</v>
      </c>
      <c r="EL82" s="2000">
        <f>IFERROR(
SUM(EK82,SUMIF(防護具!$B$31:$B$163,EL$23&amp;$B81,防護具!$S$31:$S$163))-EK81,0)</f>
        <v>0</v>
      </c>
      <c r="EM82" s="2000">
        <f>IFERROR(
SUM(EL82,SUMIF(防護具!$B$31:$B$163,EM$23&amp;$B81,防護具!$S$31:$S$163))-EL81,0)</f>
        <v>0</v>
      </c>
      <c r="EN82" s="2000">
        <f>IFERROR(
SUM(EM82,SUMIF(防護具!$B$31:$B$163,EN$23&amp;$B81,防護具!$S$31:$S$163))-EM81,0)</f>
        <v>0</v>
      </c>
      <c r="EO82" s="2000">
        <f>IFERROR(
SUM(EN82,SUMIF(防護具!$B$31:$B$163,EO$23&amp;$B81,防護具!$S$31:$S$163))-EN81,0)</f>
        <v>0</v>
      </c>
      <c r="EP82" s="2000">
        <f>IFERROR(
SUM(EO82,SUMIF(防護具!$B$31:$B$163,EP$23&amp;$B81,防護具!$S$31:$S$163))-EO81,0)</f>
        <v>0</v>
      </c>
      <c r="EQ82" s="2000">
        <f>IFERROR(
SUM(EP82,SUMIF(防護具!$B$31:$B$163,EQ$23&amp;$B81,防護具!$S$31:$S$163))-EP81,0)</f>
        <v>0</v>
      </c>
      <c r="ER82" s="2000">
        <f>IFERROR(
SUM(EQ82,SUMIF(防護具!$B$31:$B$163,ER$23&amp;$B81,防護具!$S$31:$S$163))-EQ81,0)</f>
        <v>0</v>
      </c>
      <c r="ES82" s="2000">
        <f>IFERROR(
SUM(ER82,SUMIF(防護具!$B$31:$B$163,ES$23&amp;$B81,防護具!$S$31:$S$163))-ER81,0)</f>
        <v>0</v>
      </c>
      <c r="ET82" s="2000">
        <f>IFERROR(
SUM(ES82,SUMIF(防護具!$B$31:$B$163,ET$23&amp;$B81,防護具!$S$31:$S$163))-ES81,0)</f>
        <v>0</v>
      </c>
      <c r="EU82" s="2000">
        <f>IFERROR(
SUM(ET82,SUMIF(防護具!$B$31:$B$163,EU$23&amp;$B81,防護具!$S$31:$S$163))-ET81,0)</f>
        <v>0</v>
      </c>
      <c r="EV82" s="2000">
        <f>IFERROR(
SUM(EU82,SUMIF(防護具!$B$31:$B$163,EV$23&amp;$B81,防護具!$S$31:$S$163))-EU81,0)</f>
        <v>0</v>
      </c>
      <c r="EW82" s="2000">
        <f>IFERROR(
SUM(EV82,SUMIF(防護具!$B$31:$B$163,EW$23&amp;$B81,防護具!$S$31:$S$163))-EV81,0)</f>
        <v>0</v>
      </c>
      <c r="EX82" s="2000">
        <f>IFERROR(
SUM(EW82,SUMIF(防護具!$B$31:$B$163,EX$23&amp;$B81,防護具!$S$31:$S$163))-EW81,0)</f>
        <v>0</v>
      </c>
      <c r="EY82" s="2000">
        <f>IFERROR(
SUM(EX82,SUMIF(防護具!$B$31:$B$163,EY$23&amp;$B81,防護具!$S$31:$S$163))-EX81,0)</f>
        <v>0</v>
      </c>
      <c r="EZ82" s="2000">
        <f>IFERROR(
SUM(EY82,SUMIF(防護具!$B$31:$B$163,EZ$23&amp;$B81,防護具!$S$31:$S$163))-EY81,0)</f>
        <v>0</v>
      </c>
      <c r="FA82" s="2000">
        <f>IFERROR(
SUM(EZ82,SUMIF(防護具!$B$31:$B$163,FA$23&amp;$B81,防護具!$S$31:$S$163))-EZ81,0)</f>
        <v>0</v>
      </c>
      <c r="FB82" s="2000">
        <f>IFERROR(
SUM(FA82,SUMIF(防護具!$B$31:$B$163,FB$23&amp;$B81,防護具!$S$31:$S$163))-FA81,0)</f>
        <v>0</v>
      </c>
      <c r="FC82" s="2000">
        <f>IFERROR(
SUM(FB82,SUMIF(防護具!$B$31:$B$163,FC$23&amp;$B81,防護具!$S$31:$S$163))-FB81,0)</f>
        <v>0</v>
      </c>
      <c r="FD82" s="2000">
        <f>IFERROR(
SUM(FC82,SUMIF(防護具!$B$31:$B$163,FD$23&amp;$B81,防護具!$S$31:$S$163))-FC81,0)</f>
        <v>0</v>
      </c>
      <c r="FE82" s="2000">
        <f>IFERROR(
SUM(FD82,SUMIF(防護具!$B$31:$B$163,FE$23&amp;$B81,防護具!$S$31:$S$163))-FD81,0)</f>
        <v>0</v>
      </c>
      <c r="FF82" s="2000">
        <f>IFERROR(
SUM(FE82,SUMIF(防護具!$B$31:$B$163,FF$23&amp;$B81,防護具!$S$31:$S$163))-FE81,0)</f>
        <v>0</v>
      </c>
      <c r="FG82" s="2000">
        <f>IFERROR(
SUM(FF82,SUMIF(防護具!$B$31:$B$163,FG$23&amp;$B81,防護具!$S$31:$S$163))-FF81,0)</f>
        <v>0</v>
      </c>
      <c r="FH82" s="2000">
        <f>IFERROR(
SUM(FG82,SUMIF(防護具!$B$31:$B$163,FH$23&amp;$B81,防護具!$S$31:$S$163))-FG81,0)</f>
        <v>0</v>
      </c>
      <c r="FI82" s="2000">
        <f>IFERROR(
SUM(FH82,SUMIF(防護具!$B$31:$B$163,FI$23&amp;$B81,防護具!$S$31:$S$163))-FH81,0)</f>
        <v>0</v>
      </c>
      <c r="FJ82" s="2000">
        <f>IFERROR(
SUM(FI82,SUMIF(防護具!$B$31:$B$163,FJ$23&amp;$B81,防護具!$S$31:$S$163))-FI81,0)</f>
        <v>0</v>
      </c>
      <c r="FK82" s="2000">
        <f>IFERROR(
SUM(FJ82,SUMIF(防護具!$B$31:$B$163,FK$23&amp;$B81,防護具!$S$31:$S$163))-FJ81,0)</f>
        <v>0</v>
      </c>
      <c r="FL82" s="2000">
        <f>IFERROR(
SUM(FK82,SUMIF(防護具!$B$31:$B$163,FL$23&amp;$B81,防護具!$S$31:$S$163))-FK81,0)</f>
        <v>0</v>
      </c>
      <c r="FM82" s="2000">
        <f>IFERROR(
SUM(FL82,SUMIF(防護具!$B$31:$B$163,FM$23&amp;$B81,防護具!$S$31:$S$163))-FL81,0)</f>
        <v>0</v>
      </c>
      <c r="FN82" s="2000">
        <f>IFERROR(
SUM(FM82,SUMIF(防護具!$B$31:$B$163,FN$23&amp;$B81,防護具!$S$31:$S$163))-FM81,0)</f>
        <v>0</v>
      </c>
      <c r="FO82" s="2000">
        <f>IFERROR(
SUM(FN82,SUMIF(防護具!$B$31:$B$163,FO$23&amp;$B81,防護具!$S$31:$S$163))-FN81,0)</f>
        <v>0</v>
      </c>
      <c r="FP82" s="2000">
        <f>IFERROR(
SUM(FO82,SUMIF(防護具!$B$31:$B$163,FP$23&amp;$B81,防護具!$S$31:$S$163))-FO81,0)</f>
        <v>0</v>
      </c>
      <c r="FQ82" s="2000">
        <f>IFERROR(
SUM(FP82,SUMIF(防護具!$B$31:$B$163,FQ$23&amp;$B81,防護具!$S$31:$S$163))-FP81,0)</f>
        <v>0</v>
      </c>
      <c r="FR82" s="2000">
        <f>IFERROR(
SUM(FQ82,SUMIF(防護具!$B$31:$B$163,FR$23&amp;$B81,防護具!$S$31:$S$163))-FQ81,0)</f>
        <v>0</v>
      </c>
      <c r="FS82" s="2000">
        <f>IFERROR(
SUM(FR82,SUMIF(防護具!$B$31:$B$163,FS$23&amp;$B81,防護具!$S$31:$S$163))-FR81,0)</f>
        <v>0</v>
      </c>
      <c r="FT82" s="2000">
        <f>IFERROR(
SUM(FS82,SUMIF(防護具!$B$31:$B$163,FT$23&amp;$B81,防護具!$S$31:$S$163))-FS81,0)</f>
        <v>0</v>
      </c>
      <c r="FU82" s="2000">
        <f>IFERROR(
SUM(FT82,SUMIF(防護具!$B$31:$B$163,FU$23&amp;$B81,防護具!$S$31:$S$163))-FT81,0)</f>
        <v>0</v>
      </c>
      <c r="FV82" s="2000">
        <f>IFERROR(
SUM(FU82,SUMIF(防護具!$B$31:$B$163,FV$23&amp;$B81,防護具!$S$31:$S$163))-FU81,0)</f>
        <v>0</v>
      </c>
      <c r="FW82" s="2000">
        <f>IFERROR(
SUM(FV82,SUMIF(防護具!$B$31:$B$163,FW$23&amp;$B81,防護具!$S$31:$S$163))-FV81,0)</f>
        <v>0</v>
      </c>
      <c r="FX82" s="2000">
        <f>IFERROR(
SUM(FW82,SUMIF(防護具!$B$31:$B$163,FX$23&amp;$B81,防護具!$S$31:$S$163))-FW81,0)</f>
        <v>0</v>
      </c>
      <c r="FY82" s="2000">
        <f>IFERROR(
SUM(FX82,SUMIF(防護具!$B$31:$B$163,FY$23&amp;$B81,防護具!$S$31:$S$163))-FX81,0)</f>
        <v>0</v>
      </c>
      <c r="FZ82" s="2000">
        <f>IFERROR(
SUM(FY82,SUMIF(防護具!$B$31:$B$163,FZ$23&amp;$B81,防護具!$S$31:$S$163))-FY81,0)</f>
        <v>0</v>
      </c>
      <c r="GA82" s="2000">
        <f>IFERROR(
SUM(FZ82,SUMIF(防護具!$B$31:$B$163,GA$23&amp;$B81,防護具!$S$31:$S$163))-FZ81,0)</f>
        <v>0</v>
      </c>
      <c r="GB82" s="2000">
        <f>IFERROR(
SUM(GA82,SUMIF(防護具!$B$31:$B$163,GB$23&amp;$B81,防護具!$S$31:$S$163))-GA81,0)</f>
        <v>0</v>
      </c>
      <c r="GC82" s="2000">
        <f>IFERROR(
SUM(GB82,SUMIF(防護具!$B$31:$B$163,GC$23&amp;$B81,防護具!$S$31:$S$163))-GB81,0)</f>
        <v>0</v>
      </c>
      <c r="GD82" s="2000">
        <f>IFERROR(
SUM(GC82,SUMIF(防護具!$B$31:$B$163,GD$23&amp;$B81,防護具!$S$31:$S$163))-GC81,0)</f>
        <v>0</v>
      </c>
      <c r="GE82" s="2000">
        <f>IFERROR(
SUM(GD82,SUMIF(防護具!$B$31:$B$163,GE$23&amp;$B81,防護具!$S$31:$S$163))-GD81,0)</f>
        <v>0</v>
      </c>
      <c r="GF82" s="2000">
        <f>IFERROR(
SUM(GE82,SUMIF(防護具!$B$31:$B$163,GF$23&amp;$B81,防護具!$S$31:$S$163))-GE81,0)</f>
        <v>0</v>
      </c>
    </row>
    <row r="83" spans="1:188" s="639" customFormat="1" ht="15" customHeight="1" x14ac:dyDescent="0.4">
      <c r="A83" s="631"/>
      <c r="B83" s="639" t="s">
        <v>1264</v>
      </c>
      <c r="C83" s="1995" t="s">
        <v>1388</v>
      </c>
      <c r="D83" s="1996"/>
      <c r="E83" s="640"/>
      <c r="F83" s="2000">
        <f>SUMIF(防護具!$B$14:$B$30,F$23&amp;B81,防護具!$S$14:$S$30)</f>
        <v>0</v>
      </c>
      <c r="G83" s="2000">
        <f xml:space="preserve">
IF(G$25="休診日",F83,
IF(F83-VLOOKUP(F$22&amp;$B81,$B$96:$D$191,2,FALSE)&lt;0,0,F83-VLOOKUP(F$22&amp;$B81,$B$96:$D$191,2,FALSE)))</f>
        <v>0</v>
      </c>
      <c r="H83" s="2000">
        <f t="shared" ref="H83:BS83" si="97" xml:space="preserve">
IF(H$25="休診日",G83,
IF(G83-VLOOKUP(G$22&amp;$B81,$B$96:$D$191,2,FALSE)&lt;0,0,G83-VLOOKUP(G$22&amp;$B81,$B$96:$D$191,2,FALSE)))</f>
        <v>0</v>
      </c>
      <c r="I83" s="2000">
        <f t="shared" si="97"/>
        <v>0</v>
      </c>
      <c r="J83" s="2000">
        <f t="shared" si="97"/>
        <v>0</v>
      </c>
      <c r="K83" s="2000">
        <f t="shared" si="97"/>
        <v>0</v>
      </c>
      <c r="L83" s="2000">
        <f t="shared" si="97"/>
        <v>0</v>
      </c>
      <c r="M83" s="2000">
        <f t="shared" si="97"/>
        <v>0</v>
      </c>
      <c r="N83" s="2000">
        <f t="shared" si="97"/>
        <v>0</v>
      </c>
      <c r="O83" s="2000">
        <f t="shared" si="97"/>
        <v>0</v>
      </c>
      <c r="P83" s="2000">
        <f t="shared" si="97"/>
        <v>0</v>
      </c>
      <c r="Q83" s="2000">
        <f t="shared" si="97"/>
        <v>0</v>
      </c>
      <c r="R83" s="2000">
        <f t="shared" si="97"/>
        <v>0</v>
      </c>
      <c r="S83" s="2000">
        <f t="shared" si="97"/>
        <v>0</v>
      </c>
      <c r="T83" s="2000">
        <f t="shared" si="97"/>
        <v>0</v>
      </c>
      <c r="U83" s="2000">
        <f t="shared" si="97"/>
        <v>0</v>
      </c>
      <c r="V83" s="2000">
        <f t="shared" si="97"/>
        <v>0</v>
      </c>
      <c r="W83" s="2000">
        <f t="shared" si="97"/>
        <v>0</v>
      </c>
      <c r="X83" s="2000">
        <f t="shared" si="97"/>
        <v>0</v>
      </c>
      <c r="Y83" s="2000">
        <f t="shared" si="97"/>
        <v>0</v>
      </c>
      <c r="Z83" s="2000">
        <f t="shared" si="97"/>
        <v>0</v>
      </c>
      <c r="AA83" s="2000">
        <f t="shared" si="97"/>
        <v>0</v>
      </c>
      <c r="AB83" s="2000">
        <f t="shared" si="97"/>
        <v>0</v>
      </c>
      <c r="AC83" s="2000">
        <f t="shared" si="97"/>
        <v>0</v>
      </c>
      <c r="AD83" s="2000">
        <f t="shared" si="97"/>
        <v>0</v>
      </c>
      <c r="AE83" s="2000">
        <f t="shared" si="97"/>
        <v>0</v>
      </c>
      <c r="AF83" s="2000">
        <f t="shared" si="97"/>
        <v>0</v>
      </c>
      <c r="AG83" s="2000">
        <f t="shared" si="97"/>
        <v>0</v>
      </c>
      <c r="AH83" s="2000">
        <f t="shared" si="97"/>
        <v>0</v>
      </c>
      <c r="AI83" s="2000">
        <f t="shared" si="97"/>
        <v>0</v>
      </c>
      <c r="AJ83" s="2000">
        <f t="shared" si="97"/>
        <v>0</v>
      </c>
      <c r="AK83" s="2000">
        <f t="shared" si="97"/>
        <v>0</v>
      </c>
      <c r="AL83" s="2000">
        <f t="shared" si="97"/>
        <v>0</v>
      </c>
      <c r="AM83" s="2000">
        <f t="shared" si="97"/>
        <v>0</v>
      </c>
      <c r="AN83" s="2000">
        <f t="shared" si="97"/>
        <v>0</v>
      </c>
      <c r="AO83" s="2000">
        <f t="shared" si="97"/>
        <v>0</v>
      </c>
      <c r="AP83" s="2000">
        <f t="shared" si="97"/>
        <v>0</v>
      </c>
      <c r="AQ83" s="2000">
        <f t="shared" si="97"/>
        <v>0</v>
      </c>
      <c r="AR83" s="2000">
        <f t="shared" si="97"/>
        <v>0</v>
      </c>
      <c r="AS83" s="2000">
        <f t="shared" si="97"/>
        <v>0</v>
      </c>
      <c r="AT83" s="2000">
        <f t="shared" si="97"/>
        <v>0</v>
      </c>
      <c r="AU83" s="2000">
        <f t="shared" si="97"/>
        <v>0</v>
      </c>
      <c r="AV83" s="2000">
        <f t="shared" si="97"/>
        <v>0</v>
      </c>
      <c r="AW83" s="2000">
        <f t="shared" si="97"/>
        <v>0</v>
      </c>
      <c r="AX83" s="2000">
        <f t="shared" si="97"/>
        <v>0</v>
      </c>
      <c r="AY83" s="2000">
        <f t="shared" si="97"/>
        <v>0</v>
      </c>
      <c r="AZ83" s="2000">
        <f t="shared" si="97"/>
        <v>0</v>
      </c>
      <c r="BA83" s="2000">
        <f t="shared" si="97"/>
        <v>0</v>
      </c>
      <c r="BB83" s="2000">
        <f t="shared" si="97"/>
        <v>0</v>
      </c>
      <c r="BC83" s="2000">
        <f t="shared" si="97"/>
        <v>0</v>
      </c>
      <c r="BD83" s="2000">
        <f t="shared" si="97"/>
        <v>0</v>
      </c>
      <c r="BE83" s="2000">
        <f t="shared" si="97"/>
        <v>0</v>
      </c>
      <c r="BF83" s="2000">
        <f t="shared" si="97"/>
        <v>0</v>
      </c>
      <c r="BG83" s="2000">
        <f t="shared" si="97"/>
        <v>0</v>
      </c>
      <c r="BH83" s="2000">
        <f t="shared" si="97"/>
        <v>0</v>
      </c>
      <c r="BI83" s="2000">
        <f t="shared" si="97"/>
        <v>0</v>
      </c>
      <c r="BJ83" s="2000">
        <f t="shared" si="97"/>
        <v>0</v>
      </c>
      <c r="BK83" s="2000">
        <f t="shared" si="97"/>
        <v>0</v>
      </c>
      <c r="BL83" s="2000">
        <f t="shared" si="97"/>
        <v>0</v>
      </c>
      <c r="BM83" s="2000">
        <f t="shared" si="97"/>
        <v>0</v>
      </c>
      <c r="BN83" s="2000">
        <f t="shared" si="97"/>
        <v>0</v>
      </c>
      <c r="BO83" s="2000">
        <f t="shared" si="97"/>
        <v>0</v>
      </c>
      <c r="BP83" s="2000">
        <f t="shared" si="97"/>
        <v>0</v>
      </c>
      <c r="BQ83" s="2000">
        <f t="shared" si="97"/>
        <v>0</v>
      </c>
      <c r="BR83" s="2000">
        <f t="shared" si="97"/>
        <v>0</v>
      </c>
      <c r="BS83" s="2000">
        <f t="shared" si="97"/>
        <v>0</v>
      </c>
      <c r="BT83" s="2000">
        <f t="shared" ref="BT83:EE83" si="98" xml:space="preserve">
IF(BT$25="休診日",BS83,
IF(BS83-VLOOKUP(BS$22&amp;$B81,$B$96:$D$191,2,FALSE)&lt;0,0,BS83-VLOOKUP(BS$22&amp;$B81,$B$96:$D$191,2,FALSE)))</f>
        <v>0</v>
      </c>
      <c r="BU83" s="2000">
        <f t="shared" si="98"/>
        <v>0</v>
      </c>
      <c r="BV83" s="2000">
        <f t="shared" si="98"/>
        <v>0</v>
      </c>
      <c r="BW83" s="2000">
        <f t="shared" si="98"/>
        <v>0</v>
      </c>
      <c r="BX83" s="2000">
        <f t="shared" si="98"/>
        <v>0</v>
      </c>
      <c r="BY83" s="2000">
        <f t="shared" si="98"/>
        <v>0</v>
      </c>
      <c r="BZ83" s="2000">
        <f t="shared" si="98"/>
        <v>0</v>
      </c>
      <c r="CA83" s="2000">
        <f t="shared" si="98"/>
        <v>0</v>
      </c>
      <c r="CB83" s="2000">
        <f t="shared" si="98"/>
        <v>0</v>
      </c>
      <c r="CC83" s="2000">
        <f t="shared" si="98"/>
        <v>0</v>
      </c>
      <c r="CD83" s="2000">
        <f t="shared" si="98"/>
        <v>0</v>
      </c>
      <c r="CE83" s="2000">
        <f t="shared" si="98"/>
        <v>0</v>
      </c>
      <c r="CF83" s="2000">
        <f t="shared" si="98"/>
        <v>0</v>
      </c>
      <c r="CG83" s="2000">
        <f t="shared" si="98"/>
        <v>0</v>
      </c>
      <c r="CH83" s="2000">
        <f t="shared" si="98"/>
        <v>0</v>
      </c>
      <c r="CI83" s="2000">
        <f t="shared" si="98"/>
        <v>0</v>
      </c>
      <c r="CJ83" s="2000">
        <f t="shared" si="98"/>
        <v>0</v>
      </c>
      <c r="CK83" s="2000">
        <f t="shared" si="98"/>
        <v>0</v>
      </c>
      <c r="CL83" s="2000">
        <f t="shared" si="98"/>
        <v>0</v>
      </c>
      <c r="CM83" s="2000">
        <f t="shared" si="98"/>
        <v>0</v>
      </c>
      <c r="CN83" s="2000">
        <f t="shared" si="98"/>
        <v>0</v>
      </c>
      <c r="CO83" s="2000">
        <f t="shared" si="98"/>
        <v>0</v>
      </c>
      <c r="CP83" s="2000">
        <f t="shared" si="98"/>
        <v>0</v>
      </c>
      <c r="CQ83" s="2000">
        <f t="shared" si="98"/>
        <v>0</v>
      </c>
      <c r="CR83" s="2000">
        <f t="shared" si="98"/>
        <v>0</v>
      </c>
      <c r="CS83" s="2000">
        <f t="shared" si="98"/>
        <v>0</v>
      </c>
      <c r="CT83" s="2000">
        <f t="shared" si="98"/>
        <v>0</v>
      </c>
      <c r="CU83" s="2000">
        <f t="shared" si="98"/>
        <v>0</v>
      </c>
      <c r="CV83" s="2000">
        <f t="shared" si="98"/>
        <v>0</v>
      </c>
      <c r="CW83" s="2000">
        <f t="shared" si="98"/>
        <v>0</v>
      </c>
      <c r="CX83" s="2000">
        <f t="shared" si="98"/>
        <v>0</v>
      </c>
      <c r="CY83" s="2000">
        <f t="shared" si="98"/>
        <v>0</v>
      </c>
      <c r="CZ83" s="2000">
        <f t="shared" si="98"/>
        <v>0</v>
      </c>
      <c r="DA83" s="2000">
        <f t="shared" si="98"/>
        <v>0</v>
      </c>
      <c r="DB83" s="2000">
        <f t="shared" si="98"/>
        <v>0</v>
      </c>
      <c r="DC83" s="2000">
        <f t="shared" si="98"/>
        <v>0</v>
      </c>
      <c r="DD83" s="2000">
        <f t="shared" si="98"/>
        <v>0</v>
      </c>
      <c r="DE83" s="2000">
        <f t="shared" si="98"/>
        <v>0</v>
      </c>
      <c r="DF83" s="2000">
        <f t="shared" si="98"/>
        <v>0</v>
      </c>
      <c r="DG83" s="2000">
        <f t="shared" si="98"/>
        <v>0</v>
      </c>
      <c r="DH83" s="2000">
        <f t="shared" si="98"/>
        <v>0</v>
      </c>
      <c r="DI83" s="2000">
        <f t="shared" si="98"/>
        <v>0</v>
      </c>
      <c r="DJ83" s="2000">
        <f t="shared" si="98"/>
        <v>0</v>
      </c>
      <c r="DK83" s="2000">
        <f t="shared" si="98"/>
        <v>0</v>
      </c>
      <c r="DL83" s="2000">
        <f t="shared" si="98"/>
        <v>0</v>
      </c>
      <c r="DM83" s="2000">
        <f t="shared" si="98"/>
        <v>0</v>
      </c>
      <c r="DN83" s="2000">
        <f t="shared" si="98"/>
        <v>0</v>
      </c>
      <c r="DO83" s="2000">
        <f t="shared" si="98"/>
        <v>0</v>
      </c>
      <c r="DP83" s="2000">
        <f t="shared" si="98"/>
        <v>0</v>
      </c>
      <c r="DQ83" s="2000">
        <f t="shared" si="98"/>
        <v>0</v>
      </c>
      <c r="DR83" s="2000">
        <f t="shared" si="98"/>
        <v>0</v>
      </c>
      <c r="DS83" s="2000">
        <f t="shared" si="98"/>
        <v>0</v>
      </c>
      <c r="DT83" s="2000">
        <f t="shared" si="98"/>
        <v>0</v>
      </c>
      <c r="DU83" s="2000">
        <f t="shared" si="98"/>
        <v>0</v>
      </c>
      <c r="DV83" s="2000">
        <f t="shared" si="98"/>
        <v>0</v>
      </c>
      <c r="DW83" s="2000">
        <f t="shared" si="98"/>
        <v>0</v>
      </c>
      <c r="DX83" s="2000">
        <f t="shared" si="98"/>
        <v>0</v>
      </c>
      <c r="DY83" s="2000">
        <f t="shared" si="98"/>
        <v>0</v>
      </c>
      <c r="DZ83" s="2000">
        <f t="shared" si="98"/>
        <v>0</v>
      </c>
      <c r="EA83" s="2000">
        <f t="shared" si="98"/>
        <v>0</v>
      </c>
      <c r="EB83" s="2000">
        <f t="shared" si="98"/>
        <v>0</v>
      </c>
      <c r="EC83" s="2000">
        <f t="shared" si="98"/>
        <v>0</v>
      </c>
      <c r="ED83" s="2000">
        <f t="shared" si="98"/>
        <v>0</v>
      </c>
      <c r="EE83" s="2000">
        <f t="shared" si="98"/>
        <v>0</v>
      </c>
      <c r="EF83" s="2000">
        <f t="shared" ref="EF83:GE83" si="99" xml:space="preserve">
IF(EF$25="休診日",EE83,
IF(EE83-VLOOKUP(EE$22&amp;$B81,$B$96:$D$191,2,FALSE)&lt;0,0,EE83-VLOOKUP(EE$22&amp;$B81,$B$96:$D$191,2,FALSE)))</f>
        <v>0</v>
      </c>
      <c r="EG83" s="2000">
        <f t="shared" si="99"/>
        <v>0</v>
      </c>
      <c r="EH83" s="2000">
        <f t="shared" si="99"/>
        <v>0</v>
      </c>
      <c r="EI83" s="2000">
        <f t="shared" si="99"/>
        <v>0</v>
      </c>
      <c r="EJ83" s="2000">
        <f t="shared" si="99"/>
        <v>0</v>
      </c>
      <c r="EK83" s="2000">
        <f t="shared" si="99"/>
        <v>0</v>
      </c>
      <c r="EL83" s="2000">
        <f t="shared" si="99"/>
        <v>0</v>
      </c>
      <c r="EM83" s="2000">
        <f t="shared" si="99"/>
        <v>0</v>
      </c>
      <c r="EN83" s="2000">
        <f t="shared" si="99"/>
        <v>0</v>
      </c>
      <c r="EO83" s="2000">
        <f t="shared" si="99"/>
        <v>0</v>
      </c>
      <c r="EP83" s="2000">
        <f t="shared" si="99"/>
        <v>0</v>
      </c>
      <c r="EQ83" s="2000">
        <f t="shared" si="99"/>
        <v>0</v>
      </c>
      <c r="ER83" s="2000">
        <f t="shared" si="99"/>
        <v>0</v>
      </c>
      <c r="ES83" s="2000">
        <f t="shared" si="99"/>
        <v>0</v>
      </c>
      <c r="ET83" s="2000">
        <f t="shared" si="99"/>
        <v>0</v>
      </c>
      <c r="EU83" s="2000">
        <f t="shared" si="99"/>
        <v>0</v>
      </c>
      <c r="EV83" s="2000">
        <f t="shared" si="99"/>
        <v>0</v>
      </c>
      <c r="EW83" s="2000">
        <f t="shared" si="99"/>
        <v>0</v>
      </c>
      <c r="EX83" s="2000">
        <f t="shared" si="99"/>
        <v>0</v>
      </c>
      <c r="EY83" s="2000">
        <f t="shared" si="99"/>
        <v>0</v>
      </c>
      <c r="EZ83" s="2000">
        <f t="shared" si="99"/>
        <v>0</v>
      </c>
      <c r="FA83" s="2000">
        <f t="shared" si="99"/>
        <v>0</v>
      </c>
      <c r="FB83" s="2000">
        <f t="shared" si="99"/>
        <v>0</v>
      </c>
      <c r="FC83" s="2000">
        <f t="shared" si="99"/>
        <v>0</v>
      </c>
      <c r="FD83" s="2000">
        <f t="shared" si="99"/>
        <v>0</v>
      </c>
      <c r="FE83" s="2000">
        <f t="shared" si="99"/>
        <v>0</v>
      </c>
      <c r="FF83" s="2000">
        <f t="shared" si="99"/>
        <v>0</v>
      </c>
      <c r="FG83" s="2000">
        <f t="shared" si="99"/>
        <v>0</v>
      </c>
      <c r="FH83" s="2000">
        <f t="shared" si="99"/>
        <v>0</v>
      </c>
      <c r="FI83" s="2000">
        <f t="shared" si="99"/>
        <v>0</v>
      </c>
      <c r="FJ83" s="2000">
        <f t="shared" si="99"/>
        <v>0</v>
      </c>
      <c r="FK83" s="2000">
        <f t="shared" si="99"/>
        <v>0</v>
      </c>
      <c r="FL83" s="2000">
        <f t="shared" si="99"/>
        <v>0</v>
      </c>
      <c r="FM83" s="2000">
        <f t="shared" si="99"/>
        <v>0</v>
      </c>
      <c r="FN83" s="2000">
        <f t="shared" si="99"/>
        <v>0</v>
      </c>
      <c r="FO83" s="2000">
        <f t="shared" si="99"/>
        <v>0</v>
      </c>
      <c r="FP83" s="2000">
        <f t="shared" si="99"/>
        <v>0</v>
      </c>
      <c r="FQ83" s="2000">
        <f t="shared" si="99"/>
        <v>0</v>
      </c>
      <c r="FR83" s="2000">
        <f t="shared" si="99"/>
        <v>0</v>
      </c>
      <c r="FS83" s="2000">
        <f t="shared" si="99"/>
        <v>0</v>
      </c>
      <c r="FT83" s="2000">
        <f t="shared" si="99"/>
        <v>0</v>
      </c>
      <c r="FU83" s="2000">
        <f t="shared" si="99"/>
        <v>0</v>
      </c>
      <c r="FV83" s="2000">
        <f t="shared" si="99"/>
        <v>0</v>
      </c>
      <c r="FW83" s="2000">
        <f t="shared" si="99"/>
        <v>0</v>
      </c>
      <c r="FX83" s="2000">
        <f t="shared" si="99"/>
        <v>0</v>
      </c>
      <c r="FY83" s="2000">
        <f t="shared" si="99"/>
        <v>0</v>
      </c>
      <c r="FZ83" s="2000">
        <f t="shared" si="99"/>
        <v>0</v>
      </c>
      <c r="GA83" s="2000">
        <f t="shared" si="99"/>
        <v>0</v>
      </c>
      <c r="GB83" s="2000">
        <f t="shared" si="99"/>
        <v>0</v>
      </c>
      <c r="GC83" s="2000">
        <f t="shared" si="99"/>
        <v>0</v>
      </c>
      <c r="GD83" s="2000">
        <f t="shared" si="99"/>
        <v>0</v>
      </c>
      <c r="GE83" s="2000">
        <f t="shared" si="99"/>
        <v>0</v>
      </c>
      <c r="GF83" s="2000">
        <f xml:space="preserve">
IF(GF$25="休診日",GE83,
IF(GE83-VLOOKUP(GE$22&amp;$B81,$B$96:$D$191,2,FALSE)&lt;0,0,GE83-VLOOKUP(GE$22&amp;$B81,$B$96:$D$191,2,FALSE)))</f>
        <v>0</v>
      </c>
    </row>
    <row r="84" spans="1:188" s="647" customFormat="1" ht="15" hidden="1" customHeight="1" x14ac:dyDescent="0.4">
      <c r="A84" s="631"/>
      <c r="B84" s="647" t="s">
        <v>1291</v>
      </c>
      <c r="C84" s="1710"/>
      <c r="D84" s="1711"/>
      <c r="E84" s="648"/>
      <c r="F84" s="648">
        <f xml:space="preserve">
IF($F$25="休診日",0,
MIN(F85,IF((VLOOKUP($F$22&amp;$B84,$B$96:$D$191,2,FALSE)-F86)&lt;0,0,VLOOKUP($F$22&amp;$B84,$B$96:$D$191,2,FALSE)-F86)))</f>
        <v>0</v>
      </c>
      <c r="G84" s="648">
        <f xml:space="preserve">
IF(G$25="休診日",0,
IF(G86&gt;=VLOOKUP(G$22&amp;$B84,$B$96:$D$191,2,FALSE),0,
IF(AND(G86&lt;VLOOKUP(G$22&amp;$B84,$B$96:$D$191,2,FALSE),G85&lt;=VLOOKUP(G$22&amp;$B84,$B$96:$D$191,2,FALSE)),G85,
IF(AND(G86&lt;VLOOKUP(G$22&amp;$B84,$B$96:$D$191,2,FALSE),G85&gt;VLOOKUP(G$22&amp;$B84,$B$96:$D$191,2,FALSE)),
VLOOKUP(G$22&amp;$B84,$B$96:$D$191,2,FALSE)-G86))))</f>
        <v>0</v>
      </c>
      <c r="H84" s="648">
        <f t="shared" ref="H84:BS84" si="100" xml:space="preserve">
IF(H$25="休診日",0,
IF(H86&gt;=VLOOKUP(H$22&amp;$B84,$B$96:$D$191,2,FALSE),0,
IF(AND(H86&lt;VLOOKUP(H$22&amp;$B84,$B$96:$D$191,2,FALSE),H85&lt;=VLOOKUP(H$22&amp;$B84,$B$96:$D$191,2,FALSE)),H85,
IF(AND(H86&lt;VLOOKUP(H$22&amp;$B84,$B$96:$D$191,2,FALSE),H85&gt;VLOOKUP(H$22&amp;$B84,$B$96:$D$191,2,FALSE)),
VLOOKUP(H$22&amp;$B84,$B$96:$D$191,2,FALSE)-H86))))</f>
        <v>0</v>
      </c>
      <c r="I84" s="648">
        <f t="shared" si="100"/>
        <v>0</v>
      </c>
      <c r="J84" s="648">
        <f t="shared" si="100"/>
        <v>0</v>
      </c>
      <c r="K84" s="648">
        <f t="shared" si="100"/>
        <v>0</v>
      </c>
      <c r="L84" s="648">
        <f t="shared" si="100"/>
        <v>0</v>
      </c>
      <c r="M84" s="648">
        <f t="shared" si="100"/>
        <v>0</v>
      </c>
      <c r="N84" s="648">
        <f t="shared" si="100"/>
        <v>0</v>
      </c>
      <c r="O84" s="648">
        <f t="shared" si="100"/>
        <v>0</v>
      </c>
      <c r="P84" s="648">
        <f t="shared" si="100"/>
        <v>0</v>
      </c>
      <c r="Q84" s="648">
        <f t="shared" si="100"/>
        <v>0</v>
      </c>
      <c r="R84" s="648">
        <f t="shared" si="100"/>
        <v>0</v>
      </c>
      <c r="S84" s="648">
        <f t="shared" si="100"/>
        <v>0</v>
      </c>
      <c r="T84" s="648">
        <f t="shared" si="100"/>
        <v>0</v>
      </c>
      <c r="U84" s="648">
        <f t="shared" si="100"/>
        <v>0</v>
      </c>
      <c r="V84" s="648">
        <f t="shared" si="100"/>
        <v>0</v>
      </c>
      <c r="W84" s="648">
        <f t="shared" si="100"/>
        <v>0</v>
      </c>
      <c r="X84" s="648">
        <f t="shared" si="100"/>
        <v>0</v>
      </c>
      <c r="Y84" s="648">
        <f t="shared" si="100"/>
        <v>0</v>
      </c>
      <c r="Z84" s="648">
        <f t="shared" si="100"/>
        <v>0</v>
      </c>
      <c r="AA84" s="648">
        <f t="shared" si="100"/>
        <v>0</v>
      </c>
      <c r="AB84" s="648">
        <f t="shared" si="100"/>
        <v>0</v>
      </c>
      <c r="AC84" s="648">
        <f t="shared" si="100"/>
        <v>0</v>
      </c>
      <c r="AD84" s="648">
        <f t="shared" si="100"/>
        <v>0</v>
      </c>
      <c r="AE84" s="648">
        <f t="shared" si="100"/>
        <v>0</v>
      </c>
      <c r="AF84" s="648">
        <f t="shared" si="100"/>
        <v>0</v>
      </c>
      <c r="AG84" s="648">
        <f t="shared" si="100"/>
        <v>0</v>
      </c>
      <c r="AH84" s="648">
        <f t="shared" si="100"/>
        <v>0</v>
      </c>
      <c r="AI84" s="648">
        <f t="shared" si="100"/>
        <v>0</v>
      </c>
      <c r="AJ84" s="648">
        <f t="shared" si="100"/>
        <v>0</v>
      </c>
      <c r="AK84" s="648">
        <f t="shared" si="100"/>
        <v>0</v>
      </c>
      <c r="AL84" s="648">
        <f t="shared" si="100"/>
        <v>0</v>
      </c>
      <c r="AM84" s="648">
        <f t="shared" si="100"/>
        <v>0</v>
      </c>
      <c r="AN84" s="648">
        <f t="shared" si="100"/>
        <v>0</v>
      </c>
      <c r="AO84" s="648">
        <f t="shared" si="100"/>
        <v>0</v>
      </c>
      <c r="AP84" s="648">
        <f t="shared" si="100"/>
        <v>0</v>
      </c>
      <c r="AQ84" s="648">
        <f t="shared" si="100"/>
        <v>0</v>
      </c>
      <c r="AR84" s="648">
        <f t="shared" si="100"/>
        <v>0</v>
      </c>
      <c r="AS84" s="648">
        <f t="shared" si="100"/>
        <v>0</v>
      </c>
      <c r="AT84" s="648">
        <f t="shared" si="100"/>
        <v>0</v>
      </c>
      <c r="AU84" s="648">
        <f t="shared" si="100"/>
        <v>0</v>
      </c>
      <c r="AV84" s="648">
        <f t="shared" si="100"/>
        <v>0</v>
      </c>
      <c r="AW84" s="648">
        <f t="shared" si="100"/>
        <v>0</v>
      </c>
      <c r="AX84" s="648">
        <f t="shared" si="100"/>
        <v>0</v>
      </c>
      <c r="AY84" s="648">
        <f t="shared" si="100"/>
        <v>0</v>
      </c>
      <c r="AZ84" s="648">
        <f t="shared" si="100"/>
        <v>0</v>
      </c>
      <c r="BA84" s="648">
        <f t="shared" si="100"/>
        <v>0</v>
      </c>
      <c r="BB84" s="648">
        <f t="shared" si="100"/>
        <v>0</v>
      </c>
      <c r="BC84" s="648">
        <f t="shared" si="100"/>
        <v>0</v>
      </c>
      <c r="BD84" s="648">
        <f t="shared" si="100"/>
        <v>0</v>
      </c>
      <c r="BE84" s="648">
        <f t="shared" si="100"/>
        <v>0</v>
      </c>
      <c r="BF84" s="648">
        <f t="shared" si="100"/>
        <v>0</v>
      </c>
      <c r="BG84" s="648">
        <f t="shared" si="100"/>
        <v>0</v>
      </c>
      <c r="BH84" s="648">
        <f t="shared" si="100"/>
        <v>0</v>
      </c>
      <c r="BI84" s="648">
        <f t="shared" si="100"/>
        <v>0</v>
      </c>
      <c r="BJ84" s="648">
        <f t="shared" si="100"/>
        <v>0</v>
      </c>
      <c r="BK84" s="648">
        <f t="shared" si="100"/>
        <v>0</v>
      </c>
      <c r="BL84" s="648">
        <f t="shared" si="100"/>
        <v>0</v>
      </c>
      <c r="BM84" s="648">
        <f t="shared" si="100"/>
        <v>0</v>
      </c>
      <c r="BN84" s="648">
        <f t="shared" si="100"/>
        <v>0</v>
      </c>
      <c r="BO84" s="648">
        <f t="shared" si="100"/>
        <v>0</v>
      </c>
      <c r="BP84" s="648">
        <f t="shared" si="100"/>
        <v>0</v>
      </c>
      <c r="BQ84" s="648">
        <f t="shared" si="100"/>
        <v>0</v>
      </c>
      <c r="BR84" s="648">
        <f t="shared" si="100"/>
        <v>0</v>
      </c>
      <c r="BS84" s="648">
        <f t="shared" si="100"/>
        <v>0</v>
      </c>
      <c r="BT84" s="648">
        <f t="shared" ref="BT84:EE84" si="101" xml:space="preserve">
IF(BT$25="休診日",0,
IF(BT86&gt;=VLOOKUP(BT$22&amp;$B84,$B$96:$D$191,2,FALSE),0,
IF(AND(BT86&lt;VLOOKUP(BT$22&amp;$B84,$B$96:$D$191,2,FALSE),BT85&lt;=VLOOKUP(BT$22&amp;$B84,$B$96:$D$191,2,FALSE)),BT85,
IF(AND(BT86&lt;VLOOKUP(BT$22&amp;$B84,$B$96:$D$191,2,FALSE),BT85&gt;VLOOKUP(BT$22&amp;$B84,$B$96:$D$191,2,FALSE)),
VLOOKUP(BT$22&amp;$B84,$B$96:$D$191,2,FALSE)-BT86))))</f>
        <v>0</v>
      </c>
      <c r="BU84" s="648">
        <f t="shared" si="101"/>
        <v>0</v>
      </c>
      <c r="BV84" s="648">
        <f t="shared" si="101"/>
        <v>0</v>
      </c>
      <c r="BW84" s="648">
        <f t="shared" si="101"/>
        <v>0</v>
      </c>
      <c r="BX84" s="648">
        <f t="shared" si="101"/>
        <v>0</v>
      </c>
      <c r="BY84" s="648">
        <f t="shared" si="101"/>
        <v>0</v>
      </c>
      <c r="BZ84" s="648">
        <f t="shared" si="101"/>
        <v>0</v>
      </c>
      <c r="CA84" s="648">
        <f t="shared" si="101"/>
        <v>0</v>
      </c>
      <c r="CB84" s="648">
        <f t="shared" si="101"/>
        <v>0</v>
      </c>
      <c r="CC84" s="648">
        <f t="shared" si="101"/>
        <v>0</v>
      </c>
      <c r="CD84" s="648">
        <f t="shared" si="101"/>
        <v>0</v>
      </c>
      <c r="CE84" s="648">
        <f t="shared" si="101"/>
        <v>0</v>
      </c>
      <c r="CF84" s="648">
        <f t="shared" si="101"/>
        <v>0</v>
      </c>
      <c r="CG84" s="648">
        <f t="shared" si="101"/>
        <v>0</v>
      </c>
      <c r="CH84" s="648">
        <f t="shared" si="101"/>
        <v>0</v>
      </c>
      <c r="CI84" s="648">
        <f t="shared" si="101"/>
        <v>0</v>
      </c>
      <c r="CJ84" s="648">
        <f t="shared" si="101"/>
        <v>0</v>
      </c>
      <c r="CK84" s="648">
        <f t="shared" si="101"/>
        <v>0</v>
      </c>
      <c r="CL84" s="648">
        <f t="shared" si="101"/>
        <v>0</v>
      </c>
      <c r="CM84" s="648">
        <f t="shared" si="101"/>
        <v>0</v>
      </c>
      <c r="CN84" s="648">
        <f t="shared" si="101"/>
        <v>0</v>
      </c>
      <c r="CO84" s="648">
        <f t="shared" si="101"/>
        <v>0</v>
      </c>
      <c r="CP84" s="648">
        <f t="shared" si="101"/>
        <v>0</v>
      </c>
      <c r="CQ84" s="648">
        <f t="shared" si="101"/>
        <v>0</v>
      </c>
      <c r="CR84" s="648">
        <f t="shared" si="101"/>
        <v>0</v>
      </c>
      <c r="CS84" s="648">
        <f t="shared" si="101"/>
        <v>0</v>
      </c>
      <c r="CT84" s="648">
        <f t="shared" si="101"/>
        <v>0</v>
      </c>
      <c r="CU84" s="648">
        <f t="shared" si="101"/>
        <v>0</v>
      </c>
      <c r="CV84" s="648">
        <f t="shared" si="101"/>
        <v>0</v>
      </c>
      <c r="CW84" s="648">
        <f t="shared" si="101"/>
        <v>0</v>
      </c>
      <c r="CX84" s="648">
        <f t="shared" si="101"/>
        <v>0</v>
      </c>
      <c r="CY84" s="648">
        <f t="shared" si="101"/>
        <v>0</v>
      </c>
      <c r="CZ84" s="648">
        <f t="shared" si="101"/>
        <v>0</v>
      </c>
      <c r="DA84" s="648">
        <f t="shared" si="101"/>
        <v>0</v>
      </c>
      <c r="DB84" s="648">
        <f t="shared" si="101"/>
        <v>0</v>
      </c>
      <c r="DC84" s="648">
        <f t="shared" si="101"/>
        <v>0</v>
      </c>
      <c r="DD84" s="648">
        <f t="shared" si="101"/>
        <v>0</v>
      </c>
      <c r="DE84" s="648">
        <f t="shared" si="101"/>
        <v>0</v>
      </c>
      <c r="DF84" s="648">
        <f t="shared" si="101"/>
        <v>0</v>
      </c>
      <c r="DG84" s="648">
        <f t="shared" si="101"/>
        <v>0</v>
      </c>
      <c r="DH84" s="648">
        <f t="shared" si="101"/>
        <v>0</v>
      </c>
      <c r="DI84" s="648">
        <f t="shared" si="101"/>
        <v>0</v>
      </c>
      <c r="DJ84" s="648">
        <f t="shared" si="101"/>
        <v>0</v>
      </c>
      <c r="DK84" s="648">
        <f t="shared" si="101"/>
        <v>0</v>
      </c>
      <c r="DL84" s="648">
        <f t="shared" si="101"/>
        <v>0</v>
      </c>
      <c r="DM84" s="648">
        <f t="shared" si="101"/>
        <v>0</v>
      </c>
      <c r="DN84" s="648">
        <f t="shared" si="101"/>
        <v>0</v>
      </c>
      <c r="DO84" s="648">
        <f t="shared" si="101"/>
        <v>0</v>
      </c>
      <c r="DP84" s="648">
        <f t="shared" si="101"/>
        <v>0</v>
      </c>
      <c r="DQ84" s="648">
        <f t="shared" si="101"/>
        <v>0</v>
      </c>
      <c r="DR84" s="648">
        <f t="shared" si="101"/>
        <v>0</v>
      </c>
      <c r="DS84" s="648">
        <f t="shared" si="101"/>
        <v>0</v>
      </c>
      <c r="DT84" s="648">
        <f t="shared" si="101"/>
        <v>0</v>
      </c>
      <c r="DU84" s="648">
        <f t="shared" si="101"/>
        <v>0</v>
      </c>
      <c r="DV84" s="648">
        <f t="shared" si="101"/>
        <v>0</v>
      </c>
      <c r="DW84" s="648">
        <f t="shared" si="101"/>
        <v>0</v>
      </c>
      <c r="DX84" s="648">
        <f t="shared" si="101"/>
        <v>0</v>
      </c>
      <c r="DY84" s="648">
        <f t="shared" si="101"/>
        <v>0</v>
      </c>
      <c r="DZ84" s="648">
        <f t="shared" si="101"/>
        <v>0</v>
      </c>
      <c r="EA84" s="648">
        <f t="shared" si="101"/>
        <v>0</v>
      </c>
      <c r="EB84" s="648">
        <f t="shared" si="101"/>
        <v>0</v>
      </c>
      <c r="EC84" s="648">
        <f t="shared" si="101"/>
        <v>0</v>
      </c>
      <c r="ED84" s="648">
        <f t="shared" si="101"/>
        <v>0</v>
      </c>
      <c r="EE84" s="648">
        <f t="shared" si="101"/>
        <v>0</v>
      </c>
      <c r="EF84" s="648">
        <f t="shared" ref="EF84:GF84" si="102" xml:space="preserve">
IF(EF$25="休診日",0,
IF(EF86&gt;=VLOOKUP(EF$22&amp;$B84,$B$96:$D$191,2,FALSE),0,
IF(AND(EF86&lt;VLOOKUP(EF$22&amp;$B84,$B$96:$D$191,2,FALSE),EF85&lt;=VLOOKUP(EF$22&amp;$B84,$B$96:$D$191,2,FALSE)),EF85,
IF(AND(EF86&lt;VLOOKUP(EF$22&amp;$B84,$B$96:$D$191,2,FALSE),EF85&gt;VLOOKUP(EF$22&amp;$B84,$B$96:$D$191,2,FALSE)),
VLOOKUP(EF$22&amp;$B84,$B$96:$D$191,2,FALSE)-EF86))))</f>
        <v>0</v>
      </c>
      <c r="EG84" s="648">
        <f t="shared" si="102"/>
        <v>0</v>
      </c>
      <c r="EH84" s="648">
        <f t="shared" si="102"/>
        <v>0</v>
      </c>
      <c r="EI84" s="648">
        <f t="shared" si="102"/>
        <v>0</v>
      </c>
      <c r="EJ84" s="648">
        <f t="shared" si="102"/>
        <v>0</v>
      </c>
      <c r="EK84" s="648">
        <f t="shared" si="102"/>
        <v>0</v>
      </c>
      <c r="EL84" s="648">
        <f t="shared" si="102"/>
        <v>0</v>
      </c>
      <c r="EM84" s="648">
        <f t="shared" si="102"/>
        <v>0</v>
      </c>
      <c r="EN84" s="648">
        <f t="shared" si="102"/>
        <v>0</v>
      </c>
      <c r="EO84" s="648">
        <f t="shared" si="102"/>
        <v>0</v>
      </c>
      <c r="EP84" s="648">
        <f t="shared" si="102"/>
        <v>0</v>
      </c>
      <c r="EQ84" s="648">
        <f t="shared" si="102"/>
        <v>0</v>
      </c>
      <c r="ER84" s="648">
        <f t="shared" si="102"/>
        <v>0</v>
      </c>
      <c r="ES84" s="648">
        <f t="shared" si="102"/>
        <v>0</v>
      </c>
      <c r="ET84" s="648">
        <f t="shared" si="102"/>
        <v>0</v>
      </c>
      <c r="EU84" s="648">
        <f t="shared" si="102"/>
        <v>0</v>
      </c>
      <c r="EV84" s="648">
        <f t="shared" si="102"/>
        <v>0</v>
      </c>
      <c r="EW84" s="648">
        <f t="shared" si="102"/>
        <v>0</v>
      </c>
      <c r="EX84" s="648">
        <f t="shared" si="102"/>
        <v>0</v>
      </c>
      <c r="EY84" s="648">
        <f t="shared" si="102"/>
        <v>0</v>
      </c>
      <c r="EZ84" s="648">
        <f t="shared" si="102"/>
        <v>0</v>
      </c>
      <c r="FA84" s="648">
        <f t="shared" si="102"/>
        <v>0</v>
      </c>
      <c r="FB84" s="648">
        <f t="shared" si="102"/>
        <v>0</v>
      </c>
      <c r="FC84" s="648">
        <f t="shared" si="102"/>
        <v>0</v>
      </c>
      <c r="FD84" s="648">
        <f t="shared" si="102"/>
        <v>0</v>
      </c>
      <c r="FE84" s="648">
        <f t="shared" si="102"/>
        <v>0</v>
      </c>
      <c r="FF84" s="648">
        <f t="shared" si="102"/>
        <v>0</v>
      </c>
      <c r="FG84" s="648">
        <f t="shared" si="102"/>
        <v>0</v>
      </c>
      <c r="FH84" s="648">
        <f t="shared" si="102"/>
        <v>0</v>
      </c>
      <c r="FI84" s="648">
        <f t="shared" si="102"/>
        <v>0</v>
      </c>
      <c r="FJ84" s="648">
        <f t="shared" si="102"/>
        <v>0</v>
      </c>
      <c r="FK84" s="648">
        <f t="shared" si="102"/>
        <v>0</v>
      </c>
      <c r="FL84" s="648">
        <f t="shared" si="102"/>
        <v>0</v>
      </c>
      <c r="FM84" s="648">
        <f t="shared" si="102"/>
        <v>0</v>
      </c>
      <c r="FN84" s="648">
        <f t="shared" si="102"/>
        <v>0</v>
      </c>
      <c r="FO84" s="648">
        <f t="shared" si="102"/>
        <v>0</v>
      </c>
      <c r="FP84" s="648">
        <f t="shared" si="102"/>
        <v>0</v>
      </c>
      <c r="FQ84" s="648">
        <f t="shared" si="102"/>
        <v>0</v>
      </c>
      <c r="FR84" s="648">
        <f t="shared" si="102"/>
        <v>0</v>
      </c>
      <c r="FS84" s="648">
        <f t="shared" si="102"/>
        <v>0</v>
      </c>
      <c r="FT84" s="648">
        <f t="shared" si="102"/>
        <v>0</v>
      </c>
      <c r="FU84" s="648">
        <f t="shared" si="102"/>
        <v>0</v>
      </c>
      <c r="FV84" s="648">
        <f t="shared" si="102"/>
        <v>0</v>
      </c>
      <c r="FW84" s="648">
        <f t="shared" si="102"/>
        <v>0</v>
      </c>
      <c r="FX84" s="648">
        <f t="shared" si="102"/>
        <v>0</v>
      </c>
      <c r="FY84" s="648">
        <f t="shared" si="102"/>
        <v>0</v>
      </c>
      <c r="FZ84" s="648">
        <f t="shared" si="102"/>
        <v>0</v>
      </c>
      <c r="GA84" s="648">
        <f t="shared" si="102"/>
        <v>0</v>
      </c>
      <c r="GB84" s="648">
        <f t="shared" si="102"/>
        <v>0</v>
      </c>
      <c r="GC84" s="648">
        <f t="shared" si="102"/>
        <v>0</v>
      </c>
      <c r="GD84" s="648">
        <f t="shared" si="102"/>
        <v>0</v>
      </c>
      <c r="GE84" s="648">
        <f t="shared" si="102"/>
        <v>0</v>
      </c>
      <c r="GF84" s="648">
        <f t="shared" si="102"/>
        <v>0</v>
      </c>
    </row>
    <row r="85" spans="1:188" s="647" customFormat="1" ht="15" hidden="1" customHeight="1" x14ac:dyDescent="0.4">
      <c r="A85" s="631"/>
      <c r="B85" s="647" t="s">
        <v>1265</v>
      </c>
      <c r="C85" s="1710"/>
      <c r="D85" s="1711"/>
      <c r="E85" s="648"/>
      <c r="F85" s="648">
        <f>SUMIF(消毒!$B$14:$B$113,$F$23&amp;$B84,消毒!$AN$14:$AN$113)</f>
        <v>0</v>
      </c>
      <c r="G85" s="648">
        <f>IFERROR(SUM(F85,SUMIF(消毒!$B$14:$B$113,G$23&amp;$B84,消毒!$AN$14:$AN$113))-F84,0)</f>
        <v>0</v>
      </c>
      <c r="H85" s="648">
        <f>IFERROR(SUM(G85,SUMIF(消毒!$B$14:$B$113,H$23&amp;$B84,消毒!$AN$14:$AN$113))-G84,0)</f>
        <v>0</v>
      </c>
      <c r="I85" s="648">
        <f>IFERROR(SUM(H85,SUMIF(消毒!$B$14:$B$113,I$23&amp;$B84,消毒!$AN$14:$AN$113))-H84,0)</f>
        <v>0</v>
      </c>
      <c r="J85" s="648">
        <f>IFERROR(SUM(I85,SUMIF(消毒!$B$14:$B$113,J$23&amp;$B84,消毒!$AN$14:$AN$113))-I84,0)</f>
        <v>0</v>
      </c>
      <c r="K85" s="648">
        <f>IFERROR(SUM(J85,SUMIF(消毒!$B$14:$B$113,K$23&amp;$B84,消毒!$AN$14:$AN$113))-J84,0)</f>
        <v>0</v>
      </c>
      <c r="L85" s="648">
        <f>IFERROR(SUM(K85,SUMIF(消毒!$B$14:$B$113,L$23&amp;$B84,消毒!$AN$14:$AN$113))-K84,0)</f>
        <v>0</v>
      </c>
      <c r="M85" s="648">
        <f>IFERROR(SUM(L85,SUMIF(消毒!$B$14:$B$113,M$23&amp;$B84,消毒!$AN$14:$AN$113))-L84,0)</f>
        <v>0</v>
      </c>
      <c r="N85" s="648">
        <f>IFERROR(SUM(M85,SUMIF(消毒!$B$14:$B$113,N$23&amp;$B84,消毒!$AN$14:$AN$113))-M84,0)</f>
        <v>0</v>
      </c>
      <c r="O85" s="648">
        <f>IFERROR(SUM(N85,SUMIF(消毒!$B$14:$B$113,O$23&amp;$B84,消毒!$AN$14:$AN$113))-N84,0)</f>
        <v>0</v>
      </c>
      <c r="P85" s="648">
        <f>IFERROR(SUM(O85,SUMIF(消毒!$B$14:$B$113,P$23&amp;$B84,消毒!$AN$14:$AN$113))-O84,0)</f>
        <v>0</v>
      </c>
      <c r="Q85" s="648">
        <f>IFERROR(SUM(P85,SUMIF(消毒!$B$14:$B$113,Q$23&amp;$B84,消毒!$AN$14:$AN$113))-P84,0)</f>
        <v>0</v>
      </c>
      <c r="R85" s="648">
        <f>IFERROR(SUM(Q85,SUMIF(消毒!$B$14:$B$113,R$23&amp;$B84,消毒!$AN$14:$AN$113))-Q84,0)</f>
        <v>0</v>
      </c>
      <c r="S85" s="648">
        <f>IFERROR(SUM(R85,SUMIF(消毒!$B$14:$B$113,S$23&amp;$B84,消毒!$AN$14:$AN$113))-R84,0)</f>
        <v>0</v>
      </c>
      <c r="T85" s="648">
        <f>IFERROR(SUM(S85,SUMIF(消毒!$B$14:$B$113,T$23&amp;$B84,消毒!$AN$14:$AN$113))-S84,0)</f>
        <v>0</v>
      </c>
      <c r="U85" s="648">
        <f>IFERROR(SUM(T85,SUMIF(消毒!$B$14:$B$113,U$23&amp;$B84,消毒!$AN$14:$AN$113))-T84,0)</f>
        <v>0</v>
      </c>
      <c r="V85" s="648">
        <f>IFERROR(SUM(U85,SUMIF(消毒!$B$14:$B$113,V$23&amp;$B84,消毒!$AN$14:$AN$113))-U84,0)</f>
        <v>0</v>
      </c>
      <c r="W85" s="648">
        <f>IFERROR(SUM(V85,SUMIF(消毒!$B$14:$B$113,W$23&amp;$B84,消毒!$AN$14:$AN$113))-V84,0)</f>
        <v>0</v>
      </c>
      <c r="X85" s="648">
        <f>IFERROR(SUM(W85,SUMIF(消毒!$B$14:$B$113,X$23&amp;$B84,消毒!$AN$14:$AN$113))-W84,0)</f>
        <v>0</v>
      </c>
      <c r="Y85" s="648">
        <f>IFERROR(SUM(X85,SUMIF(消毒!$B$14:$B$113,Y$23&amp;$B84,消毒!$AN$14:$AN$113))-X84,0)</f>
        <v>0</v>
      </c>
      <c r="Z85" s="648">
        <f>IFERROR(SUM(Y85,SUMIF(消毒!$B$14:$B$113,Z$23&amp;$B84,消毒!$AN$14:$AN$113))-Y84,0)</f>
        <v>0</v>
      </c>
      <c r="AA85" s="648">
        <f>IFERROR(SUM(Z85,SUMIF(消毒!$B$14:$B$113,AA$23&amp;$B84,消毒!$AN$14:$AN$113))-Z84,0)</f>
        <v>0</v>
      </c>
      <c r="AB85" s="648">
        <f>IFERROR(SUM(AA85,SUMIF(消毒!$B$14:$B$113,AB$23&amp;$B84,消毒!$AN$14:$AN$113))-AA84,0)</f>
        <v>0</v>
      </c>
      <c r="AC85" s="648">
        <f>IFERROR(SUM(AB85,SUMIF(消毒!$B$14:$B$113,AC$23&amp;$B84,消毒!$AN$14:$AN$113))-AB84,0)</f>
        <v>0</v>
      </c>
      <c r="AD85" s="648">
        <f>IFERROR(SUM(AC85,SUMIF(消毒!$B$14:$B$113,AD$23&amp;$B84,消毒!$AN$14:$AN$113))-AC84,0)</f>
        <v>0</v>
      </c>
      <c r="AE85" s="648">
        <f>IFERROR(SUM(AD85,SUMIF(消毒!$B$14:$B$113,AE$23&amp;$B84,消毒!$AN$14:$AN$113))-AD84,0)</f>
        <v>0</v>
      </c>
      <c r="AF85" s="648">
        <f>IFERROR(SUM(AE85,SUMIF(消毒!$B$14:$B$113,AF$23&amp;$B84,消毒!$AN$14:$AN$113))-AE84,0)</f>
        <v>0</v>
      </c>
      <c r="AG85" s="648">
        <f>IFERROR(SUM(AF85,SUMIF(消毒!$B$14:$B$113,AG$23&amp;$B84,消毒!$AN$14:$AN$113))-AF84,0)</f>
        <v>0</v>
      </c>
      <c r="AH85" s="648">
        <f>IFERROR(SUM(AG85,SUMIF(消毒!$B$14:$B$113,AH$23&amp;$B84,消毒!$AN$14:$AN$113))-AG84,0)</f>
        <v>0</v>
      </c>
      <c r="AI85" s="648">
        <f>IFERROR(SUM(AH85,SUMIF(消毒!$B$14:$B$113,AI$23&amp;$B84,消毒!$AN$14:$AN$113))-AH84,0)</f>
        <v>0</v>
      </c>
      <c r="AJ85" s="648">
        <f>IFERROR(SUM(AI85,SUMIF(消毒!$B$14:$B$113,AJ$23&amp;$B84,消毒!$AN$14:$AN$113))-AI84,0)</f>
        <v>0</v>
      </c>
      <c r="AK85" s="648">
        <f>IFERROR(SUM(AJ85,SUMIF(消毒!$B$14:$B$113,AK$23&amp;$B84,消毒!$AN$14:$AN$113))-AJ84,0)</f>
        <v>0</v>
      </c>
      <c r="AL85" s="648">
        <f>IFERROR(SUM(AK85,SUMIF(消毒!$B$14:$B$113,AL$23&amp;$B84,消毒!$AN$14:$AN$113))-AK84,0)</f>
        <v>0</v>
      </c>
      <c r="AM85" s="648">
        <f>IFERROR(SUM(AL85,SUMIF(消毒!$B$14:$B$113,AM$23&amp;$B84,消毒!$AN$14:$AN$113))-AL84,0)</f>
        <v>0</v>
      </c>
      <c r="AN85" s="648">
        <f>IFERROR(SUM(AM85,SUMIF(消毒!$B$14:$B$113,AN$23&amp;$B84,消毒!$AN$14:$AN$113))-AM84,0)</f>
        <v>0</v>
      </c>
      <c r="AO85" s="648">
        <f>IFERROR(SUM(AN85,SUMIF(消毒!$B$14:$B$113,AO$23&amp;$B84,消毒!$AN$14:$AN$113))-AN84,0)</f>
        <v>0</v>
      </c>
      <c r="AP85" s="648">
        <f>IFERROR(SUM(AO85,SUMIF(消毒!$B$14:$B$113,AP$23&amp;$B84,消毒!$AN$14:$AN$113))-AO84,0)</f>
        <v>0</v>
      </c>
      <c r="AQ85" s="648">
        <f>IFERROR(SUM(AP85,SUMIF(消毒!$B$14:$B$113,AQ$23&amp;$B84,消毒!$AN$14:$AN$113))-AP84,0)</f>
        <v>0</v>
      </c>
      <c r="AR85" s="648">
        <f>IFERROR(SUM(AQ85,SUMIF(消毒!$B$14:$B$113,AR$23&amp;$B84,消毒!$AN$14:$AN$113))-AQ84,0)</f>
        <v>0</v>
      </c>
      <c r="AS85" s="648">
        <f>IFERROR(SUM(AR85,SUMIF(消毒!$B$14:$B$113,AS$23&amp;$B84,消毒!$AN$14:$AN$113))-AR84,0)</f>
        <v>0</v>
      </c>
      <c r="AT85" s="648">
        <f>IFERROR(SUM(AS85,SUMIF(消毒!$B$14:$B$113,AT$23&amp;$B84,消毒!$AN$14:$AN$113))-AS84,0)</f>
        <v>0</v>
      </c>
      <c r="AU85" s="648">
        <f>IFERROR(SUM(AT85,SUMIF(消毒!$B$14:$B$113,AU$23&amp;$B84,消毒!$AN$14:$AN$113))-AT84,0)</f>
        <v>0</v>
      </c>
      <c r="AV85" s="648">
        <f>IFERROR(SUM(AU85,SUMIF(消毒!$B$14:$B$113,AV$23&amp;$B84,消毒!$AN$14:$AN$113))-AU84,0)</f>
        <v>0</v>
      </c>
      <c r="AW85" s="648">
        <f>IFERROR(SUM(AV85,SUMIF(消毒!$B$14:$B$113,AW$23&amp;$B84,消毒!$AN$14:$AN$113))-AV84,0)</f>
        <v>0</v>
      </c>
      <c r="AX85" s="648">
        <f>IFERROR(SUM(AW85,SUMIF(消毒!$B$14:$B$113,AX$23&amp;$B84,消毒!$AN$14:$AN$113))-AW84,0)</f>
        <v>0</v>
      </c>
      <c r="AY85" s="648">
        <f>IFERROR(SUM(AX85,SUMIF(消毒!$B$14:$B$113,AY$23&amp;$B84,消毒!$AN$14:$AN$113))-AX84,0)</f>
        <v>0</v>
      </c>
      <c r="AZ85" s="648">
        <f>IFERROR(SUM(AY85,SUMIF(消毒!$B$14:$B$113,AZ$23&amp;$B84,消毒!$AN$14:$AN$113))-AY84,0)</f>
        <v>0</v>
      </c>
      <c r="BA85" s="648">
        <f>IFERROR(SUM(AZ85,SUMIF(消毒!$B$14:$B$113,BA$23&amp;$B84,消毒!$AN$14:$AN$113))-AZ84,0)</f>
        <v>0</v>
      </c>
      <c r="BB85" s="648">
        <f>IFERROR(SUM(BA85,SUMIF(消毒!$B$14:$B$113,BB$23&amp;$B84,消毒!$AN$14:$AN$113))-BA84,0)</f>
        <v>0</v>
      </c>
      <c r="BC85" s="648">
        <f>IFERROR(SUM(BB85,SUMIF(消毒!$B$14:$B$113,BC$23&amp;$B84,消毒!$AN$14:$AN$113))-BB84,0)</f>
        <v>0</v>
      </c>
      <c r="BD85" s="648">
        <f>IFERROR(SUM(BC85,SUMIF(消毒!$B$14:$B$113,BD$23&amp;$B84,消毒!$AN$14:$AN$113))-BC84,0)</f>
        <v>0</v>
      </c>
      <c r="BE85" s="648">
        <f>IFERROR(SUM(BD85,SUMIF(消毒!$B$14:$B$113,BE$23&amp;$B84,消毒!$AN$14:$AN$113))-BD84,0)</f>
        <v>0</v>
      </c>
      <c r="BF85" s="648">
        <f>IFERROR(SUM(BE85,SUMIF(消毒!$B$14:$B$113,BF$23&amp;$B84,消毒!$AN$14:$AN$113))-BE84,0)</f>
        <v>0</v>
      </c>
      <c r="BG85" s="648">
        <f>IFERROR(SUM(BF85,SUMIF(消毒!$B$14:$B$113,BG$23&amp;$B84,消毒!$AN$14:$AN$113))-BF84,0)</f>
        <v>0</v>
      </c>
      <c r="BH85" s="648">
        <f>IFERROR(SUM(BG85,SUMIF(消毒!$B$14:$B$113,BH$23&amp;$B84,消毒!$AN$14:$AN$113))-BG84,0)</f>
        <v>0</v>
      </c>
      <c r="BI85" s="648">
        <f>IFERROR(SUM(BH85,SUMIF(消毒!$B$14:$B$113,BI$23&amp;$B84,消毒!$AN$14:$AN$113))-BH84,0)</f>
        <v>0</v>
      </c>
      <c r="BJ85" s="648">
        <f>IFERROR(SUM(BI85,SUMIF(消毒!$B$14:$B$113,BJ$23&amp;$B84,消毒!$AN$14:$AN$113))-BI84,0)</f>
        <v>0</v>
      </c>
      <c r="BK85" s="648">
        <f>IFERROR(SUM(BJ85,SUMIF(消毒!$B$14:$B$113,BK$23&amp;$B84,消毒!$AN$14:$AN$113))-BJ84,0)</f>
        <v>0</v>
      </c>
      <c r="BL85" s="648">
        <f>IFERROR(SUM(BK85,SUMIF(消毒!$B$14:$B$113,BL$23&amp;$B84,消毒!$AN$14:$AN$113))-BK84,0)</f>
        <v>0</v>
      </c>
      <c r="BM85" s="648">
        <f>IFERROR(SUM(BL85,SUMIF(消毒!$B$14:$B$113,BM$23&amp;$B84,消毒!$AN$14:$AN$113))-BL84,0)</f>
        <v>0</v>
      </c>
      <c r="BN85" s="648">
        <f>IFERROR(SUM(BM85,SUMIF(消毒!$B$14:$B$113,BN$23&amp;$B84,消毒!$AN$14:$AN$113))-BM84,0)</f>
        <v>0</v>
      </c>
      <c r="BO85" s="648">
        <f>IFERROR(SUM(BN85,SUMIF(消毒!$B$14:$B$113,BO$23&amp;$B84,消毒!$AN$14:$AN$113))-BN84,0)</f>
        <v>0</v>
      </c>
      <c r="BP85" s="648">
        <f>IFERROR(SUM(BO85,SUMIF(消毒!$B$14:$B$113,BP$23&amp;$B84,消毒!$AN$14:$AN$113))-BO84,0)</f>
        <v>0</v>
      </c>
      <c r="BQ85" s="648">
        <f>IFERROR(SUM(BP85,SUMIF(消毒!$B$14:$B$113,BQ$23&amp;$B84,消毒!$AN$14:$AN$113))-BP84,0)</f>
        <v>0</v>
      </c>
      <c r="BR85" s="648">
        <f>IFERROR(SUM(BQ85,SUMIF(消毒!$B$14:$B$113,BR$23&amp;$B84,消毒!$AN$14:$AN$113))-BQ84,0)</f>
        <v>0</v>
      </c>
      <c r="BS85" s="648">
        <f>IFERROR(SUM(BR85,SUMIF(消毒!$B$14:$B$113,BS$23&amp;$B84,消毒!$AN$14:$AN$113))-BR84,0)</f>
        <v>0</v>
      </c>
      <c r="BT85" s="648">
        <f>IFERROR(SUM(BS85,SUMIF(消毒!$B$14:$B$113,BT$23&amp;$B84,消毒!$AN$14:$AN$113))-BS84,0)</f>
        <v>0</v>
      </c>
      <c r="BU85" s="648">
        <f>IFERROR(SUM(BT85,SUMIF(消毒!$B$14:$B$113,BU$23&amp;$B84,消毒!$AN$14:$AN$113))-BT84,0)</f>
        <v>0</v>
      </c>
      <c r="BV85" s="648">
        <f>IFERROR(SUM(BU85,SUMIF(消毒!$B$14:$B$113,BV$23&amp;$B84,消毒!$AN$14:$AN$113))-BU84,0)</f>
        <v>0</v>
      </c>
      <c r="BW85" s="648">
        <f>IFERROR(SUM(BV85,SUMIF(消毒!$B$14:$B$113,BW$23&amp;$B84,消毒!$AN$14:$AN$113))-BV84,0)</f>
        <v>0</v>
      </c>
      <c r="BX85" s="648">
        <f>IFERROR(SUM(BW85,SUMIF(消毒!$B$14:$B$113,BX$23&amp;$B84,消毒!$AN$14:$AN$113))-BW84,0)</f>
        <v>0</v>
      </c>
      <c r="BY85" s="648">
        <f>IFERROR(SUM(BX85,SUMIF(消毒!$B$14:$B$113,BY$23&amp;$B84,消毒!$AN$14:$AN$113))-BX84,0)</f>
        <v>0</v>
      </c>
      <c r="BZ85" s="648">
        <f>IFERROR(SUM(BY85,SUMIF(消毒!$B$14:$B$113,BZ$23&amp;$B84,消毒!$AN$14:$AN$113))-BY84,0)</f>
        <v>0</v>
      </c>
      <c r="CA85" s="648">
        <f>IFERROR(SUM(BZ85,SUMIF(消毒!$B$14:$B$113,CA$23&amp;$B84,消毒!$AN$14:$AN$113))-BZ84,0)</f>
        <v>0</v>
      </c>
      <c r="CB85" s="648">
        <f>IFERROR(SUM(CA85,SUMIF(消毒!$B$14:$B$113,CB$23&amp;$B84,消毒!$AN$14:$AN$113))-CA84,0)</f>
        <v>0</v>
      </c>
      <c r="CC85" s="648">
        <f>IFERROR(SUM(CB85,SUMIF(消毒!$B$14:$B$113,CC$23&amp;$B84,消毒!$AN$14:$AN$113))-CB84,0)</f>
        <v>0</v>
      </c>
      <c r="CD85" s="648">
        <f>IFERROR(SUM(CC85,SUMIF(消毒!$B$14:$B$113,CD$23&amp;$B84,消毒!$AN$14:$AN$113))-CC84,0)</f>
        <v>0</v>
      </c>
      <c r="CE85" s="648">
        <f>IFERROR(SUM(CD85,SUMIF(消毒!$B$14:$B$113,CE$23&amp;$B84,消毒!$AN$14:$AN$113))-CD84,0)</f>
        <v>0</v>
      </c>
      <c r="CF85" s="648">
        <f>IFERROR(SUM(CE85,SUMIF(消毒!$B$14:$B$113,CF$23&amp;$B84,消毒!$AN$14:$AN$113))-CE84,0)</f>
        <v>0</v>
      </c>
      <c r="CG85" s="648">
        <f>IFERROR(SUM(CF85,SUMIF(消毒!$B$14:$B$113,CG$23&amp;$B84,消毒!$AN$14:$AN$113))-CF84,0)</f>
        <v>0</v>
      </c>
      <c r="CH85" s="648">
        <f>IFERROR(SUM(CG85,SUMIF(消毒!$B$14:$B$113,CH$23&amp;$B84,消毒!$AN$14:$AN$113))-CG84,0)</f>
        <v>0</v>
      </c>
      <c r="CI85" s="648">
        <f>IFERROR(SUM(CH85,SUMIF(消毒!$B$14:$B$113,CI$23&amp;$B84,消毒!$AN$14:$AN$113))-CH84,0)</f>
        <v>0</v>
      </c>
      <c r="CJ85" s="648">
        <f>IFERROR(SUM(CI85,SUMIF(消毒!$B$14:$B$113,CJ$23&amp;$B84,消毒!$AN$14:$AN$113))-CI84,0)</f>
        <v>0</v>
      </c>
      <c r="CK85" s="648">
        <f>IFERROR(SUM(CJ85,SUMIF(消毒!$B$14:$B$113,CK$23&amp;$B84,消毒!$AN$14:$AN$113))-CJ84,0)</f>
        <v>0</v>
      </c>
      <c r="CL85" s="648">
        <f>IFERROR(SUM(CK85,SUMIF(消毒!$B$14:$B$113,CL$23&amp;$B84,消毒!$AN$14:$AN$113))-CK84,0)</f>
        <v>0</v>
      </c>
      <c r="CM85" s="648">
        <f>IFERROR(SUM(CL85,SUMIF(消毒!$B$14:$B$113,CM$23&amp;$B84,消毒!$AN$14:$AN$113))-CL84,0)</f>
        <v>0</v>
      </c>
      <c r="CN85" s="648">
        <f>IFERROR(SUM(CM85,SUMIF(消毒!$B$14:$B$113,CN$23&amp;$B84,消毒!$AN$14:$AN$113))-CM84,0)</f>
        <v>0</v>
      </c>
      <c r="CO85" s="648">
        <f>IFERROR(SUM(CN85,SUMIF(消毒!$B$14:$B$113,CO$23&amp;$B84,消毒!$AN$14:$AN$113))-CN84,0)</f>
        <v>0</v>
      </c>
      <c r="CP85" s="648">
        <f>IFERROR(SUM(CO85,SUMIF(消毒!$B$14:$B$113,CP$23&amp;$B84,消毒!$AN$14:$AN$113))-CO84,0)</f>
        <v>0</v>
      </c>
      <c r="CQ85" s="648">
        <f>IFERROR(SUM(CP85,SUMIF(消毒!$B$14:$B$113,CQ$23&amp;$B84,消毒!$AN$14:$AN$113))-CP84,0)</f>
        <v>0</v>
      </c>
      <c r="CR85" s="648">
        <f>IFERROR(SUM(CQ85,SUMIF(消毒!$B$14:$B$113,CR$23&amp;$B84,消毒!$AN$14:$AN$113))-CQ84,0)</f>
        <v>0</v>
      </c>
      <c r="CS85" s="648">
        <f>IFERROR(SUM(CR85,SUMIF(消毒!$B$14:$B$113,CS$23&amp;$B84,消毒!$AN$14:$AN$113))-CR84,0)</f>
        <v>0</v>
      </c>
      <c r="CT85" s="648">
        <f>IFERROR(SUM(CS85,SUMIF(消毒!$B$14:$B$113,CT$23&amp;$B84,消毒!$AN$14:$AN$113))-CS84,0)</f>
        <v>0</v>
      </c>
      <c r="CU85" s="648">
        <f>IFERROR(SUM(CT85,SUMIF(消毒!$B$14:$B$113,CU$23&amp;$B84,消毒!$AN$14:$AN$113))-CT84,0)</f>
        <v>0</v>
      </c>
      <c r="CV85" s="648">
        <f>IFERROR(SUM(CU85,SUMIF(消毒!$B$14:$B$113,CV$23&amp;$B84,消毒!$AN$14:$AN$113))-CU84,0)</f>
        <v>0</v>
      </c>
      <c r="CW85" s="648">
        <f>IFERROR(SUM(CV85,SUMIF(消毒!$B$14:$B$113,CW$23&amp;$B84,消毒!$AN$14:$AN$113))-CV84,0)</f>
        <v>0</v>
      </c>
      <c r="CX85" s="648">
        <f>IFERROR(SUM(CW85,SUMIF(消毒!$B$14:$B$113,CX$23&amp;$B84,消毒!$AN$14:$AN$113))-CW84,0)</f>
        <v>0</v>
      </c>
      <c r="CY85" s="648">
        <f>IFERROR(SUM(CX85,SUMIF(消毒!$B$14:$B$113,CY$23&amp;$B84,消毒!$AN$14:$AN$113))-CX84,0)</f>
        <v>0</v>
      </c>
      <c r="CZ85" s="648">
        <f>IFERROR(SUM(CY85,SUMIF(消毒!$B$14:$B$113,CZ$23&amp;$B84,消毒!$AN$14:$AN$113))-CY84,0)</f>
        <v>0</v>
      </c>
      <c r="DA85" s="648">
        <f>IFERROR(SUM(CZ85,SUMIF(消毒!$B$14:$B$113,DA$23&amp;$B84,消毒!$AN$14:$AN$113))-CZ84,0)</f>
        <v>0</v>
      </c>
      <c r="DB85" s="648">
        <f>IFERROR(SUM(DA85,SUMIF(消毒!$B$14:$B$113,DB$23&amp;$B84,消毒!$AN$14:$AN$113))-DA84,0)</f>
        <v>0</v>
      </c>
      <c r="DC85" s="648">
        <f>IFERROR(SUM(DB85,SUMIF(消毒!$B$14:$B$113,DC$23&amp;$B84,消毒!$AN$14:$AN$113))-DB84,0)</f>
        <v>0</v>
      </c>
      <c r="DD85" s="648">
        <f>IFERROR(SUM(DC85,SUMIF(消毒!$B$14:$B$113,DD$23&amp;$B84,消毒!$AN$14:$AN$113))-DC84,0)</f>
        <v>0</v>
      </c>
      <c r="DE85" s="648">
        <f>IFERROR(SUM(DD85,SUMIF(消毒!$B$14:$B$113,DE$23&amp;$B84,消毒!$AN$14:$AN$113))-DD84,0)</f>
        <v>0</v>
      </c>
      <c r="DF85" s="648">
        <f>IFERROR(SUM(DE85,SUMIF(消毒!$B$14:$B$113,DF$23&amp;$B84,消毒!$AN$14:$AN$113))-DE84,0)</f>
        <v>0</v>
      </c>
      <c r="DG85" s="648">
        <f>IFERROR(SUM(DF85,SUMIF(消毒!$B$14:$B$113,DG$23&amp;$B84,消毒!$AN$14:$AN$113))-DF84,0)</f>
        <v>0</v>
      </c>
      <c r="DH85" s="648">
        <f>IFERROR(SUM(DG85,SUMIF(消毒!$B$14:$B$113,DH$23&amp;$B84,消毒!$AN$14:$AN$113))-DG84,0)</f>
        <v>0</v>
      </c>
      <c r="DI85" s="648">
        <f>IFERROR(SUM(DH85,SUMIF(消毒!$B$14:$B$113,DI$23&amp;$B84,消毒!$AN$14:$AN$113))-DH84,0)</f>
        <v>0</v>
      </c>
      <c r="DJ85" s="648">
        <f>IFERROR(SUM(DI85,SUMIF(消毒!$B$14:$B$113,DJ$23&amp;$B84,消毒!$AN$14:$AN$113))-DI84,0)</f>
        <v>0</v>
      </c>
      <c r="DK85" s="648">
        <f>IFERROR(SUM(DJ85,SUMIF(消毒!$B$14:$B$113,DK$23&amp;$B84,消毒!$AN$14:$AN$113))-DJ84,0)</f>
        <v>0</v>
      </c>
      <c r="DL85" s="648">
        <f>IFERROR(SUM(DK85,SUMIF(消毒!$B$14:$B$113,DL$23&amp;$B84,消毒!$AN$14:$AN$113))-DK84,0)</f>
        <v>0</v>
      </c>
      <c r="DM85" s="648">
        <f>IFERROR(SUM(DL85,SUMIF(消毒!$B$14:$B$113,DM$23&amp;$B84,消毒!$AN$14:$AN$113))-DL84,0)</f>
        <v>0</v>
      </c>
      <c r="DN85" s="648">
        <f>IFERROR(SUM(DM85,SUMIF(消毒!$B$14:$B$113,DN$23&amp;$B84,消毒!$AN$14:$AN$113))-DM84,0)</f>
        <v>0</v>
      </c>
      <c r="DO85" s="648">
        <f>IFERROR(SUM(DN85,SUMIF(消毒!$B$14:$B$113,DO$23&amp;$B84,消毒!$AN$14:$AN$113))-DN84,0)</f>
        <v>0</v>
      </c>
      <c r="DP85" s="648">
        <f>IFERROR(SUM(DO85,SUMIF(消毒!$B$14:$B$113,DP$23&amp;$B84,消毒!$AN$14:$AN$113))-DO84,0)</f>
        <v>0</v>
      </c>
      <c r="DQ85" s="648">
        <f>IFERROR(SUM(DP85,SUMIF(消毒!$B$14:$B$113,DQ$23&amp;$B84,消毒!$AN$14:$AN$113))-DP84,0)</f>
        <v>0</v>
      </c>
      <c r="DR85" s="648">
        <f>IFERROR(SUM(DQ85,SUMIF(消毒!$B$14:$B$113,DR$23&amp;$B84,消毒!$AN$14:$AN$113))-DQ84,0)</f>
        <v>0</v>
      </c>
      <c r="DS85" s="648">
        <f>IFERROR(SUM(DR85,SUMIF(消毒!$B$14:$B$113,DS$23&amp;$B84,消毒!$AN$14:$AN$113))-DR84,0)</f>
        <v>0</v>
      </c>
      <c r="DT85" s="648">
        <f>IFERROR(SUM(DS85,SUMIF(消毒!$B$14:$B$113,DT$23&amp;$B84,消毒!$AN$14:$AN$113))-DS84,0)</f>
        <v>0</v>
      </c>
      <c r="DU85" s="648">
        <f>IFERROR(SUM(DT85,SUMIF(消毒!$B$14:$B$113,DU$23&amp;$B84,消毒!$AN$14:$AN$113))-DT84,0)</f>
        <v>0</v>
      </c>
      <c r="DV85" s="648">
        <f>IFERROR(SUM(DU85,SUMIF(消毒!$B$14:$B$113,DV$23&amp;$B84,消毒!$AN$14:$AN$113))-DU84,0)</f>
        <v>0</v>
      </c>
      <c r="DW85" s="648">
        <f>IFERROR(SUM(DV85,SUMIF(消毒!$B$14:$B$113,DW$23&amp;$B84,消毒!$AN$14:$AN$113))-DV84,0)</f>
        <v>0</v>
      </c>
      <c r="DX85" s="648">
        <f>IFERROR(SUM(DW85,SUMIF(消毒!$B$14:$B$113,DX$23&amp;$B84,消毒!$AN$14:$AN$113))-DW84,0)</f>
        <v>0</v>
      </c>
      <c r="DY85" s="648">
        <f>IFERROR(SUM(DX85,SUMIF(消毒!$B$14:$B$113,DY$23&amp;$B84,消毒!$AN$14:$AN$113))-DX84,0)</f>
        <v>0</v>
      </c>
      <c r="DZ85" s="648">
        <f>IFERROR(SUM(DY85,SUMIF(消毒!$B$14:$B$113,DZ$23&amp;$B84,消毒!$AN$14:$AN$113))-DY84,0)</f>
        <v>0</v>
      </c>
      <c r="EA85" s="648">
        <f>IFERROR(SUM(DZ85,SUMIF(消毒!$B$14:$B$113,EA$23&amp;$B84,消毒!$AN$14:$AN$113))-DZ84,0)</f>
        <v>0</v>
      </c>
      <c r="EB85" s="648">
        <f>IFERROR(SUM(EA85,SUMIF(消毒!$B$14:$B$113,EB$23&amp;$B84,消毒!$AN$14:$AN$113))-EA84,0)</f>
        <v>0</v>
      </c>
      <c r="EC85" s="648">
        <f>IFERROR(SUM(EB85,SUMIF(消毒!$B$14:$B$113,EC$23&amp;$B84,消毒!$AN$14:$AN$113))-EB84,0)</f>
        <v>0</v>
      </c>
      <c r="ED85" s="648">
        <f>IFERROR(SUM(EC85,SUMIF(消毒!$B$14:$B$113,ED$23&amp;$B84,消毒!$AN$14:$AN$113))-EC84,0)</f>
        <v>0</v>
      </c>
      <c r="EE85" s="648">
        <f>IFERROR(SUM(ED85,SUMIF(消毒!$B$14:$B$113,EE$23&amp;$B84,消毒!$AN$14:$AN$113))-ED84,0)</f>
        <v>0</v>
      </c>
      <c r="EF85" s="648">
        <f>IFERROR(SUM(EE85,SUMIF(消毒!$B$14:$B$113,EF$23&amp;$B84,消毒!$AN$14:$AN$113))-EE84,0)</f>
        <v>0</v>
      </c>
      <c r="EG85" s="648">
        <f>IFERROR(SUM(EF85,SUMIF(消毒!$B$14:$B$113,EG$23&amp;$B84,消毒!$AN$14:$AN$113))-EF84,0)</f>
        <v>0</v>
      </c>
      <c r="EH85" s="648">
        <f>IFERROR(SUM(EG85,SUMIF(消毒!$B$14:$B$113,EH$23&amp;$B84,消毒!$AN$14:$AN$113))-EG84,0)</f>
        <v>0</v>
      </c>
      <c r="EI85" s="648">
        <f>IFERROR(SUM(EH85,SUMIF(消毒!$B$14:$B$113,EI$23&amp;$B84,消毒!$AN$14:$AN$113))-EH84,0)</f>
        <v>0</v>
      </c>
      <c r="EJ85" s="648">
        <f>IFERROR(SUM(EI85,SUMIF(消毒!$B$14:$B$113,EJ$23&amp;$B84,消毒!$AN$14:$AN$113))-EI84,0)</f>
        <v>0</v>
      </c>
      <c r="EK85" s="648">
        <f>IFERROR(SUM(EJ85,SUMIF(消毒!$B$14:$B$113,EK$23&amp;$B84,消毒!$AN$14:$AN$113))-EJ84,0)</f>
        <v>0</v>
      </c>
      <c r="EL85" s="648">
        <f>IFERROR(SUM(EK85,SUMIF(消毒!$B$14:$B$113,EL$23&amp;$B84,消毒!$AN$14:$AN$113))-EK84,0)</f>
        <v>0</v>
      </c>
      <c r="EM85" s="648">
        <f>IFERROR(SUM(EL85,SUMIF(消毒!$B$14:$B$113,EM$23&amp;$B84,消毒!$AN$14:$AN$113))-EL84,0)</f>
        <v>0</v>
      </c>
      <c r="EN85" s="648">
        <f>IFERROR(SUM(EM85,SUMIF(消毒!$B$14:$B$113,EN$23&amp;$B84,消毒!$AN$14:$AN$113))-EM84,0)</f>
        <v>0</v>
      </c>
      <c r="EO85" s="648">
        <f>IFERROR(SUM(EN85,SUMIF(消毒!$B$14:$B$113,EO$23&amp;$B84,消毒!$AN$14:$AN$113))-EN84,0)</f>
        <v>0</v>
      </c>
      <c r="EP85" s="648">
        <f>IFERROR(SUM(EO85,SUMIF(消毒!$B$14:$B$113,EP$23&amp;$B84,消毒!$AN$14:$AN$113))-EO84,0)</f>
        <v>0</v>
      </c>
      <c r="EQ85" s="648">
        <f>IFERROR(SUM(EP85,SUMIF(消毒!$B$14:$B$113,EQ$23&amp;$B84,消毒!$AN$14:$AN$113))-EP84,0)</f>
        <v>0</v>
      </c>
      <c r="ER85" s="648">
        <f>IFERROR(SUM(EQ85,SUMIF(消毒!$B$14:$B$113,ER$23&amp;$B84,消毒!$AN$14:$AN$113))-EQ84,0)</f>
        <v>0</v>
      </c>
      <c r="ES85" s="648">
        <f>IFERROR(SUM(ER85,SUMIF(消毒!$B$14:$B$113,ES$23&amp;$B84,消毒!$AN$14:$AN$113))-ER84,0)</f>
        <v>0</v>
      </c>
      <c r="ET85" s="648">
        <f>IFERROR(SUM(ES85,SUMIF(消毒!$B$14:$B$113,ET$23&amp;$B84,消毒!$AN$14:$AN$113))-ES84,0)</f>
        <v>0</v>
      </c>
      <c r="EU85" s="648">
        <f>IFERROR(SUM(ET85,SUMIF(消毒!$B$14:$B$113,EU$23&amp;$B84,消毒!$AN$14:$AN$113))-ET84,0)</f>
        <v>0</v>
      </c>
      <c r="EV85" s="648">
        <f>IFERROR(SUM(EU85,SUMIF(消毒!$B$14:$B$113,EV$23&amp;$B84,消毒!$AN$14:$AN$113))-EU84,0)</f>
        <v>0</v>
      </c>
      <c r="EW85" s="648">
        <f>IFERROR(SUM(EV85,SUMIF(消毒!$B$14:$B$113,EW$23&amp;$B84,消毒!$AN$14:$AN$113))-EV84,0)</f>
        <v>0</v>
      </c>
      <c r="EX85" s="648">
        <f>IFERROR(SUM(EW85,SUMIF(消毒!$B$14:$B$113,EX$23&amp;$B84,消毒!$AN$14:$AN$113))-EW84,0)</f>
        <v>0</v>
      </c>
      <c r="EY85" s="648">
        <f>IFERROR(SUM(EX85,SUMIF(消毒!$B$14:$B$113,EY$23&amp;$B84,消毒!$AN$14:$AN$113))-EX84,0)</f>
        <v>0</v>
      </c>
      <c r="EZ85" s="648">
        <f>IFERROR(SUM(EY85,SUMIF(消毒!$B$14:$B$113,EZ$23&amp;$B84,消毒!$AN$14:$AN$113))-EY84,0)</f>
        <v>0</v>
      </c>
      <c r="FA85" s="648">
        <f>IFERROR(SUM(EZ85,SUMIF(消毒!$B$14:$B$113,FA$23&amp;$B84,消毒!$AN$14:$AN$113))-EZ84,0)</f>
        <v>0</v>
      </c>
      <c r="FB85" s="648">
        <f>IFERROR(SUM(FA85,SUMIF(消毒!$B$14:$B$113,FB$23&amp;$B84,消毒!$AN$14:$AN$113))-FA84,0)</f>
        <v>0</v>
      </c>
      <c r="FC85" s="648">
        <f>IFERROR(SUM(FB85,SUMIF(消毒!$B$14:$B$113,FC$23&amp;$B84,消毒!$AN$14:$AN$113))-FB84,0)</f>
        <v>0</v>
      </c>
      <c r="FD85" s="648">
        <f>IFERROR(SUM(FC85,SUMIF(消毒!$B$14:$B$113,FD$23&amp;$B84,消毒!$AN$14:$AN$113))-FC84,0)</f>
        <v>0</v>
      </c>
      <c r="FE85" s="648">
        <f>IFERROR(SUM(FD85,SUMIF(消毒!$B$14:$B$113,FE$23&amp;$B84,消毒!$AN$14:$AN$113))-FD84,0)</f>
        <v>0</v>
      </c>
      <c r="FF85" s="648">
        <f>IFERROR(SUM(FE85,SUMIF(消毒!$B$14:$B$113,FF$23&amp;$B84,消毒!$AN$14:$AN$113))-FE84,0)</f>
        <v>0</v>
      </c>
      <c r="FG85" s="648">
        <f>IFERROR(SUM(FF85,SUMIF(消毒!$B$14:$B$113,FG$23&amp;$B84,消毒!$AN$14:$AN$113))-FF84,0)</f>
        <v>0</v>
      </c>
      <c r="FH85" s="648">
        <f>IFERROR(SUM(FG85,SUMIF(消毒!$B$14:$B$113,FH$23&amp;$B84,消毒!$AN$14:$AN$113))-FG84,0)</f>
        <v>0</v>
      </c>
      <c r="FI85" s="648">
        <f>IFERROR(SUM(FH85,SUMIF(消毒!$B$14:$B$113,FI$23&amp;$B84,消毒!$AN$14:$AN$113))-FH84,0)</f>
        <v>0</v>
      </c>
      <c r="FJ85" s="648">
        <f>IFERROR(SUM(FI85,SUMIF(消毒!$B$14:$B$113,FJ$23&amp;$B84,消毒!$AN$14:$AN$113))-FI84,0)</f>
        <v>0</v>
      </c>
      <c r="FK85" s="648">
        <f>IFERROR(SUM(FJ85,SUMIF(消毒!$B$14:$B$113,FK$23&amp;$B84,消毒!$AN$14:$AN$113))-FJ84,0)</f>
        <v>0</v>
      </c>
      <c r="FL85" s="648">
        <f>IFERROR(SUM(FK85,SUMIF(消毒!$B$14:$B$113,FL$23&amp;$B84,消毒!$AN$14:$AN$113))-FK84,0)</f>
        <v>0</v>
      </c>
      <c r="FM85" s="648">
        <f>IFERROR(SUM(FL85,SUMIF(消毒!$B$14:$B$113,FM$23&amp;$B84,消毒!$AN$14:$AN$113))-FL84,0)</f>
        <v>0</v>
      </c>
      <c r="FN85" s="648">
        <f>IFERROR(SUM(FM85,SUMIF(消毒!$B$14:$B$113,FN$23&amp;$B84,消毒!$AN$14:$AN$113))-FM84,0)</f>
        <v>0</v>
      </c>
      <c r="FO85" s="648">
        <f>IFERROR(SUM(FN85,SUMIF(消毒!$B$14:$B$113,FO$23&amp;$B84,消毒!$AN$14:$AN$113))-FN84,0)</f>
        <v>0</v>
      </c>
      <c r="FP85" s="648">
        <f>IFERROR(SUM(FO85,SUMIF(消毒!$B$14:$B$113,FP$23&amp;$B84,消毒!$AN$14:$AN$113))-FO84,0)</f>
        <v>0</v>
      </c>
      <c r="FQ85" s="648">
        <f>IFERROR(SUM(FP85,SUMIF(消毒!$B$14:$B$113,FQ$23&amp;$B84,消毒!$AN$14:$AN$113))-FP84,0)</f>
        <v>0</v>
      </c>
      <c r="FR85" s="648">
        <f>IFERROR(SUM(FQ85,SUMIF(消毒!$B$14:$B$113,FR$23&amp;$B84,消毒!$AN$14:$AN$113))-FQ84,0)</f>
        <v>0</v>
      </c>
      <c r="FS85" s="648">
        <f>IFERROR(SUM(FR85,SUMIF(消毒!$B$14:$B$113,FS$23&amp;$B84,消毒!$AN$14:$AN$113))-FR84,0)</f>
        <v>0</v>
      </c>
      <c r="FT85" s="648">
        <f>IFERROR(SUM(FS85,SUMIF(消毒!$B$14:$B$113,FT$23&amp;$B84,消毒!$AN$14:$AN$113))-FS84,0)</f>
        <v>0</v>
      </c>
      <c r="FU85" s="648">
        <f>IFERROR(SUM(FT85,SUMIF(消毒!$B$14:$B$113,FU$23&amp;$B84,消毒!$AN$14:$AN$113))-FT84,0)</f>
        <v>0</v>
      </c>
      <c r="FV85" s="648">
        <f>IFERROR(SUM(FU85,SUMIF(消毒!$B$14:$B$113,FV$23&amp;$B84,消毒!$AN$14:$AN$113))-FU84,0)</f>
        <v>0</v>
      </c>
      <c r="FW85" s="648">
        <f>IFERROR(SUM(FV85,SUMIF(消毒!$B$14:$B$113,FW$23&amp;$B84,消毒!$AN$14:$AN$113))-FV84,0)</f>
        <v>0</v>
      </c>
      <c r="FX85" s="648">
        <f>IFERROR(SUM(FW85,SUMIF(消毒!$B$14:$B$113,FX$23&amp;$B84,消毒!$AN$14:$AN$113))-FW84,0)</f>
        <v>0</v>
      </c>
      <c r="FY85" s="648">
        <f>IFERROR(SUM(FX85,SUMIF(消毒!$B$14:$B$113,FY$23&amp;$B84,消毒!$AN$14:$AN$113))-FX84,0)</f>
        <v>0</v>
      </c>
      <c r="FZ85" s="648">
        <f>IFERROR(SUM(FY85,SUMIF(消毒!$B$14:$B$113,FZ$23&amp;$B84,消毒!$AN$14:$AN$113))-FY84,0)</f>
        <v>0</v>
      </c>
      <c r="GA85" s="648">
        <f>IFERROR(SUM(FZ85,SUMIF(消毒!$B$14:$B$113,GA$23&amp;$B84,消毒!$AN$14:$AN$113))-FZ84,0)</f>
        <v>0</v>
      </c>
      <c r="GB85" s="648">
        <f>IFERROR(SUM(GA85,SUMIF(消毒!$B$14:$B$113,GB$23&amp;$B84,消毒!$AN$14:$AN$113))-GA84,0)</f>
        <v>0</v>
      </c>
      <c r="GC85" s="648">
        <f>IFERROR(SUM(GB85,SUMIF(消毒!$B$14:$B$113,GC$23&amp;$B84,消毒!$AN$14:$AN$113))-GB84,0)</f>
        <v>0</v>
      </c>
      <c r="GD85" s="648">
        <f>IFERROR(SUM(GC85,SUMIF(消毒!$B$14:$B$113,GD$23&amp;$B84,消毒!$AN$14:$AN$113))-GC84,0)</f>
        <v>0</v>
      </c>
      <c r="GE85" s="648">
        <f>IFERROR(SUM(GD85,SUMIF(消毒!$B$14:$B$113,GE$23&amp;$B84,消毒!$AN$14:$AN$113))-GD84,0)</f>
        <v>0</v>
      </c>
      <c r="GF85" s="648">
        <f>IFERROR(SUM(GE85,SUMIF(消毒!$B$14:$B$113,GF$23&amp;$B84,消毒!$AN$14:$AN$113))-GE84,0)</f>
        <v>0</v>
      </c>
    </row>
    <row r="86" spans="1:188" s="647" customFormat="1" ht="15" hidden="1" customHeight="1" x14ac:dyDescent="0.4">
      <c r="A86" s="631"/>
      <c r="B86" s="647" t="s">
        <v>1264</v>
      </c>
      <c r="C86" s="1710"/>
      <c r="D86" s="1711"/>
      <c r="E86" s="648"/>
      <c r="F86" s="648">
        <v>1000</v>
      </c>
      <c r="G86" s="648">
        <f>IFERROR(
IF(G$25="休診日",F86,
IF(F86-VLOOKUP(F$22&amp;$B84,$B$96:$D$191,2,FALSE)&lt;0,0,F86-VLOOKUP(F$22&amp;$B84,$B$96:$D$191,2,FALSE))),0)</f>
        <v>1000</v>
      </c>
      <c r="H86" s="648">
        <f t="shared" ref="H86:BS86" si="103">IFERROR(
IF(H$25="休診日",G86,
IF(G86-VLOOKUP(G$22&amp;$B84,$B$96:$D$191,2,FALSE)&lt;0,0,G86-VLOOKUP(G$22&amp;$B84,$B$96:$D$191,2,FALSE))),0)</f>
        <v>1000</v>
      </c>
      <c r="I86" s="648">
        <f t="shared" si="103"/>
        <v>1000</v>
      </c>
      <c r="J86" s="648">
        <f t="shared" si="103"/>
        <v>1000</v>
      </c>
      <c r="K86" s="648">
        <f t="shared" si="103"/>
        <v>1000</v>
      </c>
      <c r="L86" s="648">
        <f t="shared" si="103"/>
        <v>1000</v>
      </c>
      <c r="M86" s="648">
        <f t="shared" si="103"/>
        <v>1000</v>
      </c>
      <c r="N86" s="648">
        <f t="shared" si="103"/>
        <v>1000</v>
      </c>
      <c r="O86" s="648">
        <f t="shared" si="103"/>
        <v>1000</v>
      </c>
      <c r="P86" s="648">
        <f t="shared" si="103"/>
        <v>1000</v>
      </c>
      <c r="Q86" s="648">
        <f t="shared" si="103"/>
        <v>1000</v>
      </c>
      <c r="R86" s="648">
        <f t="shared" si="103"/>
        <v>1000</v>
      </c>
      <c r="S86" s="648">
        <f t="shared" si="103"/>
        <v>1000</v>
      </c>
      <c r="T86" s="648">
        <f t="shared" si="103"/>
        <v>1000</v>
      </c>
      <c r="U86" s="648">
        <f t="shared" si="103"/>
        <v>1000</v>
      </c>
      <c r="V86" s="648">
        <f t="shared" si="103"/>
        <v>1000</v>
      </c>
      <c r="W86" s="648">
        <f t="shared" si="103"/>
        <v>1000</v>
      </c>
      <c r="X86" s="648">
        <f t="shared" si="103"/>
        <v>1000</v>
      </c>
      <c r="Y86" s="648">
        <f t="shared" si="103"/>
        <v>1000</v>
      </c>
      <c r="Z86" s="648">
        <f t="shared" si="103"/>
        <v>1000</v>
      </c>
      <c r="AA86" s="648">
        <f t="shared" si="103"/>
        <v>1000</v>
      </c>
      <c r="AB86" s="648">
        <f t="shared" si="103"/>
        <v>1000</v>
      </c>
      <c r="AC86" s="648">
        <f t="shared" si="103"/>
        <v>1000</v>
      </c>
      <c r="AD86" s="648">
        <f t="shared" si="103"/>
        <v>1000</v>
      </c>
      <c r="AE86" s="648">
        <f t="shared" si="103"/>
        <v>1000</v>
      </c>
      <c r="AF86" s="648">
        <f t="shared" si="103"/>
        <v>1000</v>
      </c>
      <c r="AG86" s="648">
        <f t="shared" si="103"/>
        <v>1000</v>
      </c>
      <c r="AH86" s="648">
        <f t="shared" si="103"/>
        <v>1000</v>
      </c>
      <c r="AI86" s="648">
        <f t="shared" si="103"/>
        <v>1000</v>
      </c>
      <c r="AJ86" s="648">
        <f t="shared" si="103"/>
        <v>1000</v>
      </c>
      <c r="AK86" s="648">
        <f t="shared" si="103"/>
        <v>1000</v>
      </c>
      <c r="AL86" s="648">
        <f t="shared" si="103"/>
        <v>1000</v>
      </c>
      <c r="AM86" s="648">
        <f t="shared" si="103"/>
        <v>1000</v>
      </c>
      <c r="AN86" s="648">
        <f t="shared" si="103"/>
        <v>1000</v>
      </c>
      <c r="AO86" s="648">
        <f t="shared" si="103"/>
        <v>1000</v>
      </c>
      <c r="AP86" s="648">
        <f t="shared" si="103"/>
        <v>1000</v>
      </c>
      <c r="AQ86" s="648">
        <f t="shared" si="103"/>
        <v>1000</v>
      </c>
      <c r="AR86" s="648">
        <f t="shared" si="103"/>
        <v>1000</v>
      </c>
      <c r="AS86" s="648">
        <f t="shared" si="103"/>
        <v>1000</v>
      </c>
      <c r="AT86" s="648">
        <f t="shared" si="103"/>
        <v>1000</v>
      </c>
      <c r="AU86" s="648">
        <f t="shared" si="103"/>
        <v>1000</v>
      </c>
      <c r="AV86" s="648">
        <f t="shared" si="103"/>
        <v>1000</v>
      </c>
      <c r="AW86" s="648">
        <f t="shared" si="103"/>
        <v>1000</v>
      </c>
      <c r="AX86" s="648">
        <f t="shared" si="103"/>
        <v>1000</v>
      </c>
      <c r="AY86" s="648">
        <f t="shared" si="103"/>
        <v>1000</v>
      </c>
      <c r="AZ86" s="648">
        <f t="shared" si="103"/>
        <v>1000</v>
      </c>
      <c r="BA86" s="648">
        <f t="shared" si="103"/>
        <v>1000</v>
      </c>
      <c r="BB86" s="648">
        <f t="shared" si="103"/>
        <v>1000</v>
      </c>
      <c r="BC86" s="648">
        <f t="shared" si="103"/>
        <v>1000</v>
      </c>
      <c r="BD86" s="648">
        <f t="shared" si="103"/>
        <v>1000</v>
      </c>
      <c r="BE86" s="648">
        <f t="shared" si="103"/>
        <v>1000</v>
      </c>
      <c r="BF86" s="648">
        <f t="shared" si="103"/>
        <v>1000</v>
      </c>
      <c r="BG86" s="648">
        <f t="shared" si="103"/>
        <v>1000</v>
      </c>
      <c r="BH86" s="648">
        <f t="shared" si="103"/>
        <v>1000</v>
      </c>
      <c r="BI86" s="648">
        <f t="shared" si="103"/>
        <v>1000</v>
      </c>
      <c r="BJ86" s="648">
        <f t="shared" si="103"/>
        <v>1000</v>
      </c>
      <c r="BK86" s="648">
        <f t="shared" si="103"/>
        <v>1000</v>
      </c>
      <c r="BL86" s="648">
        <f t="shared" si="103"/>
        <v>1000</v>
      </c>
      <c r="BM86" s="648">
        <f t="shared" si="103"/>
        <v>1000</v>
      </c>
      <c r="BN86" s="648">
        <f t="shared" si="103"/>
        <v>1000</v>
      </c>
      <c r="BO86" s="648">
        <f t="shared" si="103"/>
        <v>1000</v>
      </c>
      <c r="BP86" s="648">
        <f t="shared" si="103"/>
        <v>1000</v>
      </c>
      <c r="BQ86" s="648">
        <f t="shared" si="103"/>
        <v>1000</v>
      </c>
      <c r="BR86" s="648">
        <f t="shared" si="103"/>
        <v>1000</v>
      </c>
      <c r="BS86" s="648">
        <f t="shared" si="103"/>
        <v>1000</v>
      </c>
      <c r="BT86" s="648">
        <f t="shared" ref="BT86:EE86" si="104">IFERROR(
IF(BT$25="休診日",BS86,
IF(BS86-VLOOKUP(BS$22&amp;$B84,$B$96:$D$191,2,FALSE)&lt;0,0,BS86-VLOOKUP(BS$22&amp;$B84,$B$96:$D$191,2,FALSE))),0)</f>
        <v>1000</v>
      </c>
      <c r="BU86" s="648">
        <f t="shared" si="104"/>
        <v>1000</v>
      </c>
      <c r="BV86" s="648">
        <f t="shared" si="104"/>
        <v>1000</v>
      </c>
      <c r="BW86" s="648">
        <f t="shared" si="104"/>
        <v>1000</v>
      </c>
      <c r="BX86" s="648">
        <f t="shared" si="104"/>
        <v>1000</v>
      </c>
      <c r="BY86" s="648">
        <f t="shared" si="104"/>
        <v>1000</v>
      </c>
      <c r="BZ86" s="648">
        <f t="shared" si="104"/>
        <v>1000</v>
      </c>
      <c r="CA86" s="648">
        <f t="shared" si="104"/>
        <v>1000</v>
      </c>
      <c r="CB86" s="648">
        <f t="shared" si="104"/>
        <v>1000</v>
      </c>
      <c r="CC86" s="648">
        <f t="shared" si="104"/>
        <v>1000</v>
      </c>
      <c r="CD86" s="648">
        <f t="shared" si="104"/>
        <v>1000</v>
      </c>
      <c r="CE86" s="648">
        <f t="shared" si="104"/>
        <v>1000</v>
      </c>
      <c r="CF86" s="648">
        <f t="shared" si="104"/>
        <v>1000</v>
      </c>
      <c r="CG86" s="648">
        <f t="shared" si="104"/>
        <v>1000</v>
      </c>
      <c r="CH86" s="648">
        <f t="shared" si="104"/>
        <v>1000</v>
      </c>
      <c r="CI86" s="648">
        <f t="shared" si="104"/>
        <v>1000</v>
      </c>
      <c r="CJ86" s="648">
        <f t="shared" si="104"/>
        <v>1000</v>
      </c>
      <c r="CK86" s="648">
        <f t="shared" si="104"/>
        <v>1000</v>
      </c>
      <c r="CL86" s="648">
        <f t="shared" si="104"/>
        <v>1000</v>
      </c>
      <c r="CM86" s="648">
        <f t="shared" si="104"/>
        <v>1000</v>
      </c>
      <c r="CN86" s="648">
        <f t="shared" si="104"/>
        <v>1000</v>
      </c>
      <c r="CO86" s="648">
        <f t="shared" si="104"/>
        <v>1000</v>
      </c>
      <c r="CP86" s="648">
        <f t="shared" si="104"/>
        <v>1000</v>
      </c>
      <c r="CQ86" s="648">
        <f t="shared" si="104"/>
        <v>1000</v>
      </c>
      <c r="CR86" s="648">
        <f t="shared" si="104"/>
        <v>1000</v>
      </c>
      <c r="CS86" s="648">
        <f t="shared" si="104"/>
        <v>1000</v>
      </c>
      <c r="CT86" s="648">
        <f t="shared" si="104"/>
        <v>1000</v>
      </c>
      <c r="CU86" s="648">
        <f t="shared" si="104"/>
        <v>1000</v>
      </c>
      <c r="CV86" s="648">
        <f t="shared" si="104"/>
        <v>1000</v>
      </c>
      <c r="CW86" s="648">
        <f t="shared" si="104"/>
        <v>1000</v>
      </c>
      <c r="CX86" s="648">
        <f t="shared" si="104"/>
        <v>1000</v>
      </c>
      <c r="CY86" s="648">
        <f t="shared" si="104"/>
        <v>1000</v>
      </c>
      <c r="CZ86" s="648">
        <f t="shared" si="104"/>
        <v>1000</v>
      </c>
      <c r="DA86" s="648">
        <f t="shared" si="104"/>
        <v>1000</v>
      </c>
      <c r="DB86" s="648">
        <f t="shared" si="104"/>
        <v>1000</v>
      </c>
      <c r="DC86" s="648">
        <f t="shared" si="104"/>
        <v>1000</v>
      </c>
      <c r="DD86" s="648">
        <f t="shared" si="104"/>
        <v>1000</v>
      </c>
      <c r="DE86" s="648">
        <f t="shared" si="104"/>
        <v>1000</v>
      </c>
      <c r="DF86" s="648">
        <f t="shared" si="104"/>
        <v>1000</v>
      </c>
      <c r="DG86" s="648">
        <f t="shared" si="104"/>
        <v>1000</v>
      </c>
      <c r="DH86" s="648">
        <f t="shared" si="104"/>
        <v>1000</v>
      </c>
      <c r="DI86" s="648">
        <f t="shared" si="104"/>
        <v>1000</v>
      </c>
      <c r="DJ86" s="648">
        <f t="shared" si="104"/>
        <v>1000</v>
      </c>
      <c r="DK86" s="648">
        <f t="shared" si="104"/>
        <v>1000</v>
      </c>
      <c r="DL86" s="648">
        <f t="shared" si="104"/>
        <v>1000</v>
      </c>
      <c r="DM86" s="648">
        <f t="shared" si="104"/>
        <v>1000</v>
      </c>
      <c r="DN86" s="648">
        <f t="shared" si="104"/>
        <v>1000</v>
      </c>
      <c r="DO86" s="648">
        <f t="shared" si="104"/>
        <v>1000</v>
      </c>
      <c r="DP86" s="648">
        <f t="shared" si="104"/>
        <v>1000</v>
      </c>
      <c r="DQ86" s="648">
        <f t="shared" si="104"/>
        <v>1000</v>
      </c>
      <c r="DR86" s="648">
        <f t="shared" si="104"/>
        <v>1000</v>
      </c>
      <c r="DS86" s="648">
        <f t="shared" si="104"/>
        <v>1000</v>
      </c>
      <c r="DT86" s="648">
        <f t="shared" si="104"/>
        <v>1000</v>
      </c>
      <c r="DU86" s="648">
        <f t="shared" si="104"/>
        <v>1000</v>
      </c>
      <c r="DV86" s="648">
        <f t="shared" si="104"/>
        <v>1000</v>
      </c>
      <c r="DW86" s="648">
        <f t="shared" si="104"/>
        <v>1000</v>
      </c>
      <c r="DX86" s="648">
        <f t="shared" si="104"/>
        <v>1000</v>
      </c>
      <c r="DY86" s="648">
        <f t="shared" si="104"/>
        <v>1000</v>
      </c>
      <c r="DZ86" s="648">
        <f t="shared" si="104"/>
        <v>1000</v>
      </c>
      <c r="EA86" s="648">
        <f t="shared" si="104"/>
        <v>1000</v>
      </c>
      <c r="EB86" s="648">
        <f t="shared" si="104"/>
        <v>1000</v>
      </c>
      <c r="EC86" s="648">
        <f t="shared" si="104"/>
        <v>1000</v>
      </c>
      <c r="ED86" s="648">
        <f t="shared" si="104"/>
        <v>1000</v>
      </c>
      <c r="EE86" s="648">
        <f t="shared" si="104"/>
        <v>1000</v>
      </c>
      <c r="EF86" s="648">
        <f t="shared" ref="EF86:GF86" si="105">IFERROR(
IF(EF$25="休診日",EE86,
IF(EE86-VLOOKUP(EE$22&amp;$B84,$B$96:$D$191,2,FALSE)&lt;0,0,EE86-VLOOKUP(EE$22&amp;$B84,$B$96:$D$191,2,FALSE))),0)</f>
        <v>1000</v>
      </c>
      <c r="EG86" s="648">
        <f t="shared" si="105"/>
        <v>1000</v>
      </c>
      <c r="EH86" s="648">
        <f t="shared" si="105"/>
        <v>1000</v>
      </c>
      <c r="EI86" s="648">
        <f t="shared" si="105"/>
        <v>1000</v>
      </c>
      <c r="EJ86" s="648">
        <f t="shared" si="105"/>
        <v>1000</v>
      </c>
      <c r="EK86" s="648">
        <f t="shared" si="105"/>
        <v>1000</v>
      </c>
      <c r="EL86" s="648">
        <f t="shared" si="105"/>
        <v>1000</v>
      </c>
      <c r="EM86" s="648">
        <f t="shared" si="105"/>
        <v>1000</v>
      </c>
      <c r="EN86" s="648">
        <f t="shared" si="105"/>
        <v>1000</v>
      </c>
      <c r="EO86" s="648">
        <f t="shared" si="105"/>
        <v>1000</v>
      </c>
      <c r="EP86" s="648">
        <f t="shared" si="105"/>
        <v>1000</v>
      </c>
      <c r="EQ86" s="648">
        <f t="shared" si="105"/>
        <v>1000</v>
      </c>
      <c r="ER86" s="648">
        <f t="shared" si="105"/>
        <v>1000</v>
      </c>
      <c r="ES86" s="648">
        <f t="shared" si="105"/>
        <v>1000</v>
      </c>
      <c r="ET86" s="648">
        <f t="shared" si="105"/>
        <v>1000</v>
      </c>
      <c r="EU86" s="648">
        <f t="shared" si="105"/>
        <v>1000</v>
      </c>
      <c r="EV86" s="648">
        <f t="shared" si="105"/>
        <v>1000</v>
      </c>
      <c r="EW86" s="648">
        <f t="shared" si="105"/>
        <v>1000</v>
      </c>
      <c r="EX86" s="648">
        <f t="shared" si="105"/>
        <v>1000</v>
      </c>
      <c r="EY86" s="648">
        <f t="shared" si="105"/>
        <v>1000</v>
      </c>
      <c r="EZ86" s="648">
        <f t="shared" si="105"/>
        <v>1000</v>
      </c>
      <c r="FA86" s="648">
        <f t="shared" si="105"/>
        <v>1000</v>
      </c>
      <c r="FB86" s="648">
        <f t="shared" si="105"/>
        <v>1000</v>
      </c>
      <c r="FC86" s="648">
        <f t="shared" si="105"/>
        <v>1000</v>
      </c>
      <c r="FD86" s="648">
        <f t="shared" si="105"/>
        <v>1000</v>
      </c>
      <c r="FE86" s="648">
        <f t="shared" si="105"/>
        <v>1000</v>
      </c>
      <c r="FF86" s="648">
        <f t="shared" si="105"/>
        <v>1000</v>
      </c>
      <c r="FG86" s="648">
        <f t="shared" si="105"/>
        <v>1000</v>
      </c>
      <c r="FH86" s="648">
        <f t="shared" si="105"/>
        <v>1000</v>
      </c>
      <c r="FI86" s="648">
        <f t="shared" si="105"/>
        <v>1000</v>
      </c>
      <c r="FJ86" s="648">
        <f t="shared" si="105"/>
        <v>1000</v>
      </c>
      <c r="FK86" s="648">
        <f t="shared" si="105"/>
        <v>1000</v>
      </c>
      <c r="FL86" s="648">
        <f t="shared" si="105"/>
        <v>1000</v>
      </c>
      <c r="FM86" s="648">
        <f t="shared" si="105"/>
        <v>1000</v>
      </c>
      <c r="FN86" s="648">
        <f t="shared" si="105"/>
        <v>1000</v>
      </c>
      <c r="FO86" s="648">
        <f t="shared" si="105"/>
        <v>1000</v>
      </c>
      <c r="FP86" s="648">
        <f t="shared" si="105"/>
        <v>1000</v>
      </c>
      <c r="FQ86" s="648">
        <f t="shared" si="105"/>
        <v>1000</v>
      </c>
      <c r="FR86" s="648">
        <f t="shared" si="105"/>
        <v>1000</v>
      </c>
      <c r="FS86" s="648">
        <f t="shared" si="105"/>
        <v>1000</v>
      </c>
      <c r="FT86" s="648">
        <f t="shared" si="105"/>
        <v>1000</v>
      </c>
      <c r="FU86" s="648">
        <f t="shared" si="105"/>
        <v>1000</v>
      </c>
      <c r="FV86" s="648">
        <f t="shared" si="105"/>
        <v>1000</v>
      </c>
      <c r="FW86" s="648">
        <f t="shared" si="105"/>
        <v>1000</v>
      </c>
      <c r="FX86" s="648">
        <f t="shared" si="105"/>
        <v>1000</v>
      </c>
      <c r="FY86" s="648">
        <f t="shared" si="105"/>
        <v>1000</v>
      </c>
      <c r="FZ86" s="648">
        <f t="shared" si="105"/>
        <v>1000</v>
      </c>
      <c r="GA86" s="648">
        <f t="shared" si="105"/>
        <v>1000</v>
      </c>
      <c r="GB86" s="648">
        <f t="shared" si="105"/>
        <v>1000</v>
      </c>
      <c r="GC86" s="648">
        <f t="shared" si="105"/>
        <v>1000</v>
      </c>
      <c r="GD86" s="648">
        <f t="shared" si="105"/>
        <v>1000</v>
      </c>
      <c r="GE86" s="648">
        <f t="shared" si="105"/>
        <v>1000</v>
      </c>
      <c r="GF86" s="648">
        <f t="shared" si="105"/>
        <v>1000</v>
      </c>
    </row>
    <row r="87" spans="1:188" s="649" customFormat="1" ht="15" hidden="1" customHeight="1" x14ac:dyDescent="0.4">
      <c r="A87" s="631"/>
      <c r="B87" s="649" t="s">
        <v>1289</v>
      </c>
      <c r="C87" s="1712"/>
      <c r="D87" s="1713"/>
      <c r="E87" s="650"/>
      <c r="F87" s="650">
        <f xml:space="preserve">
IF($F$25="休診日",0,
MIN(F88,IF((VLOOKUP($F$22&amp;$B87,$B$96:$D$191,2,FALSE)-F89)&lt;0,0,VLOOKUP($F$22&amp;$B87,$B$96:$D$191,2,FALSE)-F89)))</f>
        <v>0</v>
      </c>
      <c r="G87" s="650">
        <f xml:space="preserve">
IF(G$25="休診日",0,
IF(G89&gt;=VLOOKUP(G$22&amp;$B87,$B$96:$D$191,2,FALSE),0,
IF(AND(G89&lt;VLOOKUP(G$22&amp;$B87,$B$96:$D$191,2,FALSE),G88&lt;=VLOOKUP(G$22&amp;$B87,$B$96:$D$191,2,FALSE)),G88,
IF(AND(G89&lt;VLOOKUP(G$22&amp;$B87,$B$96:$D$191,2,FALSE),G88&gt;VLOOKUP(G$22&amp;$B87,$B$96:$D$191,2,FALSE)),
VLOOKUP(G$22&amp;$B87,$B$96:$D$191,2,FALSE)-G89))))</f>
        <v>0</v>
      </c>
      <c r="H87" s="650">
        <f t="shared" ref="H87:BS87" si="106" xml:space="preserve">
IF(H$25="休診日",0,
IF(H89&gt;=VLOOKUP(H$22&amp;$B87,$B$96:$D$191,2,FALSE),0,
IF(AND(H89&lt;VLOOKUP(H$22&amp;$B87,$B$96:$D$191,2,FALSE),H88&lt;=VLOOKUP(H$22&amp;$B87,$B$96:$D$191,2,FALSE)),H88,
IF(AND(H89&lt;VLOOKUP(H$22&amp;$B87,$B$96:$D$191,2,FALSE),H88&gt;VLOOKUP(H$22&amp;$B87,$B$96:$D$191,2,FALSE)),
VLOOKUP(H$22&amp;$B87,$B$96:$D$191,2,FALSE)-H89))))</f>
        <v>0</v>
      </c>
      <c r="I87" s="650">
        <f t="shared" si="106"/>
        <v>0</v>
      </c>
      <c r="J87" s="650">
        <f t="shared" si="106"/>
        <v>0</v>
      </c>
      <c r="K87" s="650">
        <f t="shared" si="106"/>
        <v>0</v>
      </c>
      <c r="L87" s="650">
        <f t="shared" si="106"/>
        <v>0</v>
      </c>
      <c r="M87" s="650">
        <f t="shared" si="106"/>
        <v>0</v>
      </c>
      <c r="N87" s="650">
        <f t="shared" si="106"/>
        <v>0</v>
      </c>
      <c r="O87" s="650">
        <f t="shared" si="106"/>
        <v>0</v>
      </c>
      <c r="P87" s="650">
        <f t="shared" si="106"/>
        <v>0</v>
      </c>
      <c r="Q87" s="650">
        <f t="shared" si="106"/>
        <v>0</v>
      </c>
      <c r="R87" s="650">
        <f t="shared" si="106"/>
        <v>0</v>
      </c>
      <c r="S87" s="650">
        <f t="shared" si="106"/>
        <v>0</v>
      </c>
      <c r="T87" s="650">
        <f t="shared" si="106"/>
        <v>0</v>
      </c>
      <c r="U87" s="650">
        <f t="shared" si="106"/>
        <v>0</v>
      </c>
      <c r="V87" s="650">
        <f t="shared" si="106"/>
        <v>0</v>
      </c>
      <c r="W87" s="650">
        <f t="shared" si="106"/>
        <v>0</v>
      </c>
      <c r="X87" s="650">
        <f t="shared" si="106"/>
        <v>0</v>
      </c>
      <c r="Y87" s="650">
        <f t="shared" si="106"/>
        <v>0</v>
      </c>
      <c r="Z87" s="650">
        <f t="shared" si="106"/>
        <v>0</v>
      </c>
      <c r="AA87" s="650">
        <f t="shared" si="106"/>
        <v>0</v>
      </c>
      <c r="AB87" s="650">
        <f t="shared" si="106"/>
        <v>0</v>
      </c>
      <c r="AC87" s="650">
        <f t="shared" si="106"/>
        <v>0</v>
      </c>
      <c r="AD87" s="650">
        <f t="shared" si="106"/>
        <v>0</v>
      </c>
      <c r="AE87" s="650">
        <f t="shared" si="106"/>
        <v>0</v>
      </c>
      <c r="AF87" s="650">
        <f t="shared" si="106"/>
        <v>0</v>
      </c>
      <c r="AG87" s="650">
        <f t="shared" si="106"/>
        <v>0</v>
      </c>
      <c r="AH87" s="650">
        <f t="shared" si="106"/>
        <v>0</v>
      </c>
      <c r="AI87" s="650">
        <f t="shared" si="106"/>
        <v>0</v>
      </c>
      <c r="AJ87" s="650">
        <f t="shared" si="106"/>
        <v>0</v>
      </c>
      <c r="AK87" s="650">
        <f t="shared" si="106"/>
        <v>0</v>
      </c>
      <c r="AL87" s="650">
        <f t="shared" si="106"/>
        <v>0</v>
      </c>
      <c r="AM87" s="650">
        <f t="shared" si="106"/>
        <v>0</v>
      </c>
      <c r="AN87" s="650">
        <f t="shared" si="106"/>
        <v>0</v>
      </c>
      <c r="AO87" s="650">
        <f t="shared" si="106"/>
        <v>0</v>
      </c>
      <c r="AP87" s="650">
        <f t="shared" si="106"/>
        <v>0</v>
      </c>
      <c r="AQ87" s="650">
        <f t="shared" si="106"/>
        <v>0</v>
      </c>
      <c r="AR87" s="650">
        <f t="shared" si="106"/>
        <v>0</v>
      </c>
      <c r="AS87" s="650">
        <f t="shared" si="106"/>
        <v>0</v>
      </c>
      <c r="AT87" s="650">
        <f t="shared" si="106"/>
        <v>0</v>
      </c>
      <c r="AU87" s="650">
        <f t="shared" si="106"/>
        <v>0</v>
      </c>
      <c r="AV87" s="650">
        <f t="shared" si="106"/>
        <v>0</v>
      </c>
      <c r="AW87" s="650">
        <f t="shared" si="106"/>
        <v>0</v>
      </c>
      <c r="AX87" s="650">
        <f t="shared" si="106"/>
        <v>0</v>
      </c>
      <c r="AY87" s="650">
        <f t="shared" si="106"/>
        <v>0</v>
      </c>
      <c r="AZ87" s="650">
        <f t="shared" si="106"/>
        <v>0</v>
      </c>
      <c r="BA87" s="650">
        <f t="shared" si="106"/>
        <v>0</v>
      </c>
      <c r="BB87" s="650">
        <f t="shared" si="106"/>
        <v>0</v>
      </c>
      <c r="BC87" s="650">
        <f t="shared" si="106"/>
        <v>0</v>
      </c>
      <c r="BD87" s="650">
        <f t="shared" si="106"/>
        <v>0</v>
      </c>
      <c r="BE87" s="650">
        <f t="shared" si="106"/>
        <v>0</v>
      </c>
      <c r="BF87" s="650">
        <f t="shared" si="106"/>
        <v>0</v>
      </c>
      <c r="BG87" s="650">
        <f t="shared" si="106"/>
        <v>0</v>
      </c>
      <c r="BH87" s="650">
        <f t="shared" si="106"/>
        <v>0</v>
      </c>
      <c r="BI87" s="650">
        <f t="shared" si="106"/>
        <v>0</v>
      </c>
      <c r="BJ87" s="650">
        <f t="shared" si="106"/>
        <v>0</v>
      </c>
      <c r="BK87" s="650">
        <f t="shared" si="106"/>
        <v>0</v>
      </c>
      <c r="BL87" s="650">
        <f t="shared" si="106"/>
        <v>0</v>
      </c>
      <c r="BM87" s="650">
        <f t="shared" si="106"/>
        <v>0</v>
      </c>
      <c r="BN87" s="650">
        <f t="shared" si="106"/>
        <v>0</v>
      </c>
      <c r="BO87" s="650">
        <f t="shared" si="106"/>
        <v>0</v>
      </c>
      <c r="BP87" s="650">
        <f t="shared" si="106"/>
        <v>0</v>
      </c>
      <c r="BQ87" s="650">
        <f t="shared" si="106"/>
        <v>0</v>
      </c>
      <c r="BR87" s="650">
        <f t="shared" si="106"/>
        <v>0</v>
      </c>
      <c r="BS87" s="650">
        <f t="shared" si="106"/>
        <v>0</v>
      </c>
      <c r="BT87" s="650">
        <f t="shared" ref="BT87:EE87" si="107" xml:space="preserve">
IF(BT$25="休診日",0,
IF(BT89&gt;=VLOOKUP(BT$22&amp;$B87,$B$96:$D$191,2,FALSE),0,
IF(AND(BT89&lt;VLOOKUP(BT$22&amp;$B87,$B$96:$D$191,2,FALSE),BT88&lt;=VLOOKUP(BT$22&amp;$B87,$B$96:$D$191,2,FALSE)),BT88,
IF(AND(BT89&lt;VLOOKUP(BT$22&amp;$B87,$B$96:$D$191,2,FALSE),BT88&gt;VLOOKUP(BT$22&amp;$B87,$B$96:$D$191,2,FALSE)),
VLOOKUP(BT$22&amp;$B87,$B$96:$D$191,2,FALSE)-BT89))))</f>
        <v>0</v>
      </c>
      <c r="BU87" s="650">
        <f t="shared" si="107"/>
        <v>0</v>
      </c>
      <c r="BV87" s="650">
        <f t="shared" si="107"/>
        <v>0</v>
      </c>
      <c r="BW87" s="650">
        <f t="shared" si="107"/>
        <v>0</v>
      </c>
      <c r="BX87" s="650">
        <f t="shared" si="107"/>
        <v>0</v>
      </c>
      <c r="BY87" s="650">
        <f t="shared" si="107"/>
        <v>0</v>
      </c>
      <c r="BZ87" s="650">
        <f t="shared" si="107"/>
        <v>0</v>
      </c>
      <c r="CA87" s="650">
        <f t="shared" si="107"/>
        <v>0</v>
      </c>
      <c r="CB87" s="650">
        <f t="shared" si="107"/>
        <v>0</v>
      </c>
      <c r="CC87" s="650">
        <f t="shared" si="107"/>
        <v>0</v>
      </c>
      <c r="CD87" s="650">
        <f t="shared" si="107"/>
        <v>0</v>
      </c>
      <c r="CE87" s="650">
        <f t="shared" si="107"/>
        <v>0</v>
      </c>
      <c r="CF87" s="650">
        <f t="shared" si="107"/>
        <v>0</v>
      </c>
      <c r="CG87" s="650">
        <f t="shared" si="107"/>
        <v>0</v>
      </c>
      <c r="CH87" s="650">
        <f t="shared" si="107"/>
        <v>0</v>
      </c>
      <c r="CI87" s="650">
        <f t="shared" si="107"/>
        <v>0</v>
      </c>
      <c r="CJ87" s="650">
        <f t="shared" si="107"/>
        <v>0</v>
      </c>
      <c r="CK87" s="650">
        <f t="shared" si="107"/>
        <v>0</v>
      </c>
      <c r="CL87" s="650">
        <f t="shared" si="107"/>
        <v>0</v>
      </c>
      <c r="CM87" s="650">
        <f t="shared" si="107"/>
        <v>0</v>
      </c>
      <c r="CN87" s="650">
        <f t="shared" si="107"/>
        <v>0</v>
      </c>
      <c r="CO87" s="650">
        <f t="shared" si="107"/>
        <v>0</v>
      </c>
      <c r="CP87" s="650">
        <f t="shared" si="107"/>
        <v>0</v>
      </c>
      <c r="CQ87" s="650">
        <f t="shared" si="107"/>
        <v>0</v>
      </c>
      <c r="CR87" s="650">
        <f t="shared" si="107"/>
        <v>0</v>
      </c>
      <c r="CS87" s="650">
        <f t="shared" si="107"/>
        <v>0</v>
      </c>
      <c r="CT87" s="650">
        <f t="shared" si="107"/>
        <v>0</v>
      </c>
      <c r="CU87" s="650">
        <f t="shared" si="107"/>
        <v>0</v>
      </c>
      <c r="CV87" s="650">
        <f t="shared" si="107"/>
        <v>0</v>
      </c>
      <c r="CW87" s="650">
        <f t="shared" si="107"/>
        <v>0</v>
      </c>
      <c r="CX87" s="650">
        <f t="shared" si="107"/>
        <v>0</v>
      </c>
      <c r="CY87" s="650">
        <f t="shared" si="107"/>
        <v>0</v>
      </c>
      <c r="CZ87" s="650">
        <f t="shared" si="107"/>
        <v>0</v>
      </c>
      <c r="DA87" s="650">
        <f t="shared" si="107"/>
        <v>0</v>
      </c>
      <c r="DB87" s="650">
        <f t="shared" si="107"/>
        <v>0</v>
      </c>
      <c r="DC87" s="650">
        <f t="shared" si="107"/>
        <v>0</v>
      </c>
      <c r="DD87" s="650">
        <f t="shared" si="107"/>
        <v>0</v>
      </c>
      <c r="DE87" s="650">
        <f t="shared" si="107"/>
        <v>0</v>
      </c>
      <c r="DF87" s="650">
        <f t="shared" si="107"/>
        <v>0</v>
      </c>
      <c r="DG87" s="650">
        <f t="shared" si="107"/>
        <v>0</v>
      </c>
      <c r="DH87" s="650">
        <f t="shared" si="107"/>
        <v>0</v>
      </c>
      <c r="DI87" s="650">
        <f t="shared" si="107"/>
        <v>0</v>
      </c>
      <c r="DJ87" s="650">
        <f t="shared" si="107"/>
        <v>0</v>
      </c>
      <c r="DK87" s="650">
        <f t="shared" si="107"/>
        <v>0</v>
      </c>
      <c r="DL87" s="650">
        <f t="shared" si="107"/>
        <v>0</v>
      </c>
      <c r="DM87" s="650">
        <f t="shared" si="107"/>
        <v>0</v>
      </c>
      <c r="DN87" s="650">
        <f t="shared" si="107"/>
        <v>0</v>
      </c>
      <c r="DO87" s="650">
        <f t="shared" si="107"/>
        <v>0</v>
      </c>
      <c r="DP87" s="650">
        <f t="shared" si="107"/>
        <v>0</v>
      </c>
      <c r="DQ87" s="650">
        <f t="shared" si="107"/>
        <v>0</v>
      </c>
      <c r="DR87" s="650">
        <f t="shared" si="107"/>
        <v>0</v>
      </c>
      <c r="DS87" s="650">
        <f t="shared" si="107"/>
        <v>0</v>
      </c>
      <c r="DT87" s="650">
        <f t="shared" si="107"/>
        <v>0</v>
      </c>
      <c r="DU87" s="650">
        <f t="shared" si="107"/>
        <v>0</v>
      </c>
      <c r="DV87" s="650">
        <f t="shared" si="107"/>
        <v>0</v>
      </c>
      <c r="DW87" s="650">
        <f t="shared" si="107"/>
        <v>0</v>
      </c>
      <c r="DX87" s="650">
        <f t="shared" si="107"/>
        <v>0</v>
      </c>
      <c r="DY87" s="650">
        <f t="shared" si="107"/>
        <v>0</v>
      </c>
      <c r="DZ87" s="650">
        <f t="shared" si="107"/>
        <v>0</v>
      </c>
      <c r="EA87" s="650">
        <f t="shared" si="107"/>
        <v>0</v>
      </c>
      <c r="EB87" s="650">
        <f t="shared" si="107"/>
        <v>0</v>
      </c>
      <c r="EC87" s="650">
        <f t="shared" si="107"/>
        <v>0</v>
      </c>
      <c r="ED87" s="650">
        <f t="shared" si="107"/>
        <v>0</v>
      </c>
      <c r="EE87" s="650">
        <f t="shared" si="107"/>
        <v>0</v>
      </c>
      <c r="EF87" s="650">
        <f t="shared" ref="EF87:GF87" si="108" xml:space="preserve">
IF(EF$25="休診日",0,
IF(EF89&gt;=VLOOKUP(EF$22&amp;$B87,$B$96:$D$191,2,FALSE),0,
IF(AND(EF89&lt;VLOOKUP(EF$22&amp;$B87,$B$96:$D$191,2,FALSE),EF88&lt;=VLOOKUP(EF$22&amp;$B87,$B$96:$D$191,2,FALSE)),EF88,
IF(AND(EF89&lt;VLOOKUP(EF$22&amp;$B87,$B$96:$D$191,2,FALSE),EF88&gt;VLOOKUP(EF$22&amp;$B87,$B$96:$D$191,2,FALSE)),
VLOOKUP(EF$22&amp;$B87,$B$96:$D$191,2,FALSE)-EF89))))</f>
        <v>0</v>
      </c>
      <c r="EG87" s="650">
        <f t="shared" si="108"/>
        <v>0</v>
      </c>
      <c r="EH87" s="650">
        <f t="shared" si="108"/>
        <v>0</v>
      </c>
      <c r="EI87" s="650">
        <f t="shared" si="108"/>
        <v>0</v>
      </c>
      <c r="EJ87" s="650">
        <f t="shared" si="108"/>
        <v>0</v>
      </c>
      <c r="EK87" s="650">
        <f t="shared" si="108"/>
        <v>0</v>
      </c>
      <c r="EL87" s="650">
        <f t="shared" si="108"/>
        <v>0</v>
      </c>
      <c r="EM87" s="650">
        <f t="shared" si="108"/>
        <v>0</v>
      </c>
      <c r="EN87" s="650">
        <f t="shared" si="108"/>
        <v>0</v>
      </c>
      <c r="EO87" s="650">
        <f t="shared" si="108"/>
        <v>0</v>
      </c>
      <c r="EP87" s="650">
        <f t="shared" si="108"/>
        <v>0</v>
      </c>
      <c r="EQ87" s="650">
        <f t="shared" si="108"/>
        <v>0</v>
      </c>
      <c r="ER87" s="650">
        <f t="shared" si="108"/>
        <v>0</v>
      </c>
      <c r="ES87" s="650">
        <f t="shared" si="108"/>
        <v>0</v>
      </c>
      <c r="ET87" s="650">
        <f t="shared" si="108"/>
        <v>0</v>
      </c>
      <c r="EU87" s="650">
        <f t="shared" si="108"/>
        <v>0</v>
      </c>
      <c r="EV87" s="650">
        <f t="shared" si="108"/>
        <v>0</v>
      </c>
      <c r="EW87" s="650">
        <f t="shared" si="108"/>
        <v>0</v>
      </c>
      <c r="EX87" s="650">
        <f t="shared" si="108"/>
        <v>0</v>
      </c>
      <c r="EY87" s="650">
        <f t="shared" si="108"/>
        <v>0</v>
      </c>
      <c r="EZ87" s="650">
        <f t="shared" si="108"/>
        <v>0</v>
      </c>
      <c r="FA87" s="650">
        <f t="shared" si="108"/>
        <v>0</v>
      </c>
      <c r="FB87" s="650">
        <f t="shared" si="108"/>
        <v>0</v>
      </c>
      <c r="FC87" s="650">
        <f t="shared" si="108"/>
        <v>0</v>
      </c>
      <c r="FD87" s="650">
        <f t="shared" si="108"/>
        <v>0</v>
      </c>
      <c r="FE87" s="650">
        <f t="shared" si="108"/>
        <v>0</v>
      </c>
      <c r="FF87" s="650">
        <f t="shared" si="108"/>
        <v>0</v>
      </c>
      <c r="FG87" s="650">
        <f t="shared" si="108"/>
        <v>0</v>
      </c>
      <c r="FH87" s="650">
        <f t="shared" si="108"/>
        <v>0</v>
      </c>
      <c r="FI87" s="650">
        <f t="shared" si="108"/>
        <v>0</v>
      </c>
      <c r="FJ87" s="650">
        <f t="shared" si="108"/>
        <v>0</v>
      </c>
      <c r="FK87" s="650">
        <f t="shared" si="108"/>
        <v>0</v>
      </c>
      <c r="FL87" s="650">
        <f t="shared" si="108"/>
        <v>0</v>
      </c>
      <c r="FM87" s="650">
        <f t="shared" si="108"/>
        <v>0</v>
      </c>
      <c r="FN87" s="650">
        <f t="shared" si="108"/>
        <v>0</v>
      </c>
      <c r="FO87" s="650">
        <f t="shared" si="108"/>
        <v>0</v>
      </c>
      <c r="FP87" s="650">
        <f t="shared" si="108"/>
        <v>0</v>
      </c>
      <c r="FQ87" s="650">
        <f t="shared" si="108"/>
        <v>0</v>
      </c>
      <c r="FR87" s="650">
        <f t="shared" si="108"/>
        <v>0</v>
      </c>
      <c r="FS87" s="650">
        <f t="shared" si="108"/>
        <v>0</v>
      </c>
      <c r="FT87" s="650">
        <f t="shared" si="108"/>
        <v>0</v>
      </c>
      <c r="FU87" s="650">
        <f t="shared" si="108"/>
        <v>0</v>
      </c>
      <c r="FV87" s="650">
        <f t="shared" si="108"/>
        <v>0</v>
      </c>
      <c r="FW87" s="650">
        <f t="shared" si="108"/>
        <v>0</v>
      </c>
      <c r="FX87" s="650">
        <f t="shared" si="108"/>
        <v>0</v>
      </c>
      <c r="FY87" s="650">
        <f t="shared" si="108"/>
        <v>0</v>
      </c>
      <c r="FZ87" s="650">
        <f t="shared" si="108"/>
        <v>0</v>
      </c>
      <c r="GA87" s="650">
        <f t="shared" si="108"/>
        <v>0</v>
      </c>
      <c r="GB87" s="650">
        <f t="shared" si="108"/>
        <v>0</v>
      </c>
      <c r="GC87" s="650">
        <f t="shared" si="108"/>
        <v>0</v>
      </c>
      <c r="GD87" s="650">
        <f t="shared" si="108"/>
        <v>0</v>
      </c>
      <c r="GE87" s="650">
        <f t="shared" si="108"/>
        <v>0</v>
      </c>
      <c r="GF87" s="650">
        <f t="shared" si="108"/>
        <v>0</v>
      </c>
    </row>
    <row r="88" spans="1:188" s="649" customFormat="1" ht="15" hidden="1" customHeight="1" x14ac:dyDescent="0.4">
      <c r="A88" s="631"/>
      <c r="B88" s="649" t="s">
        <v>1265</v>
      </c>
      <c r="C88" s="1712"/>
      <c r="D88" s="1713"/>
      <c r="E88" s="650"/>
      <c r="F88" s="650">
        <f>SUMIF(消毒!$B$14:$B$113,$F$23&amp;$B87,消毒!$AN$14:$AN$113)</f>
        <v>0</v>
      </c>
      <c r="G88" s="650">
        <f>IFERROR(SUM(F88,SUMIF(消毒!$B$14:$B$113,G$23&amp;$B87,消毒!$AN$14:$AN$113))-F87,0)</f>
        <v>0</v>
      </c>
      <c r="H88" s="650">
        <f>IFERROR(SUM(G88,SUMIF(消毒!$B$14:$B$113,H$23&amp;$B87,消毒!$AN$14:$AN$113))-G87,0)</f>
        <v>0</v>
      </c>
      <c r="I88" s="650">
        <f>IFERROR(SUM(H88,SUMIF(消毒!$B$14:$B$113,I$23&amp;$B87,消毒!$AN$14:$AN$113))-H87,0)</f>
        <v>0</v>
      </c>
      <c r="J88" s="650">
        <f>IFERROR(SUM(I88,SUMIF(消毒!$B$14:$B$113,J$23&amp;$B87,消毒!$AN$14:$AN$113))-I87,0)</f>
        <v>0</v>
      </c>
      <c r="K88" s="650">
        <f>IFERROR(SUM(J88,SUMIF(消毒!$B$14:$B$113,K$23&amp;$B87,消毒!$AN$14:$AN$113))-J87,0)</f>
        <v>0</v>
      </c>
      <c r="L88" s="650">
        <f>IFERROR(SUM(K88,SUMIF(消毒!$B$14:$B$113,L$23&amp;$B87,消毒!$AN$14:$AN$113))-K87,0)</f>
        <v>0</v>
      </c>
      <c r="M88" s="650">
        <f>IFERROR(SUM(L88,SUMIF(消毒!$B$14:$B$113,M$23&amp;$B87,消毒!$AN$14:$AN$113))-L87,0)</f>
        <v>0</v>
      </c>
      <c r="N88" s="650">
        <f>IFERROR(SUM(M88,SUMIF(消毒!$B$14:$B$113,N$23&amp;$B87,消毒!$AN$14:$AN$113))-M87,0)</f>
        <v>0</v>
      </c>
      <c r="O88" s="650">
        <f>IFERROR(SUM(N88,SUMIF(消毒!$B$14:$B$113,O$23&amp;$B87,消毒!$AN$14:$AN$113))-N87,0)</f>
        <v>0</v>
      </c>
      <c r="P88" s="650">
        <f>IFERROR(SUM(O88,SUMIF(消毒!$B$14:$B$113,P$23&amp;$B87,消毒!$AN$14:$AN$113))-O87,0)</f>
        <v>0</v>
      </c>
      <c r="Q88" s="650">
        <f>IFERROR(SUM(P88,SUMIF(消毒!$B$14:$B$113,Q$23&amp;$B87,消毒!$AN$14:$AN$113))-P87,0)</f>
        <v>0</v>
      </c>
      <c r="R88" s="650">
        <f>IFERROR(SUM(Q88,SUMIF(消毒!$B$14:$B$113,R$23&amp;$B87,消毒!$AN$14:$AN$113))-Q87,0)</f>
        <v>0</v>
      </c>
      <c r="S88" s="650">
        <f>IFERROR(SUM(R88,SUMIF(消毒!$B$14:$B$113,S$23&amp;$B87,消毒!$AN$14:$AN$113))-R87,0)</f>
        <v>0</v>
      </c>
      <c r="T88" s="650">
        <f>IFERROR(SUM(S88,SUMIF(消毒!$B$14:$B$113,T$23&amp;$B87,消毒!$AN$14:$AN$113))-S87,0)</f>
        <v>0</v>
      </c>
      <c r="U88" s="650">
        <f>IFERROR(SUM(T88,SUMIF(消毒!$B$14:$B$113,U$23&amp;$B87,消毒!$AN$14:$AN$113))-T87,0)</f>
        <v>0</v>
      </c>
      <c r="V88" s="650">
        <f>IFERROR(SUM(U88,SUMIF(消毒!$B$14:$B$113,V$23&amp;$B87,消毒!$AN$14:$AN$113))-U87,0)</f>
        <v>0</v>
      </c>
      <c r="W88" s="650">
        <f>IFERROR(SUM(V88,SUMIF(消毒!$B$14:$B$113,W$23&amp;$B87,消毒!$AN$14:$AN$113))-V87,0)</f>
        <v>0</v>
      </c>
      <c r="X88" s="650">
        <f>IFERROR(SUM(W88,SUMIF(消毒!$B$14:$B$113,X$23&amp;$B87,消毒!$AN$14:$AN$113))-W87,0)</f>
        <v>0</v>
      </c>
      <c r="Y88" s="650">
        <f>IFERROR(SUM(X88,SUMIF(消毒!$B$14:$B$113,Y$23&amp;$B87,消毒!$AN$14:$AN$113))-X87,0)</f>
        <v>0</v>
      </c>
      <c r="Z88" s="650">
        <f>IFERROR(SUM(Y88,SUMIF(消毒!$B$14:$B$113,Z$23&amp;$B87,消毒!$AN$14:$AN$113))-Y87,0)</f>
        <v>0</v>
      </c>
      <c r="AA88" s="650">
        <f>IFERROR(SUM(Z88,SUMIF(消毒!$B$14:$B$113,AA$23&amp;$B87,消毒!$AN$14:$AN$113))-Z87,0)</f>
        <v>0</v>
      </c>
      <c r="AB88" s="650">
        <f>IFERROR(SUM(AA88,SUMIF(消毒!$B$14:$B$113,AB$23&amp;$B87,消毒!$AN$14:$AN$113))-AA87,0)</f>
        <v>0</v>
      </c>
      <c r="AC88" s="650">
        <f>IFERROR(SUM(AB88,SUMIF(消毒!$B$14:$B$113,AC$23&amp;$B87,消毒!$AN$14:$AN$113))-AB87,0)</f>
        <v>0</v>
      </c>
      <c r="AD88" s="650">
        <f>IFERROR(SUM(AC88,SUMIF(消毒!$B$14:$B$113,AD$23&amp;$B87,消毒!$AN$14:$AN$113))-AC87,0)</f>
        <v>0</v>
      </c>
      <c r="AE88" s="650">
        <f>IFERROR(SUM(AD88,SUMIF(消毒!$B$14:$B$113,AE$23&amp;$B87,消毒!$AN$14:$AN$113))-AD87,0)</f>
        <v>0</v>
      </c>
      <c r="AF88" s="650">
        <f>IFERROR(SUM(AE88,SUMIF(消毒!$B$14:$B$113,AF$23&amp;$B87,消毒!$AN$14:$AN$113))-AE87,0)</f>
        <v>0</v>
      </c>
      <c r="AG88" s="650">
        <f>IFERROR(SUM(AF88,SUMIF(消毒!$B$14:$B$113,AG$23&amp;$B87,消毒!$AN$14:$AN$113))-AF87,0)</f>
        <v>0</v>
      </c>
      <c r="AH88" s="650">
        <f>IFERROR(SUM(AG88,SUMIF(消毒!$B$14:$B$113,AH$23&amp;$B87,消毒!$AN$14:$AN$113))-AG87,0)</f>
        <v>0</v>
      </c>
      <c r="AI88" s="650">
        <f>IFERROR(SUM(AH88,SUMIF(消毒!$B$14:$B$113,AI$23&amp;$B87,消毒!$AN$14:$AN$113))-AH87,0)</f>
        <v>0</v>
      </c>
      <c r="AJ88" s="650">
        <f>IFERROR(SUM(AI88,SUMIF(消毒!$B$14:$B$113,AJ$23&amp;$B87,消毒!$AN$14:$AN$113))-AI87,0)</f>
        <v>0</v>
      </c>
      <c r="AK88" s="650">
        <f>IFERROR(SUM(AJ88,SUMIF(消毒!$B$14:$B$113,AK$23&amp;$B87,消毒!$AN$14:$AN$113))-AJ87,0)</f>
        <v>0</v>
      </c>
      <c r="AL88" s="650">
        <f>IFERROR(SUM(AK88,SUMIF(消毒!$B$14:$B$113,AL$23&amp;$B87,消毒!$AN$14:$AN$113))-AK87,0)</f>
        <v>0</v>
      </c>
      <c r="AM88" s="650">
        <f>IFERROR(SUM(AL88,SUMIF(消毒!$B$14:$B$113,AM$23&amp;$B87,消毒!$AN$14:$AN$113))-AL87,0)</f>
        <v>0</v>
      </c>
      <c r="AN88" s="650">
        <f>IFERROR(SUM(AM88,SUMIF(消毒!$B$14:$B$113,AN$23&amp;$B87,消毒!$AN$14:$AN$113))-AM87,0)</f>
        <v>0</v>
      </c>
      <c r="AO88" s="650">
        <f>IFERROR(SUM(AN88,SUMIF(消毒!$B$14:$B$113,AO$23&amp;$B87,消毒!$AN$14:$AN$113))-AN87,0)</f>
        <v>0</v>
      </c>
      <c r="AP88" s="650">
        <f>IFERROR(SUM(AO88,SUMIF(消毒!$B$14:$B$113,AP$23&amp;$B87,消毒!$AN$14:$AN$113))-AO87,0)</f>
        <v>0</v>
      </c>
      <c r="AQ88" s="650">
        <f>IFERROR(SUM(AP88,SUMIF(消毒!$B$14:$B$113,AQ$23&amp;$B87,消毒!$AN$14:$AN$113))-AP87,0)</f>
        <v>0</v>
      </c>
      <c r="AR88" s="650">
        <f>IFERROR(SUM(AQ88,SUMIF(消毒!$B$14:$B$113,AR$23&amp;$B87,消毒!$AN$14:$AN$113))-AQ87,0)</f>
        <v>0</v>
      </c>
      <c r="AS88" s="650">
        <f>IFERROR(SUM(AR88,SUMIF(消毒!$B$14:$B$113,AS$23&amp;$B87,消毒!$AN$14:$AN$113))-AR87,0)</f>
        <v>0</v>
      </c>
      <c r="AT88" s="650">
        <f>IFERROR(SUM(AS88,SUMIF(消毒!$B$14:$B$113,AT$23&amp;$B87,消毒!$AN$14:$AN$113))-AS87,0)</f>
        <v>0</v>
      </c>
      <c r="AU88" s="650">
        <f>IFERROR(SUM(AT88,SUMIF(消毒!$B$14:$B$113,AU$23&amp;$B87,消毒!$AN$14:$AN$113))-AT87,0)</f>
        <v>0</v>
      </c>
      <c r="AV88" s="650">
        <f>IFERROR(SUM(AU88,SUMIF(消毒!$B$14:$B$113,AV$23&amp;$B87,消毒!$AN$14:$AN$113))-AU87,0)</f>
        <v>0</v>
      </c>
      <c r="AW88" s="650">
        <f>IFERROR(SUM(AV88,SUMIF(消毒!$B$14:$B$113,AW$23&amp;$B87,消毒!$AN$14:$AN$113))-AV87,0)</f>
        <v>0</v>
      </c>
      <c r="AX88" s="650">
        <f>IFERROR(SUM(AW88,SUMIF(消毒!$B$14:$B$113,AX$23&amp;$B87,消毒!$AN$14:$AN$113))-AW87,0)</f>
        <v>0</v>
      </c>
      <c r="AY88" s="650">
        <f>IFERROR(SUM(AX88,SUMIF(消毒!$B$14:$B$113,AY$23&amp;$B87,消毒!$AN$14:$AN$113))-AX87,0)</f>
        <v>0</v>
      </c>
      <c r="AZ88" s="650">
        <f>IFERROR(SUM(AY88,SUMIF(消毒!$B$14:$B$113,AZ$23&amp;$B87,消毒!$AN$14:$AN$113))-AY87,0)</f>
        <v>0</v>
      </c>
      <c r="BA88" s="650">
        <f>IFERROR(SUM(AZ88,SUMIF(消毒!$B$14:$B$113,BA$23&amp;$B87,消毒!$AN$14:$AN$113))-AZ87,0)</f>
        <v>0</v>
      </c>
      <c r="BB88" s="650">
        <f>IFERROR(SUM(BA88,SUMIF(消毒!$B$14:$B$113,BB$23&amp;$B87,消毒!$AN$14:$AN$113))-BA87,0)</f>
        <v>0</v>
      </c>
      <c r="BC88" s="650">
        <f>IFERROR(SUM(BB88,SUMIF(消毒!$B$14:$B$113,BC$23&amp;$B87,消毒!$AN$14:$AN$113))-BB87,0)</f>
        <v>0</v>
      </c>
      <c r="BD88" s="650">
        <f>IFERROR(SUM(BC88,SUMIF(消毒!$B$14:$B$113,BD$23&amp;$B87,消毒!$AN$14:$AN$113))-BC87,0)</f>
        <v>0</v>
      </c>
      <c r="BE88" s="650">
        <f>IFERROR(SUM(BD88,SUMIF(消毒!$B$14:$B$113,BE$23&amp;$B87,消毒!$AN$14:$AN$113))-BD87,0)</f>
        <v>0</v>
      </c>
      <c r="BF88" s="650">
        <f>IFERROR(SUM(BE88,SUMIF(消毒!$B$14:$B$113,BF$23&amp;$B87,消毒!$AN$14:$AN$113))-BE87,0)</f>
        <v>0</v>
      </c>
      <c r="BG88" s="650">
        <f>IFERROR(SUM(BF88,SUMIF(消毒!$B$14:$B$113,BG$23&amp;$B87,消毒!$AN$14:$AN$113))-BF87,0)</f>
        <v>0</v>
      </c>
      <c r="BH88" s="650">
        <f>IFERROR(SUM(BG88,SUMIF(消毒!$B$14:$B$113,BH$23&amp;$B87,消毒!$AN$14:$AN$113))-BG87,0)</f>
        <v>0</v>
      </c>
      <c r="BI88" s="650">
        <f>IFERROR(SUM(BH88,SUMIF(消毒!$B$14:$B$113,BI$23&amp;$B87,消毒!$AN$14:$AN$113))-BH87,0)</f>
        <v>0</v>
      </c>
      <c r="BJ88" s="650">
        <f>IFERROR(SUM(BI88,SUMIF(消毒!$B$14:$B$113,BJ$23&amp;$B87,消毒!$AN$14:$AN$113))-BI87,0)</f>
        <v>0</v>
      </c>
      <c r="BK88" s="650">
        <f>IFERROR(SUM(BJ88,SUMIF(消毒!$B$14:$B$113,BK$23&amp;$B87,消毒!$AN$14:$AN$113))-BJ87,0)</f>
        <v>0</v>
      </c>
      <c r="BL88" s="650">
        <f>IFERROR(SUM(BK88,SUMIF(消毒!$B$14:$B$113,BL$23&amp;$B87,消毒!$AN$14:$AN$113))-BK87,0)</f>
        <v>0</v>
      </c>
      <c r="BM88" s="650">
        <f>IFERROR(SUM(BL88,SUMIF(消毒!$B$14:$B$113,BM$23&amp;$B87,消毒!$AN$14:$AN$113))-BL87,0)</f>
        <v>0</v>
      </c>
      <c r="BN88" s="650">
        <f>IFERROR(SUM(BM88,SUMIF(消毒!$B$14:$B$113,BN$23&amp;$B87,消毒!$AN$14:$AN$113))-BM87,0)</f>
        <v>0</v>
      </c>
      <c r="BO88" s="650">
        <f>IFERROR(SUM(BN88,SUMIF(消毒!$B$14:$B$113,BO$23&amp;$B87,消毒!$AN$14:$AN$113))-BN87,0)</f>
        <v>0</v>
      </c>
      <c r="BP88" s="650">
        <f>IFERROR(SUM(BO88,SUMIF(消毒!$B$14:$B$113,BP$23&amp;$B87,消毒!$AN$14:$AN$113))-BO87,0)</f>
        <v>0</v>
      </c>
      <c r="BQ88" s="650">
        <f>IFERROR(SUM(BP88,SUMIF(消毒!$B$14:$B$113,BQ$23&amp;$B87,消毒!$AN$14:$AN$113))-BP87,0)</f>
        <v>0</v>
      </c>
      <c r="BR88" s="650">
        <f>IFERROR(SUM(BQ88,SUMIF(消毒!$B$14:$B$113,BR$23&amp;$B87,消毒!$AN$14:$AN$113))-BQ87,0)</f>
        <v>0</v>
      </c>
      <c r="BS88" s="650">
        <f>IFERROR(SUM(BR88,SUMIF(消毒!$B$14:$B$113,BS$23&amp;$B87,消毒!$AN$14:$AN$113))-BR87,0)</f>
        <v>0</v>
      </c>
      <c r="BT88" s="650">
        <f>IFERROR(SUM(BS88,SUMIF(消毒!$B$14:$B$113,BT$23&amp;$B87,消毒!$AN$14:$AN$113))-BS87,0)</f>
        <v>0</v>
      </c>
      <c r="BU88" s="650">
        <f>IFERROR(SUM(BT88,SUMIF(消毒!$B$14:$B$113,BU$23&amp;$B87,消毒!$AN$14:$AN$113))-BT87,0)</f>
        <v>0</v>
      </c>
      <c r="BV88" s="650">
        <f>IFERROR(SUM(BU88,SUMIF(消毒!$B$14:$B$113,BV$23&amp;$B87,消毒!$AN$14:$AN$113))-BU87,0)</f>
        <v>0</v>
      </c>
      <c r="BW88" s="650">
        <f>IFERROR(SUM(BV88,SUMIF(消毒!$B$14:$B$113,BW$23&amp;$B87,消毒!$AN$14:$AN$113))-BV87,0)</f>
        <v>0</v>
      </c>
      <c r="BX88" s="650">
        <f>IFERROR(SUM(BW88,SUMIF(消毒!$B$14:$B$113,BX$23&amp;$B87,消毒!$AN$14:$AN$113))-BW87,0)</f>
        <v>0</v>
      </c>
      <c r="BY88" s="650">
        <f>IFERROR(SUM(BX88,SUMIF(消毒!$B$14:$B$113,BY$23&amp;$B87,消毒!$AN$14:$AN$113))-BX87,0)</f>
        <v>0</v>
      </c>
      <c r="BZ88" s="650">
        <f>IFERROR(SUM(BY88,SUMIF(消毒!$B$14:$B$113,BZ$23&amp;$B87,消毒!$AN$14:$AN$113))-BY87,0)</f>
        <v>0</v>
      </c>
      <c r="CA88" s="650">
        <f>IFERROR(SUM(BZ88,SUMIF(消毒!$B$14:$B$113,CA$23&amp;$B87,消毒!$AN$14:$AN$113))-BZ87,0)</f>
        <v>0</v>
      </c>
      <c r="CB88" s="650">
        <f>IFERROR(SUM(CA88,SUMIF(消毒!$B$14:$B$113,CB$23&amp;$B87,消毒!$AN$14:$AN$113))-CA87,0)</f>
        <v>0</v>
      </c>
      <c r="CC88" s="650">
        <f>IFERROR(SUM(CB88,SUMIF(消毒!$B$14:$B$113,CC$23&amp;$B87,消毒!$AN$14:$AN$113))-CB87,0)</f>
        <v>0</v>
      </c>
      <c r="CD88" s="650">
        <f>IFERROR(SUM(CC88,SUMIF(消毒!$B$14:$B$113,CD$23&amp;$B87,消毒!$AN$14:$AN$113))-CC87,0)</f>
        <v>0</v>
      </c>
      <c r="CE88" s="650">
        <f>IFERROR(SUM(CD88,SUMIF(消毒!$B$14:$B$113,CE$23&amp;$B87,消毒!$AN$14:$AN$113))-CD87,0)</f>
        <v>0</v>
      </c>
      <c r="CF88" s="650">
        <f>IFERROR(SUM(CE88,SUMIF(消毒!$B$14:$B$113,CF$23&amp;$B87,消毒!$AN$14:$AN$113))-CE87,0)</f>
        <v>0</v>
      </c>
      <c r="CG88" s="650">
        <f>IFERROR(SUM(CF88,SUMIF(消毒!$B$14:$B$113,CG$23&amp;$B87,消毒!$AN$14:$AN$113))-CF87,0)</f>
        <v>0</v>
      </c>
      <c r="CH88" s="650">
        <f>IFERROR(SUM(CG88,SUMIF(消毒!$B$14:$B$113,CH$23&amp;$B87,消毒!$AN$14:$AN$113))-CG87,0)</f>
        <v>0</v>
      </c>
      <c r="CI88" s="650">
        <f>IFERROR(SUM(CH88,SUMIF(消毒!$B$14:$B$113,CI$23&amp;$B87,消毒!$AN$14:$AN$113))-CH87,0)</f>
        <v>0</v>
      </c>
      <c r="CJ88" s="650">
        <f>IFERROR(SUM(CI88,SUMIF(消毒!$B$14:$B$113,CJ$23&amp;$B87,消毒!$AN$14:$AN$113))-CI87,0)</f>
        <v>0</v>
      </c>
      <c r="CK88" s="650">
        <f>IFERROR(SUM(CJ88,SUMIF(消毒!$B$14:$B$113,CK$23&amp;$B87,消毒!$AN$14:$AN$113))-CJ87,0)</f>
        <v>0</v>
      </c>
      <c r="CL88" s="650">
        <f>IFERROR(SUM(CK88,SUMIF(消毒!$B$14:$B$113,CL$23&amp;$B87,消毒!$AN$14:$AN$113))-CK87,0)</f>
        <v>0</v>
      </c>
      <c r="CM88" s="650">
        <f>IFERROR(SUM(CL88,SUMIF(消毒!$B$14:$B$113,CM$23&amp;$B87,消毒!$AN$14:$AN$113))-CL87,0)</f>
        <v>0</v>
      </c>
      <c r="CN88" s="650">
        <f>IFERROR(SUM(CM88,SUMIF(消毒!$B$14:$B$113,CN$23&amp;$B87,消毒!$AN$14:$AN$113))-CM87,0)</f>
        <v>0</v>
      </c>
      <c r="CO88" s="650">
        <f>IFERROR(SUM(CN88,SUMIF(消毒!$B$14:$B$113,CO$23&amp;$B87,消毒!$AN$14:$AN$113))-CN87,0)</f>
        <v>0</v>
      </c>
      <c r="CP88" s="650">
        <f>IFERROR(SUM(CO88,SUMIF(消毒!$B$14:$B$113,CP$23&amp;$B87,消毒!$AN$14:$AN$113))-CO87,0)</f>
        <v>0</v>
      </c>
      <c r="CQ88" s="650">
        <f>IFERROR(SUM(CP88,SUMIF(消毒!$B$14:$B$113,CQ$23&amp;$B87,消毒!$AN$14:$AN$113))-CP87,0)</f>
        <v>0</v>
      </c>
      <c r="CR88" s="650">
        <f>IFERROR(SUM(CQ88,SUMIF(消毒!$B$14:$B$113,CR$23&amp;$B87,消毒!$AN$14:$AN$113))-CQ87,0)</f>
        <v>0</v>
      </c>
      <c r="CS88" s="650">
        <f>IFERROR(SUM(CR88,SUMIF(消毒!$B$14:$B$113,CS$23&amp;$B87,消毒!$AN$14:$AN$113))-CR87,0)</f>
        <v>0</v>
      </c>
      <c r="CT88" s="650">
        <f>IFERROR(SUM(CS88,SUMIF(消毒!$B$14:$B$113,CT$23&amp;$B87,消毒!$AN$14:$AN$113))-CS87,0)</f>
        <v>0</v>
      </c>
      <c r="CU88" s="650">
        <f>IFERROR(SUM(CT88,SUMIF(消毒!$B$14:$B$113,CU$23&amp;$B87,消毒!$AN$14:$AN$113))-CT87,0)</f>
        <v>0</v>
      </c>
      <c r="CV88" s="650">
        <f>IFERROR(SUM(CU88,SUMIF(消毒!$B$14:$B$113,CV$23&amp;$B87,消毒!$AN$14:$AN$113))-CU87,0)</f>
        <v>0</v>
      </c>
      <c r="CW88" s="650">
        <f>IFERROR(SUM(CV88,SUMIF(消毒!$B$14:$B$113,CW$23&amp;$B87,消毒!$AN$14:$AN$113))-CV87,0)</f>
        <v>0</v>
      </c>
      <c r="CX88" s="650">
        <f>IFERROR(SUM(CW88,SUMIF(消毒!$B$14:$B$113,CX$23&amp;$B87,消毒!$AN$14:$AN$113))-CW87,0)</f>
        <v>0</v>
      </c>
      <c r="CY88" s="650">
        <f>IFERROR(SUM(CX88,SUMIF(消毒!$B$14:$B$113,CY$23&amp;$B87,消毒!$AN$14:$AN$113))-CX87,0)</f>
        <v>0</v>
      </c>
      <c r="CZ88" s="650">
        <f>IFERROR(SUM(CY88,SUMIF(消毒!$B$14:$B$113,CZ$23&amp;$B87,消毒!$AN$14:$AN$113))-CY87,0)</f>
        <v>0</v>
      </c>
      <c r="DA88" s="650">
        <f>IFERROR(SUM(CZ88,SUMIF(消毒!$B$14:$B$113,DA$23&amp;$B87,消毒!$AN$14:$AN$113))-CZ87,0)</f>
        <v>0</v>
      </c>
      <c r="DB88" s="650">
        <f>IFERROR(SUM(DA88,SUMIF(消毒!$B$14:$B$113,DB$23&amp;$B87,消毒!$AN$14:$AN$113))-DA87,0)</f>
        <v>0</v>
      </c>
      <c r="DC88" s="650">
        <f>IFERROR(SUM(DB88,SUMIF(消毒!$B$14:$B$113,DC$23&amp;$B87,消毒!$AN$14:$AN$113))-DB87,0)</f>
        <v>0</v>
      </c>
      <c r="DD88" s="650">
        <f>IFERROR(SUM(DC88,SUMIF(消毒!$B$14:$B$113,DD$23&amp;$B87,消毒!$AN$14:$AN$113))-DC87,0)</f>
        <v>0</v>
      </c>
      <c r="DE88" s="650">
        <f>IFERROR(SUM(DD88,SUMIF(消毒!$B$14:$B$113,DE$23&amp;$B87,消毒!$AN$14:$AN$113))-DD87,0)</f>
        <v>0</v>
      </c>
      <c r="DF88" s="650">
        <f>IFERROR(SUM(DE88,SUMIF(消毒!$B$14:$B$113,DF$23&amp;$B87,消毒!$AN$14:$AN$113))-DE87,0)</f>
        <v>0</v>
      </c>
      <c r="DG88" s="650">
        <f>IFERROR(SUM(DF88,SUMIF(消毒!$B$14:$B$113,DG$23&amp;$B87,消毒!$AN$14:$AN$113))-DF87,0)</f>
        <v>0</v>
      </c>
      <c r="DH88" s="650">
        <f>IFERROR(SUM(DG88,SUMIF(消毒!$B$14:$B$113,DH$23&amp;$B87,消毒!$AN$14:$AN$113))-DG87,0)</f>
        <v>0</v>
      </c>
      <c r="DI88" s="650">
        <f>IFERROR(SUM(DH88,SUMIF(消毒!$B$14:$B$113,DI$23&amp;$B87,消毒!$AN$14:$AN$113))-DH87,0)</f>
        <v>0</v>
      </c>
      <c r="DJ88" s="650">
        <f>IFERROR(SUM(DI88,SUMIF(消毒!$B$14:$B$113,DJ$23&amp;$B87,消毒!$AN$14:$AN$113))-DI87,0)</f>
        <v>0</v>
      </c>
      <c r="DK88" s="650">
        <f>IFERROR(SUM(DJ88,SUMIF(消毒!$B$14:$B$113,DK$23&amp;$B87,消毒!$AN$14:$AN$113))-DJ87,0)</f>
        <v>0</v>
      </c>
      <c r="DL88" s="650">
        <f>IFERROR(SUM(DK88,SUMIF(消毒!$B$14:$B$113,DL$23&amp;$B87,消毒!$AN$14:$AN$113))-DK87,0)</f>
        <v>0</v>
      </c>
      <c r="DM88" s="650">
        <f>IFERROR(SUM(DL88,SUMIF(消毒!$B$14:$B$113,DM$23&amp;$B87,消毒!$AN$14:$AN$113))-DL87,0)</f>
        <v>0</v>
      </c>
      <c r="DN88" s="650">
        <f>IFERROR(SUM(DM88,SUMIF(消毒!$B$14:$B$113,DN$23&amp;$B87,消毒!$AN$14:$AN$113))-DM87,0)</f>
        <v>0</v>
      </c>
      <c r="DO88" s="650">
        <f>IFERROR(SUM(DN88,SUMIF(消毒!$B$14:$B$113,DO$23&amp;$B87,消毒!$AN$14:$AN$113))-DN87,0)</f>
        <v>0</v>
      </c>
      <c r="DP88" s="650">
        <f>IFERROR(SUM(DO88,SUMIF(消毒!$B$14:$B$113,DP$23&amp;$B87,消毒!$AN$14:$AN$113))-DO87,0)</f>
        <v>0</v>
      </c>
      <c r="DQ88" s="650">
        <f>IFERROR(SUM(DP88,SUMIF(消毒!$B$14:$B$113,DQ$23&amp;$B87,消毒!$AN$14:$AN$113))-DP87,0)</f>
        <v>0</v>
      </c>
      <c r="DR88" s="650">
        <f>IFERROR(SUM(DQ88,SUMIF(消毒!$B$14:$B$113,DR$23&amp;$B87,消毒!$AN$14:$AN$113))-DQ87,0)</f>
        <v>0</v>
      </c>
      <c r="DS88" s="650">
        <f>IFERROR(SUM(DR88,SUMIF(消毒!$B$14:$B$113,DS$23&amp;$B87,消毒!$AN$14:$AN$113))-DR87,0)</f>
        <v>0</v>
      </c>
      <c r="DT88" s="650">
        <f>IFERROR(SUM(DS88,SUMIF(消毒!$B$14:$B$113,DT$23&amp;$B87,消毒!$AN$14:$AN$113))-DS87,0)</f>
        <v>0</v>
      </c>
      <c r="DU88" s="650">
        <f>IFERROR(SUM(DT88,SUMIF(消毒!$B$14:$B$113,DU$23&amp;$B87,消毒!$AN$14:$AN$113))-DT87,0)</f>
        <v>0</v>
      </c>
      <c r="DV88" s="650">
        <f>IFERROR(SUM(DU88,SUMIF(消毒!$B$14:$B$113,DV$23&amp;$B87,消毒!$AN$14:$AN$113))-DU87,0)</f>
        <v>0</v>
      </c>
      <c r="DW88" s="650">
        <f>IFERROR(SUM(DV88,SUMIF(消毒!$B$14:$B$113,DW$23&amp;$B87,消毒!$AN$14:$AN$113))-DV87,0)</f>
        <v>0</v>
      </c>
      <c r="DX88" s="650">
        <f>IFERROR(SUM(DW88,SUMIF(消毒!$B$14:$B$113,DX$23&amp;$B87,消毒!$AN$14:$AN$113))-DW87,0)</f>
        <v>0</v>
      </c>
      <c r="DY88" s="650">
        <f>IFERROR(SUM(DX88,SUMIF(消毒!$B$14:$B$113,DY$23&amp;$B87,消毒!$AN$14:$AN$113))-DX87,0)</f>
        <v>0</v>
      </c>
      <c r="DZ88" s="650">
        <f>IFERROR(SUM(DY88,SUMIF(消毒!$B$14:$B$113,DZ$23&amp;$B87,消毒!$AN$14:$AN$113))-DY87,0)</f>
        <v>0</v>
      </c>
      <c r="EA88" s="650">
        <f>IFERROR(SUM(DZ88,SUMIF(消毒!$B$14:$B$113,EA$23&amp;$B87,消毒!$AN$14:$AN$113))-DZ87,0)</f>
        <v>0</v>
      </c>
      <c r="EB88" s="650">
        <f>IFERROR(SUM(EA88,SUMIF(消毒!$B$14:$B$113,EB$23&amp;$B87,消毒!$AN$14:$AN$113))-EA87,0)</f>
        <v>0</v>
      </c>
      <c r="EC88" s="650">
        <f>IFERROR(SUM(EB88,SUMIF(消毒!$B$14:$B$113,EC$23&amp;$B87,消毒!$AN$14:$AN$113))-EB87,0)</f>
        <v>0</v>
      </c>
      <c r="ED88" s="650">
        <f>IFERROR(SUM(EC88,SUMIF(消毒!$B$14:$B$113,ED$23&amp;$B87,消毒!$AN$14:$AN$113))-EC87,0)</f>
        <v>0</v>
      </c>
      <c r="EE88" s="650">
        <f>IFERROR(SUM(ED88,SUMIF(消毒!$B$14:$B$113,EE$23&amp;$B87,消毒!$AN$14:$AN$113))-ED87,0)</f>
        <v>0</v>
      </c>
      <c r="EF88" s="650">
        <f>IFERROR(SUM(EE88,SUMIF(消毒!$B$14:$B$113,EF$23&amp;$B87,消毒!$AN$14:$AN$113))-EE87,0)</f>
        <v>0</v>
      </c>
      <c r="EG88" s="650">
        <f>IFERROR(SUM(EF88,SUMIF(消毒!$B$14:$B$113,EG$23&amp;$B87,消毒!$AN$14:$AN$113))-EF87,0)</f>
        <v>0</v>
      </c>
      <c r="EH88" s="650">
        <f>IFERROR(SUM(EG88,SUMIF(消毒!$B$14:$B$113,EH$23&amp;$B87,消毒!$AN$14:$AN$113))-EG87,0)</f>
        <v>0</v>
      </c>
      <c r="EI88" s="650">
        <f>IFERROR(SUM(EH88,SUMIF(消毒!$B$14:$B$113,EI$23&amp;$B87,消毒!$AN$14:$AN$113))-EH87,0)</f>
        <v>0</v>
      </c>
      <c r="EJ88" s="650">
        <f>IFERROR(SUM(EI88,SUMIF(消毒!$B$14:$B$113,EJ$23&amp;$B87,消毒!$AN$14:$AN$113))-EI87,0)</f>
        <v>0</v>
      </c>
      <c r="EK88" s="650">
        <f>IFERROR(SUM(EJ88,SUMIF(消毒!$B$14:$B$113,EK$23&amp;$B87,消毒!$AN$14:$AN$113))-EJ87,0)</f>
        <v>0</v>
      </c>
      <c r="EL88" s="650">
        <f>IFERROR(SUM(EK88,SUMIF(消毒!$B$14:$B$113,EL$23&amp;$B87,消毒!$AN$14:$AN$113))-EK87,0)</f>
        <v>0</v>
      </c>
      <c r="EM88" s="650">
        <f>IFERROR(SUM(EL88,SUMIF(消毒!$B$14:$B$113,EM$23&amp;$B87,消毒!$AN$14:$AN$113))-EL87,0)</f>
        <v>0</v>
      </c>
      <c r="EN88" s="650">
        <f>IFERROR(SUM(EM88,SUMIF(消毒!$B$14:$B$113,EN$23&amp;$B87,消毒!$AN$14:$AN$113))-EM87,0)</f>
        <v>0</v>
      </c>
      <c r="EO88" s="650">
        <f>IFERROR(SUM(EN88,SUMIF(消毒!$B$14:$B$113,EO$23&amp;$B87,消毒!$AN$14:$AN$113))-EN87,0)</f>
        <v>0</v>
      </c>
      <c r="EP88" s="650">
        <f>IFERROR(SUM(EO88,SUMIF(消毒!$B$14:$B$113,EP$23&amp;$B87,消毒!$AN$14:$AN$113))-EO87,0)</f>
        <v>0</v>
      </c>
      <c r="EQ88" s="650">
        <f>IFERROR(SUM(EP88,SUMIF(消毒!$B$14:$B$113,EQ$23&amp;$B87,消毒!$AN$14:$AN$113))-EP87,0)</f>
        <v>0</v>
      </c>
      <c r="ER88" s="650">
        <f>IFERROR(SUM(EQ88,SUMIF(消毒!$B$14:$B$113,ER$23&amp;$B87,消毒!$AN$14:$AN$113))-EQ87,0)</f>
        <v>0</v>
      </c>
      <c r="ES88" s="650">
        <f>IFERROR(SUM(ER88,SUMIF(消毒!$B$14:$B$113,ES$23&amp;$B87,消毒!$AN$14:$AN$113))-ER87,0)</f>
        <v>0</v>
      </c>
      <c r="ET88" s="650">
        <f>IFERROR(SUM(ES88,SUMIF(消毒!$B$14:$B$113,ET$23&amp;$B87,消毒!$AN$14:$AN$113))-ES87,0)</f>
        <v>0</v>
      </c>
      <c r="EU88" s="650">
        <f>IFERROR(SUM(ET88,SUMIF(消毒!$B$14:$B$113,EU$23&amp;$B87,消毒!$AN$14:$AN$113))-ET87,0)</f>
        <v>0</v>
      </c>
      <c r="EV88" s="650">
        <f>IFERROR(SUM(EU88,SUMIF(消毒!$B$14:$B$113,EV$23&amp;$B87,消毒!$AN$14:$AN$113))-EU87,0)</f>
        <v>0</v>
      </c>
      <c r="EW88" s="650">
        <f>IFERROR(SUM(EV88,SUMIF(消毒!$B$14:$B$113,EW$23&amp;$B87,消毒!$AN$14:$AN$113))-EV87,0)</f>
        <v>0</v>
      </c>
      <c r="EX88" s="650">
        <f>IFERROR(SUM(EW88,SUMIF(消毒!$B$14:$B$113,EX$23&amp;$B87,消毒!$AN$14:$AN$113))-EW87,0)</f>
        <v>0</v>
      </c>
      <c r="EY88" s="650">
        <f>IFERROR(SUM(EX88,SUMIF(消毒!$B$14:$B$113,EY$23&amp;$B87,消毒!$AN$14:$AN$113))-EX87,0)</f>
        <v>0</v>
      </c>
      <c r="EZ88" s="650">
        <f>IFERROR(SUM(EY88,SUMIF(消毒!$B$14:$B$113,EZ$23&amp;$B87,消毒!$AN$14:$AN$113))-EY87,0)</f>
        <v>0</v>
      </c>
      <c r="FA88" s="650">
        <f>IFERROR(SUM(EZ88,SUMIF(消毒!$B$14:$B$113,FA$23&amp;$B87,消毒!$AN$14:$AN$113))-EZ87,0)</f>
        <v>0</v>
      </c>
      <c r="FB88" s="650">
        <f>IFERROR(SUM(FA88,SUMIF(消毒!$B$14:$B$113,FB$23&amp;$B87,消毒!$AN$14:$AN$113))-FA87,0)</f>
        <v>0</v>
      </c>
      <c r="FC88" s="650">
        <f>IFERROR(SUM(FB88,SUMIF(消毒!$B$14:$B$113,FC$23&amp;$B87,消毒!$AN$14:$AN$113))-FB87,0)</f>
        <v>0</v>
      </c>
      <c r="FD88" s="650">
        <f>IFERROR(SUM(FC88,SUMIF(消毒!$B$14:$B$113,FD$23&amp;$B87,消毒!$AN$14:$AN$113))-FC87,0)</f>
        <v>0</v>
      </c>
      <c r="FE88" s="650">
        <f>IFERROR(SUM(FD88,SUMIF(消毒!$B$14:$B$113,FE$23&amp;$B87,消毒!$AN$14:$AN$113))-FD87,0)</f>
        <v>0</v>
      </c>
      <c r="FF88" s="650">
        <f>IFERROR(SUM(FE88,SUMIF(消毒!$B$14:$B$113,FF$23&amp;$B87,消毒!$AN$14:$AN$113))-FE87,0)</f>
        <v>0</v>
      </c>
      <c r="FG88" s="650">
        <f>IFERROR(SUM(FF88,SUMIF(消毒!$B$14:$B$113,FG$23&amp;$B87,消毒!$AN$14:$AN$113))-FF87,0)</f>
        <v>0</v>
      </c>
      <c r="FH88" s="650">
        <f>IFERROR(SUM(FG88,SUMIF(消毒!$B$14:$B$113,FH$23&amp;$B87,消毒!$AN$14:$AN$113))-FG87,0)</f>
        <v>0</v>
      </c>
      <c r="FI88" s="650">
        <f>IFERROR(SUM(FH88,SUMIF(消毒!$B$14:$B$113,FI$23&amp;$B87,消毒!$AN$14:$AN$113))-FH87,0)</f>
        <v>0</v>
      </c>
      <c r="FJ88" s="650">
        <f>IFERROR(SUM(FI88,SUMIF(消毒!$B$14:$B$113,FJ$23&amp;$B87,消毒!$AN$14:$AN$113))-FI87,0)</f>
        <v>0</v>
      </c>
      <c r="FK88" s="650">
        <f>IFERROR(SUM(FJ88,SUMIF(消毒!$B$14:$B$113,FK$23&amp;$B87,消毒!$AN$14:$AN$113))-FJ87,0)</f>
        <v>0</v>
      </c>
      <c r="FL88" s="650">
        <f>IFERROR(SUM(FK88,SUMIF(消毒!$B$14:$B$113,FL$23&amp;$B87,消毒!$AN$14:$AN$113))-FK87,0)</f>
        <v>0</v>
      </c>
      <c r="FM88" s="650">
        <f>IFERROR(SUM(FL88,SUMIF(消毒!$B$14:$B$113,FM$23&amp;$B87,消毒!$AN$14:$AN$113))-FL87,0)</f>
        <v>0</v>
      </c>
      <c r="FN88" s="650">
        <f>IFERROR(SUM(FM88,SUMIF(消毒!$B$14:$B$113,FN$23&amp;$B87,消毒!$AN$14:$AN$113))-FM87,0)</f>
        <v>0</v>
      </c>
      <c r="FO88" s="650">
        <f>IFERROR(SUM(FN88,SUMIF(消毒!$B$14:$B$113,FO$23&amp;$B87,消毒!$AN$14:$AN$113))-FN87,0)</f>
        <v>0</v>
      </c>
      <c r="FP88" s="650">
        <f>IFERROR(SUM(FO88,SUMIF(消毒!$B$14:$B$113,FP$23&amp;$B87,消毒!$AN$14:$AN$113))-FO87,0)</f>
        <v>0</v>
      </c>
      <c r="FQ88" s="650">
        <f>IFERROR(SUM(FP88,SUMIF(消毒!$B$14:$B$113,FQ$23&amp;$B87,消毒!$AN$14:$AN$113))-FP87,0)</f>
        <v>0</v>
      </c>
      <c r="FR88" s="650">
        <f>IFERROR(SUM(FQ88,SUMIF(消毒!$B$14:$B$113,FR$23&amp;$B87,消毒!$AN$14:$AN$113))-FQ87,0)</f>
        <v>0</v>
      </c>
      <c r="FS88" s="650">
        <f>IFERROR(SUM(FR88,SUMIF(消毒!$B$14:$B$113,FS$23&amp;$B87,消毒!$AN$14:$AN$113))-FR87,0)</f>
        <v>0</v>
      </c>
      <c r="FT88" s="650">
        <f>IFERROR(SUM(FS88,SUMIF(消毒!$B$14:$B$113,FT$23&amp;$B87,消毒!$AN$14:$AN$113))-FS87,0)</f>
        <v>0</v>
      </c>
      <c r="FU88" s="650">
        <f>IFERROR(SUM(FT88,SUMIF(消毒!$B$14:$B$113,FU$23&amp;$B87,消毒!$AN$14:$AN$113))-FT87,0)</f>
        <v>0</v>
      </c>
      <c r="FV88" s="650">
        <f>IFERROR(SUM(FU88,SUMIF(消毒!$B$14:$B$113,FV$23&amp;$B87,消毒!$AN$14:$AN$113))-FU87,0)</f>
        <v>0</v>
      </c>
      <c r="FW88" s="650">
        <f>IFERROR(SUM(FV88,SUMIF(消毒!$B$14:$B$113,FW$23&amp;$B87,消毒!$AN$14:$AN$113))-FV87,0)</f>
        <v>0</v>
      </c>
      <c r="FX88" s="650">
        <f>IFERROR(SUM(FW88,SUMIF(消毒!$B$14:$B$113,FX$23&amp;$B87,消毒!$AN$14:$AN$113))-FW87,0)</f>
        <v>0</v>
      </c>
      <c r="FY88" s="650">
        <f>IFERROR(SUM(FX88,SUMIF(消毒!$B$14:$B$113,FY$23&amp;$B87,消毒!$AN$14:$AN$113))-FX87,0)</f>
        <v>0</v>
      </c>
      <c r="FZ88" s="650">
        <f>IFERROR(SUM(FY88,SUMIF(消毒!$B$14:$B$113,FZ$23&amp;$B87,消毒!$AN$14:$AN$113))-FY87,0)</f>
        <v>0</v>
      </c>
      <c r="GA88" s="650">
        <f>IFERROR(SUM(FZ88,SUMIF(消毒!$B$14:$B$113,GA$23&amp;$B87,消毒!$AN$14:$AN$113))-FZ87,0)</f>
        <v>0</v>
      </c>
      <c r="GB88" s="650">
        <f>IFERROR(SUM(GA88,SUMIF(消毒!$B$14:$B$113,GB$23&amp;$B87,消毒!$AN$14:$AN$113))-GA87,0)</f>
        <v>0</v>
      </c>
      <c r="GC88" s="650">
        <f>IFERROR(SUM(GB88,SUMIF(消毒!$B$14:$B$113,GC$23&amp;$B87,消毒!$AN$14:$AN$113))-GB87,0)</f>
        <v>0</v>
      </c>
      <c r="GD88" s="650">
        <f>IFERROR(SUM(GC88,SUMIF(消毒!$B$14:$B$113,GD$23&amp;$B87,消毒!$AN$14:$AN$113))-GC87,0)</f>
        <v>0</v>
      </c>
      <c r="GE88" s="650">
        <f>IFERROR(SUM(GD88,SUMIF(消毒!$B$14:$B$113,GE$23&amp;$B87,消毒!$AN$14:$AN$113))-GD87,0)</f>
        <v>0</v>
      </c>
      <c r="GF88" s="650">
        <f>IFERROR(SUM(GE88,SUMIF(消毒!$B$14:$B$113,GF$23&amp;$B87,消毒!$AN$14:$AN$113))-GE87,0)</f>
        <v>0</v>
      </c>
    </row>
    <row r="89" spans="1:188" s="649" customFormat="1" ht="15" hidden="1" customHeight="1" x14ac:dyDescent="0.4">
      <c r="A89" s="631"/>
      <c r="B89" s="649" t="s">
        <v>1264</v>
      </c>
      <c r="C89" s="1712"/>
      <c r="D89" s="1713"/>
      <c r="E89" s="650"/>
      <c r="F89" s="650">
        <v>500</v>
      </c>
      <c r="G89" s="650">
        <f>IFERROR(
IF(G$25="休診日",F89,
IF(F89-VLOOKUP(F$22&amp;$B87,$B$96:$D$191,2,FALSE)&lt;0,0,F89-VLOOKUP(F$22&amp;$B87,$B$96:$D$191,2,FALSE))),0)</f>
        <v>500</v>
      </c>
      <c r="H89" s="650">
        <f t="shared" ref="H89:BS89" si="109">IFERROR(
IF(H$25="休診日",G89,
IF(G89-VLOOKUP(G$22&amp;$B87,$B$96:$D$191,2,FALSE)&lt;0,0,G89-VLOOKUP(G$22&amp;$B87,$B$96:$D$191,2,FALSE))),0)</f>
        <v>500</v>
      </c>
      <c r="I89" s="650">
        <f t="shared" si="109"/>
        <v>500</v>
      </c>
      <c r="J89" s="650">
        <f t="shared" si="109"/>
        <v>500</v>
      </c>
      <c r="K89" s="650">
        <f t="shared" si="109"/>
        <v>500</v>
      </c>
      <c r="L89" s="650">
        <f t="shared" si="109"/>
        <v>500</v>
      </c>
      <c r="M89" s="650">
        <f t="shared" si="109"/>
        <v>500</v>
      </c>
      <c r="N89" s="650">
        <f t="shared" si="109"/>
        <v>500</v>
      </c>
      <c r="O89" s="650">
        <f t="shared" si="109"/>
        <v>500</v>
      </c>
      <c r="P89" s="650">
        <f t="shared" si="109"/>
        <v>500</v>
      </c>
      <c r="Q89" s="650">
        <f t="shared" si="109"/>
        <v>500</v>
      </c>
      <c r="R89" s="650">
        <f t="shared" si="109"/>
        <v>500</v>
      </c>
      <c r="S89" s="650">
        <f t="shared" si="109"/>
        <v>500</v>
      </c>
      <c r="T89" s="650">
        <f t="shared" si="109"/>
        <v>500</v>
      </c>
      <c r="U89" s="650">
        <f t="shared" si="109"/>
        <v>500</v>
      </c>
      <c r="V89" s="650">
        <f t="shared" si="109"/>
        <v>500</v>
      </c>
      <c r="W89" s="650">
        <f t="shared" si="109"/>
        <v>500</v>
      </c>
      <c r="X89" s="650">
        <f t="shared" si="109"/>
        <v>500</v>
      </c>
      <c r="Y89" s="650">
        <f t="shared" si="109"/>
        <v>500</v>
      </c>
      <c r="Z89" s="650">
        <f t="shared" si="109"/>
        <v>500</v>
      </c>
      <c r="AA89" s="650">
        <f t="shared" si="109"/>
        <v>500</v>
      </c>
      <c r="AB89" s="650">
        <f t="shared" si="109"/>
        <v>500</v>
      </c>
      <c r="AC89" s="650">
        <f t="shared" si="109"/>
        <v>500</v>
      </c>
      <c r="AD89" s="650">
        <f t="shared" si="109"/>
        <v>500</v>
      </c>
      <c r="AE89" s="650">
        <f t="shared" si="109"/>
        <v>500</v>
      </c>
      <c r="AF89" s="650">
        <f t="shared" si="109"/>
        <v>500</v>
      </c>
      <c r="AG89" s="650">
        <f t="shared" si="109"/>
        <v>500</v>
      </c>
      <c r="AH89" s="650">
        <f t="shared" si="109"/>
        <v>500</v>
      </c>
      <c r="AI89" s="650">
        <f t="shared" si="109"/>
        <v>500</v>
      </c>
      <c r="AJ89" s="650">
        <f t="shared" si="109"/>
        <v>500</v>
      </c>
      <c r="AK89" s="650">
        <f t="shared" si="109"/>
        <v>500</v>
      </c>
      <c r="AL89" s="650">
        <f t="shared" si="109"/>
        <v>500</v>
      </c>
      <c r="AM89" s="650">
        <f t="shared" si="109"/>
        <v>500</v>
      </c>
      <c r="AN89" s="650">
        <f t="shared" si="109"/>
        <v>500</v>
      </c>
      <c r="AO89" s="650">
        <f t="shared" si="109"/>
        <v>500</v>
      </c>
      <c r="AP89" s="650">
        <f t="shared" si="109"/>
        <v>500</v>
      </c>
      <c r="AQ89" s="650">
        <f t="shared" si="109"/>
        <v>500</v>
      </c>
      <c r="AR89" s="650">
        <f t="shared" si="109"/>
        <v>500</v>
      </c>
      <c r="AS89" s="650">
        <f t="shared" si="109"/>
        <v>500</v>
      </c>
      <c r="AT89" s="650">
        <f t="shared" si="109"/>
        <v>500</v>
      </c>
      <c r="AU89" s="650">
        <f t="shared" si="109"/>
        <v>500</v>
      </c>
      <c r="AV89" s="650">
        <f t="shared" si="109"/>
        <v>500</v>
      </c>
      <c r="AW89" s="650">
        <f t="shared" si="109"/>
        <v>500</v>
      </c>
      <c r="AX89" s="650">
        <f t="shared" si="109"/>
        <v>500</v>
      </c>
      <c r="AY89" s="650">
        <f t="shared" si="109"/>
        <v>500</v>
      </c>
      <c r="AZ89" s="650">
        <f t="shared" si="109"/>
        <v>500</v>
      </c>
      <c r="BA89" s="650">
        <f t="shared" si="109"/>
        <v>500</v>
      </c>
      <c r="BB89" s="650">
        <f t="shared" si="109"/>
        <v>500</v>
      </c>
      <c r="BC89" s="650">
        <f t="shared" si="109"/>
        <v>500</v>
      </c>
      <c r="BD89" s="650">
        <f t="shared" si="109"/>
        <v>500</v>
      </c>
      <c r="BE89" s="650">
        <f t="shared" si="109"/>
        <v>500</v>
      </c>
      <c r="BF89" s="650">
        <f t="shared" si="109"/>
        <v>500</v>
      </c>
      <c r="BG89" s="650">
        <f t="shared" si="109"/>
        <v>500</v>
      </c>
      <c r="BH89" s="650">
        <f t="shared" si="109"/>
        <v>500</v>
      </c>
      <c r="BI89" s="650">
        <f t="shared" si="109"/>
        <v>500</v>
      </c>
      <c r="BJ89" s="650">
        <f t="shared" si="109"/>
        <v>500</v>
      </c>
      <c r="BK89" s="650">
        <f t="shared" si="109"/>
        <v>500</v>
      </c>
      <c r="BL89" s="650">
        <f t="shared" si="109"/>
        <v>500</v>
      </c>
      <c r="BM89" s="650">
        <f t="shared" si="109"/>
        <v>500</v>
      </c>
      <c r="BN89" s="650">
        <f t="shared" si="109"/>
        <v>500</v>
      </c>
      <c r="BO89" s="650">
        <f t="shared" si="109"/>
        <v>500</v>
      </c>
      <c r="BP89" s="650">
        <f t="shared" si="109"/>
        <v>500</v>
      </c>
      <c r="BQ89" s="650">
        <f t="shared" si="109"/>
        <v>500</v>
      </c>
      <c r="BR89" s="650">
        <f t="shared" si="109"/>
        <v>500</v>
      </c>
      <c r="BS89" s="650">
        <f t="shared" si="109"/>
        <v>500</v>
      </c>
      <c r="BT89" s="650">
        <f t="shared" ref="BT89:EE89" si="110">IFERROR(
IF(BT$25="休診日",BS89,
IF(BS89-VLOOKUP(BS$22&amp;$B87,$B$96:$D$191,2,FALSE)&lt;0,0,BS89-VLOOKUP(BS$22&amp;$B87,$B$96:$D$191,2,FALSE))),0)</f>
        <v>500</v>
      </c>
      <c r="BU89" s="650">
        <f t="shared" si="110"/>
        <v>500</v>
      </c>
      <c r="BV89" s="650">
        <f t="shared" si="110"/>
        <v>500</v>
      </c>
      <c r="BW89" s="650">
        <f t="shared" si="110"/>
        <v>500</v>
      </c>
      <c r="BX89" s="650">
        <f t="shared" si="110"/>
        <v>500</v>
      </c>
      <c r="BY89" s="650">
        <f t="shared" si="110"/>
        <v>500</v>
      </c>
      <c r="BZ89" s="650">
        <f t="shared" si="110"/>
        <v>500</v>
      </c>
      <c r="CA89" s="650">
        <f t="shared" si="110"/>
        <v>500</v>
      </c>
      <c r="CB89" s="650">
        <f t="shared" si="110"/>
        <v>500</v>
      </c>
      <c r="CC89" s="650">
        <f t="shared" si="110"/>
        <v>500</v>
      </c>
      <c r="CD89" s="650">
        <f t="shared" si="110"/>
        <v>500</v>
      </c>
      <c r="CE89" s="650">
        <f t="shared" si="110"/>
        <v>500</v>
      </c>
      <c r="CF89" s="650">
        <f t="shared" si="110"/>
        <v>500</v>
      </c>
      <c r="CG89" s="650">
        <f t="shared" si="110"/>
        <v>500</v>
      </c>
      <c r="CH89" s="650">
        <f t="shared" si="110"/>
        <v>500</v>
      </c>
      <c r="CI89" s="650">
        <f t="shared" si="110"/>
        <v>500</v>
      </c>
      <c r="CJ89" s="650">
        <f t="shared" si="110"/>
        <v>500</v>
      </c>
      <c r="CK89" s="650">
        <f t="shared" si="110"/>
        <v>500</v>
      </c>
      <c r="CL89" s="650">
        <f t="shared" si="110"/>
        <v>500</v>
      </c>
      <c r="CM89" s="650">
        <f t="shared" si="110"/>
        <v>500</v>
      </c>
      <c r="CN89" s="650">
        <f t="shared" si="110"/>
        <v>500</v>
      </c>
      <c r="CO89" s="650">
        <f t="shared" si="110"/>
        <v>500</v>
      </c>
      <c r="CP89" s="650">
        <f t="shared" si="110"/>
        <v>500</v>
      </c>
      <c r="CQ89" s="650">
        <f t="shared" si="110"/>
        <v>500</v>
      </c>
      <c r="CR89" s="650">
        <f t="shared" si="110"/>
        <v>500</v>
      </c>
      <c r="CS89" s="650">
        <f t="shared" si="110"/>
        <v>500</v>
      </c>
      <c r="CT89" s="650">
        <f t="shared" si="110"/>
        <v>500</v>
      </c>
      <c r="CU89" s="650">
        <f t="shared" si="110"/>
        <v>500</v>
      </c>
      <c r="CV89" s="650">
        <f t="shared" si="110"/>
        <v>500</v>
      </c>
      <c r="CW89" s="650">
        <f t="shared" si="110"/>
        <v>500</v>
      </c>
      <c r="CX89" s="650">
        <f t="shared" si="110"/>
        <v>500</v>
      </c>
      <c r="CY89" s="650">
        <f t="shared" si="110"/>
        <v>500</v>
      </c>
      <c r="CZ89" s="650">
        <f t="shared" si="110"/>
        <v>500</v>
      </c>
      <c r="DA89" s="650">
        <f t="shared" si="110"/>
        <v>500</v>
      </c>
      <c r="DB89" s="650">
        <f t="shared" si="110"/>
        <v>500</v>
      </c>
      <c r="DC89" s="650">
        <f t="shared" si="110"/>
        <v>500</v>
      </c>
      <c r="DD89" s="650">
        <f t="shared" si="110"/>
        <v>500</v>
      </c>
      <c r="DE89" s="650">
        <f t="shared" si="110"/>
        <v>500</v>
      </c>
      <c r="DF89" s="650">
        <f t="shared" si="110"/>
        <v>500</v>
      </c>
      <c r="DG89" s="650">
        <f t="shared" si="110"/>
        <v>500</v>
      </c>
      <c r="DH89" s="650">
        <f t="shared" si="110"/>
        <v>500</v>
      </c>
      <c r="DI89" s="650">
        <f t="shared" si="110"/>
        <v>500</v>
      </c>
      <c r="DJ89" s="650">
        <f t="shared" si="110"/>
        <v>500</v>
      </c>
      <c r="DK89" s="650">
        <f t="shared" si="110"/>
        <v>500</v>
      </c>
      <c r="DL89" s="650">
        <f t="shared" si="110"/>
        <v>500</v>
      </c>
      <c r="DM89" s="650">
        <f t="shared" si="110"/>
        <v>500</v>
      </c>
      <c r="DN89" s="650">
        <f t="shared" si="110"/>
        <v>500</v>
      </c>
      <c r="DO89" s="650">
        <f t="shared" si="110"/>
        <v>500</v>
      </c>
      <c r="DP89" s="650">
        <f t="shared" si="110"/>
        <v>500</v>
      </c>
      <c r="DQ89" s="650">
        <f t="shared" si="110"/>
        <v>500</v>
      </c>
      <c r="DR89" s="650">
        <f t="shared" si="110"/>
        <v>500</v>
      </c>
      <c r="DS89" s="650">
        <f t="shared" si="110"/>
        <v>500</v>
      </c>
      <c r="DT89" s="650">
        <f t="shared" si="110"/>
        <v>500</v>
      </c>
      <c r="DU89" s="650">
        <f t="shared" si="110"/>
        <v>500</v>
      </c>
      <c r="DV89" s="650">
        <f t="shared" si="110"/>
        <v>500</v>
      </c>
      <c r="DW89" s="650">
        <f t="shared" si="110"/>
        <v>500</v>
      </c>
      <c r="DX89" s="650">
        <f t="shared" si="110"/>
        <v>500</v>
      </c>
      <c r="DY89" s="650">
        <f t="shared" si="110"/>
        <v>500</v>
      </c>
      <c r="DZ89" s="650">
        <f t="shared" si="110"/>
        <v>500</v>
      </c>
      <c r="EA89" s="650">
        <f t="shared" si="110"/>
        <v>500</v>
      </c>
      <c r="EB89" s="650">
        <f t="shared" si="110"/>
        <v>500</v>
      </c>
      <c r="EC89" s="650">
        <f t="shared" si="110"/>
        <v>500</v>
      </c>
      <c r="ED89" s="650">
        <f t="shared" si="110"/>
        <v>500</v>
      </c>
      <c r="EE89" s="650">
        <f t="shared" si="110"/>
        <v>500</v>
      </c>
      <c r="EF89" s="650">
        <f t="shared" ref="EF89:GF89" si="111">IFERROR(
IF(EF$25="休診日",EE89,
IF(EE89-VLOOKUP(EE$22&amp;$B87,$B$96:$D$191,2,FALSE)&lt;0,0,EE89-VLOOKUP(EE$22&amp;$B87,$B$96:$D$191,2,FALSE))),0)</f>
        <v>500</v>
      </c>
      <c r="EG89" s="650">
        <f t="shared" si="111"/>
        <v>500</v>
      </c>
      <c r="EH89" s="650">
        <f t="shared" si="111"/>
        <v>500</v>
      </c>
      <c r="EI89" s="650">
        <f t="shared" si="111"/>
        <v>500</v>
      </c>
      <c r="EJ89" s="650">
        <f t="shared" si="111"/>
        <v>500</v>
      </c>
      <c r="EK89" s="650">
        <f t="shared" si="111"/>
        <v>500</v>
      </c>
      <c r="EL89" s="650">
        <f t="shared" si="111"/>
        <v>500</v>
      </c>
      <c r="EM89" s="650">
        <f t="shared" si="111"/>
        <v>500</v>
      </c>
      <c r="EN89" s="650">
        <f t="shared" si="111"/>
        <v>500</v>
      </c>
      <c r="EO89" s="650">
        <f t="shared" si="111"/>
        <v>500</v>
      </c>
      <c r="EP89" s="650">
        <f t="shared" si="111"/>
        <v>500</v>
      </c>
      <c r="EQ89" s="650">
        <f t="shared" si="111"/>
        <v>500</v>
      </c>
      <c r="ER89" s="650">
        <f t="shared" si="111"/>
        <v>500</v>
      </c>
      <c r="ES89" s="650">
        <f t="shared" si="111"/>
        <v>500</v>
      </c>
      <c r="ET89" s="650">
        <f t="shared" si="111"/>
        <v>500</v>
      </c>
      <c r="EU89" s="650">
        <f t="shared" si="111"/>
        <v>500</v>
      </c>
      <c r="EV89" s="650">
        <f t="shared" si="111"/>
        <v>500</v>
      </c>
      <c r="EW89" s="650">
        <f t="shared" si="111"/>
        <v>500</v>
      </c>
      <c r="EX89" s="650">
        <f t="shared" si="111"/>
        <v>500</v>
      </c>
      <c r="EY89" s="650">
        <f t="shared" si="111"/>
        <v>500</v>
      </c>
      <c r="EZ89" s="650">
        <f t="shared" si="111"/>
        <v>500</v>
      </c>
      <c r="FA89" s="650">
        <f t="shared" si="111"/>
        <v>500</v>
      </c>
      <c r="FB89" s="650">
        <f t="shared" si="111"/>
        <v>500</v>
      </c>
      <c r="FC89" s="650">
        <f t="shared" si="111"/>
        <v>500</v>
      </c>
      <c r="FD89" s="650">
        <f t="shared" si="111"/>
        <v>500</v>
      </c>
      <c r="FE89" s="650">
        <f t="shared" si="111"/>
        <v>500</v>
      </c>
      <c r="FF89" s="650">
        <f t="shared" si="111"/>
        <v>500</v>
      </c>
      <c r="FG89" s="650">
        <f t="shared" si="111"/>
        <v>500</v>
      </c>
      <c r="FH89" s="650">
        <f t="shared" si="111"/>
        <v>500</v>
      </c>
      <c r="FI89" s="650">
        <f t="shared" si="111"/>
        <v>500</v>
      </c>
      <c r="FJ89" s="650">
        <f t="shared" si="111"/>
        <v>500</v>
      </c>
      <c r="FK89" s="650">
        <f t="shared" si="111"/>
        <v>500</v>
      </c>
      <c r="FL89" s="650">
        <f t="shared" si="111"/>
        <v>500</v>
      </c>
      <c r="FM89" s="650">
        <f t="shared" si="111"/>
        <v>500</v>
      </c>
      <c r="FN89" s="650">
        <f t="shared" si="111"/>
        <v>500</v>
      </c>
      <c r="FO89" s="650">
        <f t="shared" si="111"/>
        <v>500</v>
      </c>
      <c r="FP89" s="650">
        <f t="shared" si="111"/>
        <v>500</v>
      </c>
      <c r="FQ89" s="650">
        <f t="shared" si="111"/>
        <v>500</v>
      </c>
      <c r="FR89" s="650">
        <f t="shared" si="111"/>
        <v>500</v>
      </c>
      <c r="FS89" s="650">
        <f t="shared" si="111"/>
        <v>500</v>
      </c>
      <c r="FT89" s="650">
        <f t="shared" si="111"/>
        <v>500</v>
      </c>
      <c r="FU89" s="650">
        <f t="shared" si="111"/>
        <v>500</v>
      </c>
      <c r="FV89" s="650">
        <f t="shared" si="111"/>
        <v>500</v>
      </c>
      <c r="FW89" s="650">
        <f t="shared" si="111"/>
        <v>500</v>
      </c>
      <c r="FX89" s="650">
        <f t="shared" si="111"/>
        <v>500</v>
      </c>
      <c r="FY89" s="650">
        <f t="shared" si="111"/>
        <v>500</v>
      </c>
      <c r="FZ89" s="650">
        <f t="shared" si="111"/>
        <v>500</v>
      </c>
      <c r="GA89" s="650">
        <f t="shared" si="111"/>
        <v>500</v>
      </c>
      <c r="GB89" s="650">
        <f t="shared" si="111"/>
        <v>500</v>
      </c>
      <c r="GC89" s="650">
        <f t="shared" si="111"/>
        <v>500</v>
      </c>
      <c r="GD89" s="650">
        <f t="shared" si="111"/>
        <v>500</v>
      </c>
      <c r="GE89" s="650">
        <f t="shared" si="111"/>
        <v>500</v>
      </c>
      <c r="GF89" s="650">
        <f t="shared" si="111"/>
        <v>500</v>
      </c>
    </row>
    <row r="90" spans="1:188" s="647" customFormat="1" ht="15" hidden="1" customHeight="1" x14ac:dyDescent="0.4">
      <c r="A90" s="631"/>
      <c r="B90" s="647" t="s">
        <v>1290</v>
      </c>
      <c r="C90" s="1710"/>
      <c r="D90" s="1711"/>
      <c r="E90" s="648"/>
      <c r="F90" s="648">
        <f xml:space="preserve">
IF($F$25="休診日",0,
MIN(F91,IF((VLOOKUP($F$22&amp;$B90,$B$96:$D$191,2,FALSE)-F92)&lt;0,0,VLOOKUP($F$22&amp;$B90,$B$96:$D$191,2,FALSE)-F92)))</f>
        <v>0</v>
      </c>
      <c r="G90" s="648">
        <f xml:space="preserve">
IF(G$25="休診日",0,
IF(G92&gt;=VLOOKUP(G$22&amp;$B90,$B$96:$D$191,2,FALSE),0,
IF(AND(G92&lt;VLOOKUP(G$22&amp;$B90,$B$96:$D$191,2,FALSE),G91&lt;=VLOOKUP(G$22&amp;$B90,$B$96:$D$191,2,FALSE)),G91,
IF(AND(G92&lt;VLOOKUP(G$22&amp;$B90,$B$96:$D$191,2,FALSE),G91&gt;VLOOKUP(G$22&amp;$B90,$B$96:$D$191,2,FALSE)),
VLOOKUP(G$22&amp;$B90,$B$96:$D$191,2,FALSE)-G92))))</f>
        <v>0</v>
      </c>
      <c r="H90" s="648">
        <f t="shared" ref="H90:BS90" si="112" xml:space="preserve">
IF(H$25="休診日",0,
IF(H92&gt;=VLOOKUP(H$22&amp;$B90,$B$96:$D$191,2,FALSE),0,
IF(AND(H92&lt;VLOOKUP(H$22&amp;$B90,$B$96:$D$191,2,FALSE),H91&lt;=VLOOKUP(H$22&amp;$B90,$B$96:$D$191,2,FALSE)),H91,
IF(AND(H92&lt;VLOOKUP(H$22&amp;$B90,$B$96:$D$191,2,FALSE),H91&gt;VLOOKUP(H$22&amp;$B90,$B$96:$D$191,2,FALSE)),
VLOOKUP(H$22&amp;$B90,$B$96:$D$191,2,FALSE)-H92))))</f>
        <v>0</v>
      </c>
      <c r="I90" s="648">
        <f t="shared" si="112"/>
        <v>0</v>
      </c>
      <c r="J90" s="648">
        <f t="shared" si="112"/>
        <v>0</v>
      </c>
      <c r="K90" s="648">
        <f t="shared" si="112"/>
        <v>0</v>
      </c>
      <c r="L90" s="648">
        <f t="shared" si="112"/>
        <v>0</v>
      </c>
      <c r="M90" s="648">
        <f t="shared" si="112"/>
        <v>0</v>
      </c>
      <c r="N90" s="648">
        <f t="shared" si="112"/>
        <v>0</v>
      </c>
      <c r="O90" s="648">
        <f t="shared" si="112"/>
        <v>0</v>
      </c>
      <c r="P90" s="648">
        <f t="shared" si="112"/>
        <v>0</v>
      </c>
      <c r="Q90" s="648">
        <f t="shared" si="112"/>
        <v>0</v>
      </c>
      <c r="R90" s="648">
        <f t="shared" si="112"/>
        <v>0</v>
      </c>
      <c r="S90" s="648">
        <f t="shared" si="112"/>
        <v>0</v>
      </c>
      <c r="T90" s="648">
        <f t="shared" si="112"/>
        <v>0</v>
      </c>
      <c r="U90" s="648">
        <f t="shared" si="112"/>
        <v>0</v>
      </c>
      <c r="V90" s="648">
        <f t="shared" si="112"/>
        <v>0</v>
      </c>
      <c r="W90" s="648">
        <f t="shared" si="112"/>
        <v>0</v>
      </c>
      <c r="X90" s="648">
        <f t="shared" si="112"/>
        <v>0</v>
      </c>
      <c r="Y90" s="648">
        <f t="shared" si="112"/>
        <v>0</v>
      </c>
      <c r="Z90" s="648">
        <f t="shared" si="112"/>
        <v>0</v>
      </c>
      <c r="AA90" s="648">
        <f t="shared" si="112"/>
        <v>0</v>
      </c>
      <c r="AB90" s="648">
        <f t="shared" si="112"/>
        <v>0</v>
      </c>
      <c r="AC90" s="648">
        <f t="shared" si="112"/>
        <v>0</v>
      </c>
      <c r="AD90" s="648">
        <f t="shared" si="112"/>
        <v>0</v>
      </c>
      <c r="AE90" s="648">
        <f t="shared" si="112"/>
        <v>0</v>
      </c>
      <c r="AF90" s="648">
        <f t="shared" si="112"/>
        <v>0</v>
      </c>
      <c r="AG90" s="648">
        <f t="shared" si="112"/>
        <v>0</v>
      </c>
      <c r="AH90" s="648">
        <f t="shared" si="112"/>
        <v>0</v>
      </c>
      <c r="AI90" s="648">
        <f t="shared" si="112"/>
        <v>0</v>
      </c>
      <c r="AJ90" s="648">
        <f t="shared" si="112"/>
        <v>0</v>
      </c>
      <c r="AK90" s="648">
        <f t="shared" si="112"/>
        <v>0</v>
      </c>
      <c r="AL90" s="648">
        <f t="shared" si="112"/>
        <v>0</v>
      </c>
      <c r="AM90" s="648">
        <f t="shared" si="112"/>
        <v>0</v>
      </c>
      <c r="AN90" s="648">
        <f t="shared" si="112"/>
        <v>0</v>
      </c>
      <c r="AO90" s="648">
        <f t="shared" si="112"/>
        <v>0</v>
      </c>
      <c r="AP90" s="648">
        <f t="shared" si="112"/>
        <v>0</v>
      </c>
      <c r="AQ90" s="648">
        <f t="shared" si="112"/>
        <v>0</v>
      </c>
      <c r="AR90" s="648">
        <f t="shared" si="112"/>
        <v>0</v>
      </c>
      <c r="AS90" s="648">
        <f t="shared" si="112"/>
        <v>0</v>
      </c>
      <c r="AT90" s="648">
        <f t="shared" si="112"/>
        <v>0</v>
      </c>
      <c r="AU90" s="648">
        <f t="shared" si="112"/>
        <v>0</v>
      </c>
      <c r="AV90" s="648">
        <f t="shared" si="112"/>
        <v>0</v>
      </c>
      <c r="AW90" s="648">
        <f t="shared" si="112"/>
        <v>0</v>
      </c>
      <c r="AX90" s="648">
        <f t="shared" si="112"/>
        <v>0</v>
      </c>
      <c r="AY90" s="648">
        <f t="shared" si="112"/>
        <v>0</v>
      </c>
      <c r="AZ90" s="648">
        <f t="shared" si="112"/>
        <v>0</v>
      </c>
      <c r="BA90" s="648">
        <f t="shared" si="112"/>
        <v>0</v>
      </c>
      <c r="BB90" s="648">
        <f t="shared" si="112"/>
        <v>0</v>
      </c>
      <c r="BC90" s="648">
        <f t="shared" si="112"/>
        <v>0</v>
      </c>
      <c r="BD90" s="648">
        <f t="shared" si="112"/>
        <v>0</v>
      </c>
      <c r="BE90" s="648">
        <f t="shared" si="112"/>
        <v>0</v>
      </c>
      <c r="BF90" s="648">
        <f t="shared" si="112"/>
        <v>0</v>
      </c>
      <c r="BG90" s="648">
        <f t="shared" si="112"/>
        <v>0</v>
      </c>
      <c r="BH90" s="648">
        <f t="shared" si="112"/>
        <v>0</v>
      </c>
      <c r="BI90" s="648">
        <f t="shared" si="112"/>
        <v>0</v>
      </c>
      <c r="BJ90" s="648">
        <f t="shared" si="112"/>
        <v>0</v>
      </c>
      <c r="BK90" s="648">
        <f t="shared" si="112"/>
        <v>0</v>
      </c>
      <c r="BL90" s="648">
        <f t="shared" si="112"/>
        <v>0</v>
      </c>
      <c r="BM90" s="648">
        <f t="shared" si="112"/>
        <v>0</v>
      </c>
      <c r="BN90" s="648">
        <f t="shared" si="112"/>
        <v>0</v>
      </c>
      <c r="BO90" s="648">
        <f t="shared" si="112"/>
        <v>0</v>
      </c>
      <c r="BP90" s="648">
        <f t="shared" si="112"/>
        <v>0</v>
      </c>
      <c r="BQ90" s="648">
        <f t="shared" si="112"/>
        <v>0</v>
      </c>
      <c r="BR90" s="648">
        <f t="shared" si="112"/>
        <v>0</v>
      </c>
      <c r="BS90" s="648">
        <f t="shared" si="112"/>
        <v>0</v>
      </c>
      <c r="BT90" s="648">
        <f t="shared" ref="BT90:EE90" si="113" xml:space="preserve">
IF(BT$25="休診日",0,
IF(BT92&gt;=VLOOKUP(BT$22&amp;$B90,$B$96:$D$191,2,FALSE),0,
IF(AND(BT92&lt;VLOOKUP(BT$22&amp;$B90,$B$96:$D$191,2,FALSE),BT91&lt;=VLOOKUP(BT$22&amp;$B90,$B$96:$D$191,2,FALSE)),BT91,
IF(AND(BT92&lt;VLOOKUP(BT$22&amp;$B90,$B$96:$D$191,2,FALSE),BT91&gt;VLOOKUP(BT$22&amp;$B90,$B$96:$D$191,2,FALSE)),
VLOOKUP(BT$22&amp;$B90,$B$96:$D$191,2,FALSE)-BT92))))</f>
        <v>0</v>
      </c>
      <c r="BU90" s="648">
        <f t="shared" si="113"/>
        <v>0</v>
      </c>
      <c r="BV90" s="648">
        <f t="shared" si="113"/>
        <v>0</v>
      </c>
      <c r="BW90" s="648">
        <f t="shared" si="113"/>
        <v>0</v>
      </c>
      <c r="BX90" s="648">
        <f t="shared" si="113"/>
        <v>0</v>
      </c>
      <c r="BY90" s="648">
        <f t="shared" si="113"/>
        <v>0</v>
      </c>
      <c r="BZ90" s="648">
        <f t="shared" si="113"/>
        <v>0</v>
      </c>
      <c r="CA90" s="648">
        <f t="shared" si="113"/>
        <v>0</v>
      </c>
      <c r="CB90" s="648">
        <f t="shared" si="113"/>
        <v>0</v>
      </c>
      <c r="CC90" s="648">
        <f t="shared" si="113"/>
        <v>0</v>
      </c>
      <c r="CD90" s="648">
        <f t="shared" si="113"/>
        <v>0</v>
      </c>
      <c r="CE90" s="648">
        <f t="shared" si="113"/>
        <v>0</v>
      </c>
      <c r="CF90" s="648">
        <f t="shared" si="113"/>
        <v>0</v>
      </c>
      <c r="CG90" s="648">
        <f t="shared" si="113"/>
        <v>0</v>
      </c>
      <c r="CH90" s="648">
        <f t="shared" si="113"/>
        <v>0</v>
      </c>
      <c r="CI90" s="648">
        <f t="shared" si="113"/>
        <v>0</v>
      </c>
      <c r="CJ90" s="648">
        <f t="shared" si="113"/>
        <v>0</v>
      </c>
      <c r="CK90" s="648">
        <f t="shared" si="113"/>
        <v>0</v>
      </c>
      <c r="CL90" s="648">
        <f t="shared" si="113"/>
        <v>0</v>
      </c>
      <c r="CM90" s="648">
        <f t="shared" si="113"/>
        <v>0</v>
      </c>
      <c r="CN90" s="648">
        <f t="shared" si="113"/>
        <v>0</v>
      </c>
      <c r="CO90" s="648">
        <f t="shared" si="113"/>
        <v>0</v>
      </c>
      <c r="CP90" s="648">
        <f t="shared" si="113"/>
        <v>0</v>
      </c>
      <c r="CQ90" s="648">
        <f t="shared" si="113"/>
        <v>0</v>
      </c>
      <c r="CR90" s="648">
        <f t="shared" si="113"/>
        <v>0</v>
      </c>
      <c r="CS90" s="648">
        <f t="shared" si="113"/>
        <v>0</v>
      </c>
      <c r="CT90" s="648">
        <f t="shared" si="113"/>
        <v>0</v>
      </c>
      <c r="CU90" s="648">
        <f t="shared" si="113"/>
        <v>0</v>
      </c>
      <c r="CV90" s="648">
        <f t="shared" si="113"/>
        <v>0</v>
      </c>
      <c r="CW90" s="648">
        <f t="shared" si="113"/>
        <v>0</v>
      </c>
      <c r="CX90" s="648">
        <f t="shared" si="113"/>
        <v>0</v>
      </c>
      <c r="CY90" s="648">
        <f t="shared" si="113"/>
        <v>0</v>
      </c>
      <c r="CZ90" s="648">
        <f t="shared" si="113"/>
        <v>0</v>
      </c>
      <c r="DA90" s="648">
        <f t="shared" si="113"/>
        <v>0</v>
      </c>
      <c r="DB90" s="648">
        <f t="shared" si="113"/>
        <v>0</v>
      </c>
      <c r="DC90" s="648">
        <f t="shared" si="113"/>
        <v>0</v>
      </c>
      <c r="DD90" s="648">
        <f t="shared" si="113"/>
        <v>0</v>
      </c>
      <c r="DE90" s="648">
        <f t="shared" si="113"/>
        <v>0</v>
      </c>
      <c r="DF90" s="648">
        <f t="shared" si="113"/>
        <v>0</v>
      </c>
      <c r="DG90" s="648">
        <f t="shared" si="113"/>
        <v>0</v>
      </c>
      <c r="DH90" s="648">
        <f t="shared" si="113"/>
        <v>0</v>
      </c>
      <c r="DI90" s="648">
        <f t="shared" si="113"/>
        <v>0</v>
      </c>
      <c r="DJ90" s="648">
        <f t="shared" si="113"/>
        <v>0</v>
      </c>
      <c r="DK90" s="648">
        <f t="shared" si="113"/>
        <v>0</v>
      </c>
      <c r="DL90" s="648">
        <f t="shared" si="113"/>
        <v>0</v>
      </c>
      <c r="DM90" s="648">
        <f t="shared" si="113"/>
        <v>0</v>
      </c>
      <c r="DN90" s="648">
        <f t="shared" si="113"/>
        <v>0</v>
      </c>
      <c r="DO90" s="648">
        <f t="shared" si="113"/>
        <v>0</v>
      </c>
      <c r="DP90" s="648">
        <f t="shared" si="113"/>
        <v>0</v>
      </c>
      <c r="DQ90" s="648">
        <f t="shared" si="113"/>
        <v>0</v>
      </c>
      <c r="DR90" s="648">
        <f t="shared" si="113"/>
        <v>0</v>
      </c>
      <c r="DS90" s="648">
        <f t="shared" si="113"/>
        <v>0</v>
      </c>
      <c r="DT90" s="648">
        <f t="shared" si="113"/>
        <v>0</v>
      </c>
      <c r="DU90" s="648">
        <f t="shared" si="113"/>
        <v>0</v>
      </c>
      <c r="DV90" s="648">
        <f t="shared" si="113"/>
        <v>0</v>
      </c>
      <c r="DW90" s="648">
        <f t="shared" si="113"/>
        <v>0</v>
      </c>
      <c r="DX90" s="648">
        <f t="shared" si="113"/>
        <v>0</v>
      </c>
      <c r="DY90" s="648">
        <f t="shared" si="113"/>
        <v>0</v>
      </c>
      <c r="DZ90" s="648">
        <f t="shared" si="113"/>
        <v>0</v>
      </c>
      <c r="EA90" s="648">
        <f t="shared" si="113"/>
        <v>0</v>
      </c>
      <c r="EB90" s="648">
        <f t="shared" si="113"/>
        <v>0</v>
      </c>
      <c r="EC90" s="648">
        <f t="shared" si="113"/>
        <v>0</v>
      </c>
      <c r="ED90" s="648">
        <f t="shared" si="113"/>
        <v>0</v>
      </c>
      <c r="EE90" s="648">
        <f t="shared" si="113"/>
        <v>0</v>
      </c>
      <c r="EF90" s="648">
        <f t="shared" ref="EF90:GF90" si="114" xml:space="preserve">
IF(EF$25="休診日",0,
IF(EF92&gt;=VLOOKUP(EF$22&amp;$B90,$B$96:$D$191,2,FALSE),0,
IF(AND(EF92&lt;VLOOKUP(EF$22&amp;$B90,$B$96:$D$191,2,FALSE),EF91&lt;=VLOOKUP(EF$22&amp;$B90,$B$96:$D$191,2,FALSE)),EF91,
IF(AND(EF92&lt;VLOOKUP(EF$22&amp;$B90,$B$96:$D$191,2,FALSE),EF91&gt;VLOOKUP(EF$22&amp;$B90,$B$96:$D$191,2,FALSE)),
VLOOKUP(EF$22&amp;$B90,$B$96:$D$191,2,FALSE)-EF92))))</f>
        <v>0</v>
      </c>
      <c r="EG90" s="648">
        <f t="shared" si="114"/>
        <v>0</v>
      </c>
      <c r="EH90" s="648">
        <f t="shared" si="114"/>
        <v>0</v>
      </c>
      <c r="EI90" s="648">
        <f t="shared" si="114"/>
        <v>0</v>
      </c>
      <c r="EJ90" s="648">
        <f t="shared" si="114"/>
        <v>0</v>
      </c>
      <c r="EK90" s="648">
        <f t="shared" si="114"/>
        <v>0</v>
      </c>
      <c r="EL90" s="648">
        <f t="shared" si="114"/>
        <v>0</v>
      </c>
      <c r="EM90" s="648">
        <f t="shared" si="114"/>
        <v>0</v>
      </c>
      <c r="EN90" s="648">
        <f t="shared" si="114"/>
        <v>0</v>
      </c>
      <c r="EO90" s="648">
        <f t="shared" si="114"/>
        <v>0</v>
      </c>
      <c r="EP90" s="648">
        <f t="shared" si="114"/>
        <v>0</v>
      </c>
      <c r="EQ90" s="648">
        <f t="shared" si="114"/>
        <v>0</v>
      </c>
      <c r="ER90" s="648">
        <f t="shared" si="114"/>
        <v>0</v>
      </c>
      <c r="ES90" s="648">
        <f t="shared" si="114"/>
        <v>0</v>
      </c>
      <c r="ET90" s="648">
        <f t="shared" si="114"/>
        <v>0</v>
      </c>
      <c r="EU90" s="648">
        <f t="shared" si="114"/>
        <v>0</v>
      </c>
      <c r="EV90" s="648">
        <f t="shared" si="114"/>
        <v>0</v>
      </c>
      <c r="EW90" s="648">
        <f t="shared" si="114"/>
        <v>0</v>
      </c>
      <c r="EX90" s="648">
        <f t="shared" si="114"/>
        <v>0</v>
      </c>
      <c r="EY90" s="648">
        <f t="shared" si="114"/>
        <v>0</v>
      </c>
      <c r="EZ90" s="648">
        <f t="shared" si="114"/>
        <v>0</v>
      </c>
      <c r="FA90" s="648">
        <f t="shared" si="114"/>
        <v>0</v>
      </c>
      <c r="FB90" s="648">
        <f t="shared" si="114"/>
        <v>0</v>
      </c>
      <c r="FC90" s="648">
        <f t="shared" si="114"/>
        <v>0</v>
      </c>
      <c r="FD90" s="648">
        <f t="shared" si="114"/>
        <v>0</v>
      </c>
      <c r="FE90" s="648">
        <f t="shared" si="114"/>
        <v>0</v>
      </c>
      <c r="FF90" s="648">
        <f t="shared" si="114"/>
        <v>0</v>
      </c>
      <c r="FG90" s="648">
        <f t="shared" si="114"/>
        <v>0</v>
      </c>
      <c r="FH90" s="648">
        <f t="shared" si="114"/>
        <v>0</v>
      </c>
      <c r="FI90" s="648">
        <f t="shared" si="114"/>
        <v>0</v>
      </c>
      <c r="FJ90" s="648">
        <f t="shared" si="114"/>
        <v>0</v>
      </c>
      <c r="FK90" s="648">
        <f t="shared" si="114"/>
        <v>0</v>
      </c>
      <c r="FL90" s="648">
        <f t="shared" si="114"/>
        <v>0</v>
      </c>
      <c r="FM90" s="648">
        <f t="shared" si="114"/>
        <v>0</v>
      </c>
      <c r="FN90" s="648">
        <f t="shared" si="114"/>
        <v>0</v>
      </c>
      <c r="FO90" s="648">
        <f t="shared" si="114"/>
        <v>0</v>
      </c>
      <c r="FP90" s="648">
        <f t="shared" si="114"/>
        <v>0</v>
      </c>
      <c r="FQ90" s="648">
        <f t="shared" si="114"/>
        <v>0</v>
      </c>
      <c r="FR90" s="648">
        <f t="shared" si="114"/>
        <v>0</v>
      </c>
      <c r="FS90" s="648">
        <f t="shared" si="114"/>
        <v>0</v>
      </c>
      <c r="FT90" s="648">
        <f t="shared" si="114"/>
        <v>0</v>
      </c>
      <c r="FU90" s="648">
        <f t="shared" si="114"/>
        <v>0</v>
      </c>
      <c r="FV90" s="648">
        <f t="shared" si="114"/>
        <v>0</v>
      </c>
      <c r="FW90" s="648">
        <f t="shared" si="114"/>
        <v>0</v>
      </c>
      <c r="FX90" s="648">
        <f t="shared" si="114"/>
        <v>0</v>
      </c>
      <c r="FY90" s="648">
        <f t="shared" si="114"/>
        <v>0</v>
      </c>
      <c r="FZ90" s="648">
        <f t="shared" si="114"/>
        <v>0</v>
      </c>
      <c r="GA90" s="648">
        <f t="shared" si="114"/>
        <v>0</v>
      </c>
      <c r="GB90" s="648">
        <f t="shared" si="114"/>
        <v>0</v>
      </c>
      <c r="GC90" s="648">
        <f t="shared" si="114"/>
        <v>0</v>
      </c>
      <c r="GD90" s="648">
        <f t="shared" si="114"/>
        <v>0</v>
      </c>
      <c r="GE90" s="648">
        <f t="shared" si="114"/>
        <v>0</v>
      </c>
      <c r="GF90" s="648">
        <f t="shared" si="114"/>
        <v>0</v>
      </c>
    </row>
    <row r="91" spans="1:188" s="647" customFormat="1" ht="15" hidden="1" customHeight="1" x14ac:dyDescent="0.4">
      <c r="A91" s="631"/>
      <c r="B91" s="647" t="s">
        <v>1265</v>
      </c>
      <c r="C91" s="1710"/>
      <c r="D91" s="1711"/>
      <c r="E91" s="648"/>
      <c r="F91" s="648">
        <f>SUMIF(消毒!$B$14:$B$113,$F$23&amp;$B90,消毒!$AN$14:$AN$113)</f>
        <v>0</v>
      </c>
      <c r="G91" s="648">
        <f>IFERROR(SUM(F91,SUMIF(消毒!$B$14:$B$113,G$23&amp;$B90,消毒!$AN$14:$AN$113))-F90,0)</f>
        <v>0</v>
      </c>
      <c r="H91" s="648">
        <f>IFERROR(SUM(G91,SUMIF(消毒!$B$14:$B$113,H$23&amp;$B90,消毒!$AN$14:$AN$113))-G90,0)</f>
        <v>0</v>
      </c>
      <c r="I91" s="648">
        <f>IFERROR(SUM(H91,SUMIF(消毒!$B$14:$B$113,I$23&amp;$B90,消毒!$AN$14:$AN$113))-H90,0)</f>
        <v>0</v>
      </c>
      <c r="J91" s="648">
        <f>IFERROR(SUM(I91,SUMIF(消毒!$B$14:$B$113,J$23&amp;$B90,消毒!$AN$14:$AN$113))-I90,0)</f>
        <v>0</v>
      </c>
      <c r="K91" s="648">
        <f>IFERROR(SUM(J91,SUMIF(消毒!$B$14:$B$113,K$23&amp;$B90,消毒!$AN$14:$AN$113))-J90,0)</f>
        <v>0</v>
      </c>
      <c r="L91" s="648">
        <f>IFERROR(SUM(K91,SUMIF(消毒!$B$14:$B$113,L$23&amp;$B90,消毒!$AN$14:$AN$113))-K90,0)</f>
        <v>0</v>
      </c>
      <c r="M91" s="648">
        <f>IFERROR(SUM(L91,SUMIF(消毒!$B$14:$B$113,M$23&amp;$B90,消毒!$AN$14:$AN$113))-L90,0)</f>
        <v>0</v>
      </c>
      <c r="N91" s="648">
        <f>IFERROR(SUM(M91,SUMIF(消毒!$B$14:$B$113,N$23&amp;$B90,消毒!$AN$14:$AN$113))-M90,0)</f>
        <v>0</v>
      </c>
      <c r="O91" s="648">
        <f>IFERROR(SUM(N91,SUMIF(消毒!$B$14:$B$113,O$23&amp;$B90,消毒!$AN$14:$AN$113))-N90,0)</f>
        <v>0</v>
      </c>
      <c r="P91" s="648">
        <f>IFERROR(SUM(O91,SUMIF(消毒!$B$14:$B$113,P$23&amp;$B90,消毒!$AN$14:$AN$113))-O90,0)</f>
        <v>0</v>
      </c>
      <c r="Q91" s="648">
        <f>IFERROR(SUM(P91,SUMIF(消毒!$B$14:$B$113,Q$23&amp;$B90,消毒!$AN$14:$AN$113))-P90,0)</f>
        <v>0</v>
      </c>
      <c r="R91" s="648">
        <f>IFERROR(SUM(Q91,SUMIF(消毒!$B$14:$B$113,R$23&amp;$B90,消毒!$AN$14:$AN$113))-Q90,0)</f>
        <v>0</v>
      </c>
      <c r="S91" s="648">
        <f>IFERROR(SUM(R91,SUMIF(消毒!$B$14:$B$113,S$23&amp;$B90,消毒!$AN$14:$AN$113))-R90,0)</f>
        <v>0</v>
      </c>
      <c r="T91" s="648">
        <f>IFERROR(SUM(S91,SUMIF(消毒!$B$14:$B$113,T$23&amp;$B90,消毒!$AN$14:$AN$113))-S90,0)</f>
        <v>0</v>
      </c>
      <c r="U91" s="648">
        <f>IFERROR(SUM(T91,SUMIF(消毒!$B$14:$B$113,U$23&amp;$B90,消毒!$AN$14:$AN$113))-T90,0)</f>
        <v>0</v>
      </c>
      <c r="V91" s="648">
        <f>IFERROR(SUM(U91,SUMIF(消毒!$B$14:$B$113,V$23&amp;$B90,消毒!$AN$14:$AN$113))-U90,0)</f>
        <v>0</v>
      </c>
      <c r="W91" s="648">
        <f>IFERROR(SUM(V91,SUMIF(消毒!$B$14:$B$113,W$23&amp;$B90,消毒!$AN$14:$AN$113))-V90,0)</f>
        <v>0</v>
      </c>
      <c r="X91" s="648">
        <f>IFERROR(SUM(W91,SUMIF(消毒!$B$14:$B$113,X$23&amp;$B90,消毒!$AN$14:$AN$113))-W90,0)</f>
        <v>0</v>
      </c>
      <c r="Y91" s="648">
        <f>IFERROR(SUM(X91,SUMIF(消毒!$B$14:$B$113,Y$23&amp;$B90,消毒!$AN$14:$AN$113))-X90,0)</f>
        <v>0</v>
      </c>
      <c r="Z91" s="648">
        <f>IFERROR(SUM(Y91,SUMIF(消毒!$B$14:$B$113,Z$23&amp;$B90,消毒!$AN$14:$AN$113))-Y90,0)</f>
        <v>0</v>
      </c>
      <c r="AA91" s="648">
        <f>IFERROR(SUM(Z91,SUMIF(消毒!$B$14:$B$113,AA$23&amp;$B90,消毒!$AN$14:$AN$113))-Z90,0)</f>
        <v>0</v>
      </c>
      <c r="AB91" s="648">
        <f>IFERROR(SUM(AA91,SUMIF(消毒!$B$14:$B$113,AB$23&amp;$B90,消毒!$AN$14:$AN$113))-AA90,0)</f>
        <v>0</v>
      </c>
      <c r="AC91" s="648">
        <f>IFERROR(SUM(AB91,SUMIF(消毒!$B$14:$B$113,AC$23&amp;$B90,消毒!$AN$14:$AN$113))-AB90,0)</f>
        <v>0</v>
      </c>
      <c r="AD91" s="648">
        <f>IFERROR(SUM(AC91,SUMIF(消毒!$B$14:$B$113,AD$23&amp;$B90,消毒!$AN$14:$AN$113))-AC90,0)</f>
        <v>0</v>
      </c>
      <c r="AE91" s="648">
        <f>IFERROR(SUM(AD91,SUMIF(消毒!$B$14:$B$113,AE$23&amp;$B90,消毒!$AN$14:$AN$113))-AD90,0)</f>
        <v>0</v>
      </c>
      <c r="AF91" s="648">
        <f>IFERROR(SUM(AE91,SUMIF(消毒!$B$14:$B$113,AF$23&amp;$B90,消毒!$AN$14:$AN$113))-AE90,0)</f>
        <v>0</v>
      </c>
      <c r="AG91" s="648">
        <f>IFERROR(SUM(AF91,SUMIF(消毒!$B$14:$B$113,AG$23&amp;$B90,消毒!$AN$14:$AN$113))-AF90,0)</f>
        <v>0</v>
      </c>
      <c r="AH91" s="648">
        <f>IFERROR(SUM(AG91,SUMIF(消毒!$B$14:$B$113,AH$23&amp;$B90,消毒!$AN$14:$AN$113))-AG90,0)</f>
        <v>0</v>
      </c>
      <c r="AI91" s="648">
        <f>IFERROR(SUM(AH91,SUMIF(消毒!$B$14:$B$113,AI$23&amp;$B90,消毒!$AN$14:$AN$113))-AH90,0)</f>
        <v>0</v>
      </c>
      <c r="AJ91" s="648">
        <f>IFERROR(SUM(AI91,SUMIF(消毒!$B$14:$B$113,AJ$23&amp;$B90,消毒!$AN$14:$AN$113))-AI90,0)</f>
        <v>0</v>
      </c>
      <c r="AK91" s="648">
        <f>IFERROR(SUM(AJ91,SUMIF(消毒!$B$14:$B$113,AK$23&amp;$B90,消毒!$AN$14:$AN$113))-AJ90,0)</f>
        <v>0</v>
      </c>
      <c r="AL91" s="648">
        <f>IFERROR(SUM(AK91,SUMIF(消毒!$B$14:$B$113,AL$23&amp;$B90,消毒!$AN$14:$AN$113))-AK90,0)</f>
        <v>0</v>
      </c>
      <c r="AM91" s="648">
        <f>IFERROR(SUM(AL91,SUMIF(消毒!$B$14:$B$113,AM$23&amp;$B90,消毒!$AN$14:$AN$113))-AL90,0)</f>
        <v>0</v>
      </c>
      <c r="AN91" s="648">
        <f>IFERROR(SUM(AM91,SUMIF(消毒!$B$14:$B$113,AN$23&amp;$B90,消毒!$AN$14:$AN$113))-AM90,0)</f>
        <v>0</v>
      </c>
      <c r="AO91" s="648">
        <f>IFERROR(SUM(AN91,SUMIF(消毒!$B$14:$B$113,AO$23&amp;$B90,消毒!$AN$14:$AN$113))-AN90,0)</f>
        <v>0</v>
      </c>
      <c r="AP91" s="648">
        <f>IFERROR(SUM(AO91,SUMIF(消毒!$B$14:$B$113,AP$23&amp;$B90,消毒!$AN$14:$AN$113))-AO90,0)</f>
        <v>0</v>
      </c>
      <c r="AQ91" s="648">
        <f>IFERROR(SUM(AP91,SUMIF(消毒!$B$14:$B$113,AQ$23&amp;$B90,消毒!$AN$14:$AN$113))-AP90,0)</f>
        <v>0</v>
      </c>
      <c r="AR91" s="648">
        <f>IFERROR(SUM(AQ91,SUMIF(消毒!$B$14:$B$113,AR$23&amp;$B90,消毒!$AN$14:$AN$113))-AQ90,0)</f>
        <v>0</v>
      </c>
      <c r="AS91" s="648">
        <f>IFERROR(SUM(AR91,SUMIF(消毒!$B$14:$B$113,AS$23&amp;$B90,消毒!$AN$14:$AN$113))-AR90,0)</f>
        <v>0</v>
      </c>
      <c r="AT91" s="648">
        <f>IFERROR(SUM(AS91,SUMIF(消毒!$B$14:$B$113,AT$23&amp;$B90,消毒!$AN$14:$AN$113))-AS90,0)</f>
        <v>0</v>
      </c>
      <c r="AU91" s="648">
        <f>IFERROR(SUM(AT91,SUMIF(消毒!$B$14:$B$113,AU$23&amp;$B90,消毒!$AN$14:$AN$113))-AT90,0)</f>
        <v>0</v>
      </c>
      <c r="AV91" s="648">
        <f>IFERROR(SUM(AU91,SUMIF(消毒!$B$14:$B$113,AV$23&amp;$B90,消毒!$AN$14:$AN$113))-AU90,0)</f>
        <v>0</v>
      </c>
      <c r="AW91" s="648">
        <f>IFERROR(SUM(AV91,SUMIF(消毒!$B$14:$B$113,AW$23&amp;$B90,消毒!$AN$14:$AN$113))-AV90,0)</f>
        <v>0</v>
      </c>
      <c r="AX91" s="648">
        <f>IFERROR(SUM(AW91,SUMIF(消毒!$B$14:$B$113,AX$23&amp;$B90,消毒!$AN$14:$AN$113))-AW90,0)</f>
        <v>0</v>
      </c>
      <c r="AY91" s="648">
        <f>IFERROR(SUM(AX91,SUMIF(消毒!$B$14:$B$113,AY$23&amp;$B90,消毒!$AN$14:$AN$113))-AX90,0)</f>
        <v>0</v>
      </c>
      <c r="AZ91" s="648">
        <f>IFERROR(SUM(AY91,SUMIF(消毒!$B$14:$B$113,AZ$23&amp;$B90,消毒!$AN$14:$AN$113))-AY90,0)</f>
        <v>0</v>
      </c>
      <c r="BA91" s="648">
        <f>IFERROR(SUM(AZ91,SUMIF(消毒!$B$14:$B$113,BA$23&amp;$B90,消毒!$AN$14:$AN$113))-AZ90,0)</f>
        <v>0</v>
      </c>
      <c r="BB91" s="648">
        <f>IFERROR(SUM(BA91,SUMIF(消毒!$B$14:$B$113,BB$23&amp;$B90,消毒!$AN$14:$AN$113))-BA90,0)</f>
        <v>0</v>
      </c>
      <c r="BC91" s="648">
        <f>IFERROR(SUM(BB91,SUMIF(消毒!$B$14:$B$113,BC$23&amp;$B90,消毒!$AN$14:$AN$113))-BB90,0)</f>
        <v>0</v>
      </c>
      <c r="BD91" s="648">
        <f>IFERROR(SUM(BC91,SUMIF(消毒!$B$14:$B$113,BD$23&amp;$B90,消毒!$AN$14:$AN$113))-BC90,0)</f>
        <v>0</v>
      </c>
      <c r="BE91" s="648">
        <f>IFERROR(SUM(BD91,SUMIF(消毒!$B$14:$B$113,BE$23&amp;$B90,消毒!$AN$14:$AN$113))-BD90,0)</f>
        <v>0</v>
      </c>
      <c r="BF91" s="648">
        <f>IFERROR(SUM(BE91,SUMIF(消毒!$B$14:$B$113,BF$23&amp;$B90,消毒!$AN$14:$AN$113))-BE90,0)</f>
        <v>0</v>
      </c>
      <c r="BG91" s="648">
        <f>IFERROR(SUM(BF91,SUMIF(消毒!$B$14:$B$113,BG$23&amp;$B90,消毒!$AN$14:$AN$113))-BF90,0)</f>
        <v>0</v>
      </c>
      <c r="BH91" s="648">
        <f>IFERROR(SUM(BG91,SUMIF(消毒!$B$14:$B$113,BH$23&amp;$B90,消毒!$AN$14:$AN$113))-BG90,0)</f>
        <v>0</v>
      </c>
      <c r="BI91" s="648">
        <f>IFERROR(SUM(BH91,SUMIF(消毒!$B$14:$B$113,BI$23&amp;$B90,消毒!$AN$14:$AN$113))-BH90,0)</f>
        <v>0</v>
      </c>
      <c r="BJ91" s="648">
        <f>IFERROR(SUM(BI91,SUMIF(消毒!$B$14:$B$113,BJ$23&amp;$B90,消毒!$AN$14:$AN$113))-BI90,0)</f>
        <v>0</v>
      </c>
      <c r="BK91" s="648">
        <f>IFERROR(SUM(BJ91,SUMIF(消毒!$B$14:$B$113,BK$23&amp;$B90,消毒!$AN$14:$AN$113))-BJ90,0)</f>
        <v>0</v>
      </c>
      <c r="BL91" s="648">
        <f>IFERROR(SUM(BK91,SUMIF(消毒!$B$14:$B$113,BL$23&amp;$B90,消毒!$AN$14:$AN$113))-BK90,0)</f>
        <v>0</v>
      </c>
      <c r="BM91" s="648">
        <f>IFERROR(SUM(BL91,SUMIF(消毒!$B$14:$B$113,BM$23&amp;$B90,消毒!$AN$14:$AN$113))-BL90,0)</f>
        <v>0</v>
      </c>
      <c r="BN91" s="648">
        <f>IFERROR(SUM(BM91,SUMIF(消毒!$B$14:$B$113,BN$23&amp;$B90,消毒!$AN$14:$AN$113))-BM90,0)</f>
        <v>0</v>
      </c>
      <c r="BO91" s="648">
        <f>IFERROR(SUM(BN91,SUMIF(消毒!$B$14:$B$113,BO$23&amp;$B90,消毒!$AN$14:$AN$113))-BN90,0)</f>
        <v>0</v>
      </c>
      <c r="BP91" s="648">
        <f>IFERROR(SUM(BO91,SUMIF(消毒!$B$14:$B$113,BP$23&amp;$B90,消毒!$AN$14:$AN$113))-BO90,0)</f>
        <v>0</v>
      </c>
      <c r="BQ91" s="648">
        <f>IFERROR(SUM(BP91,SUMIF(消毒!$B$14:$B$113,BQ$23&amp;$B90,消毒!$AN$14:$AN$113))-BP90,0)</f>
        <v>0</v>
      </c>
      <c r="BR91" s="648">
        <f>IFERROR(SUM(BQ91,SUMIF(消毒!$B$14:$B$113,BR$23&amp;$B90,消毒!$AN$14:$AN$113))-BQ90,0)</f>
        <v>0</v>
      </c>
      <c r="BS91" s="648">
        <f>IFERROR(SUM(BR91,SUMIF(消毒!$B$14:$B$113,BS$23&amp;$B90,消毒!$AN$14:$AN$113))-BR90,0)</f>
        <v>0</v>
      </c>
      <c r="BT91" s="648">
        <f>IFERROR(SUM(BS91,SUMIF(消毒!$B$14:$B$113,BT$23&amp;$B90,消毒!$AN$14:$AN$113))-BS90,0)</f>
        <v>0</v>
      </c>
      <c r="BU91" s="648">
        <f>IFERROR(SUM(BT91,SUMIF(消毒!$B$14:$B$113,BU$23&amp;$B90,消毒!$AN$14:$AN$113))-BT90,0)</f>
        <v>0</v>
      </c>
      <c r="BV91" s="648">
        <f>IFERROR(SUM(BU91,SUMIF(消毒!$B$14:$B$113,BV$23&amp;$B90,消毒!$AN$14:$AN$113))-BU90,0)</f>
        <v>0</v>
      </c>
      <c r="BW91" s="648">
        <f>IFERROR(SUM(BV91,SUMIF(消毒!$B$14:$B$113,BW$23&amp;$B90,消毒!$AN$14:$AN$113))-BV90,0)</f>
        <v>0</v>
      </c>
      <c r="BX91" s="648">
        <f>IFERROR(SUM(BW91,SUMIF(消毒!$B$14:$B$113,BX$23&amp;$B90,消毒!$AN$14:$AN$113))-BW90,0)</f>
        <v>0</v>
      </c>
      <c r="BY91" s="648">
        <f>IFERROR(SUM(BX91,SUMIF(消毒!$B$14:$B$113,BY$23&amp;$B90,消毒!$AN$14:$AN$113))-BX90,0)</f>
        <v>0</v>
      </c>
      <c r="BZ91" s="648">
        <f>IFERROR(SUM(BY91,SUMIF(消毒!$B$14:$B$113,BZ$23&amp;$B90,消毒!$AN$14:$AN$113))-BY90,0)</f>
        <v>0</v>
      </c>
      <c r="CA91" s="648">
        <f>IFERROR(SUM(BZ91,SUMIF(消毒!$B$14:$B$113,CA$23&amp;$B90,消毒!$AN$14:$AN$113))-BZ90,0)</f>
        <v>0</v>
      </c>
      <c r="CB91" s="648">
        <f>IFERROR(SUM(CA91,SUMIF(消毒!$B$14:$B$113,CB$23&amp;$B90,消毒!$AN$14:$AN$113))-CA90,0)</f>
        <v>0</v>
      </c>
      <c r="CC91" s="648">
        <f>IFERROR(SUM(CB91,SUMIF(消毒!$B$14:$B$113,CC$23&amp;$B90,消毒!$AN$14:$AN$113))-CB90,0)</f>
        <v>0</v>
      </c>
      <c r="CD91" s="648">
        <f>IFERROR(SUM(CC91,SUMIF(消毒!$B$14:$B$113,CD$23&amp;$B90,消毒!$AN$14:$AN$113))-CC90,0)</f>
        <v>0</v>
      </c>
      <c r="CE91" s="648">
        <f>IFERROR(SUM(CD91,SUMIF(消毒!$B$14:$B$113,CE$23&amp;$B90,消毒!$AN$14:$AN$113))-CD90,0)</f>
        <v>0</v>
      </c>
      <c r="CF91" s="648">
        <f>IFERROR(SUM(CE91,SUMIF(消毒!$B$14:$B$113,CF$23&amp;$B90,消毒!$AN$14:$AN$113))-CE90,0)</f>
        <v>0</v>
      </c>
      <c r="CG91" s="648">
        <f>IFERROR(SUM(CF91,SUMIF(消毒!$B$14:$B$113,CG$23&amp;$B90,消毒!$AN$14:$AN$113))-CF90,0)</f>
        <v>0</v>
      </c>
      <c r="CH91" s="648">
        <f>IFERROR(SUM(CG91,SUMIF(消毒!$B$14:$B$113,CH$23&amp;$B90,消毒!$AN$14:$AN$113))-CG90,0)</f>
        <v>0</v>
      </c>
      <c r="CI91" s="648">
        <f>IFERROR(SUM(CH91,SUMIF(消毒!$B$14:$B$113,CI$23&amp;$B90,消毒!$AN$14:$AN$113))-CH90,0)</f>
        <v>0</v>
      </c>
      <c r="CJ91" s="648">
        <f>IFERROR(SUM(CI91,SUMIF(消毒!$B$14:$B$113,CJ$23&amp;$B90,消毒!$AN$14:$AN$113))-CI90,0)</f>
        <v>0</v>
      </c>
      <c r="CK91" s="648">
        <f>IFERROR(SUM(CJ91,SUMIF(消毒!$B$14:$B$113,CK$23&amp;$B90,消毒!$AN$14:$AN$113))-CJ90,0)</f>
        <v>0</v>
      </c>
      <c r="CL91" s="648">
        <f>IFERROR(SUM(CK91,SUMIF(消毒!$B$14:$B$113,CL$23&amp;$B90,消毒!$AN$14:$AN$113))-CK90,0)</f>
        <v>0</v>
      </c>
      <c r="CM91" s="648">
        <f>IFERROR(SUM(CL91,SUMIF(消毒!$B$14:$B$113,CM$23&amp;$B90,消毒!$AN$14:$AN$113))-CL90,0)</f>
        <v>0</v>
      </c>
      <c r="CN91" s="648">
        <f>IFERROR(SUM(CM91,SUMIF(消毒!$B$14:$B$113,CN$23&amp;$B90,消毒!$AN$14:$AN$113))-CM90,0)</f>
        <v>0</v>
      </c>
      <c r="CO91" s="648">
        <f>IFERROR(SUM(CN91,SUMIF(消毒!$B$14:$B$113,CO$23&amp;$B90,消毒!$AN$14:$AN$113))-CN90,0)</f>
        <v>0</v>
      </c>
      <c r="CP91" s="648">
        <f>IFERROR(SUM(CO91,SUMIF(消毒!$B$14:$B$113,CP$23&amp;$B90,消毒!$AN$14:$AN$113))-CO90,0)</f>
        <v>0</v>
      </c>
      <c r="CQ91" s="648">
        <f>IFERROR(SUM(CP91,SUMIF(消毒!$B$14:$B$113,CQ$23&amp;$B90,消毒!$AN$14:$AN$113))-CP90,0)</f>
        <v>0</v>
      </c>
      <c r="CR91" s="648">
        <f>IFERROR(SUM(CQ91,SUMIF(消毒!$B$14:$B$113,CR$23&amp;$B90,消毒!$AN$14:$AN$113))-CQ90,0)</f>
        <v>0</v>
      </c>
      <c r="CS91" s="648">
        <f>IFERROR(SUM(CR91,SUMIF(消毒!$B$14:$B$113,CS$23&amp;$B90,消毒!$AN$14:$AN$113))-CR90,0)</f>
        <v>0</v>
      </c>
      <c r="CT91" s="648">
        <f>IFERROR(SUM(CS91,SUMIF(消毒!$B$14:$B$113,CT$23&amp;$B90,消毒!$AN$14:$AN$113))-CS90,0)</f>
        <v>0</v>
      </c>
      <c r="CU91" s="648">
        <f>IFERROR(SUM(CT91,SUMIF(消毒!$B$14:$B$113,CU$23&amp;$B90,消毒!$AN$14:$AN$113))-CT90,0)</f>
        <v>0</v>
      </c>
      <c r="CV91" s="648">
        <f>IFERROR(SUM(CU91,SUMIF(消毒!$B$14:$B$113,CV$23&amp;$B90,消毒!$AN$14:$AN$113))-CU90,0)</f>
        <v>0</v>
      </c>
      <c r="CW91" s="648">
        <f>IFERROR(SUM(CV91,SUMIF(消毒!$B$14:$B$113,CW$23&amp;$B90,消毒!$AN$14:$AN$113))-CV90,0)</f>
        <v>0</v>
      </c>
      <c r="CX91" s="648">
        <f>IFERROR(SUM(CW91,SUMIF(消毒!$B$14:$B$113,CX$23&amp;$B90,消毒!$AN$14:$AN$113))-CW90,0)</f>
        <v>0</v>
      </c>
      <c r="CY91" s="648">
        <f>IFERROR(SUM(CX91,SUMIF(消毒!$B$14:$B$113,CY$23&amp;$B90,消毒!$AN$14:$AN$113))-CX90,0)</f>
        <v>0</v>
      </c>
      <c r="CZ91" s="648">
        <f>IFERROR(SUM(CY91,SUMIF(消毒!$B$14:$B$113,CZ$23&amp;$B90,消毒!$AN$14:$AN$113))-CY90,0)</f>
        <v>0</v>
      </c>
      <c r="DA91" s="648">
        <f>IFERROR(SUM(CZ91,SUMIF(消毒!$B$14:$B$113,DA$23&amp;$B90,消毒!$AN$14:$AN$113))-CZ90,0)</f>
        <v>0</v>
      </c>
      <c r="DB91" s="648">
        <f>IFERROR(SUM(DA91,SUMIF(消毒!$B$14:$B$113,DB$23&amp;$B90,消毒!$AN$14:$AN$113))-DA90,0)</f>
        <v>0</v>
      </c>
      <c r="DC91" s="648">
        <f>IFERROR(SUM(DB91,SUMIF(消毒!$B$14:$B$113,DC$23&amp;$B90,消毒!$AN$14:$AN$113))-DB90,0)</f>
        <v>0</v>
      </c>
      <c r="DD91" s="648">
        <f>IFERROR(SUM(DC91,SUMIF(消毒!$B$14:$B$113,DD$23&amp;$B90,消毒!$AN$14:$AN$113))-DC90,0)</f>
        <v>0</v>
      </c>
      <c r="DE91" s="648">
        <f>IFERROR(SUM(DD91,SUMIF(消毒!$B$14:$B$113,DE$23&amp;$B90,消毒!$AN$14:$AN$113))-DD90,0)</f>
        <v>0</v>
      </c>
      <c r="DF91" s="648">
        <f>IFERROR(SUM(DE91,SUMIF(消毒!$B$14:$B$113,DF$23&amp;$B90,消毒!$AN$14:$AN$113))-DE90,0)</f>
        <v>0</v>
      </c>
      <c r="DG91" s="648">
        <f>IFERROR(SUM(DF91,SUMIF(消毒!$B$14:$B$113,DG$23&amp;$B90,消毒!$AN$14:$AN$113))-DF90,0)</f>
        <v>0</v>
      </c>
      <c r="DH91" s="648">
        <f>IFERROR(SUM(DG91,SUMIF(消毒!$B$14:$B$113,DH$23&amp;$B90,消毒!$AN$14:$AN$113))-DG90,0)</f>
        <v>0</v>
      </c>
      <c r="DI91" s="648">
        <f>IFERROR(SUM(DH91,SUMIF(消毒!$B$14:$B$113,DI$23&amp;$B90,消毒!$AN$14:$AN$113))-DH90,0)</f>
        <v>0</v>
      </c>
      <c r="DJ91" s="648">
        <f>IFERROR(SUM(DI91,SUMIF(消毒!$B$14:$B$113,DJ$23&amp;$B90,消毒!$AN$14:$AN$113))-DI90,0)</f>
        <v>0</v>
      </c>
      <c r="DK91" s="648">
        <f>IFERROR(SUM(DJ91,SUMIF(消毒!$B$14:$B$113,DK$23&amp;$B90,消毒!$AN$14:$AN$113))-DJ90,0)</f>
        <v>0</v>
      </c>
      <c r="DL91" s="648">
        <f>IFERROR(SUM(DK91,SUMIF(消毒!$B$14:$B$113,DL$23&amp;$B90,消毒!$AN$14:$AN$113))-DK90,0)</f>
        <v>0</v>
      </c>
      <c r="DM91" s="648">
        <f>IFERROR(SUM(DL91,SUMIF(消毒!$B$14:$B$113,DM$23&amp;$B90,消毒!$AN$14:$AN$113))-DL90,0)</f>
        <v>0</v>
      </c>
      <c r="DN91" s="648">
        <f>IFERROR(SUM(DM91,SUMIF(消毒!$B$14:$B$113,DN$23&amp;$B90,消毒!$AN$14:$AN$113))-DM90,0)</f>
        <v>0</v>
      </c>
      <c r="DO91" s="648">
        <f>IFERROR(SUM(DN91,SUMIF(消毒!$B$14:$B$113,DO$23&amp;$B90,消毒!$AN$14:$AN$113))-DN90,0)</f>
        <v>0</v>
      </c>
      <c r="DP91" s="648">
        <f>IFERROR(SUM(DO91,SUMIF(消毒!$B$14:$B$113,DP$23&amp;$B90,消毒!$AN$14:$AN$113))-DO90,0)</f>
        <v>0</v>
      </c>
      <c r="DQ91" s="648">
        <f>IFERROR(SUM(DP91,SUMIF(消毒!$B$14:$B$113,DQ$23&amp;$B90,消毒!$AN$14:$AN$113))-DP90,0)</f>
        <v>0</v>
      </c>
      <c r="DR91" s="648">
        <f>IFERROR(SUM(DQ91,SUMIF(消毒!$B$14:$B$113,DR$23&amp;$B90,消毒!$AN$14:$AN$113))-DQ90,0)</f>
        <v>0</v>
      </c>
      <c r="DS91" s="648">
        <f>IFERROR(SUM(DR91,SUMIF(消毒!$B$14:$B$113,DS$23&amp;$B90,消毒!$AN$14:$AN$113))-DR90,0)</f>
        <v>0</v>
      </c>
      <c r="DT91" s="648">
        <f>IFERROR(SUM(DS91,SUMIF(消毒!$B$14:$B$113,DT$23&amp;$B90,消毒!$AN$14:$AN$113))-DS90,0)</f>
        <v>0</v>
      </c>
      <c r="DU91" s="648">
        <f>IFERROR(SUM(DT91,SUMIF(消毒!$B$14:$B$113,DU$23&amp;$B90,消毒!$AN$14:$AN$113))-DT90,0)</f>
        <v>0</v>
      </c>
      <c r="DV91" s="648">
        <f>IFERROR(SUM(DU91,SUMIF(消毒!$B$14:$B$113,DV$23&amp;$B90,消毒!$AN$14:$AN$113))-DU90,0)</f>
        <v>0</v>
      </c>
      <c r="DW91" s="648">
        <f>IFERROR(SUM(DV91,SUMIF(消毒!$B$14:$B$113,DW$23&amp;$B90,消毒!$AN$14:$AN$113))-DV90,0)</f>
        <v>0</v>
      </c>
      <c r="DX91" s="648">
        <f>IFERROR(SUM(DW91,SUMIF(消毒!$B$14:$B$113,DX$23&amp;$B90,消毒!$AN$14:$AN$113))-DW90,0)</f>
        <v>0</v>
      </c>
      <c r="DY91" s="648">
        <f>IFERROR(SUM(DX91,SUMIF(消毒!$B$14:$B$113,DY$23&amp;$B90,消毒!$AN$14:$AN$113))-DX90,0)</f>
        <v>0</v>
      </c>
      <c r="DZ91" s="648">
        <f>IFERROR(SUM(DY91,SUMIF(消毒!$B$14:$B$113,DZ$23&amp;$B90,消毒!$AN$14:$AN$113))-DY90,0)</f>
        <v>0</v>
      </c>
      <c r="EA91" s="648">
        <f>IFERROR(SUM(DZ91,SUMIF(消毒!$B$14:$B$113,EA$23&amp;$B90,消毒!$AN$14:$AN$113))-DZ90,0)</f>
        <v>0</v>
      </c>
      <c r="EB91" s="648">
        <f>IFERROR(SUM(EA91,SUMIF(消毒!$B$14:$B$113,EB$23&amp;$B90,消毒!$AN$14:$AN$113))-EA90,0)</f>
        <v>0</v>
      </c>
      <c r="EC91" s="648">
        <f>IFERROR(SUM(EB91,SUMIF(消毒!$B$14:$B$113,EC$23&amp;$B90,消毒!$AN$14:$AN$113))-EB90,0)</f>
        <v>0</v>
      </c>
      <c r="ED91" s="648">
        <f>IFERROR(SUM(EC91,SUMIF(消毒!$B$14:$B$113,ED$23&amp;$B90,消毒!$AN$14:$AN$113))-EC90,0)</f>
        <v>0</v>
      </c>
      <c r="EE91" s="648">
        <f>IFERROR(SUM(ED91,SUMIF(消毒!$B$14:$B$113,EE$23&amp;$B90,消毒!$AN$14:$AN$113))-ED90,0)</f>
        <v>0</v>
      </c>
      <c r="EF91" s="648">
        <f>IFERROR(SUM(EE91,SUMIF(消毒!$B$14:$B$113,EF$23&amp;$B90,消毒!$AN$14:$AN$113))-EE90,0)</f>
        <v>0</v>
      </c>
      <c r="EG91" s="648">
        <f>IFERROR(SUM(EF91,SUMIF(消毒!$B$14:$B$113,EG$23&amp;$B90,消毒!$AN$14:$AN$113))-EF90,0)</f>
        <v>0</v>
      </c>
      <c r="EH91" s="648">
        <f>IFERROR(SUM(EG91,SUMIF(消毒!$B$14:$B$113,EH$23&amp;$B90,消毒!$AN$14:$AN$113))-EG90,0)</f>
        <v>0</v>
      </c>
      <c r="EI91" s="648">
        <f>IFERROR(SUM(EH91,SUMIF(消毒!$B$14:$B$113,EI$23&amp;$B90,消毒!$AN$14:$AN$113))-EH90,0)</f>
        <v>0</v>
      </c>
      <c r="EJ91" s="648">
        <f>IFERROR(SUM(EI91,SUMIF(消毒!$B$14:$B$113,EJ$23&amp;$B90,消毒!$AN$14:$AN$113))-EI90,0)</f>
        <v>0</v>
      </c>
      <c r="EK91" s="648">
        <f>IFERROR(SUM(EJ91,SUMIF(消毒!$B$14:$B$113,EK$23&amp;$B90,消毒!$AN$14:$AN$113))-EJ90,0)</f>
        <v>0</v>
      </c>
      <c r="EL91" s="648">
        <f>IFERROR(SUM(EK91,SUMIF(消毒!$B$14:$B$113,EL$23&amp;$B90,消毒!$AN$14:$AN$113))-EK90,0)</f>
        <v>0</v>
      </c>
      <c r="EM91" s="648">
        <f>IFERROR(SUM(EL91,SUMIF(消毒!$B$14:$B$113,EM$23&amp;$B90,消毒!$AN$14:$AN$113))-EL90,0)</f>
        <v>0</v>
      </c>
      <c r="EN91" s="648">
        <f>IFERROR(SUM(EM91,SUMIF(消毒!$B$14:$B$113,EN$23&amp;$B90,消毒!$AN$14:$AN$113))-EM90,0)</f>
        <v>0</v>
      </c>
      <c r="EO91" s="648">
        <f>IFERROR(SUM(EN91,SUMIF(消毒!$B$14:$B$113,EO$23&amp;$B90,消毒!$AN$14:$AN$113))-EN90,0)</f>
        <v>0</v>
      </c>
      <c r="EP91" s="648">
        <f>IFERROR(SUM(EO91,SUMIF(消毒!$B$14:$B$113,EP$23&amp;$B90,消毒!$AN$14:$AN$113))-EO90,0)</f>
        <v>0</v>
      </c>
      <c r="EQ91" s="648">
        <f>IFERROR(SUM(EP91,SUMIF(消毒!$B$14:$B$113,EQ$23&amp;$B90,消毒!$AN$14:$AN$113))-EP90,0)</f>
        <v>0</v>
      </c>
      <c r="ER91" s="648">
        <f>IFERROR(SUM(EQ91,SUMIF(消毒!$B$14:$B$113,ER$23&amp;$B90,消毒!$AN$14:$AN$113))-EQ90,0)</f>
        <v>0</v>
      </c>
      <c r="ES91" s="648">
        <f>IFERROR(SUM(ER91,SUMIF(消毒!$B$14:$B$113,ES$23&amp;$B90,消毒!$AN$14:$AN$113))-ER90,0)</f>
        <v>0</v>
      </c>
      <c r="ET91" s="648">
        <f>IFERROR(SUM(ES91,SUMIF(消毒!$B$14:$B$113,ET$23&amp;$B90,消毒!$AN$14:$AN$113))-ES90,0)</f>
        <v>0</v>
      </c>
      <c r="EU91" s="648">
        <f>IFERROR(SUM(ET91,SUMIF(消毒!$B$14:$B$113,EU$23&amp;$B90,消毒!$AN$14:$AN$113))-ET90,0)</f>
        <v>0</v>
      </c>
      <c r="EV91" s="648">
        <f>IFERROR(SUM(EU91,SUMIF(消毒!$B$14:$B$113,EV$23&amp;$B90,消毒!$AN$14:$AN$113))-EU90,0)</f>
        <v>0</v>
      </c>
      <c r="EW91" s="648">
        <f>IFERROR(SUM(EV91,SUMIF(消毒!$B$14:$B$113,EW$23&amp;$B90,消毒!$AN$14:$AN$113))-EV90,0)</f>
        <v>0</v>
      </c>
      <c r="EX91" s="648">
        <f>IFERROR(SUM(EW91,SUMIF(消毒!$B$14:$B$113,EX$23&amp;$B90,消毒!$AN$14:$AN$113))-EW90,0)</f>
        <v>0</v>
      </c>
      <c r="EY91" s="648">
        <f>IFERROR(SUM(EX91,SUMIF(消毒!$B$14:$B$113,EY$23&amp;$B90,消毒!$AN$14:$AN$113))-EX90,0)</f>
        <v>0</v>
      </c>
      <c r="EZ91" s="648">
        <f>IFERROR(SUM(EY91,SUMIF(消毒!$B$14:$B$113,EZ$23&amp;$B90,消毒!$AN$14:$AN$113))-EY90,0)</f>
        <v>0</v>
      </c>
      <c r="FA91" s="648">
        <f>IFERROR(SUM(EZ91,SUMIF(消毒!$B$14:$B$113,FA$23&amp;$B90,消毒!$AN$14:$AN$113))-EZ90,0)</f>
        <v>0</v>
      </c>
      <c r="FB91" s="648">
        <f>IFERROR(SUM(FA91,SUMIF(消毒!$B$14:$B$113,FB$23&amp;$B90,消毒!$AN$14:$AN$113))-FA90,0)</f>
        <v>0</v>
      </c>
      <c r="FC91" s="648">
        <f>IFERROR(SUM(FB91,SUMIF(消毒!$B$14:$B$113,FC$23&amp;$B90,消毒!$AN$14:$AN$113))-FB90,0)</f>
        <v>0</v>
      </c>
      <c r="FD91" s="648">
        <f>IFERROR(SUM(FC91,SUMIF(消毒!$B$14:$B$113,FD$23&amp;$B90,消毒!$AN$14:$AN$113))-FC90,0)</f>
        <v>0</v>
      </c>
      <c r="FE91" s="648">
        <f>IFERROR(SUM(FD91,SUMIF(消毒!$B$14:$B$113,FE$23&amp;$B90,消毒!$AN$14:$AN$113))-FD90,0)</f>
        <v>0</v>
      </c>
      <c r="FF91" s="648">
        <f>IFERROR(SUM(FE91,SUMIF(消毒!$B$14:$B$113,FF$23&amp;$B90,消毒!$AN$14:$AN$113))-FE90,0)</f>
        <v>0</v>
      </c>
      <c r="FG91" s="648">
        <f>IFERROR(SUM(FF91,SUMIF(消毒!$B$14:$B$113,FG$23&amp;$B90,消毒!$AN$14:$AN$113))-FF90,0)</f>
        <v>0</v>
      </c>
      <c r="FH91" s="648">
        <f>IFERROR(SUM(FG91,SUMIF(消毒!$B$14:$B$113,FH$23&amp;$B90,消毒!$AN$14:$AN$113))-FG90,0)</f>
        <v>0</v>
      </c>
      <c r="FI91" s="648">
        <f>IFERROR(SUM(FH91,SUMIF(消毒!$B$14:$B$113,FI$23&amp;$B90,消毒!$AN$14:$AN$113))-FH90,0)</f>
        <v>0</v>
      </c>
      <c r="FJ91" s="648">
        <f>IFERROR(SUM(FI91,SUMIF(消毒!$B$14:$B$113,FJ$23&amp;$B90,消毒!$AN$14:$AN$113))-FI90,0)</f>
        <v>0</v>
      </c>
      <c r="FK91" s="648">
        <f>IFERROR(SUM(FJ91,SUMIF(消毒!$B$14:$B$113,FK$23&amp;$B90,消毒!$AN$14:$AN$113))-FJ90,0)</f>
        <v>0</v>
      </c>
      <c r="FL91" s="648">
        <f>IFERROR(SUM(FK91,SUMIF(消毒!$B$14:$B$113,FL$23&amp;$B90,消毒!$AN$14:$AN$113))-FK90,0)</f>
        <v>0</v>
      </c>
      <c r="FM91" s="648">
        <f>IFERROR(SUM(FL91,SUMIF(消毒!$B$14:$B$113,FM$23&amp;$B90,消毒!$AN$14:$AN$113))-FL90,0)</f>
        <v>0</v>
      </c>
      <c r="FN91" s="648">
        <f>IFERROR(SUM(FM91,SUMIF(消毒!$B$14:$B$113,FN$23&amp;$B90,消毒!$AN$14:$AN$113))-FM90,0)</f>
        <v>0</v>
      </c>
      <c r="FO91" s="648">
        <f>IFERROR(SUM(FN91,SUMIF(消毒!$B$14:$B$113,FO$23&amp;$B90,消毒!$AN$14:$AN$113))-FN90,0)</f>
        <v>0</v>
      </c>
      <c r="FP91" s="648">
        <f>IFERROR(SUM(FO91,SUMIF(消毒!$B$14:$B$113,FP$23&amp;$B90,消毒!$AN$14:$AN$113))-FO90,0)</f>
        <v>0</v>
      </c>
      <c r="FQ91" s="648">
        <f>IFERROR(SUM(FP91,SUMIF(消毒!$B$14:$B$113,FQ$23&amp;$B90,消毒!$AN$14:$AN$113))-FP90,0)</f>
        <v>0</v>
      </c>
      <c r="FR91" s="648">
        <f>IFERROR(SUM(FQ91,SUMIF(消毒!$B$14:$B$113,FR$23&amp;$B90,消毒!$AN$14:$AN$113))-FQ90,0)</f>
        <v>0</v>
      </c>
      <c r="FS91" s="648">
        <f>IFERROR(SUM(FR91,SUMIF(消毒!$B$14:$B$113,FS$23&amp;$B90,消毒!$AN$14:$AN$113))-FR90,0)</f>
        <v>0</v>
      </c>
      <c r="FT91" s="648">
        <f>IFERROR(SUM(FS91,SUMIF(消毒!$B$14:$B$113,FT$23&amp;$B90,消毒!$AN$14:$AN$113))-FS90,0)</f>
        <v>0</v>
      </c>
      <c r="FU91" s="648">
        <f>IFERROR(SUM(FT91,SUMIF(消毒!$B$14:$B$113,FU$23&amp;$B90,消毒!$AN$14:$AN$113))-FT90,0)</f>
        <v>0</v>
      </c>
      <c r="FV91" s="648">
        <f>IFERROR(SUM(FU91,SUMIF(消毒!$B$14:$B$113,FV$23&amp;$B90,消毒!$AN$14:$AN$113))-FU90,0)</f>
        <v>0</v>
      </c>
      <c r="FW91" s="648">
        <f>IFERROR(SUM(FV91,SUMIF(消毒!$B$14:$B$113,FW$23&amp;$B90,消毒!$AN$14:$AN$113))-FV90,0)</f>
        <v>0</v>
      </c>
      <c r="FX91" s="648">
        <f>IFERROR(SUM(FW91,SUMIF(消毒!$B$14:$B$113,FX$23&amp;$B90,消毒!$AN$14:$AN$113))-FW90,0)</f>
        <v>0</v>
      </c>
      <c r="FY91" s="648">
        <f>IFERROR(SUM(FX91,SUMIF(消毒!$B$14:$B$113,FY$23&amp;$B90,消毒!$AN$14:$AN$113))-FX90,0)</f>
        <v>0</v>
      </c>
      <c r="FZ91" s="648">
        <f>IFERROR(SUM(FY91,SUMIF(消毒!$B$14:$B$113,FZ$23&amp;$B90,消毒!$AN$14:$AN$113))-FY90,0)</f>
        <v>0</v>
      </c>
      <c r="GA91" s="648">
        <f>IFERROR(SUM(FZ91,SUMIF(消毒!$B$14:$B$113,GA$23&amp;$B90,消毒!$AN$14:$AN$113))-FZ90,0)</f>
        <v>0</v>
      </c>
      <c r="GB91" s="648">
        <f>IFERROR(SUM(GA91,SUMIF(消毒!$B$14:$B$113,GB$23&amp;$B90,消毒!$AN$14:$AN$113))-GA90,0)</f>
        <v>0</v>
      </c>
      <c r="GC91" s="648">
        <f>IFERROR(SUM(GB91,SUMIF(消毒!$B$14:$B$113,GC$23&amp;$B90,消毒!$AN$14:$AN$113))-GB90,0)</f>
        <v>0</v>
      </c>
      <c r="GD91" s="648">
        <f>IFERROR(SUM(GC91,SUMIF(消毒!$B$14:$B$113,GD$23&amp;$B90,消毒!$AN$14:$AN$113))-GC90,0)</f>
        <v>0</v>
      </c>
      <c r="GE91" s="648">
        <f>IFERROR(SUM(GD91,SUMIF(消毒!$B$14:$B$113,GE$23&amp;$B90,消毒!$AN$14:$AN$113))-GD90,0)</f>
        <v>0</v>
      </c>
      <c r="GF91" s="648">
        <f>IFERROR(SUM(GE91,SUMIF(消毒!$B$14:$B$113,GF$23&amp;$B90,消毒!$AN$14:$AN$113))-GE90,0)</f>
        <v>0</v>
      </c>
    </row>
    <row r="92" spans="1:188" s="647" customFormat="1" ht="15" hidden="1" customHeight="1" x14ac:dyDescent="0.4">
      <c r="A92" s="631"/>
      <c r="B92" s="647" t="s">
        <v>1264</v>
      </c>
      <c r="C92" s="1710"/>
      <c r="D92" s="1711"/>
      <c r="E92" s="648"/>
      <c r="F92" s="648">
        <v>500</v>
      </c>
      <c r="G92" s="648">
        <f>IFERROR(
IF(G$25="休診日",F92,
IF(F92-VLOOKUP(F$22&amp;$B90,$B$96:$D$191,2,FALSE)&lt;0,0,F92-VLOOKUP(F$22&amp;$B90,$B$96:$D$191,2,FALSE))),0)</f>
        <v>500</v>
      </c>
      <c r="H92" s="648">
        <f t="shared" ref="H92:BS92" si="115">IFERROR(
IF(H$25="休診日",G92,
IF(G92-VLOOKUP(G$22&amp;$B90,$B$96:$D$191,2,FALSE)&lt;0,0,G92-VLOOKUP(G$22&amp;$B90,$B$96:$D$191,2,FALSE))),0)</f>
        <v>500</v>
      </c>
      <c r="I92" s="648">
        <f t="shared" si="115"/>
        <v>500</v>
      </c>
      <c r="J92" s="648">
        <f t="shared" si="115"/>
        <v>500</v>
      </c>
      <c r="K92" s="648">
        <f t="shared" si="115"/>
        <v>500</v>
      </c>
      <c r="L92" s="648">
        <f t="shared" si="115"/>
        <v>500</v>
      </c>
      <c r="M92" s="648">
        <f t="shared" si="115"/>
        <v>500</v>
      </c>
      <c r="N92" s="648">
        <f t="shared" si="115"/>
        <v>500</v>
      </c>
      <c r="O92" s="648">
        <f t="shared" si="115"/>
        <v>500</v>
      </c>
      <c r="P92" s="648">
        <f t="shared" si="115"/>
        <v>500</v>
      </c>
      <c r="Q92" s="648">
        <f t="shared" si="115"/>
        <v>500</v>
      </c>
      <c r="R92" s="648">
        <f t="shared" si="115"/>
        <v>500</v>
      </c>
      <c r="S92" s="648">
        <f t="shared" si="115"/>
        <v>500</v>
      </c>
      <c r="T92" s="648">
        <f t="shared" si="115"/>
        <v>500</v>
      </c>
      <c r="U92" s="648">
        <f t="shared" si="115"/>
        <v>500</v>
      </c>
      <c r="V92" s="648">
        <f t="shared" si="115"/>
        <v>500</v>
      </c>
      <c r="W92" s="648">
        <f t="shared" si="115"/>
        <v>500</v>
      </c>
      <c r="X92" s="648">
        <f t="shared" si="115"/>
        <v>500</v>
      </c>
      <c r="Y92" s="648">
        <f t="shared" si="115"/>
        <v>500</v>
      </c>
      <c r="Z92" s="648">
        <f t="shared" si="115"/>
        <v>500</v>
      </c>
      <c r="AA92" s="648">
        <f t="shared" si="115"/>
        <v>500</v>
      </c>
      <c r="AB92" s="648">
        <f t="shared" si="115"/>
        <v>500</v>
      </c>
      <c r="AC92" s="648">
        <f t="shared" si="115"/>
        <v>500</v>
      </c>
      <c r="AD92" s="648">
        <f t="shared" si="115"/>
        <v>500</v>
      </c>
      <c r="AE92" s="648">
        <f t="shared" si="115"/>
        <v>500</v>
      </c>
      <c r="AF92" s="648">
        <f t="shared" si="115"/>
        <v>500</v>
      </c>
      <c r="AG92" s="648">
        <f t="shared" si="115"/>
        <v>500</v>
      </c>
      <c r="AH92" s="648">
        <f t="shared" si="115"/>
        <v>500</v>
      </c>
      <c r="AI92" s="648">
        <f t="shared" si="115"/>
        <v>500</v>
      </c>
      <c r="AJ92" s="648">
        <f t="shared" si="115"/>
        <v>500</v>
      </c>
      <c r="AK92" s="648">
        <f t="shared" si="115"/>
        <v>500</v>
      </c>
      <c r="AL92" s="648">
        <f t="shared" si="115"/>
        <v>500</v>
      </c>
      <c r="AM92" s="648">
        <f t="shared" si="115"/>
        <v>500</v>
      </c>
      <c r="AN92" s="648">
        <f t="shared" si="115"/>
        <v>500</v>
      </c>
      <c r="AO92" s="648">
        <f t="shared" si="115"/>
        <v>500</v>
      </c>
      <c r="AP92" s="648">
        <f t="shared" si="115"/>
        <v>500</v>
      </c>
      <c r="AQ92" s="648">
        <f t="shared" si="115"/>
        <v>500</v>
      </c>
      <c r="AR92" s="648">
        <f t="shared" si="115"/>
        <v>500</v>
      </c>
      <c r="AS92" s="648">
        <f t="shared" si="115"/>
        <v>500</v>
      </c>
      <c r="AT92" s="648">
        <f t="shared" si="115"/>
        <v>500</v>
      </c>
      <c r="AU92" s="648">
        <f t="shared" si="115"/>
        <v>500</v>
      </c>
      <c r="AV92" s="648">
        <f t="shared" si="115"/>
        <v>500</v>
      </c>
      <c r="AW92" s="648">
        <f t="shared" si="115"/>
        <v>500</v>
      </c>
      <c r="AX92" s="648">
        <f t="shared" si="115"/>
        <v>500</v>
      </c>
      <c r="AY92" s="648">
        <f t="shared" si="115"/>
        <v>500</v>
      </c>
      <c r="AZ92" s="648">
        <f t="shared" si="115"/>
        <v>500</v>
      </c>
      <c r="BA92" s="648">
        <f t="shared" si="115"/>
        <v>500</v>
      </c>
      <c r="BB92" s="648">
        <f t="shared" si="115"/>
        <v>500</v>
      </c>
      <c r="BC92" s="648">
        <f t="shared" si="115"/>
        <v>500</v>
      </c>
      <c r="BD92" s="648">
        <f t="shared" si="115"/>
        <v>500</v>
      </c>
      <c r="BE92" s="648">
        <f t="shared" si="115"/>
        <v>500</v>
      </c>
      <c r="BF92" s="648">
        <f t="shared" si="115"/>
        <v>500</v>
      </c>
      <c r="BG92" s="648">
        <f t="shared" si="115"/>
        <v>500</v>
      </c>
      <c r="BH92" s="648">
        <f t="shared" si="115"/>
        <v>500</v>
      </c>
      <c r="BI92" s="648">
        <f t="shared" si="115"/>
        <v>500</v>
      </c>
      <c r="BJ92" s="648">
        <f t="shared" si="115"/>
        <v>500</v>
      </c>
      <c r="BK92" s="648">
        <f t="shared" si="115"/>
        <v>500</v>
      </c>
      <c r="BL92" s="648">
        <f t="shared" si="115"/>
        <v>500</v>
      </c>
      <c r="BM92" s="648">
        <f t="shared" si="115"/>
        <v>500</v>
      </c>
      <c r="BN92" s="648">
        <f t="shared" si="115"/>
        <v>500</v>
      </c>
      <c r="BO92" s="648">
        <f t="shared" si="115"/>
        <v>500</v>
      </c>
      <c r="BP92" s="648">
        <f t="shared" si="115"/>
        <v>500</v>
      </c>
      <c r="BQ92" s="648">
        <f t="shared" si="115"/>
        <v>500</v>
      </c>
      <c r="BR92" s="648">
        <f t="shared" si="115"/>
        <v>500</v>
      </c>
      <c r="BS92" s="648">
        <f t="shared" si="115"/>
        <v>500</v>
      </c>
      <c r="BT92" s="648">
        <f t="shared" ref="BT92:EE92" si="116">IFERROR(
IF(BT$25="休診日",BS92,
IF(BS92-VLOOKUP(BS$22&amp;$B90,$B$96:$D$191,2,FALSE)&lt;0,0,BS92-VLOOKUP(BS$22&amp;$B90,$B$96:$D$191,2,FALSE))),0)</f>
        <v>500</v>
      </c>
      <c r="BU92" s="648">
        <f t="shared" si="116"/>
        <v>500</v>
      </c>
      <c r="BV92" s="648">
        <f t="shared" si="116"/>
        <v>500</v>
      </c>
      <c r="BW92" s="648">
        <f t="shared" si="116"/>
        <v>500</v>
      </c>
      <c r="BX92" s="648">
        <f t="shared" si="116"/>
        <v>500</v>
      </c>
      <c r="BY92" s="648">
        <f t="shared" si="116"/>
        <v>500</v>
      </c>
      <c r="BZ92" s="648">
        <f t="shared" si="116"/>
        <v>500</v>
      </c>
      <c r="CA92" s="648">
        <f t="shared" si="116"/>
        <v>500</v>
      </c>
      <c r="CB92" s="648">
        <f t="shared" si="116"/>
        <v>500</v>
      </c>
      <c r="CC92" s="648">
        <f t="shared" si="116"/>
        <v>500</v>
      </c>
      <c r="CD92" s="648">
        <f t="shared" si="116"/>
        <v>500</v>
      </c>
      <c r="CE92" s="648">
        <f t="shared" si="116"/>
        <v>500</v>
      </c>
      <c r="CF92" s="648">
        <f t="shared" si="116"/>
        <v>500</v>
      </c>
      <c r="CG92" s="648">
        <f t="shared" si="116"/>
        <v>500</v>
      </c>
      <c r="CH92" s="648">
        <f t="shared" si="116"/>
        <v>500</v>
      </c>
      <c r="CI92" s="648">
        <f t="shared" si="116"/>
        <v>500</v>
      </c>
      <c r="CJ92" s="648">
        <f t="shared" si="116"/>
        <v>500</v>
      </c>
      <c r="CK92" s="648">
        <f t="shared" si="116"/>
        <v>500</v>
      </c>
      <c r="CL92" s="648">
        <f t="shared" si="116"/>
        <v>500</v>
      </c>
      <c r="CM92" s="648">
        <f t="shared" si="116"/>
        <v>500</v>
      </c>
      <c r="CN92" s="648">
        <f t="shared" si="116"/>
        <v>500</v>
      </c>
      <c r="CO92" s="648">
        <f t="shared" si="116"/>
        <v>500</v>
      </c>
      <c r="CP92" s="648">
        <f t="shared" si="116"/>
        <v>500</v>
      </c>
      <c r="CQ92" s="648">
        <f t="shared" si="116"/>
        <v>500</v>
      </c>
      <c r="CR92" s="648">
        <f t="shared" si="116"/>
        <v>500</v>
      </c>
      <c r="CS92" s="648">
        <f t="shared" si="116"/>
        <v>500</v>
      </c>
      <c r="CT92" s="648">
        <f t="shared" si="116"/>
        <v>500</v>
      </c>
      <c r="CU92" s="648">
        <f t="shared" si="116"/>
        <v>500</v>
      </c>
      <c r="CV92" s="648">
        <f t="shared" si="116"/>
        <v>500</v>
      </c>
      <c r="CW92" s="648">
        <f t="shared" si="116"/>
        <v>500</v>
      </c>
      <c r="CX92" s="648">
        <f t="shared" si="116"/>
        <v>500</v>
      </c>
      <c r="CY92" s="648">
        <f t="shared" si="116"/>
        <v>500</v>
      </c>
      <c r="CZ92" s="648">
        <f t="shared" si="116"/>
        <v>500</v>
      </c>
      <c r="DA92" s="648">
        <f t="shared" si="116"/>
        <v>500</v>
      </c>
      <c r="DB92" s="648">
        <f t="shared" si="116"/>
        <v>500</v>
      </c>
      <c r="DC92" s="648">
        <f t="shared" si="116"/>
        <v>500</v>
      </c>
      <c r="DD92" s="648">
        <f t="shared" si="116"/>
        <v>500</v>
      </c>
      <c r="DE92" s="648">
        <f t="shared" si="116"/>
        <v>500</v>
      </c>
      <c r="DF92" s="648">
        <f t="shared" si="116"/>
        <v>500</v>
      </c>
      <c r="DG92" s="648">
        <f t="shared" si="116"/>
        <v>500</v>
      </c>
      <c r="DH92" s="648">
        <f t="shared" si="116"/>
        <v>500</v>
      </c>
      <c r="DI92" s="648">
        <f t="shared" si="116"/>
        <v>500</v>
      </c>
      <c r="DJ92" s="648">
        <f t="shared" si="116"/>
        <v>500</v>
      </c>
      <c r="DK92" s="648">
        <f t="shared" si="116"/>
        <v>500</v>
      </c>
      <c r="DL92" s="648">
        <f t="shared" si="116"/>
        <v>500</v>
      </c>
      <c r="DM92" s="648">
        <f t="shared" si="116"/>
        <v>500</v>
      </c>
      <c r="DN92" s="648">
        <f t="shared" si="116"/>
        <v>500</v>
      </c>
      <c r="DO92" s="648">
        <f t="shared" si="116"/>
        <v>500</v>
      </c>
      <c r="DP92" s="648">
        <f t="shared" si="116"/>
        <v>500</v>
      </c>
      <c r="DQ92" s="648">
        <f t="shared" si="116"/>
        <v>500</v>
      </c>
      <c r="DR92" s="648">
        <f t="shared" si="116"/>
        <v>500</v>
      </c>
      <c r="DS92" s="648">
        <f t="shared" si="116"/>
        <v>500</v>
      </c>
      <c r="DT92" s="648">
        <f t="shared" si="116"/>
        <v>500</v>
      </c>
      <c r="DU92" s="648">
        <f t="shared" si="116"/>
        <v>500</v>
      </c>
      <c r="DV92" s="648">
        <f t="shared" si="116"/>
        <v>500</v>
      </c>
      <c r="DW92" s="648">
        <f t="shared" si="116"/>
        <v>500</v>
      </c>
      <c r="DX92" s="648">
        <f t="shared" si="116"/>
        <v>500</v>
      </c>
      <c r="DY92" s="648">
        <f t="shared" si="116"/>
        <v>500</v>
      </c>
      <c r="DZ92" s="648">
        <f t="shared" si="116"/>
        <v>500</v>
      </c>
      <c r="EA92" s="648">
        <f t="shared" si="116"/>
        <v>500</v>
      </c>
      <c r="EB92" s="648">
        <f t="shared" si="116"/>
        <v>500</v>
      </c>
      <c r="EC92" s="648">
        <f t="shared" si="116"/>
        <v>500</v>
      </c>
      <c r="ED92" s="648">
        <f t="shared" si="116"/>
        <v>500</v>
      </c>
      <c r="EE92" s="648">
        <f t="shared" si="116"/>
        <v>500</v>
      </c>
      <c r="EF92" s="648">
        <f t="shared" ref="EF92:GF92" si="117">IFERROR(
IF(EF$25="休診日",EE92,
IF(EE92-VLOOKUP(EE$22&amp;$B90,$B$96:$D$191,2,FALSE)&lt;0,0,EE92-VLOOKUP(EE$22&amp;$B90,$B$96:$D$191,2,FALSE))),0)</f>
        <v>500</v>
      </c>
      <c r="EG92" s="648">
        <f t="shared" si="117"/>
        <v>500</v>
      </c>
      <c r="EH92" s="648">
        <f t="shared" si="117"/>
        <v>500</v>
      </c>
      <c r="EI92" s="648">
        <f t="shared" si="117"/>
        <v>500</v>
      </c>
      <c r="EJ92" s="648">
        <f t="shared" si="117"/>
        <v>500</v>
      </c>
      <c r="EK92" s="648">
        <f t="shared" si="117"/>
        <v>500</v>
      </c>
      <c r="EL92" s="648">
        <f t="shared" si="117"/>
        <v>500</v>
      </c>
      <c r="EM92" s="648">
        <f t="shared" si="117"/>
        <v>500</v>
      </c>
      <c r="EN92" s="648">
        <f t="shared" si="117"/>
        <v>500</v>
      </c>
      <c r="EO92" s="648">
        <f t="shared" si="117"/>
        <v>500</v>
      </c>
      <c r="EP92" s="648">
        <f t="shared" si="117"/>
        <v>500</v>
      </c>
      <c r="EQ92" s="648">
        <f t="shared" si="117"/>
        <v>500</v>
      </c>
      <c r="ER92" s="648">
        <f t="shared" si="117"/>
        <v>500</v>
      </c>
      <c r="ES92" s="648">
        <f t="shared" si="117"/>
        <v>500</v>
      </c>
      <c r="ET92" s="648">
        <f t="shared" si="117"/>
        <v>500</v>
      </c>
      <c r="EU92" s="648">
        <f t="shared" si="117"/>
        <v>500</v>
      </c>
      <c r="EV92" s="648">
        <f t="shared" si="117"/>
        <v>500</v>
      </c>
      <c r="EW92" s="648">
        <f t="shared" si="117"/>
        <v>500</v>
      </c>
      <c r="EX92" s="648">
        <f t="shared" si="117"/>
        <v>500</v>
      </c>
      <c r="EY92" s="648">
        <f t="shared" si="117"/>
        <v>500</v>
      </c>
      <c r="EZ92" s="648">
        <f t="shared" si="117"/>
        <v>500</v>
      </c>
      <c r="FA92" s="648">
        <f t="shared" si="117"/>
        <v>500</v>
      </c>
      <c r="FB92" s="648">
        <f t="shared" si="117"/>
        <v>500</v>
      </c>
      <c r="FC92" s="648">
        <f t="shared" si="117"/>
        <v>500</v>
      </c>
      <c r="FD92" s="648">
        <f t="shared" si="117"/>
        <v>500</v>
      </c>
      <c r="FE92" s="648">
        <f t="shared" si="117"/>
        <v>500</v>
      </c>
      <c r="FF92" s="648">
        <f t="shared" si="117"/>
        <v>500</v>
      </c>
      <c r="FG92" s="648">
        <f t="shared" si="117"/>
        <v>500</v>
      </c>
      <c r="FH92" s="648">
        <f t="shared" si="117"/>
        <v>500</v>
      </c>
      <c r="FI92" s="648">
        <f t="shared" si="117"/>
        <v>500</v>
      </c>
      <c r="FJ92" s="648">
        <f t="shared" si="117"/>
        <v>500</v>
      </c>
      <c r="FK92" s="648">
        <f t="shared" si="117"/>
        <v>500</v>
      </c>
      <c r="FL92" s="648">
        <f t="shared" si="117"/>
        <v>500</v>
      </c>
      <c r="FM92" s="648">
        <f t="shared" si="117"/>
        <v>500</v>
      </c>
      <c r="FN92" s="648">
        <f t="shared" si="117"/>
        <v>500</v>
      </c>
      <c r="FO92" s="648">
        <f t="shared" si="117"/>
        <v>500</v>
      </c>
      <c r="FP92" s="648">
        <f t="shared" si="117"/>
        <v>500</v>
      </c>
      <c r="FQ92" s="648">
        <f t="shared" si="117"/>
        <v>500</v>
      </c>
      <c r="FR92" s="648">
        <f t="shared" si="117"/>
        <v>500</v>
      </c>
      <c r="FS92" s="648">
        <f t="shared" si="117"/>
        <v>500</v>
      </c>
      <c r="FT92" s="648">
        <f t="shared" si="117"/>
        <v>500</v>
      </c>
      <c r="FU92" s="648">
        <f t="shared" si="117"/>
        <v>500</v>
      </c>
      <c r="FV92" s="648">
        <f t="shared" si="117"/>
        <v>500</v>
      </c>
      <c r="FW92" s="648">
        <f t="shared" si="117"/>
        <v>500</v>
      </c>
      <c r="FX92" s="648">
        <f t="shared" si="117"/>
        <v>500</v>
      </c>
      <c r="FY92" s="648">
        <f t="shared" si="117"/>
        <v>500</v>
      </c>
      <c r="FZ92" s="648">
        <f t="shared" si="117"/>
        <v>500</v>
      </c>
      <c r="GA92" s="648">
        <f t="shared" si="117"/>
        <v>500</v>
      </c>
      <c r="GB92" s="648">
        <f t="shared" si="117"/>
        <v>500</v>
      </c>
      <c r="GC92" s="648">
        <f t="shared" si="117"/>
        <v>500</v>
      </c>
      <c r="GD92" s="648">
        <f t="shared" si="117"/>
        <v>500</v>
      </c>
      <c r="GE92" s="648">
        <f t="shared" si="117"/>
        <v>500</v>
      </c>
      <c r="GF92" s="648">
        <f t="shared" si="117"/>
        <v>500</v>
      </c>
    </row>
    <row r="95" spans="1:188" ht="18.75" x14ac:dyDescent="0.4">
      <c r="A95" s="604" t="s">
        <v>1330</v>
      </c>
      <c r="B95" s="604" t="s">
        <v>1328</v>
      </c>
      <c r="C95" s="1714" t="s">
        <v>1329</v>
      </c>
      <c r="D95" s="1709"/>
      <c r="F95" s="1715" t="s">
        <v>1330</v>
      </c>
      <c r="G95" s="1716"/>
      <c r="H95" s="1715" t="s">
        <v>1331</v>
      </c>
      <c r="I95" s="1716"/>
      <c r="J95" s="1715" t="s">
        <v>1391</v>
      </c>
      <c r="K95" s="1716"/>
      <c r="M95" s="538" t="s">
        <v>1374</v>
      </c>
    </row>
    <row r="96" spans="1:188" ht="18.75" x14ac:dyDescent="0.4">
      <c r="A96" s="605">
        <f>基礎情報!$M$48</f>
        <v>10</v>
      </c>
      <c r="B96" s="540" t="str">
        <f>A96&amp;B5</f>
        <v>10その他マスク</v>
      </c>
      <c r="C96" s="1708">
        <f>E5</f>
        <v>0</v>
      </c>
      <c r="D96" s="1709"/>
      <c r="F96" s="1723">
        <f>A96</f>
        <v>10</v>
      </c>
      <c r="G96" s="1724"/>
      <c r="H96" s="1717">
        <f>E3</f>
        <v>0</v>
      </c>
      <c r="I96" s="1718"/>
      <c r="J96" s="1717">
        <f>E4</f>
        <v>0</v>
      </c>
      <c r="K96" s="1718"/>
      <c r="M96" s="538" t="s">
        <v>1375</v>
      </c>
    </row>
    <row r="97" spans="1:11" ht="18.75" x14ac:dyDescent="0.4">
      <c r="A97" s="605">
        <f>基礎情報!$M$48</f>
        <v>10</v>
      </c>
      <c r="B97" s="540" t="str">
        <f>A97&amp;B6</f>
        <v>10シールド付きマスク</v>
      </c>
      <c r="C97" s="1708">
        <f>E6</f>
        <v>0</v>
      </c>
      <c r="D97" s="1709"/>
      <c r="F97" s="1723">
        <f>A109</f>
        <v>11</v>
      </c>
      <c r="G97" s="1724"/>
      <c r="H97" s="1717">
        <f>G3</f>
        <v>0</v>
      </c>
      <c r="I97" s="1718"/>
      <c r="J97" s="1717">
        <f>G4</f>
        <v>0</v>
      </c>
      <c r="K97" s="1718"/>
    </row>
    <row r="98" spans="1:11" ht="18.75" x14ac:dyDescent="0.4">
      <c r="A98" s="605">
        <f>基礎情報!$M$48</f>
        <v>10</v>
      </c>
      <c r="B98" s="540" t="str">
        <f>A98&amp;B7</f>
        <v>10N95マスク・ハイラックマスク</v>
      </c>
      <c r="C98" s="1708">
        <f>E7</f>
        <v>0</v>
      </c>
      <c r="D98" s="1709"/>
      <c r="F98" s="1723">
        <f>A122</f>
        <v>12</v>
      </c>
      <c r="G98" s="1724"/>
      <c r="H98" s="1717">
        <f>I3</f>
        <v>0</v>
      </c>
      <c r="I98" s="1718"/>
      <c r="J98" s="1717">
        <f>I4</f>
        <v>0</v>
      </c>
      <c r="K98" s="1718"/>
    </row>
    <row r="99" spans="1:11" ht="18.75" x14ac:dyDescent="0.4">
      <c r="A99" s="605">
        <f>基礎情報!$M$48</f>
        <v>10</v>
      </c>
      <c r="B99" s="540" t="str">
        <f>A99&amp;B8</f>
        <v>10リユーサブルゴーグル</v>
      </c>
      <c r="C99" s="1708">
        <f>E8</f>
        <v>0</v>
      </c>
      <c r="D99" s="1709"/>
      <c r="F99" s="1723">
        <f>A135</f>
        <v>1</v>
      </c>
      <c r="G99" s="1724"/>
      <c r="H99" s="1717">
        <f>K3</f>
        <v>0</v>
      </c>
      <c r="I99" s="1718"/>
      <c r="J99" s="1717">
        <f>K4</f>
        <v>0</v>
      </c>
      <c r="K99" s="1718"/>
    </row>
    <row r="100" spans="1:11" ht="18.75" x14ac:dyDescent="0.4">
      <c r="A100" s="605">
        <f>基礎情報!$M$48</f>
        <v>10</v>
      </c>
      <c r="B100" s="540" t="str">
        <f>A100&amp;B9</f>
        <v>10レンズ交換型</v>
      </c>
      <c r="C100" s="1708">
        <f>E9</f>
        <v>0</v>
      </c>
      <c r="D100" s="1709"/>
      <c r="F100" s="1723">
        <f>A148</f>
        <v>2</v>
      </c>
      <c r="G100" s="1724"/>
      <c r="H100" s="1717">
        <f>M3</f>
        <v>0</v>
      </c>
      <c r="I100" s="1718"/>
      <c r="J100" s="1717">
        <f>M4</f>
        <v>0</v>
      </c>
      <c r="K100" s="1718"/>
    </row>
    <row r="101" spans="1:11" ht="18.75" x14ac:dyDescent="0.4">
      <c r="A101" s="605">
        <f>基礎情報!$M$48</f>
        <v>10</v>
      </c>
      <c r="B101" s="540" t="str">
        <f>A101&amp;B10</f>
        <v>10スペアレンズ</v>
      </c>
      <c r="C101" s="1708">
        <f>E10</f>
        <v>0</v>
      </c>
      <c r="D101" s="1709"/>
      <c r="F101" s="1723">
        <f>A161</f>
        <v>3</v>
      </c>
      <c r="G101" s="1724"/>
      <c r="H101" s="1717">
        <f>O3</f>
        <v>0</v>
      </c>
      <c r="I101" s="1718"/>
      <c r="J101" s="1717">
        <f>O4</f>
        <v>0</v>
      </c>
      <c r="K101" s="1718"/>
    </row>
    <row r="102" spans="1:11" ht="18.75" x14ac:dyDescent="0.4">
      <c r="A102" s="605">
        <f>基礎情報!$M$48</f>
        <v>10</v>
      </c>
      <c r="B102" s="540" t="str">
        <f>A102&amp;B11</f>
        <v>10ガウン</v>
      </c>
      <c r="C102" s="1708">
        <f>E11</f>
        <v>0</v>
      </c>
      <c r="D102" s="1709"/>
      <c r="H102" s="1719"/>
      <c r="I102" s="1720"/>
    </row>
    <row r="103" spans="1:11" ht="18.75" x14ac:dyDescent="0.4">
      <c r="A103" s="605">
        <f>基礎情報!$M$48</f>
        <v>10</v>
      </c>
      <c r="B103" s="540" t="str">
        <f>A103&amp;B12</f>
        <v>10グローブ</v>
      </c>
      <c r="C103" s="1708">
        <f>E12</f>
        <v>0</v>
      </c>
      <c r="D103" s="1709"/>
      <c r="H103" s="1719"/>
      <c r="I103" s="1720"/>
    </row>
    <row r="104" spans="1:11" ht="18.75" x14ac:dyDescent="0.4">
      <c r="A104" s="605">
        <f>基礎情報!$M$48</f>
        <v>10</v>
      </c>
      <c r="B104" s="540" t="str">
        <f>A104&amp;B13</f>
        <v>10キャップ</v>
      </c>
      <c r="C104" s="1708">
        <f>E13</f>
        <v>0</v>
      </c>
      <c r="D104" s="1709"/>
      <c r="H104" s="1719"/>
      <c r="I104" s="1720"/>
    </row>
    <row r="105" spans="1:11" ht="18.75" x14ac:dyDescent="0.4">
      <c r="A105" s="605">
        <f>基礎情報!$M$48</f>
        <v>10</v>
      </c>
      <c r="B105" s="540" t="str">
        <f>A105&amp;B14</f>
        <v>10使い捨て一体型</v>
      </c>
      <c r="C105" s="1708">
        <f>E14</f>
        <v>0</v>
      </c>
      <c r="D105" s="1709"/>
      <c r="H105" s="1719"/>
      <c r="I105" s="1720"/>
    </row>
    <row r="106" spans="1:11" ht="18.75" x14ac:dyDescent="0.4">
      <c r="A106" s="605">
        <f>基礎情報!$M$48</f>
        <v>10</v>
      </c>
      <c r="B106" s="540" t="str">
        <f>A106&amp;B15</f>
        <v>10フレーム</v>
      </c>
      <c r="C106" s="1708">
        <f>E15</f>
        <v>0</v>
      </c>
      <c r="D106" s="1709"/>
      <c r="H106" s="1719"/>
      <c r="I106" s="1720"/>
    </row>
    <row r="107" spans="1:11" ht="18.75" x14ac:dyDescent="0.4">
      <c r="A107" s="605">
        <f>基礎情報!$M$48</f>
        <v>10</v>
      </c>
      <c r="B107" s="540" t="str">
        <f>A107&amp;B16</f>
        <v>10交換用シールド</v>
      </c>
      <c r="C107" s="1708">
        <f>E16</f>
        <v>0</v>
      </c>
      <c r="D107" s="1709"/>
      <c r="H107" s="1719"/>
      <c r="I107" s="1720"/>
    </row>
    <row r="108" spans="1:11" ht="18.75" x14ac:dyDescent="0.4">
      <c r="A108" s="605">
        <f>基礎情報!$M$48</f>
        <v>10</v>
      </c>
      <c r="B108" s="540" t="str">
        <f>A108&amp;B17</f>
        <v>10リユーサブルシールド</v>
      </c>
      <c r="C108" s="1708">
        <f>E17</f>
        <v>0</v>
      </c>
      <c r="D108" s="1709"/>
      <c r="H108" s="1719"/>
      <c r="I108" s="1720"/>
    </row>
    <row r="109" spans="1:11" ht="18.75" x14ac:dyDescent="0.4">
      <c r="A109" s="606">
        <f>基礎情報!$R$48</f>
        <v>11</v>
      </c>
      <c r="B109" s="541" t="str">
        <f>A109&amp;B5</f>
        <v>11その他マスク</v>
      </c>
      <c r="C109" s="1721">
        <f>G5</f>
        <v>0</v>
      </c>
      <c r="D109" s="1709"/>
      <c r="H109" s="1719"/>
      <c r="I109" s="1720"/>
    </row>
    <row r="110" spans="1:11" ht="18.75" x14ac:dyDescent="0.4">
      <c r="A110" s="606">
        <f>基礎情報!$R$48</f>
        <v>11</v>
      </c>
      <c r="B110" s="541" t="str">
        <f>A110&amp;B6</f>
        <v>11シールド付きマスク</v>
      </c>
      <c r="C110" s="1721">
        <f>G6</f>
        <v>0</v>
      </c>
      <c r="D110" s="1709"/>
      <c r="H110" s="1719"/>
      <c r="I110" s="1720"/>
    </row>
    <row r="111" spans="1:11" ht="18.75" x14ac:dyDescent="0.4">
      <c r="A111" s="606">
        <f>基礎情報!$R$48</f>
        <v>11</v>
      </c>
      <c r="B111" s="541" t="str">
        <f>A111&amp;B7</f>
        <v>11N95マスク・ハイラックマスク</v>
      </c>
      <c r="C111" s="1721">
        <f>G7</f>
        <v>0</v>
      </c>
      <c r="D111" s="1709"/>
      <c r="H111" s="1719"/>
      <c r="I111" s="1720"/>
    </row>
    <row r="112" spans="1:11" ht="18.75" x14ac:dyDescent="0.4">
      <c r="A112" s="606">
        <f>基礎情報!$R$48</f>
        <v>11</v>
      </c>
      <c r="B112" s="541" t="str">
        <f>A112&amp;B8</f>
        <v>11リユーサブルゴーグル</v>
      </c>
      <c r="C112" s="1721">
        <f>G8</f>
        <v>0</v>
      </c>
      <c r="D112" s="1709"/>
      <c r="H112" s="1719"/>
      <c r="I112" s="1720"/>
    </row>
    <row r="113" spans="1:9" ht="18.75" x14ac:dyDescent="0.4">
      <c r="A113" s="606">
        <f>基礎情報!$R$48</f>
        <v>11</v>
      </c>
      <c r="B113" s="541" t="str">
        <f>A113&amp;B9</f>
        <v>11レンズ交換型</v>
      </c>
      <c r="C113" s="1721">
        <f>G9</f>
        <v>0</v>
      </c>
      <c r="D113" s="1709"/>
      <c r="H113" s="1719"/>
      <c r="I113" s="1720"/>
    </row>
    <row r="114" spans="1:9" ht="18.75" x14ac:dyDescent="0.4">
      <c r="A114" s="606">
        <f>基礎情報!$R$48</f>
        <v>11</v>
      </c>
      <c r="B114" s="541" t="str">
        <f>A114&amp;B10</f>
        <v>11スペアレンズ</v>
      </c>
      <c r="C114" s="1721">
        <f>G10</f>
        <v>0</v>
      </c>
      <c r="D114" s="1709"/>
      <c r="H114" s="1719"/>
      <c r="I114" s="1720"/>
    </row>
    <row r="115" spans="1:9" ht="18.75" x14ac:dyDescent="0.4">
      <c r="A115" s="606">
        <f>基礎情報!$R$48</f>
        <v>11</v>
      </c>
      <c r="B115" s="541" t="str">
        <f>A115&amp;B11</f>
        <v>11ガウン</v>
      </c>
      <c r="C115" s="1721">
        <f>G11</f>
        <v>0</v>
      </c>
      <c r="D115" s="1709"/>
      <c r="H115" s="1719"/>
      <c r="I115" s="1720"/>
    </row>
    <row r="116" spans="1:9" ht="18.75" x14ac:dyDescent="0.4">
      <c r="A116" s="606">
        <f>基礎情報!$R$48</f>
        <v>11</v>
      </c>
      <c r="B116" s="541" t="str">
        <f>A116&amp;B12</f>
        <v>11グローブ</v>
      </c>
      <c r="C116" s="1721">
        <f>G12</f>
        <v>0</v>
      </c>
      <c r="D116" s="1709"/>
      <c r="H116" s="1719"/>
      <c r="I116" s="1720"/>
    </row>
    <row r="117" spans="1:9" ht="18.75" x14ac:dyDescent="0.4">
      <c r="A117" s="606">
        <f>基礎情報!$R$48</f>
        <v>11</v>
      </c>
      <c r="B117" s="541" t="str">
        <f>A117&amp;B13</f>
        <v>11キャップ</v>
      </c>
      <c r="C117" s="1721">
        <f>G13</f>
        <v>0</v>
      </c>
      <c r="D117" s="1709"/>
      <c r="H117" s="1719"/>
      <c r="I117" s="1720"/>
    </row>
    <row r="118" spans="1:9" ht="18.75" x14ac:dyDescent="0.4">
      <c r="A118" s="606">
        <f>基礎情報!$R$48</f>
        <v>11</v>
      </c>
      <c r="B118" s="541" t="str">
        <f>A118&amp;B14</f>
        <v>11使い捨て一体型</v>
      </c>
      <c r="C118" s="1721">
        <f>G14</f>
        <v>0</v>
      </c>
      <c r="D118" s="1709"/>
      <c r="H118" s="1719"/>
      <c r="I118" s="1720"/>
    </row>
    <row r="119" spans="1:9" ht="18.75" x14ac:dyDescent="0.4">
      <c r="A119" s="606">
        <f>基礎情報!$R$48</f>
        <v>11</v>
      </c>
      <c r="B119" s="541" t="str">
        <f>A119&amp;B15</f>
        <v>11フレーム</v>
      </c>
      <c r="C119" s="1721">
        <f>G15</f>
        <v>0</v>
      </c>
      <c r="D119" s="1709"/>
      <c r="H119" s="1719"/>
      <c r="I119" s="1720"/>
    </row>
    <row r="120" spans="1:9" ht="18.75" x14ac:dyDescent="0.4">
      <c r="A120" s="606">
        <f>基礎情報!$R$48</f>
        <v>11</v>
      </c>
      <c r="B120" s="541" t="str">
        <f>A120&amp;B16</f>
        <v>11交換用シールド</v>
      </c>
      <c r="C120" s="1721">
        <f>G16</f>
        <v>0</v>
      </c>
      <c r="D120" s="1709"/>
      <c r="H120" s="1719"/>
      <c r="I120" s="1720"/>
    </row>
    <row r="121" spans="1:9" ht="18.75" x14ac:dyDescent="0.4">
      <c r="A121" s="606">
        <f>基礎情報!$R$48</f>
        <v>11</v>
      </c>
      <c r="B121" s="541" t="str">
        <f>A121&amp;B17</f>
        <v>11リユーサブルシールド</v>
      </c>
      <c r="C121" s="1721">
        <f>G17</f>
        <v>0</v>
      </c>
      <c r="D121" s="1709"/>
      <c r="H121" s="1719"/>
      <c r="I121" s="1720"/>
    </row>
    <row r="122" spans="1:9" ht="18.75" x14ac:dyDescent="0.4">
      <c r="A122" s="605">
        <f>基礎情報!$W$48</f>
        <v>12</v>
      </c>
      <c r="B122" s="540" t="str">
        <f>A122&amp;B5</f>
        <v>12その他マスク</v>
      </c>
      <c r="C122" s="1708">
        <f>I5</f>
        <v>0</v>
      </c>
      <c r="D122" s="1709"/>
      <c r="E122" s="1719"/>
      <c r="F122" s="1720"/>
    </row>
    <row r="123" spans="1:9" ht="18.75" x14ac:dyDescent="0.4">
      <c r="A123" s="605">
        <f>基礎情報!$W$48</f>
        <v>12</v>
      </c>
      <c r="B123" s="540" t="str">
        <f>A123&amp;B6</f>
        <v>12シールド付きマスク</v>
      </c>
      <c r="C123" s="1708">
        <f>I6</f>
        <v>0</v>
      </c>
      <c r="D123" s="1709"/>
      <c r="E123" s="1719"/>
      <c r="F123" s="1720"/>
    </row>
    <row r="124" spans="1:9" ht="18.75" x14ac:dyDescent="0.4">
      <c r="A124" s="605">
        <f>基礎情報!$W$48</f>
        <v>12</v>
      </c>
      <c r="B124" s="540" t="str">
        <f>A124&amp;B7</f>
        <v>12N95マスク・ハイラックマスク</v>
      </c>
      <c r="C124" s="1708">
        <f>I7</f>
        <v>0</v>
      </c>
      <c r="D124" s="1709"/>
      <c r="E124" s="1719"/>
      <c r="F124" s="1720"/>
    </row>
    <row r="125" spans="1:9" ht="18.75" x14ac:dyDescent="0.4">
      <c r="A125" s="605">
        <f>基礎情報!$W$48</f>
        <v>12</v>
      </c>
      <c r="B125" s="540" t="str">
        <f>A125&amp;B8</f>
        <v>12リユーサブルゴーグル</v>
      </c>
      <c r="C125" s="1708">
        <f>I8</f>
        <v>0</v>
      </c>
      <c r="D125" s="1709"/>
      <c r="E125" s="1719"/>
      <c r="F125" s="1720"/>
    </row>
    <row r="126" spans="1:9" ht="18.75" x14ac:dyDescent="0.4">
      <c r="A126" s="605">
        <f>基礎情報!$W$48</f>
        <v>12</v>
      </c>
      <c r="B126" s="540" t="str">
        <f>A126&amp;B9</f>
        <v>12レンズ交換型</v>
      </c>
      <c r="C126" s="1708">
        <f>I9</f>
        <v>0</v>
      </c>
      <c r="D126" s="1709"/>
      <c r="E126" s="1719"/>
      <c r="F126" s="1720"/>
    </row>
    <row r="127" spans="1:9" ht="18.75" x14ac:dyDescent="0.4">
      <c r="A127" s="605">
        <f>基礎情報!$W$48</f>
        <v>12</v>
      </c>
      <c r="B127" s="540" t="str">
        <f>A127&amp;B10</f>
        <v>12スペアレンズ</v>
      </c>
      <c r="C127" s="1708">
        <f>I10</f>
        <v>0</v>
      </c>
      <c r="D127" s="1709"/>
      <c r="E127" s="1719"/>
      <c r="F127" s="1720"/>
    </row>
    <row r="128" spans="1:9" ht="18.75" x14ac:dyDescent="0.4">
      <c r="A128" s="605">
        <f>基礎情報!$W$48</f>
        <v>12</v>
      </c>
      <c r="B128" s="540" t="str">
        <f>A128&amp;B11</f>
        <v>12ガウン</v>
      </c>
      <c r="C128" s="1708">
        <f>I11</f>
        <v>0</v>
      </c>
      <c r="D128" s="1709"/>
      <c r="E128" s="1719"/>
      <c r="F128" s="1720"/>
    </row>
    <row r="129" spans="1:6" ht="18.75" x14ac:dyDescent="0.4">
      <c r="A129" s="605">
        <f>基礎情報!$W$48</f>
        <v>12</v>
      </c>
      <c r="B129" s="540" t="str">
        <f>A129&amp;B12</f>
        <v>12グローブ</v>
      </c>
      <c r="C129" s="1708">
        <f>I12</f>
        <v>0</v>
      </c>
      <c r="D129" s="1709"/>
      <c r="E129" s="1719"/>
      <c r="F129" s="1720"/>
    </row>
    <row r="130" spans="1:6" ht="18.75" x14ac:dyDescent="0.4">
      <c r="A130" s="605">
        <f>基礎情報!$W$48</f>
        <v>12</v>
      </c>
      <c r="B130" s="540" t="str">
        <f>A130&amp;B13</f>
        <v>12キャップ</v>
      </c>
      <c r="C130" s="1708">
        <f>I13</f>
        <v>0</v>
      </c>
      <c r="D130" s="1709"/>
      <c r="E130" s="1719"/>
      <c r="F130" s="1720"/>
    </row>
    <row r="131" spans="1:6" ht="18.75" x14ac:dyDescent="0.4">
      <c r="A131" s="605">
        <f>基礎情報!$W$48</f>
        <v>12</v>
      </c>
      <c r="B131" s="540" t="str">
        <f>A131&amp;B14</f>
        <v>12使い捨て一体型</v>
      </c>
      <c r="C131" s="1708">
        <f>I14</f>
        <v>0</v>
      </c>
      <c r="D131" s="1709"/>
      <c r="E131" s="1719"/>
      <c r="F131" s="1720"/>
    </row>
    <row r="132" spans="1:6" ht="18.75" x14ac:dyDescent="0.4">
      <c r="A132" s="605">
        <f>基礎情報!$W$48</f>
        <v>12</v>
      </c>
      <c r="B132" s="540" t="str">
        <f>A132&amp;B15</f>
        <v>12フレーム</v>
      </c>
      <c r="C132" s="1708">
        <f>I15</f>
        <v>0</v>
      </c>
      <c r="D132" s="1709"/>
      <c r="E132" s="1719"/>
      <c r="F132" s="1720"/>
    </row>
    <row r="133" spans="1:6" ht="18.75" x14ac:dyDescent="0.4">
      <c r="A133" s="605">
        <f>基礎情報!$W$48</f>
        <v>12</v>
      </c>
      <c r="B133" s="540" t="str">
        <f>A133&amp;B16</f>
        <v>12交換用シールド</v>
      </c>
      <c r="C133" s="1708">
        <f>I16</f>
        <v>0</v>
      </c>
      <c r="D133" s="1709"/>
      <c r="E133" s="1719"/>
      <c r="F133" s="1720"/>
    </row>
    <row r="134" spans="1:6" ht="18.75" x14ac:dyDescent="0.4">
      <c r="A134" s="605">
        <f>基礎情報!$W$48</f>
        <v>12</v>
      </c>
      <c r="B134" s="540" t="str">
        <f>A134&amp;B17</f>
        <v>12リユーサブルシールド</v>
      </c>
      <c r="C134" s="1708">
        <f>I17</f>
        <v>0</v>
      </c>
      <c r="D134" s="1709"/>
      <c r="E134" s="1719"/>
      <c r="F134" s="1720"/>
    </row>
    <row r="135" spans="1:6" ht="18.75" x14ac:dyDescent="0.4">
      <c r="A135" s="606">
        <f>基礎情報!$AB$48</f>
        <v>1</v>
      </c>
      <c r="B135" s="541" t="str">
        <f>A135&amp;B5</f>
        <v>1その他マスク</v>
      </c>
      <c r="C135" s="1721">
        <f>K5</f>
        <v>0</v>
      </c>
      <c r="D135" s="1709"/>
      <c r="E135" s="1719"/>
      <c r="F135" s="1720"/>
    </row>
    <row r="136" spans="1:6" ht="18.75" x14ac:dyDescent="0.4">
      <c r="A136" s="606">
        <f>基礎情報!$AB$48</f>
        <v>1</v>
      </c>
      <c r="B136" s="541" t="str">
        <f>A136&amp;B6</f>
        <v>1シールド付きマスク</v>
      </c>
      <c r="C136" s="1721">
        <f>K6</f>
        <v>0</v>
      </c>
      <c r="D136" s="1709"/>
      <c r="E136" s="1719"/>
      <c r="F136" s="1720"/>
    </row>
    <row r="137" spans="1:6" ht="18.75" x14ac:dyDescent="0.4">
      <c r="A137" s="606">
        <f>基礎情報!$AB$48</f>
        <v>1</v>
      </c>
      <c r="B137" s="541" t="str">
        <f>A137&amp;B7</f>
        <v>1N95マスク・ハイラックマスク</v>
      </c>
      <c r="C137" s="1721">
        <f>K7</f>
        <v>0</v>
      </c>
      <c r="D137" s="1709"/>
      <c r="E137" s="1719"/>
      <c r="F137" s="1720"/>
    </row>
    <row r="138" spans="1:6" ht="18.75" x14ac:dyDescent="0.4">
      <c r="A138" s="606">
        <f>基礎情報!$AB$48</f>
        <v>1</v>
      </c>
      <c r="B138" s="541" t="str">
        <f>A138&amp;B8</f>
        <v>1リユーサブルゴーグル</v>
      </c>
      <c r="C138" s="1721">
        <f>K8</f>
        <v>0</v>
      </c>
      <c r="D138" s="1709"/>
      <c r="E138" s="1719"/>
      <c r="F138" s="1720"/>
    </row>
    <row r="139" spans="1:6" ht="18.75" x14ac:dyDescent="0.4">
      <c r="A139" s="606">
        <f>基礎情報!$AB$48</f>
        <v>1</v>
      </c>
      <c r="B139" s="541" t="str">
        <f>A139&amp;B9</f>
        <v>1レンズ交換型</v>
      </c>
      <c r="C139" s="1721">
        <f>K9</f>
        <v>0</v>
      </c>
      <c r="D139" s="1709"/>
      <c r="E139" s="1719"/>
      <c r="F139" s="1720"/>
    </row>
    <row r="140" spans="1:6" ht="18.75" x14ac:dyDescent="0.4">
      <c r="A140" s="606">
        <f>基礎情報!$AB$48</f>
        <v>1</v>
      </c>
      <c r="B140" s="541" t="str">
        <f>A140&amp;B10</f>
        <v>1スペアレンズ</v>
      </c>
      <c r="C140" s="1721">
        <f>K10</f>
        <v>0</v>
      </c>
      <c r="D140" s="1709"/>
      <c r="E140" s="1719"/>
      <c r="F140" s="1720"/>
    </row>
    <row r="141" spans="1:6" ht="18.75" x14ac:dyDescent="0.4">
      <c r="A141" s="606">
        <f>基礎情報!$AB$48</f>
        <v>1</v>
      </c>
      <c r="B141" s="541" t="str">
        <f>A141&amp;B11</f>
        <v>1ガウン</v>
      </c>
      <c r="C141" s="1721">
        <f>K11</f>
        <v>0</v>
      </c>
      <c r="D141" s="1709"/>
      <c r="E141" s="1719"/>
      <c r="F141" s="1720"/>
    </row>
    <row r="142" spans="1:6" ht="18.75" x14ac:dyDescent="0.4">
      <c r="A142" s="606">
        <f>基礎情報!$AB$48</f>
        <v>1</v>
      </c>
      <c r="B142" s="541" t="str">
        <f>A142&amp;B12</f>
        <v>1グローブ</v>
      </c>
      <c r="C142" s="1721">
        <f>K12</f>
        <v>0</v>
      </c>
      <c r="D142" s="1709"/>
      <c r="E142" s="1719"/>
      <c r="F142" s="1720"/>
    </row>
    <row r="143" spans="1:6" ht="18.75" x14ac:dyDescent="0.4">
      <c r="A143" s="606">
        <f>基礎情報!$AB$48</f>
        <v>1</v>
      </c>
      <c r="B143" s="541" t="str">
        <f>A143&amp;B13</f>
        <v>1キャップ</v>
      </c>
      <c r="C143" s="1721">
        <f>K13</f>
        <v>0</v>
      </c>
      <c r="D143" s="1709"/>
      <c r="E143" s="1719"/>
      <c r="F143" s="1720"/>
    </row>
    <row r="144" spans="1:6" ht="18.75" x14ac:dyDescent="0.4">
      <c r="A144" s="606">
        <f>基礎情報!$AB$48</f>
        <v>1</v>
      </c>
      <c r="B144" s="541" t="str">
        <f>A144&amp;B14</f>
        <v>1使い捨て一体型</v>
      </c>
      <c r="C144" s="1721">
        <f>K14</f>
        <v>0</v>
      </c>
      <c r="D144" s="1709"/>
      <c r="E144" s="1719"/>
      <c r="F144" s="1720"/>
    </row>
    <row r="145" spans="1:6" ht="18.75" x14ac:dyDescent="0.4">
      <c r="A145" s="606">
        <f>基礎情報!$AB$48</f>
        <v>1</v>
      </c>
      <c r="B145" s="541" t="str">
        <f>A145&amp;B15</f>
        <v>1フレーム</v>
      </c>
      <c r="C145" s="1721">
        <f>K15</f>
        <v>0</v>
      </c>
      <c r="D145" s="1709"/>
      <c r="E145" s="1719"/>
      <c r="F145" s="1720"/>
    </row>
    <row r="146" spans="1:6" ht="18.75" x14ac:dyDescent="0.4">
      <c r="A146" s="606">
        <f>基礎情報!$AB$48</f>
        <v>1</v>
      </c>
      <c r="B146" s="541" t="str">
        <f>A146&amp;B16</f>
        <v>1交換用シールド</v>
      </c>
      <c r="C146" s="1721">
        <f>K16</f>
        <v>0</v>
      </c>
      <c r="D146" s="1709"/>
      <c r="E146" s="1719"/>
      <c r="F146" s="1720"/>
    </row>
    <row r="147" spans="1:6" ht="18.75" x14ac:dyDescent="0.4">
      <c r="A147" s="606">
        <f>基礎情報!$AB$48</f>
        <v>1</v>
      </c>
      <c r="B147" s="541" t="str">
        <f>A147&amp;B17</f>
        <v>1リユーサブルシールド</v>
      </c>
      <c r="C147" s="1721">
        <f>K17</f>
        <v>0</v>
      </c>
      <c r="D147" s="1709"/>
      <c r="E147" s="1719"/>
      <c r="F147" s="1720"/>
    </row>
    <row r="148" spans="1:6" ht="18.75" x14ac:dyDescent="0.4">
      <c r="A148" s="605">
        <f>基礎情報!$AG$48</f>
        <v>2</v>
      </c>
      <c r="B148" s="540" t="str">
        <f>A148&amp;B5</f>
        <v>2その他マスク</v>
      </c>
      <c r="C148" s="1708">
        <f>M5</f>
        <v>0</v>
      </c>
      <c r="D148" s="1709"/>
      <c r="E148" s="1719"/>
      <c r="F148" s="1720"/>
    </row>
    <row r="149" spans="1:6" ht="18.75" x14ac:dyDescent="0.4">
      <c r="A149" s="605">
        <f>基礎情報!$AG$48</f>
        <v>2</v>
      </c>
      <c r="B149" s="540" t="str">
        <f>A149&amp;B6</f>
        <v>2シールド付きマスク</v>
      </c>
      <c r="C149" s="1708">
        <f>M6</f>
        <v>0</v>
      </c>
      <c r="D149" s="1709"/>
      <c r="E149" s="1719"/>
      <c r="F149" s="1720"/>
    </row>
    <row r="150" spans="1:6" ht="18.75" x14ac:dyDescent="0.4">
      <c r="A150" s="605">
        <f>基礎情報!$AG$48</f>
        <v>2</v>
      </c>
      <c r="B150" s="540" t="str">
        <f>A150&amp;B7</f>
        <v>2N95マスク・ハイラックマスク</v>
      </c>
      <c r="C150" s="1708">
        <f>M7</f>
        <v>0</v>
      </c>
      <c r="D150" s="1709"/>
      <c r="E150" s="1719"/>
      <c r="F150" s="1720"/>
    </row>
    <row r="151" spans="1:6" ht="18.75" x14ac:dyDescent="0.4">
      <c r="A151" s="605">
        <f>基礎情報!$AG$48</f>
        <v>2</v>
      </c>
      <c r="B151" s="540" t="str">
        <f>A151&amp;B8</f>
        <v>2リユーサブルゴーグル</v>
      </c>
      <c r="C151" s="1708">
        <f>M8</f>
        <v>0</v>
      </c>
      <c r="D151" s="1709"/>
      <c r="E151" s="1719"/>
      <c r="F151" s="1720"/>
    </row>
    <row r="152" spans="1:6" ht="18.75" x14ac:dyDescent="0.4">
      <c r="A152" s="605">
        <f>基礎情報!$AG$48</f>
        <v>2</v>
      </c>
      <c r="B152" s="540" t="str">
        <f>A152&amp;B9</f>
        <v>2レンズ交換型</v>
      </c>
      <c r="C152" s="1708">
        <f>M9</f>
        <v>0</v>
      </c>
      <c r="D152" s="1709"/>
      <c r="E152" s="1719"/>
      <c r="F152" s="1720"/>
    </row>
    <row r="153" spans="1:6" ht="18.75" x14ac:dyDescent="0.4">
      <c r="A153" s="605">
        <f>基礎情報!$AG$48</f>
        <v>2</v>
      </c>
      <c r="B153" s="540" t="str">
        <f>A153&amp;B10</f>
        <v>2スペアレンズ</v>
      </c>
      <c r="C153" s="1708">
        <f>M10</f>
        <v>0</v>
      </c>
      <c r="D153" s="1709"/>
      <c r="E153" s="1719"/>
      <c r="F153" s="1720"/>
    </row>
    <row r="154" spans="1:6" ht="18.75" x14ac:dyDescent="0.4">
      <c r="A154" s="605">
        <f>基礎情報!$AG$48</f>
        <v>2</v>
      </c>
      <c r="B154" s="540" t="str">
        <f>A154&amp;B11</f>
        <v>2ガウン</v>
      </c>
      <c r="C154" s="1708">
        <f>M11</f>
        <v>0</v>
      </c>
      <c r="D154" s="1709"/>
      <c r="E154" s="1719"/>
      <c r="F154" s="1720"/>
    </row>
    <row r="155" spans="1:6" ht="18.75" x14ac:dyDescent="0.4">
      <c r="A155" s="605">
        <f>基礎情報!$AG$48</f>
        <v>2</v>
      </c>
      <c r="B155" s="540" t="str">
        <f>A155&amp;B12</f>
        <v>2グローブ</v>
      </c>
      <c r="C155" s="1708">
        <f>M12</f>
        <v>0</v>
      </c>
      <c r="D155" s="1709"/>
      <c r="E155" s="1719"/>
      <c r="F155" s="1720"/>
    </row>
    <row r="156" spans="1:6" ht="18.75" x14ac:dyDescent="0.4">
      <c r="A156" s="605">
        <f>基礎情報!$AG$48</f>
        <v>2</v>
      </c>
      <c r="B156" s="540" t="str">
        <f>A156&amp;B13</f>
        <v>2キャップ</v>
      </c>
      <c r="C156" s="1708">
        <f>M13</f>
        <v>0</v>
      </c>
      <c r="D156" s="1709"/>
      <c r="E156" s="1719"/>
      <c r="F156" s="1720"/>
    </row>
    <row r="157" spans="1:6" ht="18.75" x14ac:dyDescent="0.4">
      <c r="A157" s="605">
        <f>基礎情報!$AG$48</f>
        <v>2</v>
      </c>
      <c r="B157" s="540" t="str">
        <f>A157&amp;B14</f>
        <v>2使い捨て一体型</v>
      </c>
      <c r="C157" s="1708">
        <f>M14</f>
        <v>0</v>
      </c>
      <c r="D157" s="1709"/>
      <c r="E157" s="1719"/>
      <c r="F157" s="1720"/>
    </row>
    <row r="158" spans="1:6" ht="18.75" x14ac:dyDescent="0.4">
      <c r="A158" s="605">
        <f>基礎情報!$AG$48</f>
        <v>2</v>
      </c>
      <c r="B158" s="540" t="str">
        <f>A158&amp;B15</f>
        <v>2フレーム</v>
      </c>
      <c r="C158" s="1708">
        <f>M15</f>
        <v>0</v>
      </c>
      <c r="D158" s="1709"/>
      <c r="E158" s="1719"/>
      <c r="F158" s="1720"/>
    </row>
    <row r="159" spans="1:6" ht="18.75" x14ac:dyDescent="0.4">
      <c r="A159" s="605">
        <f>基礎情報!$AG$48</f>
        <v>2</v>
      </c>
      <c r="B159" s="540" t="str">
        <f>A159&amp;B16</f>
        <v>2交換用シールド</v>
      </c>
      <c r="C159" s="1708">
        <f>M16</f>
        <v>0</v>
      </c>
      <c r="D159" s="1709"/>
      <c r="E159" s="1719"/>
      <c r="F159" s="1720"/>
    </row>
    <row r="160" spans="1:6" ht="18.75" x14ac:dyDescent="0.4">
      <c r="A160" s="605">
        <f>基礎情報!$AG$48</f>
        <v>2</v>
      </c>
      <c r="B160" s="540" t="str">
        <f>A160&amp;B17</f>
        <v>2リユーサブルシールド</v>
      </c>
      <c r="C160" s="1708">
        <f>M17</f>
        <v>0</v>
      </c>
      <c r="D160" s="1709"/>
      <c r="E160" s="1719"/>
      <c r="F160" s="1720"/>
    </row>
    <row r="161" spans="1:6" ht="18.75" x14ac:dyDescent="0.4">
      <c r="A161" s="606">
        <f>基礎情報!$AL$48</f>
        <v>3</v>
      </c>
      <c r="B161" s="541" t="str">
        <f>A161&amp;B5</f>
        <v>3その他マスク</v>
      </c>
      <c r="C161" s="1721">
        <f>O5</f>
        <v>0</v>
      </c>
      <c r="D161" s="1709"/>
      <c r="E161" s="1719"/>
      <c r="F161" s="1720"/>
    </row>
    <row r="162" spans="1:6" ht="18.75" x14ac:dyDescent="0.4">
      <c r="A162" s="606">
        <f>基礎情報!$AL$48</f>
        <v>3</v>
      </c>
      <c r="B162" s="541" t="str">
        <f>A162&amp;B6</f>
        <v>3シールド付きマスク</v>
      </c>
      <c r="C162" s="1721">
        <f t="shared" ref="C162:C172" si="118">O6</f>
        <v>0</v>
      </c>
      <c r="D162" s="1709"/>
      <c r="E162" s="1719"/>
      <c r="F162" s="1720"/>
    </row>
    <row r="163" spans="1:6" ht="18.75" x14ac:dyDescent="0.4">
      <c r="A163" s="606">
        <f>基礎情報!$AL$48</f>
        <v>3</v>
      </c>
      <c r="B163" s="541" t="str">
        <f>A163&amp;B7</f>
        <v>3N95マスク・ハイラックマスク</v>
      </c>
      <c r="C163" s="1721">
        <f>O7</f>
        <v>0</v>
      </c>
      <c r="D163" s="1709"/>
      <c r="E163" s="1719"/>
      <c r="F163" s="1720"/>
    </row>
    <row r="164" spans="1:6" ht="18.75" x14ac:dyDescent="0.4">
      <c r="A164" s="606">
        <f>基礎情報!$AL$48</f>
        <v>3</v>
      </c>
      <c r="B164" s="541" t="str">
        <f>A164&amp;B8</f>
        <v>3リユーサブルゴーグル</v>
      </c>
      <c r="C164" s="1721">
        <f t="shared" si="118"/>
        <v>0</v>
      </c>
      <c r="D164" s="1709"/>
      <c r="E164" s="1719"/>
      <c r="F164" s="1720"/>
    </row>
    <row r="165" spans="1:6" ht="18.75" x14ac:dyDescent="0.4">
      <c r="A165" s="606">
        <f>基礎情報!$AL$48</f>
        <v>3</v>
      </c>
      <c r="B165" s="541" t="str">
        <f>A165&amp;B9</f>
        <v>3レンズ交換型</v>
      </c>
      <c r="C165" s="1721">
        <f t="shared" si="118"/>
        <v>0</v>
      </c>
      <c r="D165" s="1709"/>
      <c r="E165" s="1719"/>
      <c r="F165" s="1720"/>
    </row>
    <row r="166" spans="1:6" ht="18.75" x14ac:dyDescent="0.4">
      <c r="A166" s="606">
        <f>基礎情報!$AL$48</f>
        <v>3</v>
      </c>
      <c r="B166" s="541" t="str">
        <f>A166&amp;B10</f>
        <v>3スペアレンズ</v>
      </c>
      <c r="C166" s="1721">
        <f t="shared" si="118"/>
        <v>0</v>
      </c>
      <c r="D166" s="1709"/>
      <c r="E166" s="1719"/>
      <c r="F166" s="1720"/>
    </row>
    <row r="167" spans="1:6" ht="18.75" x14ac:dyDescent="0.4">
      <c r="A167" s="606">
        <f>基礎情報!$AL$48</f>
        <v>3</v>
      </c>
      <c r="B167" s="541" t="str">
        <f>A167&amp;B11</f>
        <v>3ガウン</v>
      </c>
      <c r="C167" s="1721">
        <f t="shared" si="118"/>
        <v>0</v>
      </c>
      <c r="D167" s="1709"/>
      <c r="E167" s="1719"/>
      <c r="F167" s="1720"/>
    </row>
    <row r="168" spans="1:6" ht="18.75" x14ac:dyDescent="0.4">
      <c r="A168" s="606">
        <f>基礎情報!$AL$48</f>
        <v>3</v>
      </c>
      <c r="B168" s="541" t="str">
        <f>A168&amp;B12</f>
        <v>3グローブ</v>
      </c>
      <c r="C168" s="1721">
        <f t="shared" si="118"/>
        <v>0</v>
      </c>
      <c r="D168" s="1709"/>
      <c r="E168" s="1719"/>
      <c r="F168" s="1720"/>
    </row>
    <row r="169" spans="1:6" ht="18.75" x14ac:dyDescent="0.4">
      <c r="A169" s="606">
        <f>基礎情報!$AL$48</f>
        <v>3</v>
      </c>
      <c r="B169" s="541" t="str">
        <f>A169&amp;B13</f>
        <v>3キャップ</v>
      </c>
      <c r="C169" s="1721">
        <f t="shared" si="118"/>
        <v>0</v>
      </c>
      <c r="D169" s="1709"/>
      <c r="E169" s="1719"/>
      <c r="F169" s="1720"/>
    </row>
    <row r="170" spans="1:6" ht="18.75" x14ac:dyDescent="0.4">
      <c r="A170" s="606">
        <f>基礎情報!$AL$48</f>
        <v>3</v>
      </c>
      <c r="B170" s="541" t="str">
        <f>A170&amp;B14</f>
        <v>3使い捨て一体型</v>
      </c>
      <c r="C170" s="1721">
        <f t="shared" si="118"/>
        <v>0</v>
      </c>
      <c r="D170" s="1709"/>
      <c r="E170" s="1719"/>
      <c r="F170" s="1720"/>
    </row>
    <row r="171" spans="1:6" ht="18.75" x14ac:dyDescent="0.4">
      <c r="A171" s="606">
        <f>基礎情報!$AL$48</f>
        <v>3</v>
      </c>
      <c r="B171" s="541" t="str">
        <f>A171&amp;B15</f>
        <v>3フレーム</v>
      </c>
      <c r="C171" s="1721">
        <f t="shared" si="118"/>
        <v>0</v>
      </c>
      <c r="D171" s="1709"/>
      <c r="E171" s="1719"/>
      <c r="F171" s="1720"/>
    </row>
    <row r="172" spans="1:6" ht="18.75" x14ac:dyDescent="0.4">
      <c r="A172" s="606">
        <f>基礎情報!$AL$48</f>
        <v>3</v>
      </c>
      <c r="B172" s="541" t="str">
        <f>A172&amp;B16</f>
        <v>3交換用シールド</v>
      </c>
      <c r="C172" s="1721">
        <f t="shared" si="118"/>
        <v>0</v>
      </c>
      <c r="D172" s="1709"/>
      <c r="E172" s="1719"/>
      <c r="F172" s="1720"/>
    </row>
    <row r="173" spans="1:6" ht="18.75" x14ac:dyDescent="0.4">
      <c r="A173" s="606">
        <f>基礎情報!$AL$48</f>
        <v>3</v>
      </c>
      <c r="B173" s="541" t="str">
        <f>A173&amp;B17</f>
        <v>3リユーサブルシールド</v>
      </c>
      <c r="C173" s="1721">
        <f>O17</f>
        <v>0</v>
      </c>
      <c r="D173" s="1709"/>
      <c r="E173" s="1719"/>
      <c r="F173" s="1720"/>
    </row>
    <row r="174" spans="1:6" ht="18.75" x14ac:dyDescent="0.4">
      <c r="A174" s="607">
        <f>基礎情報!$M$48</f>
        <v>10</v>
      </c>
      <c r="B174" s="568" t="str">
        <f>$E$2&amp;B18</f>
        <v>10消耗品（消毒液）</v>
      </c>
      <c r="C174" s="1722">
        <f>E18</f>
        <v>0</v>
      </c>
      <c r="D174" s="1709"/>
      <c r="E174" s="1719"/>
      <c r="F174" s="1720"/>
    </row>
    <row r="175" spans="1:6" ht="18.75" x14ac:dyDescent="0.4">
      <c r="A175" s="607">
        <f>基礎情報!$M$48</f>
        <v>10</v>
      </c>
      <c r="B175" s="568" t="str">
        <f t="shared" ref="B175:B176" si="119">$E$2&amp;B19</f>
        <v>10消耗品（ペーパータオル）</v>
      </c>
      <c r="C175" s="1722">
        <f>E19</f>
        <v>0</v>
      </c>
      <c r="D175" s="1709"/>
      <c r="E175" s="1719"/>
      <c r="F175" s="1720"/>
    </row>
    <row r="176" spans="1:6" ht="18.75" x14ac:dyDescent="0.4">
      <c r="A176" s="607">
        <f>基礎情報!$M$48</f>
        <v>10</v>
      </c>
      <c r="B176" s="568" t="str">
        <f t="shared" si="119"/>
        <v>10消耗品（ウェットティッシュ）</v>
      </c>
      <c r="C176" s="1722">
        <f>E20</f>
        <v>0</v>
      </c>
      <c r="D176" s="1709"/>
      <c r="E176" s="1719"/>
      <c r="F176" s="1720"/>
    </row>
    <row r="177" spans="1:6" ht="18.75" x14ac:dyDescent="0.4">
      <c r="A177" s="607">
        <f>基礎情報!$R$48</f>
        <v>11</v>
      </c>
      <c r="B177" s="568" t="str">
        <f>$G$2&amp;B18</f>
        <v>11消耗品（消毒液）</v>
      </c>
      <c r="C177" s="1722">
        <f>G18</f>
        <v>0</v>
      </c>
      <c r="D177" s="1709"/>
      <c r="E177" s="1719"/>
      <c r="F177" s="1720"/>
    </row>
    <row r="178" spans="1:6" ht="18.75" x14ac:dyDescent="0.4">
      <c r="A178" s="607">
        <f>基礎情報!$R$48</f>
        <v>11</v>
      </c>
      <c r="B178" s="568" t="str">
        <f t="shared" ref="B178:B179" si="120">$G$2&amp;B19</f>
        <v>11消耗品（ペーパータオル）</v>
      </c>
      <c r="C178" s="1722">
        <f>G19</f>
        <v>0</v>
      </c>
      <c r="D178" s="1709"/>
      <c r="E178" s="1719"/>
      <c r="F178" s="1720"/>
    </row>
    <row r="179" spans="1:6" ht="18.75" x14ac:dyDescent="0.4">
      <c r="A179" s="607">
        <f>基礎情報!$R$48</f>
        <v>11</v>
      </c>
      <c r="B179" s="568" t="str">
        <f t="shared" si="120"/>
        <v>11消耗品（ウェットティッシュ）</v>
      </c>
      <c r="C179" s="1722">
        <f>G20</f>
        <v>0</v>
      </c>
      <c r="D179" s="1709"/>
      <c r="E179" s="1719"/>
      <c r="F179" s="1720"/>
    </row>
    <row r="180" spans="1:6" ht="18.75" x14ac:dyDescent="0.4">
      <c r="A180" s="607">
        <f>基礎情報!$W$48</f>
        <v>12</v>
      </c>
      <c r="B180" s="568" t="str">
        <f>$I$2&amp;B18</f>
        <v>12消耗品（消毒液）</v>
      </c>
      <c r="C180" s="1722">
        <f>I18</f>
        <v>0</v>
      </c>
      <c r="D180" s="1709"/>
      <c r="E180" s="1719"/>
      <c r="F180" s="1720"/>
    </row>
    <row r="181" spans="1:6" ht="18.75" x14ac:dyDescent="0.4">
      <c r="A181" s="607">
        <f>基礎情報!$W$48</f>
        <v>12</v>
      </c>
      <c r="B181" s="568" t="str">
        <f t="shared" ref="B181:B182" si="121">$I$2&amp;B19</f>
        <v>12消耗品（ペーパータオル）</v>
      </c>
      <c r="C181" s="1722">
        <f>I19</f>
        <v>0</v>
      </c>
      <c r="D181" s="1709"/>
      <c r="E181" s="1719"/>
      <c r="F181" s="1720"/>
    </row>
    <row r="182" spans="1:6" ht="18.75" x14ac:dyDescent="0.4">
      <c r="A182" s="607">
        <f>基礎情報!$W$48</f>
        <v>12</v>
      </c>
      <c r="B182" s="568" t="str">
        <f t="shared" si="121"/>
        <v>12消耗品（ウェットティッシュ）</v>
      </c>
      <c r="C182" s="1722">
        <f>I20</f>
        <v>0</v>
      </c>
      <c r="D182" s="1709"/>
      <c r="E182" s="1719"/>
      <c r="F182" s="1720"/>
    </row>
    <row r="183" spans="1:6" ht="18.75" x14ac:dyDescent="0.4">
      <c r="A183" s="607">
        <f>基礎情報!$AB$48</f>
        <v>1</v>
      </c>
      <c r="B183" s="568" t="str">
        <f>$K$2&amp;B18</f>
        <v>1消耗品（消毒液）</v>
      </c>
      <c r="C183" s="1722">
        <f>K18</f>
        <v>0</v>
      </c>
      <c r="D183" s="1709"/>
      <c r="E183" s="1719"/>
      <c r="F183" s="1720"/>
    </row>
    <row r="184" spans="1:6" ht="18.75" x14ac:dyDescent="0.4">
      <c r="A184" s="607">
        <f>基礎情報!$AB$48</f>
        <v>1</v>
      </c>
      <c r="B184" s="568" t="str">
        <f t="shared" ref="B184:B185" si="122">$K$2&amp;B19</f>
        <v>1消耗品（ペーパータオル）</v>
      </c>
      <c r="C184" s="1722">
        <f>K19</f>
        <v>0</v>
      </c>
      <c r="D184" s="1709"/>
      <c r="E184" s="1719"/>
      <c r="F184" s="1720"/>
    </row>
    <row r="185" spans="1:6" ht="18.75" x14ac:dyDescent="0.4">
      <c r="A185" s="607">
        <f>基礎情報!$AB$48</f>
        <v>1</v>
      </c>
      <c r="B185" s="568" t="str">
        <f t="shared" si="122"/>
        <v>1消耗品（ウェットティッシュ）</v>
      </c>
      <c r="C185" s="1722">
        <f>K20</f>
        <v>0</v>
      </c>
      <c r="D185" s="1709"/>
      <c r="E185" s="1719"/>
      <c r="F185" s="1720"/>
    </row>
    <row r="186" spans="1:6" ht="18.75" x14ac:dyDescent="0.4">
      <c r="A186" s="607">
        <f>基礎情報!$AG$48</f>
        <v>2</v>
      </c>
      <c r="B186" s="568" t="str">
        <f>$M$2&amp;B18</f>
        <v>2消耗品（消毒液）</v>
      </c>
      <c r="C186" s="1722">
        <f>M18</f>
        <v>0</v>
      </c>
      <c r="D186" s="1709"/>
      <c r="E186" s="1719"/>
      <c r="F186" s="1720"/>
    </row>
    <row r="187" spans="1:6" ht="18.75" x14ac:dyDescent="0.4">
      <c r="A187" s="607">
        <f>基礎情報!$AG$48</f>
        <v>2</v>
      </c>
      <c r="B187" s="568" t="str">
        <f t="shared" ref="B187:B188" si="123">$M$2&amp;B19</f>
        <v>2消耗品（ペーパータオル）</v>
      </c>
      <c r="C187" s="1722">
        <f>M19</f>
        <v>0</v>
      </c>
      <c r="D187" s="1709"/>
      <c r="E187" s="1719"/>
      <c r="F187" s="1720"/>
    </row>
    <row r="188" spans="1:6" ht="18.75" x14ac:dyDescent="0.4">
      <c r="A188" s="607">
        <f>基礎情報!$AG$48</f>
        <v>2</v>
      </c>
      <c r="B188" s="568" t="str">
        <f t="shared" si="123"/>
        <v>2消耗品（ウェットティッシュ）</v>
      </c>
      <c r="C188" s="1722">
        <f>M20</f>
        <v>0</v>
      </c>
      <c r="D188" s="1709"/>
      <c r="E188" s="1719"/>
      <c r="F188" s="1720"/>
    </row>
    <row r="189" spans="1:6" ht="18.75" x14ac:dyDescent="0.4">
      <c r="A189" s="607">
        <f>基礎情報!$AL$48</f>
        <v>3</v>
      </c>
      <c r="B189" s="568" t="str">
        <f>$O$2&amp;B18</f>
        <v>3消耗品（消毒液）</v>
      </c>
      <c r="C189" s="1722">
        <f>O18</f>
        <v>0</v>
      </c>
      <c r="D189" s="1709"/>
      <c r="E189" s="1719"/>
      <c r="F189" s="1720"/>
    </row>
    <row r="190" spans="1:6" ht="18.75" x14ac:dyDescent="0.4">
      <c r="A190" s="607">
        <f>基礎情報!$AL$48</f>
        <v>3</v>
      </c>
      <c r="B190" s="568" t="str">
        <f t="shared" ref="B190:B191" si="124">$O$2&amp;B19</f>
        <v>3消耗品（ペーパータオル）</v>
      </c>
      <c r="C190" s="1722">
        <f>O19</f>
        <v>0</v>
      </c>
      <c r="D190" s="1709"/>
      <c r="E190" s="1719"/>
      <c r="F190" s="1720"/>
    </row>
    <row r="191" spans="1:6" ht="18.75" x14ac:dyDescent="0.4">
      <c r="A191" s="607">
        <f>基礎情報!$AL$48</f>
        <v>3</v>
      </c>
      <c r="B191" s="568" t="str">
        <f t="shared" si="124"/>
        <v>3消耗品（ウェットティッシュ）</v>
      </c>
      <c r="C191" s="1722">
        <f>O20</f>
        <v>0</v>
      </c>
      <c r="D191" s="1709"/>
      <c r="E191" s="1719"/>
      <c r="F191" s="1720"/>
    </row>
  </sheetData>
  <mergeCells count="371">
    <mergeCell ref="J96:K96"/>
    <mergeCell ref="J97:K97"/>
    <mergeCell ref="J98:K98"/>
    <mergeCell ref="J99:K99"/>
    <mergeCell ref="J100:K100"/>
    <mergeCell ref="J101:K101"/>
    <mergeCell ref="C28:D28"/>
    <mergeCell ref="C4:D4"/>
    <mergeCell ref="E4:F4"/>
    <mergeCell ref="G4:H4"/>
    <mergeCell ref="I4:J4"/>
    <mergeCell ref="K4:L4"/>
    <mergeCell ref="M4:N4"/>
    <mergeCell ref="O4:P4"/>
    <mergeCell ref="J95:K95"/>
    <mergeCell ref="C39:D39"/>
    <mergeCell ref="C40:D40"/>
    <mergeCell ref="C41:D41"/>
    <mergeCell ref="C42:D42"/>
    <mergeCell ref="C43:D43"/>
    <mergeCell ref="C44:D44"/>
    <mergeCell ref="C29:D29"/>
    <mergeCell ref="C30:D30"/>
    <mergeCell ref="C31:D31"/>
    <mergeCell ref="C32:D32"/>
    <mergeCell ref="C33:D33"/>
    <mergeCell ref="C34:D34"/>
    <mergeCell ref="C35:D35"/>
    <mergeCell ref="C36:D36"/>
    <mergeCell ref="C37:D37"/>
    <mergeCell ref="C185:D185"/>
    <mergeCell ref="C186:D186"/>
    <mergeCell ref="C187:D187"/>
    <mergeCell ref="C188:D188"/>
    <mergeCell ref="C189:D189"/>
    <mergeCell ref="C190:D190"/>
    <mergeCell ref="C191:D191"/>
    <mergeCell ref="F96:G96"/>
    <mergeCell ref="F97:G97"/>
    <mergeCell ref="F98:G98"/>
    <mergeCell ref="F99:G99"/>
    <mergeCell ref="F100:G100"/>
    <mergeCell ref="F101:G101"/>
    <mergeCell ref="C176:D176"/>
    <mergeCell ref="C177:D177"/>
    <mergeCell ref="C178:D178"/>
    <mergeCell ref="C179:D179"/>
    <mergeCell ref="C180:D180"/>
    <mergeCell ref="C181:D181"/>
    <mergeCell ref="C182:D182"/>
    <mergeCell ref="C183:D183"/>
    <mergeCell ref="C184:D184"/>
    <mergeCell ref="C166:D166"/>
    <mergeCell ref="C167:D167"/>
    <mergeCell ref="C168:D168"/>
    <mergeCell ref="C169:D169"/>
    <mergeCell ref="C170:D170"/>
    <mergeCell ref="C171:D171"/>
    <mergeCell ref="C172:D172"/>
    <mergeCell ref="C173:D173"/>
    <mergeCell ref="C175:D175"/>
    <mergeCell ref="C156:D156"/>
    <mergeCell ref="C157:D157"/>
    <mergeCell ref="C158:D158"/>
    <mergeCell ref="C159:D159"/>
    <mergeCell ref="C160:D160"/>
    <mergeCell ref="C162:D162"/>
    <mergeCell ref="C163:D163"/>
    <mergeCell ref="C164:D164"/>
    <mergeCell ref="C165:D165"/>
    <mergeCell ref="C146:D146"/>
    <mergeCell ref="C147:D147"/>
    <mergeCell ref="C149:D149"/>
    <mergeCell ref="C150:D150"/>
    <mergeCell ref="C151:D151"/>
    <mergeCell ref="C152:D152"/>
    <mergeCell ref="C153:D153"/>
    <mergeCell ref="C154:D154"/>
    <mergeCell ref="C155:D155"/>
    <mergeCell ref="C137:D137"/>
    <mergeCell ref="C138:D138"/>
    <mergeCell ref="C139:D139"/>
    <mergeCell ref="C140:D140"/>
    <mergeCell ref="C141:D141"/>
    <mergeCell ref="C142:D142"/>
    <mergeCell ref="C143:D143"/>
    <mergeCell ref="C144:D144"/>
    <mergeCell ref="C145:D145"/>
    <mergeCell ref="C128:D128"/>
    <mergeCell ref="C129:D129"/>
    <mergeCell ref="C130:D130"/>
    <mergeCell ref="C131:D131"/>
    <mergeCell ref="C132:D132"/>
    <mergeCell ref="C133:D133"/>
    <mergeCell ref="C134:D134"/>
    <mergeCell ref="C135:D135"/>
    <mergeCell ref="C136:D136"/>
    <mergeCell ref="E190:F190"/>
    <mergeCell ref="E191:F191"/>
    <mergeCell ref="C109:D109"/>
    <mergeCell ref="C110:D110"/>
    <mergeCell ref="C111:D111"/>
    <mergeCell ref="C112:D112"/>
    <mergeCell ref="C113:D113"/>
    <mergeCell ref="C114:D114"/>
    <mergeCell ref="C115:D115"/>
    <mergeCell ref="C116:D116"/>
    <mergeCell ref="C117:D117"/>
    <mergeCell ref="C118:D118"/>
    <mergeCell ref="C119:D119"/>
    <mergeCell ref="C120:D120"/>
    <mergeCell ref="C121:D121"/>
    <mergeCell ref="C122:D122"/>
    <mergeCell ref="C148:D148"/>
    <mergeCell ref="C161:D161"/>
    <mergeCell ref="C174:D174"/>
    <mergeCell ref="C123:D123"/>
    <mergeCell ref="C124:D124"/>
    <mergeCell ref="C125:D125"/>
    <mergeCell ref="C126:D126"/>
    <mergeCell ref="C127:D127"/>
    <mergeCell ref="E181:F181"/>
    <mergeCell ref="E182:F182"/>
    <mergeCell ref="E183:F183"/>
    <mergeCell ref="E184:F184"/>
    <mergeCell ref="E185:F185"/>
    <mergeCell ref="E186:F186"/>
    <mergeCell ref="E187:F187"/>
    <mergeCell ref="E188:F188"/>
    <mergeCell ref="E189:F189"/>
    <mergeCell ref="E172:F172"/>
    <mergeCell ref="E173:F173"/>
    <mergeCell ref="E174:F174"/>
    <mergeCell ref="E175:F175"/>
    <mergeCell ref="E176:F176"/>
    <mergeCell ref="E177:F177"/>
    <mergeCell ref="E178:F178"/>
    <mergeCell ref="E179:F179"/>
    <mergeCell ref="E180:F180"/>
    <mergeCell ref="E163:F163"/>
    <mergeCell ref="E164:F164"/>
    <mergeCell ref="E165:F165"/>
    <mergeCell ref="E166:F166"/>
    <mergeCell ref="E167:F167"/>
    <mergeCell ref="E168:F168"/>
    <mergeCell ref="E169:F169"/>
    <mergeCell ref="E170:F170"/>
    <mergeCell ref="E171:F171"/>
    <mergeCell ref="E154:F154"/>
    <mergeCell ref="E155:F155"/>
    <mergeCell ref="E156:F156"/>
    <mergeCell ref="E157:F157"/>
    <mergeCell ref="E158:F158"/>
    <mergeCell ref="E159:F159"/>
    <mergeCell ref="E160:F160"/>
    <mergeCell ref="E161:F161"/>
    <mergeCell ref="E162:F162"/>
    <mergeCell ref="E145:F145"/>
    <mergeCell ref="E146:F146"/>
    <mergeCell ref="E147:F147"/>
    <mergeCell ref="E148:F148"/>
    <mergeCell ref="E149:F149"/>
    <mergeCell ref="E150:F150"/>
    <mergeCell ref="E151:F151"/>
    <mergeCell ref="E152:F152"/>
    <mergeCell ref="E153:F153"/>
    <mergeCell ref="E136:F136"/>
    <mergeCell ref="E137:F137"/>
    <mergeCell ref="E138:F138"/>
    <mergeCell ref="E139:F139"/>
    <mergeCell ref="E140:F140"/>
    <mergeCell ref="E141:F141"/>
    <mergeCell ref="E142:F142"/>
    <mergeCell ref="E143:F143"/>
    <mergeCell ref="E144:F144"/>
    <mergeCell ref="E127:F127"/>
    <mergeCell ref="E128:F128"/>
    <mergeCell ref="E129:F129"/>
    <mergeCell ref="E130:F130"/>
    <mergeCell ref="E131:F131"/>
    <mergeCell ref="E132:F132"/>
    <mergeCell ref="E133:F133"/>
    <mergeCell ref="E134:F134"/>
    <mergeCell ref="E135:F135"/>
    <mergeCell ref="H118:I118"/>
    <mergeCell ref="H119:I119"/>
    <mergeCell ref="H120:I120"/>
    <mergeCell ref="H121:I121"/>
    <mergeCell ref="E122:F122"/>
    <mergeCell ref="E123:F123"/>
    <mergeCell ref="E124:F124"/>
    <mergeCell ref="E125:F125"/>
    <mergeCell ref="E126:F126"/>
    <mergeCell ref="H109:I109"/>
    <mergeCell ref="H110:I110"/>
    <mergeCell ref="H111:I111"/>
    <mergeCell ref="H112:I112"/>
    <mergeCell ref="H113:I113"/>
    <mergeCell ref="H114:I114"/>
    <mergeCell ref="H115:I115"/>
    <mergeCell ref="H116:I116"/>
    <mergeCell ref="H117:I117"/>
    <mergeCell ref="C106:D106"/>
    <mergeCell ref="C107:D107"/>
    <mergeCell ref="C108:D108"/>
    <mergeCell ref="C104:D104"/>
    <mergeCell ref="C95:D95"/>
    <mergeCell ref="H95:I95"/>
    <mergeCell ref="H96:I96"/>
    <mergeCell ref="H97:I97"/>
    <mergeCell ref="H98:I98"/>
    <mergeCell ref="H99:I99"/>
    <mergeCell ref="H100:I100"/>
    <mergeCell ref="H101:I101"/>
    <mergeCell ref="H102:I102"/>
    <mergeCell ref="H103:I103"/>
    <mergeCell ref="H104:I104"/>
    <mergeCell ref="H105:I105"/>
    <mergeCell ref="H106:I106"/>
    <mergeCell ref="H107:I107"/>
    <mergeCell ref="H108:I108"/>
    <mergeCell ref="F95:G95"/>
    <mergeCell ref="C96:D96"/>
    <mergeCell ref="C97:D97"/>
    <mergeCell ref="C98:D98"/>
    <mergeCell ref="C99:D99"/>
    <mergeCell ref="C100:D100"/>
    <mergeCell ref="C101:D101"/>
    <mergeCell ref="C102:D102"/>
    <mergeCell ref="C103:D103"/>
    <mergeCell ref="C105:D105"/>
    <mergeCell ref="C90:D90"/>
    <mergeCell ref="C91:D91"/>
    <mergeCell ref="C92:D92"/>
    <mergeCell ref="C84:D84"/>
    <mergeCell ref="C85:D85"/>
    <mergeCell ref="C86:D86"/>
    <mergeCell ref="C87:D87"/>
    <mergeCell ref="C88:D88"/>
    <mergeCell ref="C89:D89"/>
    <mergeCell ref="C18:D18"/>
    <mergeCell ref="E18:F18"/>
    <mergeCell ref="G18:H18"/>
    <mergeCell ref="I18:J18"/>
    <mergeCell ref="K18:L18"/>
    <mergeCell ref="M18:N18"/>
    <mergeCell ref="O18:P18"/>
    <mergeCell ref="B23:B25"/>
    <mergeCell ref="C23:D25"/>
    <mergeCell ref="E23:E25"/>
    <mergeCell ref="C19:D19"/>
    <mergeCell ref="E19:F19"/>
    <mergeCell ref="G19:H19"/>
    <mergeCell ref="I19:J19"/>
    <mergeCell ref="K19:L19"/>
    <mergeCell ref="M19:N19"/>
    <mergeCell ref="O19:P19"/>
    <mergeCell ref="C20:D20"/>
    <mergeCell ref="E20:F20"/>
    <mergeCell ref="G20:H20"/>
    <mergeCell ref="I20:J20"/>
    <mergeCell ref="K20:L20"/>
    <mergeCell ref="M20:N20"/>
    <mergeCell ref="O20:P20"/>
    <mergeCell ref="C16:D16"/>
    <mergeCell ref="C17:D17"/>
    <mergeCell ref="C12:D12"/>
    <mergeCell ref="C13:D13"/>
    <mergeCell ref="C14:D14"/>
    <mergeCell ref="C15:D15"/>
    <mergeCell ref="C8:D8"/>
    <mergeCell ref="C9:D9"/>
    <mergeCell ref="C10:D10"/>
    <mergeCell ref="C11:D11"/>
    <mergeCell ref="M3:N3"/>
    <mergeCell ref="O3:P3"/>
    <mergeCell ref="E2:F2"/>
    <mergeCell ref="G2:H2"/>
    <mergeCell ref="I2:J2"/>
    <mergeCell ref="K2:L2"/>
    <mergeCell ref="M2:N2"/>
    <mergeCell ref="O2:P2"/>
    <mergeCell ref="G17:H17"/>
    <mergeCell ref="I17:J17"/>
    <mergeCell ref="K17:L17"/>
    <mergeCell ref="M17:N17"/>
    <mergeCell ref="G16:H16"/>
    <mergeCell ref="I16:J16"/>
    <mergeCell ref="K16:L16"/>
    <mergeCell ref="M16:N16"/>
    <mergeCell ref="O15:P15"/>
    <mergeCell ref="G15:H15"/>
    <mergeCell ref="I15:J15"/>
    <mergeCell ref="K15:L15"/>
    <mergeCell ref="M15:N15"/>
    <mergeCell ref="O16:P16"/>
    <mergeCell ref="O17:P17"/>
    <mergeCell ref="G14:H14"/>
    <mergeCell ref="C2:D2"/>
    <mergeCell ref="C3:D3"/>
    <mergeCell ref="C5:D5"/>
    <mergeCell ref="C6:D6"/>
    <mergeCell ref="C7:D7"/>
    <mergeCell ref="E3:F3"/>
    <mergeCell ref="G3:H3"/>
    <mergeCell ref="I3:J3"/>
    <mergeCell ref="K3:L3"/>
    <mergeCell ref="I14:J14"/>
    <mergeCell ref="K14:L14"/>
    <mergeCell ref="M14:N14"/>
    <mergeCell ref="G13:H13"/>
    <mergeCell ref="I13:J13"/>
    <mergeCell ref="K13:L13"/>
    <mergeCell ref="M13:N13"/>
    <mergeCell ref="O12:P12"/>
    <mergeCell ref="G12:H12"/>
    <mergeCell ref="I12:J12"/>
    <mergeCell ref="K12:L12"/>
    <mergeCell ref="M12:N12"/>
    <mergeCell ref="O13:P13"/>
    <mergeCell ref="O14:P14"/>
    <mergeCell ref="O11:P11"/>
    <mergeCell ref="G11:H11"/>
    <mergeCell ref="I11:J11"/>
    <mergeCell ref="K11:L11"/>
    <mergeCell ref="M11:N11"/>
    <mergeCell ref="O10:P10"/>
    <mergeCell ref="O9:P9"/>
    <mergeCell ref="I10:J10"/>
    <mergeCell ref="K10:L10"/>
    <mergeCell ref="M10:N10"/>
    <mergeCell ref="G9:H9"/>
    <mergeCell ref="I9:J9"/>
    <mergeCell ref="K9:L9"/>
    <mergeCell ref="M9:N9"/>
    <mergeCell ref="G8:H8"/>
    <mergeCell ref="O7:P7"/>
    <mergeCell ref="O6:P6"/>
    <mergeCell ref="I7:J7"/>
    <mergeCell ref="K7:L7"/>
    <mergeCell ref="M7:N7"/>
    <mergeCell ref="G6:H6"/>
    <mergeCell ref="I6:J6"/>
    <mergeCell ref="K6:L6"/>
    <mergeCell ref="M6:N6"/>
    <mergeCell ref="O5:P5"/>
    <mergeCell ref="I5:J5"/>
    <mergeCell ref="K5:L5"/>
    <mergeCell ref="M5:N5"/>
    <mergeCell ref="E13:F13"/>
    <mergeCell ref="E14:F14"/>
    <mergeCell ref="E15:F15"/>
    <mergeCell ref="E16:F16"/>
    <mergeCell ref="E17:F17"/>
    <mergeCell ref="G5:H5"/>
    <mergeCell ref="G7:H7"/>
    <mergeCell ref="G10:H10"/>
    <mergeCell ref="E10:F10"/>
    <mergeCell ref="E11:F11"/>
    <mergeCell ref="E12:F12"/>
    <mergeCell ref="E5:F5"/>
    <mergeCell ref="E6:F6"/>
    <mergeCell ref="E7:F7"/>
    <mergeCell ref="E8:F8"/>
    <mergeCell ref="E9:F9"/>
    <mergeCell ref="O8:P8"/>
    <mergeCell ref="I8:J8"/>
    <mergeCell ref="K8:L8"/>
    <mergeCell ref="M8:N8"/>
    <mergeCell ref="C27:D27"/>
    <mergeCell ref="C38:D38"/>
  </mergeCells>
  <phoneticPr fontId="1"/>
  <conditionalFormatting sqref="E23:GF92">
    <cfRule type="expression" dxfId="34" priority="4">
      <formula>E$25="休診日"</formula>
    </cfRule>
  </conditionalFormatting>
  <conditionalFormatting sqref="F26:GF26">
    <cfRule type="cellIs" dxfId="33" priority="5" operator="greaterThanOrEqual">
      <formula>1</formula>
    </cfRule>
  </conditionalFormatting>
  <conditionalFormatting sqref="A29:A44 C29:XFD44">
    <cfRule type="cellIs" dxfId="32" priority="2" operator="greaterThan">
      <formula>0</formula>
    </cfRule>
  </conditionalFormatting>
  <conditionalFormatting sqref="F29:GF92">
    <cfRule type="cellIs" dxfId="31" priority="1" operator="greaterThan">
      <formula>0</formula>
    </cfRule>
  </conditionalFormatting>
  <dataValidations disablePrompts="1" count="1">
    <dataValidation type="list" allowBlank="1" showInputMessage="1" showErrorMessage="1" sqref="F25:GF25" xr:uid="{DB4653A9-1BA7-44B6-9C63-31125EF0F69A}">
      <formula1>$M$95:$M$96</formula1>
    </dataValidation>
  </dataValidations>
  <pageMargins left="0.7" right="0.7" top="0.75" bottom="0.75" header="0.3" footer="0.3"/>
  <pageSetup paperSize="9" scale="1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5986B-EF9A-48B7-A358-ADA6499D39CF}">
  <sheetPr>
    <tabColor theme="9" tint="0.79998168889431442"/>
  </sheetPr>
  <dimension ref="B1:AU87"/>
  <sheetViews>
    <sheetView showGridLines="0" view="pageBreakPreview" topLeftCell="A15" zoomScaleNormal="100" zoomScaleSheetLayoutView="100" workbookViewId="0">
      <selection activeCell="AN28" sqref="AN28"/>
    </sheetView>
  </sheetViews>
  <sheetFormatPr defaultColWidth="9" defaultRowHeight="16.5" x14ac:dyDescent="0.4"/>
  <cols>
    <col min="1" max="1" width="2.625" style="552" customWidth="1"/>
    <col min="2" max="38" width="3.625" style="552" customWidth="1"/>
    <col min="39" max="39" width="5.625" style="552" customWidth="1"/>
    <col min="40" max="43" width="3.625" style="552" customWidth="1"/>
    <col min="44" max="16384" width="9" style="552"/>
  </cols>
  <sheetData>
    <row r="1" spans="2:43" ht="15" customHeight="1" x14ac:dyDescent="0.4">
      <c r="B1" s="550">
        <v>1</v>
      </c>
      <c r="C1" s="550">
        <v>2</v>
      </c>
      <c r="D1" s="550">
        <v>3</v>
      </c>
      <c r="E1" s="550">
        <v>4</v>
      </c>
      <c r="F1" s="550">
        <v>5</v>
      </c>
      <c r="G1" s="550">
        <v>6</v>
      </c>
      <c r="H1" s="550">
        <v>7</v>
      </c>
      <c r="I1" s="550">
        <v>8</v>
      </c>
      <c r="J1" s="550">
        <v>9</v>
      </c>
      <c r="K1" s="550">
        <v>10</v>
      </c>
      <c r="L1" s="550">
        <v>11</v>
      </c>
      <c r="M1" s="550">
        <v>12</v>
      </c>
      <c r="N1" s="550">
        <v>13</v>
      </c>
      <c r="O1" s="550">
        <v>14</v>
      </c>
      <c r="P1" s="550">
        <v>15</v>
      </c>
      <c r="Q1" s="550">
        <v>16</v>
      </c>
      <c r="R1" s="550">
        <v>17</v>
      </c>
      <c r="S1" s="550">
        <v>18</v>
      </c>
      <c r="T1" s="550">
        <v>19</v>
      </c>
      <c r="U1" s="550">
        <v>20</v>
      </c>
      <c r="V1" s="550">
        <v>21</v>
      </c>
      <c r="W1" s="550">
        <v>22</v>
      </c>
      <c r="X1" s="550">
        <v>23</v>
      </c>
      <c r="Y1" s="550">
        <v>24</v>
      </c>
      <c r="Z1" s="550">
        <v>25</v>
      </c>
      <c r="AA1" s="550">
        <v>26</v>
      </c>
      <c r="AB1" s="550">
        <v>27</v>
      </c>
      <c r="AC1" s="550">
        <v>28</v>
      </c>
      <c r="AD1" s="550">
        <v>29</v>
      </c>
      <c r="AE1" s="550">
        <v>30</v>
      </c>
      <c r="AF1" s="550">
        <v>31</v>
      </c>
      <c r="AG1" s="550">
        <v>32</v>
      </c>
      <c r="AH1" s="550">
        <v>33</v>
      </c>
      <c r="AI1" s="550">
        <v>34</v>
      </c>
      <c r="AJ1" s="550">
        <v>35</v>
      </c>
      <c r="AK1" s="550">
        <v>36</v>
      </c>
      <c r="AL1" s="550"/>
      <c r="AM1" s="550">
        <v>37</v>
      </c>
      <c r="AN1" s="550">
        <v>38</v>
      </c>
      <c r="AO1" s="550">
        <v>39</v>
      </c>
      <c r="AP1" s="550">
        <v>40</v>
      </c>
      <c r="AQ1" s="550">
        <v>41</v>
      </c>
    </row>
    <row r="2" spans="2:43" ht="16.5" customHeight="1" x14ac:dyDescent="0.4">
      <c r="B2" s="1733" t="s">
        <v>1225</v>
      </c>
      <c r="C2" s="1791"/>
      <c r="D2" s="1791"/>
      <c r="E2" s="1733" t="str">
        <f>額内訳書!C1</f>
        <v>　（10月１日～３月31日分）</v>
      </c>
      <c r="F2" s="1734"/>
      <c r="G2" s="1734"/>
      <c r="H2" s="1734"/>
      <c r="I2" s="1734"/>
      <c r="J2" s="1734"/>
      <c r="K2" s="1734"/>
      <c r="L2" s="1734"/>
      <c r="M2" s="1734"/>
      <c r="N2" s="1734"/>
      <c r="O2" s="1734"/>
      <c r="P2" s="1734"/>
      <c r="Q2" s="1734"/>
      <c r="R2" s="1734"/>
      <c r="S2" s="1734"/>
      <c r="T2" s="1734"/>
      <c r="U2" s="1734"/>
      <c r="V2" s="1734"/>
      <c r="W2" s="1734"/>
      <c r="X2" s="1734"/>
      <c r="Y2" s="1734"/>
      <c r="Z2" s="1734"/>
      <c r="AA2" s="1734"/>
      <c r="AB2" s="1734"/>
      <c r="AC2" s="1734"/>
      <c r="AD2" s="1734"/>
      <c r="AE2" s="1734"/>
      <c r="AF2" s="1734"/>
      <c r="AG2" s="1734"/>
      <c r="AH2" s="1734"/>
      <c r="AI2" s="1734"/>
      <c r="AJ2" s="1734"/>
      <c r="AK2" s="1734"/>
      <c r="AL2" s="554"/>
    </row>
    <row r="3" spans="2:43" ht="15" customHeight="1" x14ac:dyDescent="0.4">
      <c r="B3" s="1775" t="s">
        <v>1272</v>
      </c>
      <c r="C3" s="1776"/>
      <c r="D3" s="1776"/>
      <c r="E3" s="1776"/>
      <c r="F3" s="1776"/>
      <c r="G3" s="1776"/>
      <c r="H3" s="1776"/>
      <c r="I3" s="1776"/>
      <c r="J3" s="1776"/>
      <c r="K3" s="1776"/>
      <c r="L3" s="1776"/>
      <c r="M3" s="1776"/>
      <c r="N3" s="1776"/>
      <c r="O3" s="1776"/>
      <c r="P3" s="1776"/>
      <c r="Q3" s="1776"/>
      <c r="R3" s="1776"/>
      <c r="S3" s="1776"/>
      <c r="T3" s="1776"/>
      <c r="U3" s="1776"/>
      <c r="V3" s="1776"/>
      <c r="W3" s="1776"/>
      <c r="X3" s="1776"/>
      <c r="Y3" s="1776"/>
      <c r="Z3" s="1776"/>
      <c r="AA3" s="1776"/>
      <c r="AB3" s="1776"/>
      <c r="AC3" s="1776"/>
      <c r="AD3" s="1776"/>
      <c r="AE3" s="1776"/>
      <c r="AF3" s="1776"/>
      <c r="AG3" s="1776"/>
      <c r="AH3" s="1776"/>
      <c r="AI3" s="1776"/>
      <c r="AJ3" s="1776"/>
      <c r="AK3" s="1776"/>
      <c r="AL3" s="555"/>
      <c r="AM3" s="550"/>
      <c r="AN3" s="550"/>
      <c r="AO3" s="550"/>
      <c r="AP3" s="550"/>
      <c r="AQ3" s="550"/>
    </row>
    <row r="4" spans="2:43" ht="15" customHeight="1" x14ac:dyDescent="0.4">
      <c r="B4" s="1776"/>
      <c r="C4" s="1776"/>
      <c r="D4" s="1776"/>
      <c r="E4" s="1776"/>
      <c r="F4" s="1776"/>
      <c r="G4" s="1776"/>
      <c r="H4" s="1776"/>
      <c r="I4" s="1776"/>
      <c r="J4" s="1776"/>
      <c r="K4" s="1776"/>
      <c r="L4" s="1776"/>
      <c r="M4" s="1776"/>
      <c r="N4" s="1776"/>
      <c r="O4" s="1776"/>
      <c r="P4" s="1776"/>
      <c r="Q4" s="1776"/>
      <c r="R4" s="1776"/>
      <c r="S4" s="1776"/>
      <c r="T4" s="1776"/>
      <c r="U4" s="1776"/>
      <c r="V4" s="1776"/>
      <c r="W4" s="1776"/>
      <c r="X4" s="1776"/>
      <c r="Y4" s="1776"/>
      <c r="Z4" s="1776"/>
      <c r="AA4" s="1776"/>
      <c r="AB4" s="1776"/>
      <c r="AC4" s="1776"/>
      <c r="AD4" s="1776"/>
      <c r="AE4" s="1776"/>
      <c r="AF4" s="1776"/>
      <c r="AG4" s="1776"/>
      <c r="AH4" s="1776"/>
      <c r="AI4" s="1776"/>
      <c r="AJ4" s="1776"/>
      <c r="AK4" s="1776"/>
      <c r="AL4" s="555"/>
      <c r="AM4" s="550"/>
      <c r="AN4" s="550"/>
      <c r="AO4" s="550"/>
      <c r="AP4" s="550"/>
      <c r="AQ4" s="550"/>
    </row>
    <row r="5" spans="2:43" ht="16.5" customHeight="1" x14ac:dyDescent="0.4">
      <c r="C5" s="1777" t="s">
        <v>1340</v>
      </c>
      <c r="D5" s="1778"/>
      <c r="E5" s="1778"/>
      <c r="F5" s="1778"/>
      <c r="G5" s="1778"/>
      <c r="H5" s="1778"/>
      <c r="I5" s="1778"/>
      <c r="J5" s="1778"/>
      <c r="K5" s="1778"/>
      <c r="L5" s="1778"/>
      <c r="M5" s="1778"/>
      <c r="N5" s="1778"/>
      <c r="O5" s="1778"/>
      <c r="P5" s="1778"/>
      <c r="Q5" s="1778"/>
      <c r="R5" s="1778"/>
      <c r="S5" s="1778"/>
      <c r="T5" s="1778"/>
      <c r="U5" s="1778"/>
      <c r="V5" s="1778"/>
      <c r="W5" s="1778"/>
      <c r="X5" s="1778"/>
      <c r="Y5" s="1778"/>
      <c r="Z5" s="1778"/>
      <c r="AA5" s="1778"/>
      <c r="AB5" s="1778"/>
      <c r="AC5" s="1778"/>
      <c r="AD5" s="1778"/>
      <c r="AE5" s="1778"/>
      <c r="AF5" s="1778"/>
      <c r="AG5" s="1778"/>
      <c r="AH5" s="1778"/>
      <c r="AI5" s="1778"/>
      <c r="AJ5" s="1778"/>
    </row>
    <row r="6" spans="2:43" s="609" customFormat="1" ht="16.5" customHeight="1" x14ac:dyDescent="0.4">
      <c r="C6" s="1777"/>
      <c r="D6" s="1778"/>
      <c r="E6" s="1778"/>
      <c r="F6" s="1778"/>
      <c r="G6" s="1778"/>
      <c r="H6" s="1778"/>
      <c r="I6" s="1778"/>
      <c r="J6" s="1778"/>
      <c r="K6" s="1778"/>
      <c r="L6" s="1778"/>
      <c r="M6" s="1778"/>
      <c r="N6" s="1778"/>
      <c r="O6" s="1778"/>
      <c r="P6" s="1778"/>
      <c r="Q6" s="1778"/>
      <c r="R6" s="1778"/>
      <c r="S6" s="1778"/>
      <c r="T6" s="1778"/>
      <c r="U6" s="1778"/>
      <c r="V6" s="1778"/>
      <c r="W6" s="1778"/>
      <c r="X6" s="1778"/>
      <c r="Y6" s="1778"/>
      <c r="Z6" s="1778"/>
      <c r="AA6" s="1778"/>
      <c r="AB6" s="1778"/>
      <c r="AC6" s="1778"/>
      <c r="AD6" s="1778"/>
      <c r="AE6" s="1778"/>
      <c r="AF6" s="1778"/>
      <c r="AG6" s="1778"/>
      <c r="AH6" s="1778"/>
      <c r="AI6" s="1778"/>
      <c r="AJ6" s="1778"/>
    </row>
    <row r="7" spans="2:43" ht="16.5" customHeight="1" x14ac:dyDescent="0.4">
      <c r="C7" s="1778"/>
      <c r="D7" s="1778"/>
      <c r="E7" s="1778"/>
      <c r="F7" s="1778"/>
      <c r="G7" s="1778"/>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row>
    <row r="8" spans="2:43" ht="24.95" customHeight="1" x14ac:dyDescent="0.4">
      <c r="B8" s="1779" t="str">
        <f>"１．算定基礎となる賃金情報　【判定】"&amp;AM9&amp;"："&amp;AN9</f>
        <v>１．算定基礎となる賃金情報　【判定】◎：適切に入力がされました。</v>
      </c>
      <c r="C8" s="1780"/>
      <c r="D8" s="1780"/>
      <c r="E8" s="1780"/>
      <c r="F8" s="1780"/>
      <c r="G8" s="1780"/>
      <c r="H8" s="1780"/>
      <c r="I8" s="1780"/>
      <c r="J8" s="1780"/>
      <c r="K8" s="1780"/>
      <c r="L8" s="1780"/>
      <c r="M8" s="1780"/>
      <c r="N8" s="1780"/>
      <c r="O8" s="1780"/>
      <c r="P8" s="1780"/>
      <c r="Q8" s="1780"/>
      <c r="R8" s="1780"/>
      <c r="S8" s="1780"/>
      <c r="T8" s="1780"/>
      <c r="U8" s="1780"/>
      <c r="V8" s="1780"/>
      <c r="W8" s="1780"/>
      <c r="X8" s="1780"/>
      <c r="Y8" s="1780"/>
      <c r="Z8" s="1780"/>
      <c r="AA8" s="1780"/>
      <c r="AB8" s="1780"/>
      <c r="AC8" s="1780"/>
      <c r="AD8" s="1780"/>
      <c r="AE8" s="1780"/>
      <c r="AF8" s="1780"/>
      <c r="AG8" s="1780"/>
      <c r="AH8" s="1780"/>
      <c r="AI8" s="1780"/>
      <c r="AJ8" s="1780"/>
      <c r="AK8" s="1780"/>
      <c r="AO8" s="553"/>
      <c r="AP8" s="553"/>
      <c r="AQ8" s="553"/>
    </row>
    <row r="9" spans="2:43" ht="16.5" customHeight="1" x14ac:dyDescent="0.4">
      <c r="C9" s="1787" t="s">
        <v>1273</v>
      </c>
      <c r="D9" s="1788"/>
      <c r="E9" s="1788"/>
      <c r="F9" s="1788"/>
      <c r="G9" s="1788"/>
      <c r="H9" s="1788"/>
      <c r="I9" s="1788"/>
      <c r="J9" s="1788"/>
      <c r="K9" s="1788"/>
      <c r="L9" s="1788"/>
      <c r="M9" s="1788"/>
      <c r="N9" s="1788"/>
      <c r="O9" s="1788"/>
      <c r="P9" s="1788"/>
      <c r="Q9" s="1788"/>
      <c r="R9" s="1788"/>
      <c r="S9" s="1788"/>
      <c r="T9" s="1788"/>
      <c r="U9" s="1788"/>
      <c r="V9" s="1788"/>
      <c r="W9" s="1788"/>
      <c r="X9" s="1788"/>
      <c r="Y9" s="1788"/>
      <c r="Z9" s="1788"/>
      <c r="AA9" s="1788"/>
      <c r="AB9" s="1788"/>
      <c r="AC9" s="1788"/>
      <c r="AD9" s="1788"/>
      <c r="AE9" s="1788"/>
      <c r="AF9" s="1788"/>
      <c r="AG9" s="1788"/>
      <c r="AH9" s="1788"/>
      <c r="AI9" s="1788"/>
      <c r="AJ9" s="1788"/>
      <c r="AM9" s="597" t="str">
        <f xml:space="preserve">
IF(COUNTIF(AC14:AD23,"○")=10,"○",
IF(COUNTIF(AC14:AD23,"×")&gt;=1,"×",
IF(COUNTIF(AC14:AD23,"◎")&gt;=1,"◎")))</f>
        <v>◎</v>
      </c>
      <c r="AN9" s="558" t="str">
        <f xml:space="preserve">
IF(COUNTIF(AC14:AD23,"○")=10,"人件費の申請をしない場合は入力不要です。",
IF(COUNTIF(AC14:AD23,"×")&gt;=1,"【要修正】入力不十分の箇所があります。",
IF(COUNTIF(AC14:AD23,"◎")&gt;=1,"適切に入力がされました。")))</f>
        <v>適切に入力がされました。</v>
      </c>
    </row>
    <row r="10" spans="2:43" s="609" customFormat="1" ht="16.5" customHeight="1" x14ac:dyDescent="0.4">
      <c r="C10" s="1804" t="s">
        <v>1339</v>
      </c>
      <c r="D10" s="1805"/>
      <c r="E10" s="1805"/>
      <c r="F10" s="1805"/>
      <c r="G10" s="1805"/>
      <c r="H10" s="1805"/>
      <c r="I10" s="1805"/>
      <c r="J10" s="1805"/>
      <c r="K10" s="1805"/>
      <c r="L10" s="1805"/>
      <c r="M10" s="1805"/>
      <c r="N10" s="1805"/>
      <c r="O10" s="1805"/>
      <c r="P10" s="1805"/>
      <c r="Q10" s="1805"/>
      <c r="R10" s="1805"/>
      <c r="S10" s="1805"/>
      <c r="T10" s="1805"/>
      <c r="U10" s="1805"/>
      <c r="V10" s="1805"/>
      <c r="W10" s="1805"/>
      <c r="X10" s="1805"/>
      <c r="Y10" s="1805"/>
      <c r="Z10" s="1805"/>
      <c r="AA10" s="1805"/>
      <c r="AB10" s="1805"/>
      <c r="AC10" s="1805"/>
      <c r="AD10" s="1805"/>
      <c r="AE10" s="1805"/>
      <c r="AF10" s="1805"/>
      <c r="AG10" s="1805"/>
      <c r="AH10" s="1805"/>
      <c r="AI10" s="1805"/>
      <c r="AJ10" s="1805"/>
      <c r="AM10" s="616"/>
      <c r="AN10" s="558"/>
    </row>
    <row r="11" spans="2:43" ht="16.5" customHeight="1" x14ac:dyDescent="0.4">
      <c r="C11" s="1725" t="s">
        <v>1214</v>
      </c>
      <c r="D11" s="1725"/>
      <c r="E11" s="1726"/>
      <c r="F11" s="1725" t="s">
        <v>1226</v>
      </c>
      <c r="G11" s="1725"/>
      <c r="H11" s="1726"/>
      <c r="I11" s="1771" t="s">
        <v>1227</v>
      </c>
      <c r="J11" s="1772"/>
      <c r="K11" s="1772"/>
      <c r="L11" s="1772"/>
      <c r="M11" s="1772"/>
      <c r="N11" s="1772"/>
      <c r="O11" s="1772"/>
      <c r="P11" s="1772"/>
      <c r="Q11" s="1772"/>
      <c r="R11" s="1772"/>
      <c r="S11" s="1772"/>
      <c r="T11" s="1772"/>
      <c r="U11" s="1772"/>
      <c r="V11" s="1772"/>
      <c r="W11" s="1772"/>
      <c r="X11" s="1772"/>
      <c r="Y11" s="1781" t="s">
        <v>1228</v>
      </c>
      <c r="Z11" s="1745"/>
      <c r="AA11" s="1745"/>
      <c r="AB11" s="1746"/>
      <c r="AC11" s="1771" t="s">
        <v>1229</v>
      </c>
      <c r="AD11" s="1772"/>
      <c r="AE11" s="1771" t="s">
        <v>1230</v>
      </c>
      <c r="AF11" s="1772"/>
      <c r="AG11" s="1772"/>
      <c r="AH11" s="1772"/>
      <c r="AI11" s="1772"/>
      <c r="AJ11" s="1772"/>
    </row>
    <row r="12" spans="2:43" ht="16.5" customHeight="1" x14ac:dyDescent="0.4">
      <c r="C12" s="1725"/>
      <c r="D12" s="1725"/>
      <c r="E12" s="1726"/>
      <c r="F12" s="1725"/>
      <c r="G12" s="1725"/>
      <c r="H12" s="1726"/>
      <c r="I12" s="1771" t="s">
        <v>1231</v>
      </c>
      <c r="J12" s="1772"/>
      <c r="K12" s="1772"/>
      <c r="L12" s="1772"/>
      <c r="M12" s="1772"/>
      <c r="N12" s="1772"/>
      <c r="O12" s="1772"/>
      <c r="P12" s="1772"/>
      <c r="Q12" s="1772"/>
      <c r="R12" s="1772"/>
      <c r="S12" s="1772"/>
      <c r="T12" s="1772"/>
      <c r="U12" s="1773" t="s">
        <v>1232</v>
      </c>
      <c r="V12" s="1774"/>
      <c r="W12" s="1774"/>
      <c r="X12" s="1774"/>
      <c r="Y12" s="1782"/>
      <c r="Z12" s="1778"/>
      <c r="AA12" s="1778"/>
      <c r="AB12" s="1783"/>
      <c r="AC12" s="1772"/>
      <c r="AD12" s="1772"/>
      <c r="AE12" s="1772"/>
      <c r="AF12" s="1772"/>
      <c r="AG12" s="1772"/>
      <c r="AH12" s="1772"/>
      <c r="AI12" s="1772"/>
      <c r="AJ12" s="1772"/>
    </row>
    <row r="13" spans="2:43" ht="16.5" customHeight="1" x14ac:dyDescent="0.4">
      <c r="C13" s="1726"/>
      <c r="D13" s="1726"/>
      <c r="E13" s="1726"/>
      <c r="F13" s="1726"/>
      <c r="G13" s="1726"/>
      <c r="H13" s="1726"/>
      <c r="I13" s="1771" t="s">
        <v>1233</v>
      </c>
      <c r="J13" s="1772"/>
      <c r="K13" s="1772"/>
      <c r="L13" s="1772"/>
      <c r="M13" s="1771" t="s">
        <v>1234</v>
      </c>
      <c r="N13" s="1772"/>
      <c r="O13" s="1772"/>
      <c r="P13" s="1772"/>
      <c r="Q13" s="1771" t="s">
        <v>1235</v>
      </c>
      <c r="R13" s="1772"/>
      <c r="S13" s="1772"/>
      <c r="T13" s="1772"/>
      <c r="U13" s="1771" t="s">
        <v>1236</v>
      </c>
      <c r="V13" s="1772"/>
      <c r="W13" s="1772"/>
      <c r="X13" s="1772"/>
      <c r="Y13" s="1784"/>
      <c r="Z13" s="1785"/>
      <c r="AA13" s="1785"/>
      <c r="AB13" s="1786"/>
      <c r="AC13" s="1772"/>
      <c r="AD13" s="1772"/>
      <c r="AE13" s="1772"/>
      <c r="AF13" s="1772"/>
      <c r="AG13" s="1772"/>
      <c r="AH13" s="1772"/>
      <c r="AI13" s="1772"/>
      <c r="AJ13" s="1772"/>
    </row>
    <row r="14" spans="2:43" ht="16.5" customHeight="1" x14ac:dyDescent="0.4">
      <c r="C14" s="1725" t="s">
        <v>1237</v>
      </c>
      <c r="D14" s="1725"/>
      <c r="E14" s="1726"/>
      <c r="F14" s="1727" t="s">
        <v>958</v>
      </c>
      <c r="G14" s="1727"/>
      <c r="H14" s="1728"/>
      <c r="I14" s="1729">
        <v>180000</v>
      </c>
      <c r="J14" s="1730"/>
      <c r="K14" s="1730"/>
      <c r="L14" s="1730"/>
      <c r="M14" s="1731">
        <v>160</v>
      </c>
      <c r="N14" s="1732"/>
      <c r="O14" s="1732"/>
      <c r="P14" s="1732"/>
      <c r="Q14" s="1789">
        <f>IFERROR(ROUNDDOWN(I14/M14,0),0)</f>
        <v>1125</v>
      </c>
      <c r="R14" s="1790"/>
      <c r="S14" s="1790"/>
      <c r="T14" s="1790"/>
      <c r="U14" s="1729"/>
      <c r="V14" s="1730"/>
      <c r="W14" s="1730"/>
      <c r="X14" s="1730"/>
      <c r="Y14" s="1806">
        <f>IF(AM9&lt;&gt;"◎",0,ROUNDDOWN(SUM(AM14:AM23)/COUNTIF(AC14:AD23,"◎"),0))</f>
        <v>1125</v>
      </c>
      <c r="Z14" s="1807"/>
      <c r="AA14" s="1807"/>
      <c r="AB14" s="1808"/>
      <c r="AC14" s="1771" t="str">
        <f t="shared" ref="AC14:AC23" si="0" xml:space="preserve">
IF(SUM(COUNTA(F14:P14),COUNTA(U14))=0,"○",
IF(AND(COUNTA(F14)=1,OR(AND(COUNTA(I14:P14)=2,COUNTA(U14)=0),AND(COUNTA(I14:P14)=0,COUNTA(U14)=1))),"◎","×"))</f>
        <v>◎</v>
      </c>
      <c r="AD14" s="1772"/>
      <c r="AE14" s="1773" t="str">
        <f t="shared" ref="AE14:AE23" si="1" xml:space="preserve">
IF(SUM(COUNTA(F14:P14),COUNTA(U14))=0,"未入力の状態です",
IF(AND(COUNTA(F14)=1,OR(AND(COUNTA(I14:P14)=2,COUNTA(U14)=0),AND(COUNTA(I14:P14)=0,COUNTA(U14)=1))),"適切に入力がされました。","【要修正】入力が不十分です。"))</f>
        <v>適切に入力がされました。</v>
      </c>
      <c r="AF14" s="1774"/>
      <c r="AG14" s="1774"/>
      <c r="AH14" s="1774"/>
      <c r="AI14" s="1774"/>
      <c r="AJ14" s="1774"/>
      <c r="AM14" s="552">
        <f xml:space="preserve">
IF(AND(AC14="◎",COUNTA(I14:P14)=2),Q14,
IF(AND(AC14="◎",COUNTA(U14)=1),U14,""))</f>
        <v>1125</v>
      </c>
    </row>
    <row r="15" spans="2:43" ht="16.5" customHeight="1" x14ac:dyDescent="0.4">
      <c r="C15" s="1725" t="s">
        <v>1238</v>
      </c>
      <c r="D15" s="1725"/>
      <c r="E15" s="1726"/>
      <c r="F15" s="1727"/>
      <c r="G15" s="1727"/>
      <c r="H15" s="1728"/>
      <c r="I15" s="1729"/>
      <c r="J15" s="1730"/>
      <c r="K15" s="1730"/>
      <c r="L15" s="1730"/>
      <c r="M15" s="1731"/>
      <c r="N15" s="1732"/>
      <c r="O15" s="1732"/>
      <c r="P15" s="1732"/>
      <c r="Q15" s="1789">
        <f>IFERROR(ROUNDDOWN(I15/M15,0),0)</f>
        <v>0</v>
      </c>
      <c r="R15" s="1790"/>
      <c r="S15" s="1790"/>
      <c r="T15" s="1790"/>
      <c r="U15" s="1729"/>
      <c r="V15" s="1730"/>
      <c r="W15" s="1730"/>
      <c r="X15" s="1730"/>
      <c r="Y15" s="1809"/>
      <c r="Z15" s="1810"/>
      <c r="AA15" s="1810"/>
      <c r="AB15" s="1811"/>
      <c r="AC15" s="1771" t="str">
        <f t="shared" si="0"/>
        <v>○</v>
      </c>
      <c r="AD15" s="1772"/>
      <c r="AE15" s="1773" t="str">
        <f t="shared" si="1"/>
        <v>未入力の状態です</v>
      </c>
      <c r="AF15" s="1774"/>
      <c r="AG15" s="1774"/>
      <c r="AH15" s="1774"/>
      <c r="AI15" s="1774"/>
      <c r="AJ15" s="1774"/>
      <c r="AM15" s="552" t="str">
        <f t="shared" ref="AM15:AM23" si="2" xml:space="preserve">
IF(AND(AC15="◎",COUNTA(I15:P15)=2),Q15,
IF(AND(AC15="◎",COUNTA(U15)=1),U15,""))</f>
        <v/>
      </c>
    </row>
    <row r="16" spans="2:43" ht="16.5" customHeight="1" x14ac:dyDescent="0.4">
      <c r="C16" s="1725" t="s">
        <v>1239</v>
      </c>
      <c r="D16" s="1725"/>
      <c r="E16" s="1726"/>
      <c r="F16" s="1727"/>
      <c r="G16" s="1727"/>
      <c r="H16" s="1728"/>
      <c r="I16" s="1729"/>
      <c r="J16" s="1730"/>
      <c r="K16" s="1730"/>
      <c r="L16" s="1730"/>
      <c r="M16" s="1731"/>
      <c r="N16" s="1732"/>
      <c r="O16" s="1732"/>
      <c r="P16" s="1732"/>
      <c r="Q16" s="1789">
        <f t="shared" ref="Q16:Q23" si="3">IFERROR(ROUNDDOWN(I16/M16,0),0)</f>
        <v>0</v>
      </c>
      <c r="R16" s="1790"/>
      <c r="S16" s="1790"/>
      <c r="T16" s="1790"/>
      <c r="U16" s="1729"/>
      <c r="V16" s="1730"/>
      <c r="W16" s="1730"/>
      <c r="X16" s="1730"/>
      <c r="Y16" s="1809"/>
      <c r="Z16" s="1810"/>
      <c r="AA16" s="1810"/>
      <c r="AB16" s="1811"/>
      <c r="AC16" s="1771" t="str">
        <f t="shared" si="0"/>
        <v>○</v>
      </c>
      <c r="AD16" s="1772"/>
      <c r="AE16" s="1773" t="str">
        <f t="shared" si="1"/>
        <v>未入力の状態です</v>
      </c>
      <c r="AF16" s="1774"/>
      <c r="AG16" s="1774"/>
      <c r="AH16" s="1774"/>
      <c r="AI16" s="1774"/>
      <c r="AJ16" s="1774"/>
      <c r="AM16" s="552" t="str">
        <f t="shared" si="2"/>
        <v/>
      </c>
    </row>
    <row r="17" spans="2:41" ht="16.5" customHeight="1" x14ac:dyDescent="0.4">
      <c r="C17" s="1725" t="s">
        <v>1240</v>
      </c>
      <c r="D17" s="1725"/>
      <c r="E17" s="1726"/>
      <c r="F17" s="1727"/>
      <c r="G17" s="1727"/>
      <c r="H17" s="1728"/>
      <c r="I17" s="1729"/>
      <c r="J17" s="1730"/>
      <c r="K17" s="1730"/>
      <c r="L17" s="1730"/>
      <c r="M17" s="1731"/>
      <c r="N17" s="1732"/>
      <c r="O17" s="1732"/>
      <c r="P17" s="1732"/>
      <c r="Q17" s="1789">
        <f t="shared" si="3"/>
        <v>0</v>
      </c>
      <c r="R17" s="1790"/>
      <c r="S17" s="1790"/>
      <c r="T17" s="1790"/>
      <c r="U17" s="1729"/>
      <c r="V17" s="1730"/>
      <c r="W17" s="1730"/>
      <c r="X17" s="1730"/>
      <c r="Y17" s="1809"/>
      <c r="Z17" s="1810"/>
      <c r="AA17" s="1810"/>
      <c r="AB17" s="1811"/>
      <c r="AC17" s="1771" t="str">
        <f t="shared" si="0"/>
        <v>○</v>
      </c>
      <c r="AD17" s="1772"/>
      <c r="AE17" s="1773" t="str">
        <f t="shared" si="1"/>
        <v>未入力の状態です</v>
      </c>
      <c r="AF17" s="1774"/>
      <c r="AG17" s="1774"/>
      <c r="AH17" s="1774"/>
      <c r="AI17" s="1774"/>
      <c r="AJ17" s="1774"/>
      <c r="AM17" s="552" t="str">
        <f t="shared" si="2"/>
        <v/>
      </c>
    </row>
    <row r="18" spans="2:41" ht="16.5" customHeight="1" x14ac:dyDescent="0.4">
      <c r="C18" s="1725" t="s">
        <v>1241</v>
      </c>
      <c r="D18" s="1725"/>
      <c r="E18" s="1726"/>
      <c r="F18" s="1727"/>
      <c r="G18" s="1727"/>
      <c r="H18" s="1728"/>
      <c r="I18" s="1729"/>
      <c r="J18" s="1730"/>
      <c r="K18" s="1730"/>
      <c r="L18" s="1730"/>
      <c r="M18" s="1731"/>
      <c r="N18" s="1732"/>
      <c r="O18" s="1732"/>
      <c r="P18" s="1732"/>
      <c r="Q18" s="1789">
        <f t="shared" si="3"/>
        <v>0</v>
      </c>
      <c r="R18" s="1790"/>
      <c r="S18" s="1790"/>
      <c r="T18" s="1790"/>
      <c r="U18" s="1729"/>
      <c r="V18" s="1730"/>
      <c r="W18" s="1730"/>
      <c r="X18" s="1730"/>
      <c r="Y18" s="1809"/>
      <c r="Z18" s="1810"/>
      <c r="AA18" s="1810"/>
      <c r="AB18" s="1811"/>
      <c r="AC18" s="1771" t="str">
        <f t="shared" si="0"/>
        <v>○</v>
      </c>
      <c r="AD18" s="1772"/>
      <c r="AE18" s="1773" t="str">
        <f t="shared" si="1"/>
        <v>未入力の状態です</v>
      </c>
      <c r="AF18" s="1774"/>
      <c r="AG18" s="1774"/>
      <c r="AH18" s="1774"/>
      <c r="AI18" s="1774"/>
      <c r="AJ18" s="1774"/>
      <c r="AM18" s="552" t="str">
        <f t="shared" si="2"/>
        <v/>
      </c>
    </row>
    <row r="19" spans="2:41" ht="16.5" customHeight="1" x14ac:dyDescent="0.4">
      <c r="C19" s="1725" t="s">
        <v>1242</v>
      </c>
      <c r="D19" s="1725"/>
      <c r="E19" s="1726"/>
      <c r="F19" s="1727"/>
      <c r="G19" s="1727"/>
      <c r="H19" s="1728"/>
      <c r="I19" s="1729"/>
      <c r="J19" s="1730"/>
      <c r="K19" s="1730"/>
      <c r="L19" s="1730"/>
      <c r="M19" s="1731"/>
      <c r="N19" s="1732"/>
      <c r="O19" s="1732"/>
      <c r="P19" s="1732"/>
      <c r="Q19" s="1789">
        <f t="shared" si="3"/>
        <v>0</v>
      </c>
      <c r="R19" s="1790"/>
      <c r="S19" s="1790"/>
      <c r="T19" s="1790"/>
      <c r="U19" s="1729"/>
      <c r="V19" s="1730"/>
      <c r="W19" s="1730"/>
      <c r="X19" s="1730"/>
      <c r="Y19" s="1809"/>
      <c r="Z19" s="1810"/>
      <c r="AA19" s="1810"/>
      <c r="AB19" s="1811"/>
      <c r="AC19" s="1771" t="str">
        <f t="shared" si="0"/>
        <v>○</v>
      </c>
      <c r="AD19" s="1772"/>
      <c r="AE19" s="1773" t="str">
        <f t="shared" si="1"/>
        <v>未入力の状態です</v>
      </c>
      <c r="AF19" s="1774"/>
      <c r="AG19" s="1774"/>
      <c r="AH19" s="1774"/>
      <c r="AI19" s="1774"/>
      <c r="AJ19" s="1774"/>
      <c r="AM19" s="552" t="str">
        <f t="shared" si="2"/>
        <v/>
      </c>
    </row>
    <row r="20" spans="2:41" ht="16.5" customHeight="1" x14ac:dyDescent="0.4">
      <c r="C20" s="1725" t="s">
        <v>1243</v>
      </c>
      <c r="D20" s="1725"/>
      <c r="E20" s="1726"/>
      <c r="F20" s="1727"/>
      <c r="G20" s="1727"/>
      <c r="H20" s="1728"/>
      <c r="I20" s="1729"/>
      <c r="J20" s="1730"/>
      <c r="K20" s="1730"/>
      <c r="L20" s="1730"/>
      <c r="M20" s="1731"/>
      <c r="N20" s="1732"/>
      <c r="O20" s="1732"/>
      <c r="P20" s="1732"/>
      <c r="Q20" s="1789">
        <f t="shared" si="3"/>
        <v>0</v>
      </c>
      <c r="R20" s="1790"/>
      <c r="S20" s="1790"/>
      <c r="T20" s="1790"/>
      <c r="U20" s="1729"/>
      <c r="V20" s="1730"/>
      <c r="W20" s="1730"/>
      <c r="X20" s="1730"/>
      <c r="Y20" s="1809"/>
      <c r="Z20" s="1810"/>
      <c r="AA20" s="1810"/>
      <c r="AB20" s="1811"/>
      <c r="AC20" s="1771" t="str">
        <f t="shared" si="0"/>
        <v>○</v>
      </c>
      <c r="AD20" s="1772"/>
      <c r="AE20" s="1773" t="str">
        <f t="shared" si="1"/>
        <v>未入力の状態です</v>
      </c>
      <c r="AF20" s="1774"/>
      <c r="AG20" s="1774"/>
      <c r="AH20" s="1774"/>
      <c r="AI20" s="1774"/>
      <c r="AJ20" s="1774"/>
      <c r="AM20" s="552" t="str">
        <f t="shared" si="2"/>
        <v/>
      </c>
    </row>
    <row r="21" spans="2:41" ht="16.5" customHeight="1" x14ac:dyDescent="0.4">
      <c r="C21" s="1725" t="s">
        <v>1244</v>
      </c>
      <c r="D21" s="1725"/>
      <c r="E21" s="1726"/>
      <c r="F21" s="1727"/>
      <c r="G21" s="1727"/>
      <c r="H21" s="1728"/>
      <c r="I21" s="1729"/>
      <c r="J21" s="1730"/>
      <c r="K21" s="1730"/>
      <c r="L21" s="1730"/>
      <c r="M21" s="1731"/>
      <c r="N21" s="1732"/>
      <c r="O21" s="1732"/>
      <c r="P21" s="1732"/>
      <c r="Q21" s="1789">
        <f t="shared" si="3"/>
        <v>0</v>
      </c>
      <c r="R21" s="1790"/>
      <c r="S21" s="1790"/>
      <c r="T21" s="1790"/>
      <c r="U21" s="1729"/>
      <c r="V21" s="1730"/>
      <c r="W21" s="1730"/>
      <c r="X21" s="1730"/>
      <c r="Y21" s="1809"/>
      <c r="Z21" s="1810"/>
      <c r="AA21" s="1810"/>
      <c r="AB21" s="1811"/>
      <c r="AC21" s="1771" t="str">
        <f t="shared" si="0"/>
        <v>○</v>
      </c>
      <c r="AD21" s="1772"/>
      <c r="AE21" s="1773" t="str">
        <f t="shared" si="1"/>
        <v>未入力の状態です</v>
      </c>
      <c r="AF21" s="1774"/>
      <c r="AG21" s="1774"/>
      <c r="AH21" s="1774"/>
      <c r="AI21" s="1774"/>
      <c r="AJ21" s="1774"/>
      <c r="AM21" s="552" t="str">
        <f t="shared" si="2"/>
        <v/>
      </c>
    </row>
    <row r="22" spans="2:41" ht="16.5" customHeight="1" x14ac:dyDescent="0.4">
      <c r="C22" s="1725" t="s">
        <v>1245</v>
      </c>
      <c r="D22" s="1725"/>
      <c r="E22" s="1726"/>
      <c r="F22" s="1727"/>
      <c r="G22" s="1727"/>
      <c r="H22" s="1728"/>
      <c r="I22" s="1729"/>
      <c r="J22" s="1730"/>
      <c r="K22" s="1730"/>
      <c r="L22" s="1730"/>
      <c r="M22" s="1731"/>
      <c r="N22" s="1732"/>
      <c r="O22" s="1732"/>
      <c r="P22" s="1732"/>
      <c r="Q22" s="1789">
        <f t="shared" si="3"/>
        <v>0</v>
      </c>
      <c r="R22" s="1790"/>
      <c r="S22" s="1790"/>
      <c r="T22" s="1790"/>
      <c r="U22" s="1729"/>
      <c r="V22" s="1730"/>
      <c r="W22" s="1730"/>
      <c r="X22" s="1730"/>
      <c r="Y22" s="1809"/>
      <c r="Z22" s="1810"/>
      <c r="AA22" s="1810"/>
      <c r="AB22" s="1811"/>
      <c r="AC22" s="1771" t="str">
        <f t="shared" si="0"/>
        <v>○</v>
      </c>
      <c r="AD22" s="1772"/>
      <c r="AE22" s="1773" t="str">
        <f t="shared" si="1"/>
        <v>未入力の状態です</v>
      </c>
      <c r="AF22" s="1774"/>
      <c r="AG22" s="1774"/>
      <c r="AH22" s="1774"/>
      <c r="AI22" s="1774"/>
      <c r="AJ22" s="1774"/>
      <c r="AM22" s="552" t="str">
        <f t="shared" si="2"/>
        <v/>
      </c>
    </row>
    <row r="23" spans="2:41" ht="16.5" customHeight="1" x14ac:dyDescent="0.4">
      <c r="C23" s="1725" t="s">
        <v>1246</v>
      </c>
      <c r="D23" s="1725"/>
      <c r="E23" s="1726"/>
      <c r="F23" s="1727"/>
      <c r="G23" s="1727"/>
      <c r="H23" s="1728"/>
      <c r="I23" s="1729"/>
      <c r="J23" s="1730"/>
      <c r="K23" s="1730"/>
      <c r="L23" s="1730"/>
      <c r="M23" s="1731"/>
      <c r="N23" s="1732"/>
      <c r="O23" s="1732"/>
      <c r="P23" s="1732"/>
      <c r="Q23" s="1789">
        <f t="shared" si="3"/>
        <v>0</v>
      </c>
      <c r="R23" s="1790"/>
      <c r="S23" s="1790"/>
      <c r="T23" s="1790"/>
      <c r="U23" s="1729"/>
      <c r="V23" s="1730"/>
      <c r="W23" s="1730"/>
      <c r="X23" s="1730"/>
      <c r="Y23" s="1812"/>
      <c r="Z23" s="1813"/>
      <c r="AA23" s="1813"/>
      <c r="AB23" s="1814"/>
      <c r="AC23" s="1771" t="str">
        <f t="shared" si="0"/>
        <v>○</v>
      </c>
      <c r="AD23" s="1772"/>
      <c r="AE23" s="1773" t="str">
        <f t="shared" si="1"/>
        <v>未入力の状態です</v>
      </c>
      <c r="AF23" s="1774"/>
      <c r="AG23" s="1774"/>
      <c r="AH23" s="1774"/>
      <c r="AI23" s="1774"/>
      <c r="AJ23" s="1774"/>
      <c r="AM23" s="552" t="str">
        <f t="shared" si="2"/>
        <v/>
      </c>
    </row>
    <row r="24" spans="2:41" ht="8.1" customHeight="1" x14ac:dyDescent="0.4"/>
    <row r="25" spans="2:41" ht="24.95" customHeight="1" x14ac:dyDescent="0.4">
      <c r="B25" s="1779" t="str">
        <f>"２．作業内容　【判定】"&amp;AN29&amp;"："&amp;AO29</f>
        <v>２．作業内容　【判定】◎：適切に入力がされました。</v>
      </c>
      <c r="C25" s="1780"/>
      <c r="D25" s="1780"/>
      <c r="E25" s="1780"/>
      <c r="F25" s="1780"/>
      <c r="G25" s="1780"/>
      <c r="H25" s="1780"/>
      <c r="I25" s="1780"/>
      <c r="J25" s="1780"/>
      <c r="K25" s="1780"/>
      <c r="L25" s="1780"/>
      <c r="M25" s="1780"/>
      <c r="N25" s="1780"/>
      <c r="O25" s="1780"/>
      <c r="P25" s="1780"/>
      <c r="Q25" s="1780"/>
      <c r="R25" s="1780"/>
      <c r="S25" s="1780"/>
      <c r="T25" s="1780"/>
      <c r="U25" s="1780"/>
      <c r="V25" s="1780"/>
      <c r="W25" s="1780"/>
      <c r="X25" s="1780"/>
      <c r="Y25" s="1780"/>
      <c r="Z25" s="1780"/>
      <c r="AA25" s="1780"/>
      <c r="AB25" s="1780"/>
      <c r="AC25" s="1780"/>
      <c r="AD25" s="1780"/>
      <c r="AE25" s="1780"/>
      <c r="AF25" s="1780"/>
      <c r="AG25" s="1780"/>
      <c r="AH25" s="1780"/>
      <c r="AI25" s="1780"/>
      <c r="AJ25" s="1780"/>
      <c r="AK25" s="1780"/>
    </row>
    <row r="26" spans="2:41" ht="16.5" customHeight="1" x14ac:dyDescent="0.4">
      <c r="C26" s="1792" t="s">
        <v>1363</v>
      </c>
      <c r="D26" s="1793"/>
      <c r="E26" s="1793"/>
      <c r="F26" s="1793"/>
      <c r="G26" s="1793"/>
      <c r="H26" s="1793"/>
      <c r="I26" s="1793"/>
      <c r="J26" s="1793"/>
      <c r="K26" s="1793"/>
      <c r="L26" s="1793"/>
      <c r="M26" s="1793"/>
      <c r="N26" s="1793"/>
      <c r="O26" s="1793"/>
      <c r="P26" s="1793"/>
      <c r="Q26" s="1793"/>
      <c r="R26" s="1793"/>
      <c r="S26" s="1793"/>
      <c r="T26" s="1793"/>
      <c r="U26" s="1793"/>
      <c r="V26" s="1793"/>
      <c r="W26" s="1793"/>
      <c r="X26" s="1793"/>
      <c r="Y26" s="1793"/>
      <c r="Z26" s="1793"/>
      <c r="AA26" s="1793"/>
      <c r="AB26" s="1793"/>
      <c r="AC26" s="1793"/>
      <c r="AD26" s="1793"/>
      <c r="AE26" s="1793"/>
      <c r="AF26" s="1793"/>
      <c r="AG26" s="1793"/>
      <c r="AH26" s="1793"/>
      <c r="AI26" s="1793"/>
      <c r="AJ26" s="1793"/>
      <c r="AM26" s="625" t="s">
        <v>1343</v>
      </c>
      <c r="AN26" s="596" t="str">
        <f xml:space="preserve">
IF(SUM(消毒!P14:P113)=0,"○",
IF(AND(SUM(消毒!P14:P113)&gt;=0,COUNTA(消毒積算!C38)=1),"◎",
IF(AND(SUM(消毒!P14:P113)&gt;=0,COUNTA(消毒積算!C38)=0),"×")))</f>
        <v>◎</v>
      </c>
      <c r="AO26" s="558" t="str">
        <f xml:space="preserve">
IF(SUM(消毒!P14:P113)=0,"人件費及び消耗品費を申請しない場合は入力不要です。",
IF(AND(SUM(消毒!P14:P113)&gt;=0,COUNTA(消毒積算!C38)=1),"適切に入力がされました。",
IF(AND(SUM(消毒!P14:P113)&gt;=0,COUNTA(消毒積算!C38)=0),"【要修正】入力が不十分です。")))</f>
        <v>適切に入力がされました。</v>
      </c>
    </row>
    <row r="27" spans="2:41" ht="16.5" customHeight="1" x14ac:dyDescent="0.4">
      <c r="C27" s="1793"/>
      <c r="D27" s="1793"/>
      <c r="E27" s="1793"/>
      <c r="F27" s="1793"/>
      <c r="G27" s="1793"/>
      <c r="H27" s="1793"/>
      <c r="I27" s="1793"/>
      <c r="J27" s="1793"/>
      <c r="K27" s="1793"/>
      <c r="L27" s="1793"/>
      <c r="M27" s="1793"/>
      <c r="N27" s="1793"/>
      <c r="O27" s="1793"/>
      <c r="P27" s="1793"/>
      <c r="Q27" s="1793"/>
      <c r="R27" s="1793"/>
      <c r="S27" s="1793"/>
      <c r="T27" s="1793"/>
      <c r="U27" s="1793"/>
      <c r="V27" s="1793"/>
      <c r="W27" s="1793"/>
      <c r="X27" s="1793"/>
      <c r="Y27" s="1793"/>
      <c r="Z27" s="1793"/>
      <c r="AA27" s="1793"/>
      <c r="AB27" s="1793"/>
      <c r="AC27" s="1793"/>
      <c r="AD27" s="1793"/>
      <c r="AE27" s="1793"/>
      <c r="AF27" s="1793"/>
      <c r="AG27" s="1793"/>
      <c r="AH27" s="1793"/>
      <c r="AI27" s="1793"/>
      <c r="AJ27" s="1793"/>
      <c r="AM27" s="625" t="s">
        <v>1344</v>
      </c>
      <c r="AN27" s="596" t="str">
        <f xml:space="preserve">
IF(COUNTIF(消毒!D14:D113,"人件費")=0,"○",
IF(AND(COUNTIF(消毒!D14:D113,"人件費")=1,COUNTA(消毒積算!C55)=1),"◎",
IF(AND(COUNTIF(消毒!D14:D113,"人件費")=1,COUNTA(消毒積算!C55)=0),"×",
IF(COUNTIF(消毒!D14:D113,"人件費")&gt;=2,"×"))))</f>
        <v>○</v>
      </c>
      <c r="AO27" s="558" t="str">
        <f xml:space="preserve">
IF(COUNTIF(消毒!D14:D113,"人件費")=0,"人件費の申請をしない場合は入力不要です。",
IF(AND(COUNTIF(消毒!D14:D113,"人件費")=1,COUNTA(消毒積算!C55)=1),"適切に入力がされました。",
IF(AND(COUNTIF(消毒!D14:D113,"人件費")=1,COUNTA(消毒積算!C55)=0),"【要修正】入力が不十分です。",
IF(COUNTIF(消毒!D14:D113,"人件費")&gt;=2,"【要修正】消毒経費明細シートに人件費が複数計上されています。"))))</f>
        <v>人件費の申請をしない場合は入力不要です。</v>
      </c>
    </row>
    <row r="28" spans="2:41" ht="16.5" customHeight="1" x14ac:dyDescent="0.4">
      <c r="C28" s="1793"/>
      <c r="D28" s="1793"/>
      <c r="E28" s="1793"/>
      <c r="F28" s="1793"/>
      <c r="G28" s="1793"/>
      <c r="H28" s="1793"/>
      <c r="I28" s="1793"/>
      <c r="J28" s="1793"/>
      <c r="K28" s="1793"/>
      <c r="L28" s="1793"/>
      <c r="M28" s="1793"/>
      <c r="N28" s="1793"/>
      <c r="O28" s="1793"/>
      <c r="P28" s="1793"/>
      <c r="Q28" s="1793"/>
      <c r="R28" s="1793"/>
      <c r="S28" s="1793"/>
      <c r="T28" s="1793"/>
      <c r="U28" s="1793"/>
      <c r="V28" s="1793"/>
      <c r="W28" s="1793"/>
      <c r="X28" s="1793"/>
      <c r="Y28" s="1793"/>
      <c r="Z28" s="1793"/>
      <c r="AA28" s="1793"/>
      <c r="AB28" s="1793"/>
      <c r="AC28" s="1793"/>
      <c r="AD28" s="1793"/>
      <c r="AE28" s="1793"/>
      <c r="AF28" s="1793"/>
      <c r="AG28" s="1793"/>
      <c r="AH28" s="1793"/>
      <c r="AI28" s="1793"/>
      <c r="AJ28" s="1793"/>
      <c r="AM28" s="625" t="s">
        <v>1345</v>
      </c>
      <c r="AN28" s="615" t="str">
        <f xml:space="preserve">
IF(COUNTIF(L63:L65,"×")&gt;=1,"×",
IF(COUNTIF(L63:L65,"○")=3,"○",
"◎"))</f>
        <v>◎</v>
      </c>
      <c r="AO28" s="558" t="str">
        <f xml:space="preserve">
IF(AN28="×","【要修正】入力が不十分です。（消耗品３品目の申請をしない場合は全て空欄としてください。）",
IF(AN28="○","消耗品３品目の申請をしない場合は入力不要です。",
IF(AN28="◎","適切に入力がされました。")))</f>
        <v>適切に入力がされました。</v>
      </c>
    </row>
    <row r="29" spans="2:41" ht="16.5" customHeight="1" x14ac:dyDescent="0.4">
      <c r="C29" s="1793"/>
      <c r="D29" s="1793"/>
      <c r="E29" s="1793"/>
      <c r="F29" s="1793"/>
      <c r="G29" s="1793"/>
      <c r="H29" s="1793"/>
      <c r="I29" s="1793"/>
      <c r="J29" s="1793"/>
      <c r="K29" s="1793"/>
      <c r="L29" s="1793"/>
      <c r="M29" s="1793"/>
      <c r="N29" s="1793"/>
      <c r="O29" s="1793"/>
      <c r="P29" s="1793"/>
      <c r="Q29" s="1793"/>
      <c r="R29" s="1793"/>
      <c r="S29" s="1793"/>
      <c r="T29" s="1793"/>
      <c r="U29" s="1793"/>
      <c r="V29" s="1793"/>
      <c r="W29" s="1793"/>
      <c r="X29" s="1793"/>
      <c r="Y29" s="1793"/>
      <c r="Z29" s="1793"/>
      <c r="AA29" s="1793"/>
      <c r="AB29" s="1793"/>
      <c r="AC29" s="1793"/>
      <c r="AD29" s="1793"/>
      <c r="AE29" s="1793"/>
      <c r="AF29" s="1793"/>
      <c r="AG29" s="1793"/>
      <c r="AH29" s="1793"/>
      <c r="AI29" s="1793"/>
      <c r="AJ29" s="1793"/>
      <c r="AM29" s="602" t="s">
        <v>1312</v>
      </c>
      <c r="AN29" s="596" t="str">
        <f xml:space="preserve">
IF(COUNTIF(AN26:AN28,"×")&gt;=1,"×",
IF(OR(AND(AN26="◎",AN28="◎"),AND(AN26="◎",AN27="◎",AN28="◎")),"◎","×"))</f>
        <v>◎</v>
      </c>
      <c r="AO29" s="558" t="str">
        <f xml:space="preserve">
IF(AN29="×","【要修正】入力が不十分です。（判定が×となっている入力項目を確認してください。）",
IF(AN29="○","申請をしない場合は入力不要です。",
IF(AN29="◎","適切に入力がされました。")))</f>
        <v>適切に入力がされました。</v>
      </c>
    </row>
    <row r="30" spans="2:41" s="611" customFormat="1" ht="5.0999999999999996" customHeight="1" x14ac:dyDescent="0.4">
      <c r="C30" s="612"/>
      <c r="D30" s="612"/>
      <c r="E30" s="612"/>
      <c r="F30" s="612"/>
      <c r="G30" s="612"/>
      <c r="H30" s="612"/>
      <c r="I30" s="612"/>
      <c r="J30" s="612"/>
      <c r="K30" s="612"/>
      <c r="L30" s="612"/>
      <c r="M30" s="612"/>
      <c r="N30" s="612"/>
      <c r="O30" s="612"/>
      <c r="P30" s="612"/>
      <c r="Q30" s="612"/>
      <c r="R30" s="612"/>
      <c r="S30" s="612"/>
      <c r="T30" s="612"/>
      <c r="U30" s="612"/>
      <c r="V30" s="612"/>
      <c r="W30" s="612"/>
      <c r="X30" s="612"/>
      <c r="Y30" s="612"/>
      <c r="Z30" s="612"/>
      <c r="AA30" s="612"/>
      <c r="AB30" s="612"/>
      <c r="AC30" s="612"/>
      <c r="AD30" s="612"/>
      <c r="AE30" s="612"/>
      <c r="AF30" s="612"/>
      <c r="AG30" s="612"/>
      <c r="AH30" s="612"/>
      <c r="AI30" s="612"/>
      <c r="AJ30" s="612"/>
      <c r="AK30" s="557"/>
    </row>
    <row r="31" spans="2:41" ht="20.100000000000001" customHeight="1" x14ac:dyDescent="0.4">
      <c r="B31" s="1779" t="str">
        <f>"（１）消毒の対象箇所及び消毒方法　【判定】"&amp;AN26&amp;"："&amp;AO26</f>
        <v>（１）消毒の対象箇所及び消毒方法　【判定】◎：適切に入力がされました。</v>
      </c>
      <c r="C31" s="1794"/>
      <c r="D31" s="1794"/>
      <c r="E31" s="1794"/>
      <c r="F31" s="1794"/>
      <c r="G31" s="1794"/>
      <c r="H31" s="1794"/>
      <c r="I31" s="1794"/>
      <c r="J31" s="1794"/>
      <c r="K31" s="1794"/>
      <c r="L31" s="1794"/>
      <c r="M31" s="1794"/>
      <c r="N31" s="1794"/>
      <c r="O31" s="1794"/>
      <c r="P31" s="1794"/>
      <c r="Q31" s="1794"/>
      <c r="R31" s="1794"/>
      <c r="S31" s="1794"/>
      <c r="T31" s="1794"/>
      <c r="U31" s="1794"/>
      <c r="V31" s="1794"/>
      <c r="W31" s="1794"/>
      <c r="X31" s="1794"/>
      <c r="Y31" s="1794"/>
      <c r="Z31" s="1794"/>
      <c r="AA31" s="1794"/>
      <c r="AB31" s="1794"/>
      <c r="AC31" s="1794"/>
      <c r="AD31" s="1794"/>
      <c r="AE31" s="1794"/>
      <c r="AF31" s="1794"/>
      <c r="AG31" s="1794"/>
      <c r="AH31" s="1794"/>
      <c r="AI31" s="1794"/>
      <c r="AJ31" s="1794"/>
      <c r="AK31" s="1794"/>
      <c r="AL31" s="557"/>
    </row>
    <row r="32" spans="2:41" ht="16.5" customHeight="1" x14ac:dyDescent="0.4">
      <c r="C32" s="1735" t="s">
        <v>1349</v>
      </c>
      <c r="D32" s="1736"/>
      <c r="E32" s="1736"/>
      <c r="F32" s="1736"/>
      <c r="G32" s="1736"/>
      <c r="H32" s="1736"/>
      <c r="I32" s="1736"/>
      <c r="J32" s="1736"/>
      <c r="K32" s="1736"/>
      <c r="L32" s="1736"/>
      <c r="M32" s="1736"/>
      <c r="N32" s="1736"/>
      <c r="O32" s="1736"/>
      <c r="P32" s="1736"/>
      <c r="Q32" s="1736"/>
      <c r="R32" s="1736"/>
      <c r="S32" s="1736"/>
      <c r="T32" s="1736"/>
      <c r="U32" s="1736"/>
      <c r="V32" s="1736"/>
      <c r="W32" s="1736"/>
      <c r="X32" s="1736"/>
      <c r="Y32" s="1736"/>
      <c r="Z32" s="1736"/>
      <c r="AA32" s="1736"/>
      <c r="AB32" s="1736"/>
      <c r="AC32" s="1736"/>
      <c r="AD32" s="1736"/>
      <c r="AE32" s="1736"/>
      <c r="AF32" s="1736"/>
      <c r="AG32" s="1736"/>
      <c r="AH32" s="1736"/>
      <c r="AI32" s="1736"/>
      <c r="AJ32" s="1736"/>
      <c r="AK32" s="557"/>
    </row>
    <row r="33" spans="3:38" s="611" customFormat="1" ht="16.5" customHeight="1" x14ac:dyDescent="0.4">
      <c r="C33" s="1735"/>
      <c r="D33" s="1736"/>
      <c r="E33" s="1736"/>
      <c r="F33" s="1736"/>
      <c r="G33" s="1736"/>
      <c r="H33" s="1736"/>
      <c r="I33" s="1736"/>
      <c r="J33" s="1736"/>
      <c r="K33" s="1736"/>
      <c r="L33" s="1736"/>
      <c r="M33" s="1736"/>
      <c r="N33" s="1736"/>
      <c r="O33" s="1736"/>
      <c r="P33" s="1736"/>
      <c r="Q33" s="1736"/>
      <c r="R33" s="1736"/>
      <c r="S33" s="1736"/>
      <c r="T33" s="1736"/>
      <c r="U33" s="1736"/>
      <c r="V33" s="1736"/>
      <c r="W33" s="1736"/>
      <c r="X33" s="1736"/>
      <c r="Y33" s="1736"/>
      <c r="Z33" s="1736"/>
      <c r="AA33" s="1736"/>
      <c r="AB33" s="1736"/>
      <c r="AC33" s="1736"/>
      <c r="AD33" s="1736"/>
      <c r="AE33" s="1736"/>
      <c r="AF33" s="1736"/>
      <c r="AG33" s="1736"/>
      <c r="AH33" s="1736"/>
      <c r="AI33" s="1736"/>
      <c r="AJ33" s="1736"/>
      <c r="AK33" s="557"/>
    </row>
    <row r="34" spans="3:38" ht="16.5" customHeight="1" x14ac:dyDescent="0.4">
      <c r="C34" s="1735"/>
      <c r="D34" s="1736"/>
      <c r="E34" s="1736"/>
      <c r="F34" s="1736"/>
      <c r="G34" s="1736"/>
      <c r="H34" s="1736"/>
      <c r="I34" s="1736"/>
      <c r="J34" s="1736"/>
      <c r="K34" s="1736"/>
      <c r="L34" s="1736"/>
      <c r="M34" s="1736"/>
      <c r="N34" s="1736"/>
      <c r="O34" s="1736"/>
      <c r="P34" s="1736"/>
      <c r="Q34" s="1736"/>
      <c r="R34" s="1736"/>
      <c r="S34" s="1736"/>
      <c r="T34" s="1736"/>
      <c r="U34" s="1736"/>
      <c r="V34" s="1736"/>
      <c r="W34" s="1736"/>
      <c r="X34" s="1736"/>
      <c r="Y34" s="1736"/>
      <c r="Z34" s="1736"/>
      <c r="AA34" s="1736"/>
      <c r="AB34" s="1736"/>
      <c r="AC34" s="1736"/>
      <c r="AD34" s="1736"/>
      <c r="AE34" s="1736"/>
      <c r="AF34" s="1736"/>
      <c r="AG34" s="1736"/>
      <c r="AH34" s="1736"/>
      <c r="AI34" s="1736"/>
      <c r="AJ34" s="1736"/>
      <c r="AK34" s="557"/>
    </row>
    <row r="35" spans="3:38" ht="16.5" customHeight="1" x14ac:dyDescent="0.4">
      <c r="C35" s="1735"/>
      <c r="D35" s="1736"/>
      <c r="E35" s="1736"/>
      <c r="F35" s="1736"/>
      <c r="G35" s="1736"/>
      <c r="H35" s="1736"/>
      <c r="I35" s="1736"/>
      <c r="J35" s="1736"/>
      <c r="K35" s="1736"/>
      <c r="L35" s="1736"/>
      <c r="M35" s="1736"/>
      <c r="N35" s="1736"/>
      <c r="O35" s="1736"/>
      <c r="P35" s="1736"/>
      <c r="Q35" s="1736"/>
      <c r="R35" s="1736"/>
      <c r="S35" s="1736"/>
      <c r="T35" s="1736"/>
      <c r="U35" s="1736"/>
      <c r="V35" s="1736"/>
      <c r="W35" s="1736"/>
      <c r="X35" s="1736"/>
      <c r="Y35" s="1736"/>
      <c r="Z35" s="1736"/>
      <c r="AA35" s="1736"/>
      <c r="AB35" s="1736"/>
      <c r="AC35" s="1736"/>
      <c r="AD35" s="1736"/>
      <c r="AE35" s="1736"/>
      <c r="AF35" s="1736"/>
      <c r="AG35" s="1736"/>
      <c r="AH35" s="1736"/>
      <c r="AI35" s="1736"/>
      <c r="AJ35" s="1736"/>
      <c r="AK35" s="557"/>
    </row>
    <row r="36" spans="3:38" ht="16.5" customHeight="1" x14ac:dyDescent="0.4">
      <c r="C36" s="1735"/>
      <c r="D36" s="1736"/>
      <c r="E36" s="1736"/>
      <c r="F36" s="1736"/>
      <c r="G36" s="1736"/>
      <c r="H36" s="1736"/>
      <c r="I36" s="1736"/>
      <c r="J36" s="1736"/>
      <c r="K36" s="1736"/>
      <c r="L36" s="1736"/>
      <c r="M36" s="1736"/>
      <c r="N36" s="1736"/>
      <c r="O36" s="1736"/>
      <c r="P36" s="1736"/>
      <c r="Q36" s="1736"/>
      <c r="R36" s="1736"/>
      <c r="S36" s="1736"/>
      <c r="T36" s="1736"/>
      <c r="U36" s="1736"/>
      <c r="V36" s="1736"/>
      <c r="W36" s="1736"/>
      <c r="X36" s="1736"/>
      <c r="Y36" s="1736"/>
      <c r="Z36" s="1736"/>
      <c r="AA36" s="1736"/>
      <c r="AB36" s="1736"/>
      <c r="AC36" s="1736"/>
      <c r="AD36" s="1736"/>
      <c r="AE36" s="1736"/>
      <c r="AF36" s="1736"/>
      <c r="AG36" s="1736"/>
      <c r="AH36" s="1736"/>
      <c r="AI36" s="1736"/>
      <c r="AJ36" s="1736"/>
      <c r="AK36" s="557"/>
      <c r="AL36" s="557"/>
    </row>
    <row r="37" spans="3:38" ht="16.5" customHeight="1" x14ac:dyDescent="0.4">
      <c r="C37" s="1737"/>
      <c r="D37" s="1737"/>
      <c r="E37" s="1737"/>
      <c r="F37" s="1737"/>
      <c r="G37" s="1737"/>
      <c r="H37" s="1737"/>
      <c r="I37" s="1737"/>
      <c r="J37" s="1737"/>
      <c r="K37" s="1737"/>
      <c r="L37" s="1737"/>
      <c r="M37" s="1737"/>
      <c r="N37" s="1737"/>
      <c r="O37" s="1737"/>
      <c r="P37" s="1737"/>
      <c r="Q37" s="1737"/>
      <c r="R37" s="1737"/>
      <c r="S37" s="1737"/>
      <c r="T37" s="1737"/>
      <c r="U37" s="1737"/>
      <c r="V37" s="1737"/>
      <c r="W37" s="1737"/>
      <c r="X37" s="1737"/>
      <c r="Y37" s="1737"/>
      <c r="Z37" s="1737"/>
      <c r="AA37" s="1737"/>
      <c r="AB37" s="1737"/>
      <c r="AC37" s="1737"/>
      <c r="AD37" s="1737"/>
      <c r="AE37" s="1737"/>
      <c r="AF37" s="1737"/>
      <c r="AG37" s="1737"/>
      <c r="AH37" s="1737"/>
      <c r="AI37" s="1737"/>
      <c r="AJ37" s="1737"/>
      <c r="AK37" s="557"/>
      <c r="AL37" s="557"/>
    </row>
    <row r="38" spans="3:38" ht="16.5" customHeight="1" x14ac:dyDescent="0.4">
      <c r="C38" s="1795" t="s">
        <v>1341</v>
      </c>
      <c r="D38" s="1796"/>
      <c r="E38" s="1796"/>
      <c r="F38" s="1796"/>
      <c r="G38" s="1796"/>
      <c r="H38" s="1796"/>
      <c r="I38" s="1796"/>
      <c r="J38" s="1796"/>
      <c r="K38" s="1796"/>
      <c r="L38" s="1796"/>
      <c r="M38" s="1796"/>
      <c r="N38" s="1796"/>
      <c r="O38" s="1796"/>
      <c r="P38" s="1796"/>
      <c r="Q38" s="1796"/>
      <c r="R38" s="1796"/>
      <c r="S38" s="1796"/>
      <c r="T38" s="1796"/>
      <c r="U38" s="1796"/>
      <c r="V38" s="1796"/>
      <c r="W38" s="1796"/>
      <c r="X38" s="1796"/>
      <c r="Y38" s="1796"/>
      <c r="Z38" s="1796"/>
      <c r="AA38" s="1796"/>
      <c r="AB38" s="1796"/>
      <c r="AC38" s="1796"/>
      <c r="AD38" s="1796"/>
      <c r="AE38" s="1796"/>
      <c r="AF38" s="1796"/>
      <c r="AG38" s="1796"/>
      <c r="AH38" s="1796"/>
      <c r="AI38" s="1796"/>
      <c r="AJ38" s="1797"/>
    </row>
    <row r="39" spans="3:38" ht="16.5" customHeight="1" x14ac:dyDescent="0.4">
      <c r="C39" s="1798"/>
      <c r="D39" s="1799"/>
      <c r="E39" s="1799"/>
      <c r="F39" s="1799"/>
      <c r="G39" s="1799"/>
      <c r="H39" s="1799"/>
      <c r="I39" s="1799"/>
      <c r="J39" s="1799"/>
      <c r="K39" s="1799"/>
      <c r="L39" s="1799"/>
      <c r="M39" s="1799"/>
      <c r="N39" s="1799"/>
      <c r="O39" s="1799"/>
      <c r="P39" s="1799"/>
      <c r="Q39" s="1799"/>
      <c r="R39" s="1799"/>
      <c r="S39" s="1799"/>
      <c r="T39" s="1799"/>
      <c r="U39" s="1799"/>
      <c r="V39" s="1799"/>
      <c r="W39" s="1799"/>
      <c r="X39" s="1799"/>
      <c r="Y39" s="1799"/>
      <c r="Z39" s="1799"/>
      <c r="AA39" s="1799"/>
      <c r="AB39" s="1799"/>
      <c r="AC39" s="1799"/>
      <c r="AD39" s="1799"/>
      <c r="AE39" s="1799"/>
      <c r="AF39" s="1799"/>
      <c r="AG39" s="1799"/>
      <c r="AH39" s="1799"/>
      <c r="AI39" s="1799"/>
      <c r="AJ39" s="1800"/>
    </row>
    <row r="40" spans="3:38" ht="16.5" customHeight="1" x14ac:dyDescent="0.4">
      <c r="C40" s="1798"/>
      <c r="D40" s="1799"/>
      <c r="E40" s="1799"/>
      <c r="F40" s="1799"/>
      <c r="G40" s="1799"/>
      <c r="H40" s="1799"/>
      <c r="I40" s="1799"/>
      <c r="J40" s="1799"/>
      <c r="K40" s="1799"/>
      <c r="L40" s="1799"/>
      <c r="M40" s="1799"/>
      <c r="N40" s="1799"/>
      <c r="O40" s="1799"/>
      <c r="P40" s="1799"/>
      <c r="Q40" s="1799"/>
      <c r="R40" s="1799"/>
      <c r="S40" s="1799"/>
      <c r="T40" s="1799"/>
      <c r="U40" s="1799"/>
      <c r="V40" s="1799"/>
      <c r="W40" s="1799"/>
      <c r="X40" s="1799"/>
      <c r="Y40" s="1799"/>
      <c r="Z40" s="1799"/>
      <c r="AA40" s="1799"/>
      <c r="AB40" s="1799"/>
      <c r="AC40" s="1799"/>
      <c r="AD40" s="1799"/>
      <c r="AE40" s="1799"/>
      <c r="AF40" s="1799"/>
      <c r="AG40" s="1799"/>
      <c r="AH40" s="1799"/>
      <c r="AI40" s="1799"/>
      <c r="AJ40" s="1800"/>
    </row>
    <row r="41" spans="3:38" s="611" customFormat="1" ht="16.5" customHeight="1" x14ac:dyDescent="0.4">
      <c r="C41" s="1798"/>
      <c r="D41" s="1799"/>
      <c r="E41" s="1799"/>
      <c r="F41" s="1799"/>
      <c r="G41" s="1799"/>
      <c r="H41" s="1799"/>
      <c r="I41" s="1799"/>
      <c r="J41" s="1799"/>
      <c r="K41" s="1799"/>
      <c r="L41" s="1799"/>
      <c r="M41" s="1799"/>
      <c r="N41" s="1799"/>
      <c r="O41" s="1799"/>
      <c r="P41" s="1799"/>
      <c r="Q41" s="1799"/>
      <c r="R41" s="1799"/>
      <c r="S41" s="1799"/>
      <c r="T41" s="1799"/>
      <c r="U41" s="1799"/>
      <c r="V41" s="1799"/>
      <c r="W41" s="1799"/>
      <c r="X41" s="1799"/>
      <c r="Y41" s="1799"/>
      <c r="Z41" s="1799"/>
      <c r="AA41" s="1799"/>
      <c r="AB41" s="1799"/>
      <c r="AC41" s="1799"/>
      <c r="AD41" s="1799"/>
      <c r="AE41" s="1799"/>
      <c r="AF41" s="1799"/>
      <c r="AG41" s="1799"/>
      <c r="AH41" s="1799"/>
      <c r="AI41" s="1799"/>
      <c r="AJ41" s="1800"/>
    </row>
    <row r="42" spans="3:38" s="611" customFormat="1" ht="16.5" customHeight="1" x14ac:dyDescent="0.4">
      <c r="C42" s="1798"/>
      <c r="D42" s="1799"/>
      <c r="E42" s="1799"/>
      <c r="F42" s="1799"/>
      <c r="G42" s="1799"/>
      <c r="H42" s="1799"/>
      <c r="I42" s="1799"/>
      <c r="J42" s="1799"/>
      <c r="K42" s="1799"/>
      <c r="L42" s="1799"/>
      <c r="M42" s="1799"/>
      <c r="N42" s="1799"/>
      <c r="O42" s="1799"/>
      <c r="P42" s="1799"/>
      <c r="Q42" s="1799"/>
      <c r="R42" s="1799"/>
      <c r="S42" s="1799"/>
      <c r="T42" s="1799"/>
      <c r="U42" s="1799"/>
      <c r="V42" s="1799"/>
      <c r="W42" s="1799"/>
      <c r="X42" s="1799"/>
      <c r="Y42" s="1799"/>
      <c r="Z42" s="1799"/>
      <c r="AA42" s="1799"/>
      <c r="AB42" s="1799"/>
      <c r="AC42" s="1799"/>
      <c r="AD42" s="1799"/>
      <c r="AE42" s="1799"/>
      <c r="AF42" s="1799"/>
      <c r="AG42" s="1799"/>
      <c r="AH42" s="1799"/>
      <c r="AI42" s="1799"/>
      <c r="AJ42" s="1800"/>
    </row>
    <row r="43" spans="3:38" s="611" customFormat="1" ht="16.5" customHeight="1" x14ac:dyDescent="0.4">
      <c r="C43" s="1798"/>
      <c r="D43" s="1799"/>
      <c r="E43" s="1799"/>
      <c r="F43" s="1799"/>
      <c r="G43" s="1799"/>
      <c r="H43" s="1799"/>
      <c r="I43" s="1799"/>
      <c r="J43" s="1799"/>
      <c r="K43" s="1799"/>
      <c r="L43" s="1799"/>
      <c r="M43" s="1799"/>
      <c r="N43" s="1799"/>
      <c r="O43" s="1799"/>
      <c r="P43" s="1799"/>
      <c r="Q43" s="1799"/>
      <c r="R43" s="1799"/>
      <c r="S43" s="1799"/>
      <c r="T43" s="1799"/>
      <c r="U43" s="1799"/>
      <c r="V43" s="1799"/>
      <c r="W43" s="1799"/>
      <c r="X43" s="1799"/>
      <c r="Y43" s="1799"/>
      <c r="Z43" s="1799"/>
      <c r="AA43" s="1799"/>
      <c r="AB43" s="1799"/>
      <c r="AC43" s="1799"/>
      <c r="AD43" s="1799"/>
      <c r="AE43" s="1799"/>
      <c r="AF43" s="1799"/>
      <c r="AG43" s="1799"/>
      <c r="AH43" s="1799"/>
      <c r="AI43" s="1799"/>
      <c r="AJ43" s="1800"/>
    </row>
    <row r="44" spans="3:38" s="611" customFormat="1" ht="16.5" customHeight="1" x14ac:dyDescent="0.4">
      <c r="C44" s="1798"/>
      <c r="D44" s="1799"/>
      <c r="E44" s="1799"/>
      <c r="F44" s="1799"/>
      <c r="G44" s="1799"/>
      <c r="H44" s="1799"/>
      <c r="I44" s="1799"/>
      <c r="J44" s="1799"/>
      <c r="K44" s="1799"/>
      <c r="L44" s="1799"/>
      <c r="M44" s="1799"/>
      <c r="N44" s="1799"/>
      <c r="O44" s="1799"/>
      <c r="P44" s="1799"/>
      <c r="Q44" s="1799"/>
      <c r="R44" s="1799"/>
      <c r="S44" s="1799"/>
      <c r="T44" s="1799"/>
      <c r="U44" s="1799"/>
      <c r="V44" s="1799"/>
      <c r="W44" s="1799"/>
      <c r="X44" s="1799"/>
      <c r="Y44" s="1799"/>
      <c r="Z44" s="1799"/>
      <c r="AA44" s="1799"/>
      <c r="AB44" s="1799"/>
      <c r="AC44" s="1799"/>
      <c r="AD44" s="1799"/>
      <c r="AE44" s="1799"/>
      <c r="AF44" s="1799"/>
      <c r="AG44" s="1799"/>
      <c r="AH44" s="1799"/>
      <c r="AI44" s="1799"/>
      <c r="AJ44" s="1800"/>
    </row>
    <row r="45" spans="3:38" s="611" customFormat="1" ht="16.5" customHeight="1" x14ac:dyDescent="0.4">
      <c r="C45" s="1798"/>
      <c r="D45" s="1799"/>
      <c r="E45" s="1799"/>
      <c r="F45" s="1799"/>
      <c r="G45" s="1799"/>
      <c r="H45" s="1799"/>
      <c r="I45" s="1799"/>
      <c r="J45" s="1799"/>
      <c r="K45" s="1799"/>
      <c r="L45" s="1799"/>
      <c r="M45" s="1799"/>
      <c r="N45" s="1799"/>
      <c r="O45" s="1799"/>
      <c r="P45" s="1799"/>
      <c r="Q45" s="1799"/>
      <c r="R45" s="1799"/>
      <c r="S45" s="1799"/>
      <c r="T45" s="1799"/>
      <c r="U45" s="1799"/>
      <c r="V45" s="1799"/>
      <c r="W45" s="1799"/>
      <c r="X45" s="1799"/>
      <c r="Y45" s="1799"/>
      <c r="Z45" s="1799"/>
      <c r="AA45" s="1799"/>
      <c r="AB45" s="1799"/>
      <c r="AC45" s="1799"/>
      <c r="AD45" s="1799"/>
      <c r="AE45" s="1799"/>
      <c r="AF45" s="1799"/>
      <c r="AG45" s="1799"/>
      <c r="AH45" s="1799"/>
      <c r="AI45" s="1799"/>
      <c r="AJ45" s="1800"/>
    </row>
    <row r="46" spans="3:38" ht="16.5" customHeight="1" x14ac:dyDescent="0.4">
      <c r="C46" s="1798"/>
      <c r="D46" s="1799"/>
      <c r="E46" s="1799"/>
      <c r="F46" s="1799"/>
      <c r="G46" s="1799"/>
      <c r="H46" s="1799"/>
      <c r="I46" s="1799"/>
      <c r="J46" s="1799"/>
      <c r="K46" s="1799"/>
      <c r="L46" s="1799"/>
      <c r="M46" s="1799"/>
      <c r="N46" s="1799"/>
      <c r="O46" s="1799"/>
      <c r="P46" s="1799"/>
      <c r="Q46" s="1799"/>
      <c r="R46" s="1799"/>
      <c r="S46" s="1799"/>
      <c r="T46" s="1799"/>
      <c r="U46" s="1799"/>
      <c r="V46" s="1799"/>
      <c r="W46" s="1799"/>
      <c r="X46" s="1799"/>
      <c r="Y46" s="1799"/>
      <c r="Z46" s="1799"/>
      <c r="AA46" s="1799"/>
      <c r="AB46" s="1799"/>
      <c r="AC46" s="1799"/>
      <c r="AD46" s="1799"/>
      <c r="AE46" s="1799"/>
      <c r="AF46" s="1799"/>
      <c r="AG46" s="1799"/>
      <c r="AH46" s="1799"/>
      <c r="AI46" s="1799"/>
      <c r="AJ46" s="1800"/>
    </row>
    <row r="47" spans="3:38" ht="16.5" customHeight="1" x14ac:dyDescent="0.4">
      <c r="C47" s="1798"/>
      <c r="D47" s="1799"/>
      <c r="E47" s="1799"/>
      <c r="F47" s="1799"/>
      <c r="G47" s="1799"/>
      <c r="H47" s="1799"/>
      <c r="I47" s="1799"/>
      <c r="J47" s="1799"/>
      <c r="K47" s="1799"/>
      <c r="L47" s="1799"/>
      <c r="M47" s="1799"/>
      <c r="N47" s="1799"/>
      <c r="O47" s="1799"/>
      <c r="P47" s="1799"/>
      <c r="Q47" s="1799"/>
      <c r="R47" s="1799"/>
      <c r="S47" s="1799"/>
      <c r="T47" s="1799"/>
      <c r="U47" s="1799"/>
      <c r="V47" s="1799"/>
      <c r="W47" s="1799"/>
      <c r="X47" s="1799"/>
      <c r="Y47" s="1799"/>
      <c r="Z47" s="1799"/>
      <c r="AA47" s="1799"/>
      <c r="AB47" s="1799"/>
      <c r="AC47" s="1799"/>
      <c r="AD47" s="1799"/>
      <c r="AE47" s="1799"/>
      <c r="AF47" s="1799"/>
      <c r="AG47" s="1799"/>
      <c r="AH47" s="1799"/>
      <c r="AI47" s="1799"/>
      <c r="AJ47" s="1800"/>
    </row>
    <row r="48" spans="3:38" ht="16.5" customHeight="1" x14ac:dyDescent="0.4">
      <c r="C48" s="1798"/>
      <c r="D48" s="1799"/>
      <c r="E48" s="1799"/>
      <c r="F48" s="1799"/>
      <c r="G48" s="1799"/>
      <c r="H48" s="1799"/>
      <c r="I48" s="1799"/>
      <c r="J48" s="1799"/>
      <c r="K48" s="1799"/>
      <c r="L48" s="1799"/>
      <c r="M48" s="1799"/>
      <c r="N48" s="1799"/>
      <c r="O48" s="1799"/>
      <c r="P48" s="1799"/>
      <c r="Q48" s="1799"/>
      <c r="R48" s="1799"/>
      <c r="S48" s="1799"/>
      <c r="T48" s="1799"/>
      <c r="U48" s="1799"/>
      <c r="V48" s="1799"/>
      <c r="W48" s="1799"/>
      <c r="X48" s="1799"/>
      <c r="Y48" s="1799"/>
      <c r="Z48" s="1799"/>
      <c r="AA48" s="1799"/>
      <c r="AB48" s="1799"/>
      <c r="AC48" s="1799"/>
      <c r="AD48" s="1799"/>
      <c r="AE48" s="1799"/>
      <c r="AF48" s="1799"/>
      <c r="AG48" s="1799"/>
      <c r="AH48" s="1799"/>
      <c r="AI48" s="1799"/>
      <c r="AJ48" s="1800"/>
    </row>
    <row r="49" spans="2:38" ht="16.5" customHeight="1" x14ac:dyDescent="0.4">
      <c r="C49" s="1798"/>
      <c r="D49" s="1799"/>
      <c r="E49" s="1799"/>
      <c r="F49" s="1799"/>
      <c r="G49" s="1799"/>
      <c r="H49" s="1799"/>
      <c r="I49" s="1799"/>
      <c r="J49" s="1799"/>
      <c r="K49" s="1799"/>
      <c r="L49" s="1799"/>
      <c r="M49" s="1799"/>
      <c r="N49" s="1799"/>
      <c r="O49" s="1799"/>
      <c r="P49" s="1799"/>
      <c r="Q49" s="1799"/>
      <c r="R49" s="1799"/>
      <c r="S49" s="1799"/>
      <c r="T49" s="1799"/>
      <c r="U49" s="1799"/>
      <c r="V49" s="1799"/>
      <c r="W49" s="1799"/>
      <c r="X49" s="1799"/>
      <c r="Y49" s="1799"/>
      <c r="Z49" s="1799"/>
      <c r="AA49" s="1799"/>
      <c r="AB49" s="1799"/>
      <c r="AC49" s="1799"/>
      <c r="AD49" s="1799"/>
      <c r="AE49" s="1799"/>
      <c r="AF49" s="1799"/>
      <c r="AG49" s="1799"/>
      <c r="AH49" s="1799"/>
      <c r="AI49" s="1799"/>
      <c r="AJ49" s="1800"/>
    </row>
    <row r="50" spans="2:38" ht="16.5" customHeight="1" x14ac:dyDescent="0.4">
      <c r="C50" s="1801"/>
      <c r="D50" s="1802"/>
      <c r="E50" s="1802"/>
      <c r="F50" s="1802"/>
      <c r="G50" s="1802"/>
      <c r="H50" s="1802"/>
      <c r="I50" s="1802"/>
      <c r="J50" s="1802"/>
      <c r="K50" s="1802"/>
      <c r="L50" s="1802"/>
      <c r="M50" s="1802"/>
      <c r="N50" s="1802"/>
      <c r="O50" s="1802"/>
      <c r="P50" s="1802"/>
      <c r="Q50" s="1802"/>
      <c r="R50" s="1802"/>
      <c r="S50" s="1802"/>
      <c r="T50" s="1802"/>
      <c r="U50" s="1802"/>
      <c r="V50" s="1802"/>
      <c r="W50" s="1802"/>
      <c r="X50" s="1802"/>
      <c r="Y50" s="1802"/>
      <c r="Z50" s="1802"/>
      <c r="AA50" s="1802"/>
      <c r="AB50" s="1802"/>
      <c r="AC50" s="1802"/>
      <c r="AD50" s="1802"/>
      <c r="AE50" s="1802"/>
      <c r="AF50" s="1802"/>
      <c r="AG50" s="1802"/>
      <c r="AH50" s="1802"/>
      <c r="AI50" s="1802"/>
      <c r="AJ50" s="1803"/>
    </row>
    <row r="51" spans="2:38" s="611" customFormat="1" x14ac:dyDescent="0.4"/>
    <row r="52" spans="2:38" s="611" customFormat="1" ht="20.100000000000001" customHeight="1" x14ac:dyDescent="0.4">
      <c r="B52" s="1779" t="str">
        <f>"（２）上記の箇所 を消毒する際の１回あたり所要時間　【判定】"&amp;AN27&amp;"："&amp;AO27</f>
        <v>（２）上記の箇所 を消毒する際の１回あたり所要時間　【判定】○：人件費の申請をしない場合は入力不要です。</v>
      </c>
      <c r="C52" s="1794"/>
      <c r="D52" s="1794"/>
      <c r="E52" s="1794"/>
      <c r="F52" s="1794"/>
      <c r="G52" s="1794"/>
      <c r="H52" s="1794"/>
      <c r="I52" s="1794"/>
      <c r="J52" s="1794"/>
      <c r="K52" s="1794"/>
      <c r="L52" s="1794"/>
      <c r="M52" s="1794"/>
      <c r="N52" s="1794"/>
      <c r="O52" s="1794"/>
      <c r="P52" s="1794"/>
      <c r="Q52" s="1794"/>
      <c r="R52" s="1794"/>
      <c r="S52" s="1794"/>
      <c r="T52" s="1794"/>
      <c r="U52" s="1794"/>
      <c r="V52" s="1794"/>
      <c r="W52" s="1794"/>
      <c r="X52" s="1794"/>
      <c r="Y52" s="1794"/>
      <c r="Z52" s="1794"/>
      <c r="AA52" s="1794"/>
      <c r="AB52" s="1794"/>
      <c r="AC52" s="1794"/>
      <c r="AD52" s="1794"/>
      <c r="AE52" s="1794"/>
      <c r="AF52" s="1794"/>
      <c r="AG52" s="1794"/>
      <c r="AH52" s="1794"/>
      <c r="AI52" s="1794"/>
      <c r="AJ52" s="1794"/>
      <c r="AK52" s="1794"/>
      <c r="AL52" s="557"/>
    </row>
    <row r="53" spans="2:38" s="611" customFormat="1" ht="18.75" x14ac:dyDescent="0.4">
      <c r="C53" s="1759" t="s">
        <v>1347</v>
      </c>
      <c r="D53" s="1720"/>
      <c r="E53" s="1720"/>
      <c r="F53" s="1720"/>
      <c r="G53" s="1720"/>
      <c r="H53" s="1720"/>
      <c r="I53" s="1720"/>
      <c r="J53" s="1720"/>
      <c r="K53" s="1720"/>
      <c r="L53" s="1720"/>
      <c r="M53" s="1720"/>
      <c r="N53" s="1720"/>
      <c r="O53" s="1720"/>
      <c r="P53" s="1720"/>
      <c r="Q53" s="1720"/>
      <c r="R53" s="1720"/>
      <c r="S53" s="1720"/>
      <c r="T53" s="1720"/>
      <c r="U53" s="1720"/>
      <c r="V53" s="1720"/>
      <c r="W53" s="1720"/>
      <c r="X53" s="1720"/>
      <c r="Y53" s="1720"/>
      <c r="Z53" s="1720"/>
      <c r="AA53" s="1720"/>
      <c r="AB53" s="1720"/>
      <c r="AC53" s="1720"/>
      <c r="AD53" s="1720"/>
      <c r="AE53" s="1720"/>
      <c r="AF53" s="1720"/>
      <c r="AG53" s="1720"/>
      <c r="AH53" s="1720"/>
      <c r="AI53" s="1720"/>
      <c r="AJ53" s="1720"/>
      <c r="AK53" s="1720"/>
    </row>
    <row r="54" spans="2:38" s="611" customFormat="1" x14ac:dyDescent="0.4">
      <c r="C54" s="1759" t="s">
        <v>1348</v>
      </c>
      <c r="D54" s="1759"/>
      <c r="E54" s="1759"/>
      <c r="F54" s="1759"/>
      <c r="G54" s="1759"/>
      <c r="H54" s="1759"/>
      <c r="I54" s="1759"/>
      <c r="J54" s="1759"/>
      <c r="K54" s="1759"/>
      <c r="L54" s="1759"/>
      <c r="M54" s="1759"/>
      <c r="N54" s="1759"/>
      <c r="O54" s="1759"/>
      <c r="P54" s="1759"/>
      <c r="Q54" s="1759"/>
      <c r="R54" s="1759"/>
      <c r="S54" s="1759"/>
      <c r="T54" s="1759"/>
      <c r="U54" s="1759"/>
      <c r="V54" s="1759"/>
      <c r="W54" s="1759"/>
      <c r="X54" s="1759"/>
      <c r="Y54" s="1759"/>
      <c r="Z54" s="1759"/>
      <c r="AA54" s="1759"/>
      <c r="AB54" s="1759"/>
      <c r="AC54" s="1759"/>
      <c r="AD54" s="1759"/>
      <c r="AE54" s="1759"/>
      <c r="AF54" s="1759"/>
      <c r="AG54" s="1759"/>
      <c r="AH54" s="1759"/>
      <c r="AI54" s="1759"/>
      <c r="AJ54" s="1759"/>
      <c r="AK54" s="1759"/>
    </row>
    <row r="55" spans="2:38" ht="16.5" customHeight="1" x14ac:dyDescent="0.4">
      <c r="C55" s="1818">
        <v>2</v>
      </c>
      <c r="D55" s="1819"/>
      <c r="E55" s="1819"/>
      <c r="F55" s="1819"/>
      <c r="G55" s="1738" t="s">
        <v>1247</v>
      </c>
      <c r="H55" s="1720"/>
      <c r="I55" s="1720"/>
      <c r="J55" s="1720"/>
      <c r="K55" s="1720"/>
      <c r="L55" s="1720"/>
      <c r="M55" s="1720"/>
      <c r="N55" s="614"/>
      <c r="O55" s="614"/>
      <c r="P55" s="614"/>
      <c r="R55" s="558"/>
      <c r="AA55" s="623"/>
      <c r="AB55" s="624"/>
      <c r="AC55" s="624"/>
      <c r="AD55" s="624"/>
      <c r="AE55" s="624"/>
      <c r="AF55" s="624"/>
      <c r="AG55" s="624"/>
      <c r="AH55" s="624"/>
      <c r="AI55" s="624"/>
      <c r="AJ55" s="624"/>
    </row>
    <row r="56" spans="2:38" ht="16.5" customHeight="1" x14ac:dyDescent="0.4">
      <c r="C56" s="1819"/>
      <c r="D56" s="1819"/>
      <c r="E56" s="1819"/>
      <c r="F56" s="1819"/>
      <c r="G56" s="1815"/>
      <c r="H56" s="1720"/>
      <c r="I56" s="1720"/>
      <c r="J56" s="1720"/>
      <c r="K56" s="1720"/>
      <c r="L56" s="1720"/>
      <c r="M56" s="1720"/>
      <c r="N56" s="614"/>
      <c r="O56" s="614"/>
      <c r="P56" s="614"/>
      <c r="Q56" s="614"/>
    </row>
    <row r="57" spans="2:38" ht="16.5" customHeight="1" x14ac:dyDescent="0.4"/>
    <row r="58" spans="2:38" s="611" customFormat="1" ht="20.100000000000001" customHeight="1" x14ac:dyDescent="0.4">
      <c r="B58" s="1779" t="str">
        <f>"（３）一連の作業で使用する消耗品の量　【判定】"&amp;AN28&amp;"："&amp;AO28</f>
        <v>（３）一連の作業で使用する消耗品の量　【判定】◎：適切に入力がされました。</v>
      </c>
      <c r="C58" s="1794"/>
      <c r="D58" s="1794"/>
      <c r="E58" s="1794"/>
      <c r="F58" s="1794"/>
      <c r="G58" s="1794"/>
      <c r="H58" s="1794"/>
      <c r="I58" s="1794"/>
      <c r="J58" s="1794"/>
      <c r="K58" s="1794"/>
      <c r="L58" s="1794"/>
      <c r="M58" s="1794"/>
      <c r="N58" s="1794"/>
      <c r="O58" s="1794"/>
      <c r="P58" s="1794"/>
      <c r="Q58" s="1794"/>
      <c r="R58" s="1794"/>
      <c r="S58" s="1794"/>
      <c r="T58" s="1794"/>
      <c r="U58" s="1794"/>
      <c r="V58" s="1794"/>
      <c r="W58" s="1794"/>
      <c r="X58" s="1794"/>
      <c r="Y58" s="1794"/>
      <c r="Z58" s="1794"/>
      <c r="AA58" s="1794"/>
      <c r="AB58" s="1794"/>
      <c r="AC58" s="1794"/>
      <c r="AD58" s="1794"/>
      <c r="AE58" s="1794"/>
      <c r="AF58" s="1794"/>
      <c r="AG58" s="1794"/>
      <c r="AH58" s="1794"/>
      <c r="AI58" s="1794"/>
      <c r="AJ58" s="1794"/>
      <c r="AK58" s="1794"/>
      <c r="AL58" s="557"/>
    </row>
    <row r="59" spans="2:38" s="611" customFormat="1" ht="16.5" customHeight="1" x14ac:dyDescent="0.4">
      <c r="C59" s="1759" t="s">
        <v>1350</v>
      </c>
      <c r="D59" s="1720"/>
      <c r="E59" s="1720"/>
      <c r="F59" s="1720"/>
      <c r="G59" s="1720"/>
      <c r="H59" s="1720"/>
      <c r="I59" s="1720"/>
      <c r="J59" s="1720"/>
      <c r="K59" s="1720"/>
      <c r="L59" s="1720"/>
      <c r="M59" s="1720"/>
      <c r="N59" s="1720"/>
      <c r="O59" s="1720"/>
      <c r="P59" s="1720"/>
      <c r="Q59" s="1720"/>
      <c r="R59" s="1720"/>
      <c r="S59" s="1720"/>
      <c r="T59" s="1720"/>
      <c r="U59" s="1720"/>
      <c r="V59" s="1720"/>
      <c r="W59" s="1720"/>
      <c r="X59" s="1720"/>
      <c r="Y59" s="1720"/>
      <c r="Z59" s="1720"/>
      <c r="AA59" s="1720"/>
      <c r="AB59" s="1720"/>
      <c r="AC59" s="1720"/>
      <c r="AD59" s="1720"/>
      <c r="AE59" s="1720"/>
      <c r="AF59" s="1720"/>
      <c r="AG59" s="1720"/>
      <c r="AH59" s="1720"/>
      <c r="AI59" s="1720"/>
      <c r="AJ59" s="1720"/>
      <c r="AK59" s="1720"/>
    </row>
    <row r="60" spans="2:38" s="611" customFormat="1" ht="16.5" customHeight="1" x14ac:dyDescent="0.4">
      <c r="C60" s="1759" t="s">
        <v>1356</v>
      </c>
      <c r="D60" s="1720"/>
      <c r="E60" s="1720"/>
      <c r="F60" s="1720"/>
      <c r="G60" s="1720"/>
      <c r="H60" s="1720"/>
      <c r="I60" s="1720"/>
      <c r="J60" s="1720"/>
      <c r="K60" s="1720"/>
      <c r="L60" s="1720"/>
      <c r="M60" s="1720"/>
      <c r="N60" s="1720"/>
      <c r="O60" s="1720"/>
      <c r="P60" s="1720"/>
      <c r="Q60" s="1720"/>
      <c r="R60" s="1720"/>
      <c r="S60" s="1720"/>
      <c r="T60" s="1720"/>
      <c r="U60" s="1720"/>
      <c r="V60" s="1720"/>
      <c r="W60" s="1720"/>
      <c r="X60" s="1720"/>
      <c r="Y60" s="1720"/>
      <c r="Z60" s="1720"/>
      <c r="AA60" s="1720"/>
      <c r="AB60" s="1720"/>
      <c r="AC60" s="1720"/>
      <c r="AD60" s="1720"/>
      <c r="AE60" s="1720"/>
      <c r="AF60" s="1720"/>
      <c r="AG60" s="1720"/>
      <c r="AH60" s="1720"/>
      <c r="AI60" s="1720"/>
      <c r="AJ60" s="1720"/>
      <c r="AK60" s="1720"/>
    </row>
    <row r="61" spans="2:38" s="611" customFormat="1" ht="16.5" customHeight="1" x14ac:dyDescent="0.4">
      <c r="C61" s="1759" t="s">
        <v>1342</v>
      </c>
      <c r="D61" s="1720"/>
      <c r="E61" s="1720"/>
      <c r="F61" s="1720"/>
      <c r="G61" s="1720"/>
      <c r="H61" s="1720"/>
      <c r="I61" s="1720"/>
      <c r="J61" s="1720"/>
      <c r="K61" s="1720"/>
      <c r="L61" s="1720"/>
      <c r="M61" s="1720"/>
      <c r="N61" s="1720"/>
      <c r="O61" s="1720"/>
      <c r="P61" s="1720"/>
      <c r="Q61" s="1720"/>
      <c r="R61" s="1720"/>
      <c r="S61" s="1720"/>
      <c r="T61" s="1720"/>
      <c r="U61" s="1720"/>
      <c r="V61" s="1720"/>
      <c r="W61" s="1720"/>
      <c r="X61" s="1720"/>
      <c r="Y61" s="1720"/>
      <c r="Z61" s="1720"/>
      <c r="AA61" s="1720"/>
      <c r="AB61" s="1720"/>
      <c r="AC61" s="1720"/>
      <c r="AD61" s="1720"/>
      <c r="AE61" s="1720"/>
      <c r="AF61" s="1720"/>
      <c r="AG61" s="1720"/>
      <c r="AH61" s="1720"/>
      <c r="AI61" s="1720"/>
      <c r="AJ61" s="1720"/>
      <c r="AK61" s="1720"/>
    </row>
    <row r="62" spans="2:38" s="611" customFormat="1" ht="5.0999999999999996" customHeight="1" x14ac:dyDescent="0.4"/>
    <row r="63" spans="2:38" s="611" customFormat="1" ht="16.5" customHeight="1" x14ac:dyDescent="0.4">
      <c r="C63" s="1773" t="s">
        <v>1267</v>
      </c>
      <c r="D63" s="1709"/>
      <c r="E63" s="1709"/>
      <c r="F63" s="1709"/>
      <c r="G63" s="1709"/>
      <c r="H63" s="1767">
        <v>3</v>
      </c>
      <c r="I63" s="1768"/>
      <c r="J63" s="1768"/>
      <c r="K63" s="613" t="s">
        <v>1346</v>
      </c>
      <c r="L63" s="613" t="str">
        <f xml:space="preserve">
IF(COUNTIF(消毒!$D$14:$D$113,"消耗品（ペーパータオル）")=0,"○",
IF(AND(COUNTIF(消毒!$D$14:$D$113,"消耗品（ペーパータオル）")&gt;=1,OR(消毒積算!H63="",消毒積算!H63=0)),
"×",
IF(AND(COUNTIF(消毒!$D$14:$D$113,"消耗品（ペーパータオル）")&gt;=1,消毒積算!H63&gt;=1),
"◎")))</f>
        <v>◎</v>
      </c>
      <c r="M63" s="1759" t="str">
        <f xml:space="preserve">
IF(COUNTIF(消毒!$D$14:$D$113,"消耗品（ペーパータオル）")=0,
"：ペーパータオルの購入費を申請しない場合は入力不要です。",
IF(AND(COUNTIF(消毒!$D$14:$D$113,"消耗品（ペーパータオル）")&gt;=1,OR(消毒積算!H63="",消毒積算!H63=0)),
"：【要修正】ペーパータオルの購入費が計上されているため、１外来対応後の消毒における使用量を入力してください。",
IF(AND(COUNTIF(消毒!$D$14:$D$113,"消耗品（ペーパータオル）")&gt;=1,消毒積算!H63&gt;=1),
"：適切に入力がされました。（過剰な使用量と見受けられる場合は県から確認させていただく場合があります。）")))</f>
        <v>：適切に入力がされました。（過剰な使用量と見受けられる場合は県から確認させていただく場合があります。）</v>
      </c>
      <c r="N63" s="1816"/>
      <c r="O63" s="1816"/>
      <c r="P63" s="1816"/>
      <c r="Q63" s="1816"/>
      <c r="R63" s="1816"/>
      <c r="S63" s="1816"/>
      <c r="T63" s="1816"/>
      <c r="U63" s="1816"/>
      <c r="V63" s="1816"/>
      <c r="W63" s="1816"/>
      <c r="X63" s="1816"/>
      <c r="Y63" s="1816"/>
      <c r="Z63" s="1816"/>
      <c r="AA63" s="1816"/>
      <c r="AB63" s="1816"/>
      <c r="AC63" s="1816"/>
      <c r="AD63" s="1816"/>
      <c r="AE63" s="1816"/>
      <c r="AF63" s="1816"/>
      <c r="AG63" s="1816"/>
      <c r="AH63" s="1816"/>
      <c r="AI63" s="1816"/>
      <c r="AJ63" s="1816"/>
      <c r="AK63" s="1816"/>
    </row>
    <row r="64" spans="2:38" s="611" customFormat="1" ht="16.5" customHeight="1" x14ac:dyDescent="0.4">
      <c r="C64" s="1773" t="s">
        <v>1268</v>
      </c>
      <c r="D64" s="1709"/>
      <c r="E64" s="1709"/>
      <c r="F64" s="1709"/>
      <c r="G64" s="1709"/>
      <c r="H64" s="1767">
        <v>5</v>
      </c>
      <c r="I64" s="1768"/>
      <c r="J64" s="1768"/>
      <c r="K64" s="613" t="s">
        <v>1346</v>
      </c>
      <c r="L64" s="626" t="str">
        <f xml:space="preserve">
IF(COUNTIF(消毒!$D$14:$D$113,"消耗品（ウェットティッシュ）")=0,"○",
IF(AND(COUNTIF(消毒!$D$14:$D$113,"消耗品（ウェットティッシュ）")&gt;=1,OR(消毒積算!H64="",消毒積算!H64=0)),
"×",
IF(AND(COUNTIF(消毒!$D$14:$D$113,"消耗品（ウェットティッシュ）")&gt;=1,消毒積算!H64&gt;=1),
"◎")))</f>
        <v>◎</v>
      </c>
      <c r="M64" s="1817" t="str">
        <f xml:space="preserve">
IF(COUNTIF(消毒!$D$14:$D$113,"消耗品（ウェットティッシュ）")=0,
"：ウェットティッシュの購入費を申請しない場合は入力不要です。",
IF(AND(COUNTIF(消毒!$D$14:$D$113,"消耗品（ウェットティッシュ）")&gt;=1,OR(消毒積算!H64="",消毒積算!H64=0)),
"：【要修正】ウェットティッシュの購入費が計上されているため、１外来対応後の消毒における使用量を入力してください。",
IF(AND(COUNTIF(消毒!$D$14:$D$113,"消耗品（ウェットティッシュ）")&gt;=1,消毒積算!H64&gt;=1),
"：適切に入力がされました。（過剰な使用量と見受けられる場合は県から確認させていただく場合があります。）")))</f>
        <v>：適切に入力がされました。（過剰な使用量と見受けられる場合は県から確認させていただく場合があります。）</v>
      </c>
      <c r="N64" s="1817"/>
      <c r="O64" s="1817"/>
      <c r="P64" s="1817"/>
      <c r="Q64" s="1817"/>
      <c r="R64" s="1817"/>
      <c r="S64" s="1817"/>
      <c r="T64" s="1817"/>
      <c r="U64" s="1817"/>
      <c r="V64" s="1817"/>
      <c r="W64" s="1817"/>
      <c r="X64" s="1817"/>
      <c r="Y64" s="1817"/>
      <c r="Z64" s="1817"/>
      <c r="AA64" s="1817"/>
      <c r="AB64" s="1817"/>
      <c r="AC64" s="1817"/>
      <c r="AD64" s="1817"/>
      <c r="AE64" s="1817"/>
      <c r="AF64" s="1817"/>
      <c r="AG64" s="1817"/>
      <c r="AH64" s="1817"/>
      <c r="AI64" s="1817"/>
      <c r="AJ64" s="1817"/>
      <c r="AK64" s="1817"/>
    </row>
    <row r="65" spans="2:46" s="611" customFormat="1" ht="16.5" customHeight="1" x14ac:dyDescent="0.4">
      <c r="C65" s="1773" t="s">
        <v>1270</v>
      </c>
      <c r="D65" s="1709"/>
      <c r="E65" s="1709"/>
      <c r="F65" s="1709"/>
      <c r="G65" s="1709"/>
      <c r="H65" s="1769">
        <v>10</v>
      </c>
      <c r="I65" s="1770"/>
      <c r="J65" s="1770"/>
      <c r="K65" s="613" t="s">
        <v>1346</v>
      </c>
      <c r="L65" s="626" t="str">
        <f xml:space="preserve">
IF(COUNTIF(消毒!$D$14:$D$113,"消耗品（ウェットティッシュ）")=0,"○",
IF(AND(COUNTIF(消毒!$D$14:$D$113,"消耗品（ウェットティッシュ）")&gt;=1,OR(消毒積算!H65="",消毒積算!H65=0)),
"×",
IF(AND(COUNTIF(消毒!$D$14:$D$113,"消耗品（ウェットティッシュ）")&gt;=1,消毒積算!H65&gt;=1),
"◎")))</f>
        <v>◎</v>
      </c>
      <c r="M65" s="1817" t="str">
        <f xml:space="preserve">
IF(COUNTIF(消毒!$D$14:$D$113,"消耗品（ウェットティッシュ）")=0,
"：ウェットティッシュの購入費を申請しない場合は入力不要です。",
IF(AND(COUNTIF(消毒!$D$14:$D$113,"消耗品（ウェットティッシュ）")&gt;=1,OR(消毒積算!H65="",消毒積算!H65=0)),
"：【要修正】ウェットティッシュの購入費が計上されているため、１外来対応後の消毒における使用量を入力してください。",
IF(AND(COUNTIF(消毒!$D$14:$D$113,"消耗品（ウェットティッシュ）")&gt;=1,消毒積算!H65&gt;=1),
"：適切に入力がされました。（過剰な使用量と見受けられる場合は県から確認させていただく場合があります。）")))</f>
        <v>：適切に入力がされました。（過剰な使用量と見受けられる場合は県から確認させていただく場合があります。）</v>
      </c>
      <c r="N65" s="1817"/>
      <c r="O65" s="1817"/>
      <c r="P65" s="1817"/>
      <c r="Q65" s="1817"/>
      <c r="R65" s="1817"/>
      <c r="S65" s="1817"/>
      <c r="T65" s="1817"/>
      <c r="U65" s="1817"/>
      <c r="V65" s="1817"/>
      <c r="W65" s="1817"/>
      <c r="X65" s="1817"/>
      <c r="Y65" s="1817"/>
      <c r="Z65" s="1817"/>
      <c r="AA65" s="1817"/>
      <c r="AB65" s="1817"/>
      <c r="AC65" s="1817"/>
      <c r="AD65" s="1817"/>
      <c r="AE65" s="1817"/>
      <c r="AF65" s="1817"/>
      <c r="AG65" s="1817"/>
      <c r="AH65" s="1817"/>
      <c r="AI65" s="1817"/>
      <c r="AJ65" s="1817"/>
      <c r="AK65" s="1817"/>
    </row>
    <row r="66" spans="2:46" s="611" customFormat="1" ht="5.0999999999999996" customHeight="1" x14ac:dyDescent="0.4"/>
    <row r="67" spans="2:46" s="611" customFormat="1" ht="16.5" customHeight="1" x14ac:dyDescent="0.4">
      <c r="G67" s="550" t="s">
        <v>1269</v>
      </c>
      <c r="H67" s="1739">
        <f>H65*3</f>
        <v>30</v>
      </c>
      <c r="I67" s="1740"/>
      <c r="J67" s="1741"/>
      <c r="K67" s="1738" t="s">
        <v>1271</v>
      </c>
      <c r="L67" s="1720"/>
      <c r="M67" s="1720"/>
      <c r="N67" s="1720"/>
      <c r="O67" s="1720"/>
      <c r="P67" s="1720"/>
      <c r="Q67" s="1720"/>
    </row>
    <row r="68" spans="2:46" ht="16.5" customHeight="1" x14ac:dyDescent="0.4"/>
    <row r="69" spans="2:46" ht="24.95" customHeight="1" x14ac:dyDescent="0.4">
      <c r="B69" s="1779" t="str">
        <f>"３．人件費実費相当額　【判定】"&amp;AN80&amp;"："&amp;AO80</f>
        <v>３．人件費実費相当額　【判定】◎：適切に入力がされました。</v>
      </c>
      <c r="C69" s="1780"/>
      <c r="D69" s="1780"/>
      <c r="E69" s="1780"/>
      <c r="F69" s="1780"/>
      <c r="G69" s="1780"/>
      <c r="H69" s="1780"/>
      <c r="I69" s="1780"/>
      <c r="J69" s="1780"/>
      <c r="K69" s="1780"/>
      <c r="L69" s="1780"/>
      <c r="M69" s="1780"/>
      <c r="N69" s="1780"/>
      <c r="O69" s="1780"/>
      <c r="P69" s="1780"/>
      <c r="Q69" s="1780"/>
      <c r="R69" s="1780"/>
      <c r="S69" s="1780"/>
      <c r="T69" s="1780"/>
      <c r="U69" s="1780"/>
      <c r="V69" s="1780"/>
      <c r="W69" s="1780"/>
      <c r="X69" s="1780"/>
      <c r="Y69" s="1780"/>
      <c r="Z69" s="1780"/>
      <c r="AA69" s="1780"/>
      <c r="AB69" s="1780"/>
      <c r="AC69" s="1780"/>
      <c r="AD69" s="1780"/>
      <c r="AE69" s="1780"/>
      <c r="AF69" s="1780"/>
      <c r="AG69" s="1780"/>
      <c r="AH69" s="1780"/>
      <c r="AI69" s="1780"/>
      <c r="AJ69" s="1780"/>
      <c r="AK69" s="1780"/>
    </row>
    <row r="70" spans="2:46" s="594" customFormat="1" ht="8.1" customHeight="1" x14ac:dyDescent="0.4"/>
    <row r="71" spans="2:46" s="611" customFormat="1" ht="16.5" customHeight="1" x14ac:dyDescent="0.4">
      <c r="B71" s="1759" t="s">
        <v>1351</v>
      </c>
      <c r="C71" s="1720"/>
      <c r="D71" s="1720"/>
      <c r="E71" s="1720"/>
      <c r="F71" s="1720"/>
      <c r="G71" s="1720"/>
      <c r="H71" s="1720"/>
      <c r="I71" s="1720"/>
      <c r="J71" s="1720"/>
      <c r="K71" s="1720"/>
      <c r="L71" s="1720"/>
      <c r="M71" s="1720"/>
      <c r="N71" s="1720"/>
      <c r="O71" s="1720"/>
      <c r="P71" s="1720"/>
      <c r="Q71" s="1720"/>
      <c r="R71" s="1720"/>
      <c r="S71" s="1720"/>
      <c r="T71" s="1720"/>
      <c r="U71" s="1720"/>
      <c r="V71" s="1720"/>
      <c r="W71" s="1720"/>
      <c r="X71" s="1720"/>
      <c r="Y71" s="1720"/>
      <c r="Z71" s="1720"/>
      <c r="AA71" s="1720"/>
      <c r="AB71" s="1720"/>
      <c r="AC71" s="1720"/>
      <c r="AD71" s="1720"/>
      <c r="AE71" s="1720"/>
      <c r="AF71" s="1720"/>
      <c r="AG71" s="1720"/>
      <c r="AH71" s="1720"/>
      <c r="AI71" s="1720"/>
      <c r="AJ71" s="1720"/>
      <c r="AK71" s="1720"/>
    </row>
    <row r="72" spans="2:46" s="621" customFormat="1" ht="16.5" customHeight="1" x14ac:dyDescent="0.4">
      <c r="B72" s="1759" t="s">
        <v>1357</v>
      </c>
      <c r="C72" s="1720"/>
      <c r="D72" s="1720"/>
      <c r="E72" s="1720"/>
      <c r="F72" s="1720"/>
      <c r="G72" s="1720"/>
      <c r="H72" s="1720"/>
      <c r="I72" s="1720"/>
      <c r="J72" s="1720"/>
      <c r="K72" s="1720"/>
      <c r="L72" s="1720"/>
      <c r="M72" s="1720"/>
      <c r="N72" s="1720"/>
      <c r="O72" s="1720"/>
      <c r="P72" s="1720"/>
      <c r="Q72" s="1720"/>
      <c r="R72" s="1720"/>
      <c r="S72" s="1720"/>
      <c r="T72" s="1720"/>
      <c r="U72" s="1720"/>
      <c r="V72" s="1720"/>
      <c r="W72" s="1720"/>
      <c r="X72" s="1720"/>
      <c r="Y72" s="1720"/>
      <c r="Z72" s="1720"/>
      <c r="AA72" s="1720"/>
      <c r="AB72" s="1720"/>
      <c r="AC72" s="1720"/>
      <c r="AD72" s="1720"/>
      <c r="AE72" s="1720"/>
      <c r="AF72" s="1720"/>
      <c r="AG72" s="1720"/>
      <c r="AH72" s="1720"/>
      <c r="AI72" s="1720"/>
      <c r="AJ72" s="1720"/>
      <c r="AK72" s="1720"/>
    </row>
    <row r="73" spans="2:46" ht="16.5" customHeight="1" x14ac:dyDescent="0.4">
      <c r="C73" s="1742" t="s">
        <v>1228</v>
      </c>
      <c r="D73" s="1743"/>
      <c r="E73" s="1743"/>
      <c r="F73" s="1743"/>
      <c r="I73" s="1742" t="s">
        <v>1248</v>
      </c>
      <c r="J73" s="1743"/>
      <c r="K73" s="1743"/>
      <c r="L73" s="1743"/>
      <c r="O73" s="1742"/>
      <c r="P73" s="1743"/>
      <c r="Q73" s="1743"/>
      <c r="R73" s="1743"/>
      <c r="U73" s="1760" t="s">
        <v>1249</v>
      </c>
      <c r="V73" s="1658"/>
      <c r="W73" s="1658"/>
      <c r="X73" s="1658"/>
      <c r="Y73" s="551"/>
      <c r="AA73" s="1760" t="s">
        <v>1352</v>
      </c>
      <c r="AB73" s="1658"/>
      <c r="AC73" s="1658"/>
      <c r="AD73" s="1658"/>
      <c r="AE73" s="622"/>
      <c r="AG73" s="1760" t="s">
        <v>1354</v>
      </c>
      <c r="AH73" s="1658"/>
      <c r="AI73" s="1658"/>
      <c r="AJ73" s="1658"/>
    </row>
    <row r="74" spans="2:46" ht="16.5" customHeight="1" x14ac:dyDescent="0.4">
      <c r="C74" s="1744">
        <f>IF($AM$9="◎",$Y$14,0)</f>
        <v>1125</v>
      </c>
      <c r="D74" s="1745"/>
      <c r="E74" s="1745"/>
      <c r="F74" s="1746"/>
      <c r="G74" s="1742" t="s">
        <v>1250</v>
      </c>
      <c r="H74" s="1743"/>
      <c r="I74" s="1750">
        <f>C55</f>
        <v>2</v>
      </c>
      <c r="J74" s="1751"/>
      <c r="K74" s="1751"/>
      <c r="L74" s="1752"/>
      <c r="M74" s="1742" t="s">
        <v>1251</v>
      </c>
      <c r="N74" s="1743"/>
      <c r="O74" s="1750">
        <v>60</v>
      </c>
      <c r="P74" s="1751"/>
      <c r="Q74" s="1751"/>
      <c r="R74" s="1752"/>
      <c r="S74" s="1742" t="s">
        <v>1250</v>
      </c>
      <c r="T74" s="1743"/>
      <c r="U74" s="1756">
        <v>450</v>
      </c>
      <c r="V74" s="1757"/>
      <c r="W74" s="1757"/>
      <c r="X74" s="1758"/>
      <c r="Y74" s="1742" t="s">
        <v>1252</v>
      </c>
      <c r="Z74" s="1743"/>
      <c r="AA74" s="1744">
        <f>IF(AN78="◎",ROUNDDOWN(C74*I74/O74*U74,0),0)</f>
        <v>16875</v>
      </c>
      <c r="AB74" s="1757"/>
      <c r="AC74" s="1757"/>
      <c r="AD74" s="1758"/>
      <c r="AE74" s="1742" t="s">
        <v>1353</v>
      </c>
      <c r="AF74" s="1743"/>
      <c r="AG74" s="1761">
        <f>ROUNDUP(AA74/1.1,2)</f>
        <v>15340.91</v>
      </c>
      <c r="AH74" s="1762"/>
      <c r="AI74" s="1762"/>
      <c r="AJ74" s="1763"/>
    </row>
    <row r="75" spans="2:46" ht="16.5" customHeight="1" x14ac:dyDescent="0.4">
      <c r="C75" s="1747"/>
      <c r="D75" s="1748"/>
      <c r="E75" s="1748"/>
      <c r="F75" s="1749"/>
      <c r="G75" s="1743"/>
      <c r="H75" s="1743"/>
      <c r="I75" s="1753"/>
      <c r="J75" s="1754"/>
      <c r="K75" s="1754"/>
      <c r="L75" s="1755"/>
      <c r="M75" s="1743"/>
      <c r="N75" s="1743"/>
      <c r="O75" s="1753"/>
      <c r="P75" s="1754"/>
      <c r="Q75" s="1754"/>
      <c r="R75" s="1755"/>
      <c r="S75" s="1743"/>
      <c r="T75" s="1743"/>
      <c r="U75" s="1657"/>
      <c r="V75" s="1658"/>
      <c r="W75" s="1658"/>
      <c r="X75" s="1659"/>
      <c r="Y75" s="1743"/>
      <c r="Z75" s="1743"/>
      <c r="AA75" s="1657"/>
      <c r="AB75" s="1658"/>
      <c r="AC75" s="1658"/>
      <c r="AD75" s="1659"/>
      <c r="AE75" s="1743"/>
      <c r="AF75" s="1743"/>
      <c r="AG75" s="1764"/>
      <c r="AH75" s="1765"/>
      <c r="AI75" s="1765"/>
      <c r="AJ75" s="1766"/>
    </row>
    <row r="76" spans="2:46" ht="16.5" customHeight="1" x14ac:dyDescent="0.4">
      <c r="U76" s="1759" t="str">
        <f>"《参考》疑い患者数："&amp;IF(COUNTIF(基礎情報!AZ2:AZ4,"○")=3,TEXT(基礎情報!AQ50,"#,###人"),"基礎情報シートが入力不十分")</f>
        <v>《参考》疑い患者数：基礎情報シートが入力不十分</v>
      </c>
      <c r="V76" s="1720"/>
      <c r="W76" s="1720"/>
      <c r="X76" s="1720"/>
      <c r="Y76" s="1720"/>
      <c r="Z76" s="1720"/>
      <c r="AA76" s="1720"/>
      <c r="AB76" s="1720"/>
      <c r="AC76" s="1720"/>
      <c r="AD76" s="1720"/>
      <c r="AE76" s="1720"/>
      <c r="AF76" s="1720"/>
      <c r="AG76" s="595"/>
      <c r="AH76" s="595"/>
    </row>
    <row r="77" spans="2:46" ht="16.5" customHeight="1" x14ac:dyDescent="0.4"/>
    <row r="78" spans="2:46" ht="16.5" customHeight="1" x14ac:dyDescent="0.4">
      <c r="AM78" s="603">
        <v>1</v>
      </c>
      <c r="AN78" s="596" t="str">
        <f>AM9</f>
        <v>◎</v>
      </c>
      <c r="AO78" s="558"/>
      <c r="AS78" s="552">
        <v>1</v>
      </c>
      <c r="AT78" s="552" t="str">
        <f>AM9</f>
        <v>◎</v>
      </c>
    </row>
    <row r="79" spans="2:46" ht="16.5" customHeight="1" x14ac:dyDescent="0.4">
      <c r="AM79" s="602">
        <v>2</v>
      </c>
      <c r="AN79" s="596" t="str">
        <f>AN29</f>
        <v>◎</v>
      </c>
      <c r="AO79" s="558" t="str">
        <f xml:space="preserve">
IF(AND(AM9="×",AN26="×",COUNTA(#REF!)=0),"【要修正】「１．賃金情報」、「２（１）外来対応毎の実施内容」及び「３（１）作業回数」が未入力または入力不十分です。",
IF(AND(AM9="×",AN26="×",COUNTA(#REF!)=1),"【要修正】「１．賃金情報」及び「２（１）外来対応毎の実施内容」が未入力または入力不十分です。",
IF(AND(AM9="×",AN26="○",COUNTA(#REF!)=0),"【要修正】「１．賃金情報」、「２（１）外来対応毎の実施内容」及び「３（１）作業回数」が未入力または入力不十分です。",
IF(AND(AM9="×",AN26="○",COUNTA(#REF!)=1),"【要修正】「１．賃金情報」及び「２（１）外来対応毎の実施内容」が未入力または入力不十分です。",
IF(AND(AM9="×",AN26="◎",COUNTA(#REF!)=0),"【要修正】「１．賃金情報」及び「３（１）作業回数」が未入力または入力不十分です。",
IF(AND(AM9="×",AN26="◎",COUNTA(#REF!)=1),"【要修正】「１．賃金情報」が未入力または入力不十分です。",
IF(AND(AM9="○",AN26="×",COUNTA(#REF!)=0),"【要修正】「１．賃金情報」、「２（１）外来対応毎の実施内容」及び「３（１）作業回数」が未入力または入力不十分です。",
IF(AND(AM9="○",AN26="×",COUNTA(#REF!)=1),"【要修正】「１．賃金情報」及び「２（１）外来対応毎の実施内容」が未入力または入力不十分です。",
IF(AND(AM9="○",AN26="○",COUNTA(#REF!)=0),"外来対応毎の消毒に係る経費を申請しない場合は入力不要です。",
IF(AND(AM9="○",AN26="○",COUNTA(#REF!)=1),"【要修正】「１．賃金情報」及び「２（１）外来対応毎の実施内容」が未入力です。",
IF(AND(AM9="○",AN26="◎",COUNTA(#REF!)=0),"【要修正】「１．賃金情報」及び「３（１）作業回数」が未入力です。",
IF(AND(AM9="○",AN26="◎",COUNTA(#REF!)=1),"【要修正】「１．賃金情報」が未入力です。",
IF(AND(AM9="◎",AN26="×",COUNTA(#REF!)=0),"【要修正】「２（１）外来対応毎の実施内容」及び「３（１）作業回数」が未入力または入力不十分です。",
IF(AND(AM9="◎",AN26="×",COUNTA(#REF!)=1),"【要修正】「２（１）外来対応毎の実施内容」が未入力または入力不十分です。",
IF(AND(AM9="◎",AN26="○",COUNTA(#REF!)=0),"【要修正】「２（１）外来対応毎の実施内容」及び「３（１）作業回数」が未入力または入力不十分です。",
IF(AND(AM9="◎",AN26="○",COUNTA(#REF!)=1),"【要修正】「２（１）外来対応毎の実施内容」が未入力または入力不十分です。",
IF(AND(AM9="◎",AN26="◎",COUNTA(#REF!)=0),"【要修正】「３（１）作業回数」が未入力または入力不十分です。",
IF(AND(AM9="◎",AN26="◎",COUNTA(#REF!)=1),"適切に入力がされました。"))))))))))))))))))</f>
        <v>適切に入力がされました。</v>
      </c>
      <c r="AS79" s="552">
        <v>2</v>
      </c>
      <c r="AT79" s="558" t="str">
        <f>C63</f>
        <v>ペーパータオル</v>
      </c>
    </row>
    <row r="80" spans="2:46" ht="16.5" customHeight="1" x14ac:dyDescent="0.4">
      <c r="AM80" s="596" t="s">
        <v>1312</v>
      </c>
      <c r="AN80" s="596" t="str">
        <f xml:space="preserve">
IF(COUNTIF(AN78:AN79,"×")&gt;=1,"×",
IF(COUNTIF(AN78:AN79,"○")=2,"○",
IF(COUNTA(U74)=1,"◎",
IF(COUNTA(U74)=0,"×"))))</f>
        <v>◎</v>
      </c>
      <c r="AO80" s="558" t="str">
        <f xml:space="preserve">
IF(COUNTIF(AN78:AN79,"×")&gt;=1,"【要修正】上段の入力項目の１または２のいずれかに入力不十分な箇所があります。",
IF(COUNTIF(AN78:AN79,"○")=2,"消毒経費を申請されないため入力不要です。",
IF(COUNTA(U74)=1,"適切に入力がされました。",
IF(COUNTA(U74)=0,"【要修正】作業回数が入力されていません。"))))</f>
        <v>適切に入力がされました。</v>
      </c>
      <c r="AS80" s="558" t="s">
        <v>1253</v>
      </c>
      <c r="AT80" s="552" t="str">
        <f>IF(はじめに入力してください!P26="総合判定"&amp;CHAR(10)&amp;"【○】","◎","×")</f>
        <v>×</v>
      </c>
    </row>
    <row r="81" spans="39:47" x14ac:dyDescent="0.4">
      <c r="AS81" s="558" t="s">
        <v>958</v>
      </c>
    </row>
    <row r="82" spans="39:47" x14ac:dyDescent="0.4">
      <c r="AS82" s="558" t="s">
        <v>1254</v>
      </c>
    </row>
    <row r="83" spans="39:47" x14ac:dyDescent="0.4">
      <c r="AM83" s="646"/>
      <c r="AN83" s="646"/>
      <c r="AO83" s="646"/>
      <c r="AP83" s="646"/>
      <c r="AQ83" s="646"/>
      <c r="AR83" s="646"/>
      <c r="AS83" s="646"/>
      <c r="AT83" s="646"/>
      <c r="AU83" s="646"/>
    </row>
    <row r="84" spans="39:47" x14ac:dyDescent="0.4">
      <c r="AM84" s="646"/>
      <c r="AN84" s="646"/>
      <c r="AO84" s="646"/>
      <c r="AP84" s="646"/>
      <c r="AQ84" s="646"/>
      <c r="AR84" s="646"/>
      <c r="AS84" s="646"/>
      <c r="AT84" s="646"/>
      <c r="AU84" s="646"/>
    </row>
    <row r="85" spans="39:47" x14ac:dyDescent="0.4">
      <c r="AM85" s="646"/>
      <c r="AN85" s="646"/>
      <c r="AO85" s="646"/>
      <c r="AP85" s="646"/>
      <c r="AQ85" s="646"/>
      <c r="AR85" s="646"/>
      <c r="AS85" s="646"/>
      <c r="AT85" s="646"/>
      <c r="AU85" s="646"/>
    </row>
    <row r="86" spans="39:47" x14ac:dyDescent="0.4">
      <c r="AM86" s="646"/>
      <c r="AN86" s="646"/>
      <c r="AO86" s="646"/>
      <c r="AP86" s="646"/>
      <c r="AQ86" s="646"/>
      <c r="AR86" s="646"/>
      <c r="AS86" s="646"/>
      <c r="AT86" s="646"/>
      <c r="AU86" s="646"/>
    </row>
    <row r="87" spans="39:47" x14ac:dyDescent="0.4">
      <c r="AM87" s="646"/>
      <c r="AN87" s="646"/>
      <c r="AO87" s="646"/>
      <c r="AP87" s="646"/>
      <c r="AQ87" s="646"/>
      <c r="AR87" s="646"/>
      <c r="AS87" s="646"/>
      <c r="AT87" s="646"/>
      <c r="AU87" s="646"/>
    </row>
  </sheetData>
  <mergeCells count="146">
    <mergeCell ref="C55:F56"/>
    <mergeCell ref="U73:X73"/>
    <mergeCell ref="Q13:T13"/>
    <mergeCell ref="U13:X13"/>
    <mergeCell ref="U76:AF76"/>
    <mergeCell ref="I15:L15"/>
    <mergeCell ref="M15:P15"/>
    <mergeCell ref="Q15:T15"/>
    <mergeCell ref="Y14:AB23"/>
    <mergeCell ref="AC14:AD14"/>
    <mergeCell ref="AE14:AJ14"/>
    <mergeCell ref="I18:L18"/>
    <mergeCell ref="M18:P18"/>
    <mergeCell ref="Q18:T18"/>
    <mergeCell ref="U18:X18"/>
    <mergeCell ref="AC18:AD18"/>
    <mergeCell ref="AE18:AJ18"/>
    <mergeCell ref="B52:AK52"/>
    <mergeCell ref="G55:M56"/>
    <mergeCell ref="B58:AK58"/>
    <mergeCell ref="C59:AK59"/>
    <mergeCell ref="C61:AK61"/>
    <mergeCell ref="M63:AK63"/>
    <mergeCell ref="M64:AK64"/>
    <mergeCell ref="M65:AK65"/>
    <mergeCell ref="C53:AK53"/>
    <mergeCell ref="F17:H17"/>
    <mergeCell ref="C63:G63"/>
    <mergeCell ref="C10:AJ10"/>
    <mergeCell ref="U14:X14"/>
    <mergeCell ref="AE15:AJ15"/>
    <mergeCell ref="C16:E16"/>
    <mergeCell ref="F16:H16"/>
    <mergeCell ref="I16:L16"/>
    <mergeCell ref="M16:P16"/>
    <mergeCell ref="Q16:T16"/>
    <mergeCell ref="U16:X16"/>
    <mergeCell ref="AC16:AD16"/>
    <mergeCell ref="AE16:AJ16"/>
    <mergeCell ref="C15:E15"/>
    <mergeCell ref="F15:H15"/>
    <mergeCell ref="U15:X15"/>
    <mergeCell ref="AC15:AD15"/>
    <mergeCell ref="C14:E14"/>
    <mergeCell ref="F14:H14"/>
    <mergeCell ref="I14:L14"/>
    <mergeCell ref="M14:P14"/>
    <mergeCell ref="Q14:T14"/>
    <mergeCell ref="I13:L13"/>
    <mergeCell ref="M13:P13"/>
    <mergeCell ref="B71:AK71"/>
    <mergeCell ref="B69:AK69"/>
    <mergeCell ref="Q19:T19"/>
    <mergeCell ref="U19:X19"/>
    <mergeCell ref="AC21:AD21"/>
    <mergeCell ref="AE21:AJ21"/>
    <mergeCell ref="C22:E22"/>
    <mergeCell ref="F22:H22"/>
    <mergeCell ref="I22:L22"/>
    <mergeCell ref="M22:P22"/>
    <mergeCell ref="Q22:T22"/>
    <mergeCell ref="U22:X22"/>
    <mergeCell ref="AC22:AD22"/>
    <mergeCell ref="AE22:AJ22"/>
    <mergeCell ref="C21:E21"/>
    <mergeCell ref="F21:H21"/>
    <mergeCell ref="C64:G64"/>
    <mergeCell ref="C65:G65"/>
    <mergeCell ref="H63:J63"/>
    <mergeCell ref="AC19:AD19"/>
    <mergeCell ref="AE19:AJ19"/>
    <mergeCell ref="C20:E20"/>
    <mergeCell ref="F20:H20"/>
    <mergeCell ref="I20:L20"/>
    <mergeCell ref="I19:L19"/>
    <mergeCell ref="M19:P19"/>
    <mergeCell ref="C54:AK54"/>
    <mergeCell ref="C60:AK60"/>
    <mergeCell ref="Q21:T21"/>
    <mergeCell ref="U21:X21"/>
    <mergeCell ref="B2:D2"/>
    <mergeCell ref="C26:AJ29"/>
    <mergeCell ref="B31:AK31"/>
    <mergeCell ref="C38:AJ50"/>
    <mergeCell ref="U17:X17"/>
    <mergeCell ref="AC17:AD17"/>
    <mergeCell ref="AE17:AJ17"/>
    <mergeCell ref="M20:P20"/>
    <mergeCell ref="Q20:T20"/>
    <mergeCell ref="U20:X20"/>
    <mergeCell ref="AC20:AD20"/>
    <mergeCell ref="AE20:AJ20"/>
    <mergeCell ref="C19:E19"/>
    <mergeCell ref="M17:P17"/>
    <mergeCell ref="Q17:T17"/>
    <mergeCell ref="C18:E18"/>
    <mergeCell ref="F18:H18"/>
    <mergeCell ref="C17:E17"/>
    <mergeCell ref="AC23:AD23"/>
    <mergeCell ref="AE23:AJ23"/>
    <mergeCell ref="C73:F73"/>
    <mergeCell ref="I73:L73"/>
    <mergeCell ref="O73:R73"/>
    <mergeCell ref="B3:AK4"/>
    <mergeCell ref="C5:AJ7"/>
    <mergeCell ref="B8:AK8"/>
    <mergeCell ref="C11:E13"/>
    <mergeCell ref="F11:H13"/>
    <mergeCell ref="I11:X11"/>
    <mergeCell ref="Y11:AB13"/>
    <mergeCell ref="AC11:AD13"/>
    <mergeCell ref="AE11:AJ13"/>
    <mergeCell ref="I12:T12"/>
    <mergeCell ref="U12:X12"/>
    <mergeCell ref="C9:AJ9"/>
    <mergeCell ref="I17:L17"/>
    <mergeCell ref="I23:L23"/>
    <mergeCell ref="M23:P23"/>
    <mergeCell ref="Q23:T23"/>
    <mergeCell ref="U23:X23"/>
    <mergeCell ref="B25:AK25"/>
    <mergeCell ref="F19:H19"/>
    <mergeCell ref="C23:E23"/>
    <mergeCell ref="F23:H23"/>
    <mergeCell ref="I21:L21"/>
    <mergeCell ref="M21:P21"/>
    <mergeCell ref="E2:AK2"/>
    <mergeCell ref="C32:AJ37"/>
    <mergeCell ref="K67:Q67"/>
    <mergeCell ref="H67:J67"/>
    <mergeCell ref="Y74:Z75"/>
    <mergeCell ref="C74:F75"/>
    <mergeCell ref="G74:H75"/>
    <mergeCell ref="I74:L75"/>
    <mergeCell ref="M74:N75"/>
    <mergeCell ref="O74:R75"/>
    <mergeCell ref="S74:T75"/>
    <mergeCell ref="U74:X75"/>
    <mergeCell ref="AA74:AD75"/>
    <mergeCell ref="B72:AK72"/>
    <mergeCell ref="AE74:AF75"/>
    <mergeCell ref="AA73:AD73"/>
    <mergeCell ref="AG73:AJ73"/>
    <mergeCell ref="AG74:AJ75"/>
    <mergeCell ref="H64:J64"/>
    <mergeCell ref="H65:J65"/>
  </mergeCells>
  <phoneticPr fontId="1"/>
  <conditionalFormatting sqref="AE14:AJ23 B27:B29 AK26:AK28 AK29:AM29 AM27:AM28">
    <cfRule type="containsText" dxfId="30" priority="12" operator="containsText" text="要修正">
      <formula>NOT(ISERROR(SEARCH("要修正",B14)))</formula>
    </cfRule>
  </conditionalFormatting>
  <conditionalFormatting sqref="B8:AK8 B25:AK25 B26:C26 B69:AK69 AM78">
    <cfRule type="containsText" dxfId="29" priority="11" operator="containsText" text="×">
      <formula>NOT(ISERROR(SEARCH("×",B8)))</formula>
    </cfRule>
  </conditionalFormatting>
  <conditionalFormatting sqref="AC14:AD23">
    <cfRule type="containsText" dxfId="28" priority="10" operator="containsText" text="×">
      <formula>NOT(ISERROR(SEARCH("×",AC14)))</formula>
    </cfRule>
  </conditionalFormatting>
  <conditionalFormatting sqref="U76 AG76:AH76">
    <cfRule type="containsText" dxfId="27" priority="6" operator="containsText" text="不十分">
      <formula>NOT(ISERROR(SEARCH("不十分",U76)))</formula>
    </cfRule>
  </conditionalFormatting>
  <conditionalFormatting sqref="B31:AK31">
    <cfRule type="containsText" dxfId="26" priority="5" operator="containsText" text="×">
      <formula>NOT(ISERROR(SEARCH("×",B31)))</formula>
    </cfRule>
  </conditionalFormatting>
  <conditionalFormatting sqref="B52:AK52">
    <cfRule type="containsText" dxfId="25" priority="4" operator="containsText" text="×">
      <formula>NOT(ISERROR(SEARCH("×",B52)))</formula>
    </cfRule>
  </conditionalFormatting>
  <conditionalFormatting sqref="B58:AK58">
    <cfRule type="containsText" dxfId="24" priority="3" operator="containsText" text="×">
      <formula>NOT(ISERROR(SEARCH("×",B58)))</formula>
    </cfRule>
  </conditionalFormatting>
  <conditionalFormatting sqref="L63:L65">
    <cfRule type="containsText" dxfId="23" priority="2" operator="containsText" text="×">
      <formula>NOT(ISERROR(SEARCH("×",L63)))</formula>
    </cfRule>
  </conditionalFormatting>
  <conditionalFormatting sqref="M63:AK65">
    <cfRule type="containsText" dxfId="22" priority="1" operator="containsText" text="要修正">
      <formula>NOT(ISERROR(SEARCH("要修正",M63)))</formula>
    </cfRule>
  </conditionalFormatting>
  <dataValidations count="3">
    <dataValidation type="list" allowBlank="1" showInputMessage="1" showErrorMessage="1" sqref="F14:H23" xr:uid="{494E68F9-3398-40DD-8078-75E403A7136B}">
      <formula1>$AS$81:$AS$82</formula1>
    </dataValidation>
    <dataValidation type="decimal" operator="greaterThanOrEqual" allowBlank="1" showInputMessage="1" showErrorMessage="1" sqref="H63:J65" xr:uid="{1049CB7A-AA3F-436C-8650-7BE9741097C0}">
      <formula1>0</formula1>
    </dataValidation>
    <dataValidation type="decimal" allowBlank="1" showInputMessage="1" showErrorMessage="1" error="数字以外が入力または、１外来あたりの消毒作業として必要を超える時間数が入力されている可能性があります。入力されようとされている時間数が１外来あたりの必要最小限度の時間数で相違ない場合、入力の途中で構わないため本データとともに、消毒対象箇所を示した図面とともに所要時間発生の理由を付したメールを提出先メールアドレスあてにお送りください。" sqref="C55:F56" xr:uid="{08ED841D-D136-479C-AFFD-C3AA3CB5E4D2}">
      <formula1>0</formula1>
      <formula2>5</formula2>
    </dataValidation>
  </dataValidations>
  <pageMargins left="0.7" right="0.7" top="0.75" bottom="0.75" header="0.3" footer="0.3"/>
  <pageSetup paperSize="9" scale="58"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C000"/>
    <pageSetUpPr fitToPage="1"/>
  </sheetPr>
  <dimension ref="B1:BG64"/>
  <sheetViews>
    <sheetView showGridLines="0" view="pageBreakPreview" zoomScale="60" zoomScaleNormal="100" workbookViewId="0">
      <selection activeCell="BF4" sqref="BF4"/>
    </sheetView>
  </sheetViews>
  <sheetFormatPr defaultColWidth="8.625" defaultRowHeight="24" x14ac:dyDescent="0.4"/>
  <cols>
    <col min="1" max="1" width="5.625" style="2" customWidth="1"/>
    <col min="2" max="37" width="3.625" style="2" customWidth="1"/>
    <col min="38" max="38" width="5.625" style="2" customWidth="1"/>
    <col min="39" max="39" width="8.625" style="2"/>
    <col min="40" max="40" width="50.625" style="2" customWidth="1"/>
    <col min="41" max="41" width="8.625" style="2"/>
    <col min="42" max="43" width="9.875" style="2" bestFit="1" customWidth="1"/>
    <col min="44" max="57" width="8.625" style="2"/>
    <col min="58" max="58" width="100.625" style="463" customWidth="1"/>
    <col min="59" max="16384" width="8.625" style="2"/>
  </cols>
  <sheetData>
    <row r="1" spans="2:58" s="231" customFormat="1" ht="30" customHeight="1" x14ac:dyDescent="0.4">
      <c r="B1" s="1820" t="str">
        <f>額内訳書!C1</f>
        <v>　（10月１日～３月31日分）</v>
      </c>
      <c r="C1" s="2091"/>
      <c r="D1" s="2091"/>
      <c r="E1" s="2091"/>
      <c r="F1" s="2091"/>
      <c r="G1" s="2091"/>
      <c r="H1" s="2091"/>
      <c r="I1" s="2091"/>
      <c r="J1" s="2091"/>
      <c r="K1" s="2091"/>
      <c r="L1" s="2091"/>
      <c r="M1" s="2091"/>
      <c r="N1" s="2091"/>
      <c r="O1" s="2091"/>
      <c r="P1" s="2091"/>
      <c r="Q1" s="2091"/>
      <c r="R1" s="2091"/>
      <c r="S1" s="2091"/>
      <c r="T1" s="2091"/>
      <c r="U1" s="2091"/>
      <c r="V1" s="2091"/>
      <c r="W1" s="2091"/>
      <c r="X1" s="2091"/>
      <c r="Y1" s="2091"/>
      <c r="Z1" s="2091"/>
      <c r="AA1" s="2091"/>
      <c r="AB1" s="2091"/>
      <c r="AC1" s="2091"/>
      <c r="AD1" s="2091"/>
      <c r="AE1" s="2091"/>
      <c r="AF1" s="2091"/>
      <c r="AG1" s="2091"/>
      <c r="AH1" s="2091"/>
      <c r="AI1" s="2091"/>
      <c r="AJ1" s="2091"/>
      <c r="AK1" s="2091"/>
      <c r="AL1" s="2091"/>
      <c r="AM1" s="2091"/>
    </row>
    <row r="2" spans="2:58" x14ac:dyDescent="0.4">
      <c r="B2" s="1884" t="s">
        <v>195</v>
      </c>
      <c r="C2" s="1885"/>
      <c r="D2" s="1885"/>
      <c r="E2" s="1885"/>
      <c r="F2" s="1885"/>
      <c r="G2" s="1885"/>
      <c r="H2" s="1885"/>
      <c r="I2" s="1885"/>
      <c r="J2" s="1885"/>
      <c r="K2" s="1885"/>
      <c r="L2" s="1885"/>
      <c r="M2" s="1885"/>
      <c r="N2" s="1885"/>
      <c r="O2" s="1885"/>
      <c r="P2" s="1885"/>
      <c r="Q2" s="1885"/>
      <c r="R2" s="1885"/>
      <c r="S2" s="1885"/>
      <c r="T2" s="3"/>
      <c r="U2" s="3"/>
      <c r="V2" s="3"/>
      <c r="AA2" s="1475" t="s">
        <v>218</v>
      </c>
      <c r="AB2" s="1411"/>
      <c r="AC2" s="1411"/>
      <c r="AD2" s="1411"/>
      <c r="AE2" s="1411"/>
      <c r="AF2" s="1411"/>
      <c r="AG2" s="1334" t="s">
        <v>221</v>
      </c>
      <c r="AH2" s="1238"/>
      <c r="AI2" s="1888">
        <f>AG28</f>
        <v>0</v>
      </c>
      <c r="AJ2" s="1411"/>
      <c r="AK2" s="1411"/>
      <c r="AL2" s="1411"/>
      <c r="AM2" s="1411"/>
      <c r="BD2" s="689" t="s">
        <v>267</v>
      </c>
      <c r="BE2" s="689" t="s">
        <v>222</v>
      </c>
      <c r="BF2" s="681" t="s">
        <v>223</v>
      </c>
    </row>
    <row r="3" spans="2:58" x14ac:dyDescent="0.4">
      <c r="B3" s="1885"/>
      <c r="C3" s="1885"/>
      <c r="D3" s="1885"/>
      <c r="E3" s="1885"/>
      <c r="F3" s="1885"/>
      <c r="G3" s="1885"/>
      <c r="H3" s="1885"/>
      <c r="I3" s="1885"/>
      <c r="J3" s="1885"/>
      <c r="K3" s="1885"/>
      <c r="L3" s="1885"/>
      <c r="M3" s="1885"/>
      <c r="N3" s="1885"/>
      <c r="O3" s="1885"/>
      <c r="P3" s="1885"/>
      <c r="Q3" s="1885"/>
      <c r="R3" s="1885"/>
      <c r="S3" s="1885"/>
      <c r="AA3" s="1475" t="s">
        <v>219</v>
      </c>
      <c r="AB3" s="1411"/>
      <c r="AC3" s="1411"/>
      <c r="AD3" s="1411"/>
      <c r="AE3" s="1411"/>
      <c r="AF3" s="1411"/>
      <c r="AG3" s="1889">
        <f>P42</f>
        <v>0</v>
      </c>
      <c r="AH3" s="1890"/>
      <c r="AI3" s="1888">
        <f>AG43</f>
        <v>0</v>
      </c>
      <c r="AJ3" s="1411"/>
      <c r="AK3" s="1411"/>
      <c r="AL3" s="1411"/>
      <c r="AM3" s="1411"/>
      <c r="BD3" s="1323" t="str">
        <f xml:space="preserve">
IF(COUNTIF(BE3:BE5,"○")=3,"○",
IF(COUNTIF(BE3:BE5,"×")&gt;=1,"×",
IF(AND(COUNTIF(BE3:BE5,"◎")&gt;=1,COUNTIF(BE3:BE5,"×")=0),"◎",
)))</f>
        <v>○</v>
      </c>
      <c r="BE3" s="689" t="str">
        <f>AQ9</f>
        <v>○</v>
      </c>
      <c r="BF3" s="690" t="str">
        <f xml:space="preserve">
IF(COUNTIF(AQ6:AQ8,"○")=3,"空気清浄機：申請しない場合は入力不要です。",
IF(COUNTIF(AQ6:AQ8,"◎")=3,"空気清浄機：適切に入力がされました。","空気清浄機：【要修正】（１）または（２）に入力が不十分な箇所があるため金額が表示できません。"))</f>
        <v>空気清浄機：申請しない場合は入力不要です。</v>
      </c>
    </row>
    <row r="4" spans="2:58" x14ac:dyDescent="0.4">
      <c r="AA4" s="1475" t="s">
        <v>220</v>
      </c>
      <c r="AB4" s="1411"/>
      <c r="AC4" s="1411"/>
      <c r="AD4" s="1411"/>
      <c r="AE4" s="1411"/>
      <c r="AF4" s="1411"/>
      <c r="AG4" s="1889">
        <f>P55</f>
        <v>0</v>
      </c>
      <c r="AH4" s="1890"/>
      <c r="AI4" s="1888">
        <f>AG56</f>
        <v>0</v>
      </c>
      <c r="AJ4" s="1411"/>
      <c r="AK4" s="1411"/>
      <c r="AL4" s="1411"/>
      <c r="AM4" s="1411"/>
      <c r="BD4" s="789"/>
      <c r="BE4" s="689" t="str">
        <f>AQ13</f>
        <v>○</v>
      </c>
      <c r="BF4" s="690" t="str">
        <f>"パーテーション："&amp;AR13</f>
        <v>パーテーション：申請・報告しない場合は入力不要です。</v>
      </c>
    </row>
    <row r="5" spans="2:58" ht="24.95" customHeight="1" x14ac:dyDescent="0.4">
      <c r="B5" s="1883" t="s">
        <v>251</v>
      </c>
      <c r="C5" s="1684"/>
      <c r="D5" s="1684"/>
      <c r="E5" s="1684"/>
      <c r="F5" s="1684"/>
      <c r="G5" s="1684"/>
      <c r="H5" s="1684"/>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P5" s="2" t="s">
        <v>1313</v>
      </c>
      <c r="BD5" s="790"/>
      <c r="BE5" s="689" t="str">
        <f>AQ17</f>
        <v>○</v>
      </c>
      <c r="BF5" s="690" t="str">
        <f>"簡易ベッド："&amp;AR17</f>
        <v>簡易ベッド：申請・報告しない場合は入力不要です。</v>
      </c>
    </row>
    <row r="6" spans="2:58" x14ac:dyDescent="0.4">
      <c r="B6" s="1822" t="str">
        <f>"１．空気清浄機　【判定】"&amp;AQ9&amp;
IF(AQ9="○","（申請しない場合は入力不要です。）",
IF(AQ9="×","（【要修正】入力が不十分な箇所があります。）",
IF(AQ9="◎","（適切に入力がされました。）")))</f>
        <v>１．空気清浄機　【判定】○（申請しない場合は入力不要です。）</v>
      </c>
      <c r="C6" s="947"/>
      <c r="D6" s="947"/>
      <c r="E6" s="947"/>
      <c r="F6" s="947"/>
      <c r="G6" s="947"/>
      <c r="H6" s="947"/>
      <c r="I6" s="947"/>
      <c r="J6" s="947"/>
      <c r="K6" s="947"/>
      <c r="L6" s="947"/>
      <c r="M6" s="947"/>
      <c r="N6" s="947"/>
      <c r="O6" s="947"/>
      <c r="P6" s="947"/>
      <c r="Q6" s="947"/>
      <c r="R6" s="947"/>
      <c r="S6" s="947"/>
      <c r="T6" s="947"/>
      <c r="U6" s="947"/>
      <c r="V6" s="947"/>
      <c r="W6" s="947"/>
      <c r="X6" s="947"/>
      <c r="Y6" s="947"/>
      <c r="Z6" s="947"/>
      <c r="AA6" s="947"/>
      <c r="AB6" s="947"/>
      <c r="AC6" s="947"/>
      <c r="AD6" s="947"/>
      <c r="AE6" s="947"/>
      <c r="AF6" s="947"/>
      <c r="AG6" s="947"/>
      <c r="AH6" s="947"/>
      <c r="AI6" s="947"/>
      <c r="AJ6" s="947"/>
      <c r="AK6" s="947"/>
      <c r="AL6" s="947"/>
      <c r="AM6" s="947"/>
      <c r="AP6" s="689">
        <v>1</v>
      </c>
      <c r="AQ6" s="689" t="str">
        <f>AM14</f>
        <v>○</v>
      </c>
    </row>
    <row r="7" spans="2:58" x14ac:dyDescent="0.4">
      <c r="B7" s="2" t="s">
        <v>1298</v>
      </c>
      <c r="AP7" s="689">
        <v>2</v>
      </c>
      <c r="AQ7" s="689" t="str">
        <f xml:space="preserve">
IF(COUNTIF(AM16:AM17,"○")=2,"○",
IF(COUNTIF(AM16:AM17,"◎")=2,"◎","×"))</f>
        <v>○</v>
      </c>
    </row>
    <row r="8" spans="2:58" x14ac:dyDescent="0.4">
      <c r="B8" s="464" t="s">
        <v>200</v>
      </c>
      <c r="C8" s="1849" t="s">
        <v>931</v>
      </c>
      <c r="D8" s="1850"/>
      <c r="E8" s="1850"/>
      <c r="F8" s="1850"/>
      <c r="G8" s="1850"/>
      <c r="H8" s="1850"/>
      <c r="I8" s="1850"/>
      <c r="J8" s="1850"/>
      <c r="K8" s="1850"/>
      <c r="L8" s="1850"/>
      <c r="M8" s="1850"/>
      <c r="N8" s="1850"/>
      <c r="O8" s="1850"/>
      <c r="P8" s="1850"/>
      <c r="Q8" s="1850"/>
      <c r="R8" s="1850"/>
      <c r="S8" s="1850"/>
      <c r="T8" s="1850"/>
      <c r="U8" s="1850"/>
      <c r="V8" s="1850"/>
      <c r="W8" s="1850"/>
      <c r="X8" s="1850"/>
      <c r="Y8" s="1850"/>
      <c r="Z8" s="1850"/>
      <c r="AA8" s="1850"/>
      <c r="AB8" s="1850"/>
      <c r="AC8" s="1850"/>
      <c r="AD8" s="1850"/>
      <c r="AE8" s="1850"/>
      <c r="AF8" s="1850"/>
      <c r="AG8" s="1850"/>
      <c r="AH8" s="1850"/>
      <c r="AI8" s="1850"/>
      <c r="AJ8" s="1850"/>
      <c r="AK8" s="1851"/>
      <c r="AP8" s="689">
        <v>3</v>
      </c>
      <c r="AQ8" s="689" t="str">
        <f xml:space="preserve">
IF(COUNTIF(AM20:AM22,"○")=3,"○",
IF(COUNTIF(AM20:AM22,"×")&gt;=1,"×",
IF(COUNTIF(AM20:AM22,"◎")&gt;=1,"◎")))</f>
        <v>○</v>
      </c>
    </row>
    <row r="9" spans="2:58" x14ac:dyDescent="0.4">
      <c r="B9" s="465" t="s">
        <v>199</v>
      </c>
      <c r="C9" s="1827" t="s">
        <v>1076</v>
      </c>
      <c r="D9" s="1682"/>
      <c r="E9" s="1682"/>
      <c r="F9" s="1682"/>
      <c r="G9" s="1682"/>
      <c r="H9" s="1682"/>
      <c r="I9" s="1682"/>
      <c r="J9" s="1682"/>
      <c r="K9" s="1682"/>
      <c r="L9" s="1682"/>
      <c r="M9" s="1682"/>
      <c r="N9" s="1682"/>
      <c r="O9" s="1682"/>
      <c r="P9" s="1682"/>
      <c r="Q9" s="1682"/>
      <c r="R9" s="1682"/>
      <c r="S9" s="1682"/>
      <c r="T9" s="1682"/>
      <c r="U9" s="1682"/>
      <c r="V9" s="1682"/>
      <c r="W9" s="1682"/>
      <c r="X9" s="1682"/>
      <c r="Y9" s="1682"/>
      <c r="Z9" s="1682"/>
      <c r="AA9" s="1682"/>
      <c r="AB9" s="1682"/>
      <c r="AC9" s="1682"/>
      <c r="AD9" s="1682"/>
      <c r="AE9" s="1682"/>
      <c r="AF9" s="1682"/>
      <c r="AG9" s="1682"/>
      <c r="AH9" s="1682"/>
      <c r="AI9" s="1682"/>
      <c r="AJ9" s="1682"/>
      <c r="AK9" s="1879"/>
      <c r="AP9" s="689" t="s">
        <v>1312</v>
      </c>
      <c r="AQ9" s="689" t="str">
        <f xml:space="preserve">
IF(COUNTIF(AQ6:AQ8,"○")=3,"○",
IF(COUNTIF(AQ6:AQ8,"◎")=3,"◎","×"))</f>
        <v>○</v>
      </c>
      <c r="AR9" s="2" t="str">
        <f xml:space="preserve">
IF(COUNTIF(AQ6:AQ8,"○")=3,"申請・報告しない場合は入力不要です。",
IF(COUNTIF(AQ6:AQ8,"◎")=3,"適切に入力がされました。","【要修正】（１）、（２）、（３）のいずれかが入力不十分です。"))</f>
        <v>申請・報告しない場合は入力不要です。</v>
      </c>
    </row>
    <row r="10" spans="2:58" x14ac:dyDescent="0.4">
      <c r="B10" s="465" t="s">
        <v>201</v>
      </c>
      <c r="C10" s="1827" t="s">
        <v>932</v>
      </c>
      <c r="D10" s="1544"/>
      <c r="E10" s="1544"/>
      <c r="F10" s="1544"/>
      <c r="G10" s="1544"/>
      <c r="H10" s="1544"/>
      <c r="I10" s="1544"/>
      <c r="J10" s="1544"/>
      <c r="K10" s="1544"/>
      <c r="L10" s="1544"/>
      <c r="M10" s="1544"/>
      <c r="N10" s="1544"/>
      <c r="O10" s="1544"/>
      <c r="P10" s="1544"/>
      <c r="Q10" s="1544"/>
      <c r="R10" s="1544"/>
      <c r="S10" s="1544"/>
      <c r="T10" s="1544"/>
      <c r="U10" s="1544"/>
      <c r="V10" s="1544"/>
      <c r="W10" s="1544"/>
      <c r="X10" s="1544"/>
      <c r="Y10" s="1544"/>
      <c r="Z10" s="1544"/>
      <c r="AA10" s="1544"/>
      <c r="AB10" s="1544"/>
      <c r="AC10" s="1544"/>
      <c r="AD10" s="1544"/>
      <c r="AE10" s="1544"/>
      <c r="AF10" s="1544"/>
      <c r="AG10" s="1544"/>
      <c r="AH10" s="1544"/>
      <c r="AI10" s="1544"/>
      <c r="AJ10" s="1544"/>
      <c r="AK10" s="1879"/>
      <c r="AP10" s="2" t="s">
        <v>1314</v>
      </c>
    </row>
    <row r="11" spans="2:58" x14ac:dyDescent="0.4">
      <c r="B11" s="465" t="s">
        <v>1297</v>
      </c>
      <c r="C11" s="1827" t="s">
        <v>1369</v>
      </c>
      <c r="D11" s="1544"/>
      <c r="E11" s="1544"/>
      <c r="F11" s="1544"/>
      <c r="G11" s="1544"/>
      <c r="H11" s="1544"/>
      <c r="I11" s="1544"/>
      <c r="J11" s="1544"/>
      <c r="K11" s="1544"/>
      <c r="L11" s="1544"/>
      <c r="M11" s="1544"/>
      <c r="N11" s="1544"/>
      <c r="O11" s="1544"/>
      <c r="P11" s="1544"/>
      <c r="Q11" s="1544"/>
      <c r="R11" s="1544"/>
      <c r="S11" s="1544"/>
      <c r="T11" s="1544"/>
      <c r="U11" s="1544"/>
      <c r="V11" s="1544"/>
      <c r="W11" s="1544"/>
      <c r="X11" s="1544"/>
      <c r="Y11" s="1544"/>
      <c r="Z11" s="1544"/>
      <c r="AA11" s="1544"/>
      <c r="AB11" s="1544"/>
      <c r="AC11" s="1544"/>
      <c r="AD11" s="1544"/>
      <c r="AE11" s="1544"/>
      <c r="AF11" s="1544"/>
      <c r="AG11" s="1544"/>
      <c r="AH11" s="1544"/>
      <c r="AI11" s="1544"/>
      <c r="AJ11" s="1544"/>
      <c r="AK11" s="1879"/>
      <c r="AP11" s="689">
        <v>1</v>
      </c>
      <c r="AQ11" s="689" t="str">
        <f>AM36</f>
        <v>○</v>
      </c>
    </row>
    <row r="12" spans="2:58" x14ac:dyDescent="0.4">
      <c r="B12" s="466" t="s">
        <v>1296</v>
      </c>
      <c r="C12" s="1880" t="s">
        <v>1370</v>
      </c>
      <c r="D12" s="1881"/>
      <c r="E12" s="1881"/>
      <c r="F12" s="1881"/>
      <c r="G12" s="1881"/>
      <c r="H12" s="1881"/>
      <c r="I12" s="1881"/>
      <c r="J12" s="1881"/>
      <c r="K12" s="1881"/>
      <c r="L12" s="1881"/>
      <c r="M12" s="1881"/>
      <c r="N12" s="1881"/>
      <c r="O12" s="1881"/>
      <c r="P12" s="1881"/>
      <c r="Q12" s="1881"/>
      <c r="R12" s="1881"/>
      <c r="S12" s="1881"/>
      <c r="T12" s="1881"/>
      <c r="U12" s="1881"/>
      <c r="V12" s="1881"/>
      <c r="W12" s="1881"/>
      <c r="X12" s="1881"/>
      <c r="Y12" s="1881"/>
      <c r="Z12" s="1881"/>
      <c r="AA12" s="1881"/>
      <c r="AB12" s="1881"/>
      <c r="AC12" s="1881"/>
      <c r="AD12" s="1881"/>
      <c r="AE12" s="1881"/>
      <c r="AF12" s="1881"/>
      <c r="AG12" s="1881"/>
      <c r="AH12" s="1881"/>
      <c r="AI12" s="1881"/>
      <c r="AJ12" s="1881"/>
      <c r="AK12" s="1882"/>
      <c r="AP12" s="689">
        <v>2</v>
      </c>
      <c r="AQ12" s="689" t="str">
        <f xml:space="preserve">
IF(COUNTIF(AM39:AM41,"○")=3,"○",
IF(COUNTIF(AM39:AM41,"×")&gt;=1,"×",
IF(COUNTIF(AM39:AM41,"◎")&gt;=1,"◎")))</f>
        <v>○</v>
      </c>
    </row>
    <row r="13" spans="2:58" x14ac:dyDescent="0.4">
      <c r="B13" s="7" t="s">
        <v>1305</v>
      </c>
      <c r="C13" s="696"/>
      <c r="D13" s="694"/>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4"/>
      <c r="AJ13" s="694"/>
      <c r="AK13" s="694"/>
      <c r="AM13" s="689" t="s">
        <v>222</v>
      </c>
      <c r="AN13" s="587"/>
      <c r="AP13" s="689" t="s">
        <v>1312</v>
      </c>
      <c r="AQ13" s="689" t="str">
        <f xml:space="preserve">
IF(COUNTIF(AQ11:AQ12,"○")=2,"○",
IF(COUNTIF(AQ11:AQ12,"◎")=2,"◎","×"))</f>
        <v>○</v>
      </c>
      <c r="AR13" s="2" t="str">
        <f xml:space="preserve">
IF(COUNTIF(AQ11:AQ12,"○")=2,"申請・報告しない場合は入力不要です。",
IF(COUNTIF(AQ11:AQ12,"◎")=2,"適切に入力がされました。","【要修正】（１）、（２）のいずれかが入力不十分です。"))</f>
        <v>申請・報告しない場合は入力不要です。</v>
      </c>
    </row>
    <row r="14" spans="2:58" x14ac:dyDescent="0.4">
      <c r="B14" s="1828" t="s">
        <v>1304</v>
      </c>
      <c r="C14" s="2092"/>
      <c r="D14" s="2088"/>
      <c r="E14" s="2089"/>
      <c r="F14" s="579" t="s">
        <v>1301</v>
      </c>
      <c r="G14" s="2088"/>
      <c r="H14" s="2089"/>
      <c r="I14" s="579" t="s">
        <v>1302</v>
      </c>
      <c r="J14" s="2088"/>
      <c r="K14" s="2090"/>
      <c r="L14" s="580" t="s">
        <v>1303</v>
      </c>
      <c r="M14" s="694"/>
      <c r="N14" s="694"/>
      <c r="O14" s="694"/>
      <c r="P14" s="694"/>
      <c r="Q14" s="694"/>
      <c r="R14" s="694"/>
      <c r="S14" s="694"/>
      <c r="T14" s="694"/>
      <c r="U14" s="694"/>
      <c r="V14" s="694"/>
      <c r="W14" s="694"/>
      <c r="X14" s="694"/>
      <c r="Y14" s="694"/>
      <c r="Z14" s="694"/>
      <c r="AA14" s="694"/>
      <c r="AB14" s="694"/>
      <c r="AC14" s="694"/>
      <c r="AD14" s="694"/>
      <c r="AE14" s="694"/>
      <c r="AF14" s="694"/>
      <c r="AG14" s="694"/>
      <c r="AH14" s="694"/>
      <c r="AI14" s="694"/>
      <c r="AJ14" s="694"/>
      <c r="AK14" s="694"/>
      <c r="AM14" s="689" t="str">
        <f xml:space="preserve">
IF(SUM(COUNTA(D14),COUNTA(G14),COUNTA(J14))=0,"○",
IF(SUM(COUNTA(D14),COUNTA(G14),COUNTA(J14))=3,"◎","×"))</f>
        <v>○</v>
      </c>
      <c r="AN14" s="587" t="str">
        <f xml:space="preserve">
IF(SUM(COUNTA(D14),COUNTA(G14),COUNTA(J14))=0,"申請しない場合は入力不要です。",
IF(SUM(COUNTA(D14),COUNTA(G14),COUNTA(J14))=3,"適切に入力がされました。","【要修正】入力が不十分です。"))</f>
        <v>申請しない場合は入力不要です。</v>
      </c>
      <c r="AP14" s="2" t="s">
        <v>1315</v>
      </c>
    </row>
    <row r="15" spans="2:58" x14ac:dyDescent="0.4">
      <c r="B15" s="2" t="s">
        <v>1299</v>
      </c>
      <c r="AM15" s="689" t="s">
        <v>66</v>
      </c>
      <c r="AN15" s="587"/>
      <c r="AP15" s="689">
        <v>1</v>
      </c>
      <c r="AQ15" s="689" t="str">
        <f>AM49</f>
        <v>○</v>
      </c>
      <c r="BF15" s="681" t="s">
        <v>223</v>
      </c>
    </row>
    <row r="16" spans="2:58" x14ac:dyDescent="0.4">
      <c r="B16" s="1334" t="s">
        <v>196</v>
      </c>
      <c r="C16" s="1411"/>
      <c r="D16" s="1411"/>
      <c r="E16" s="1411"/>
      <c r="F16" s="1411"/>
      <c r="G16" s="1411"/>
      <c r="H16" s="1411"/>
      <c r="I16" s="1411"/>
      <c r="J16" s="1832"/>
      <c r="K16" s="1833"/>
      <c r="L16" s="1833"/>
      <c r="M16" s="1833"/>
      <c r="N16" s="1833"/>
      <c r="O16" s="1833"/>
      <c r="P16" s="1833"/>
      <c r="Q16" s="1833"/>
      <c r="R16" s="1833"/>
      <c r="S16" s="1833"/>
      <c r="T16" s="1833"/>
      <c r="U16" s="1833"/>
      <c r="V16" s="1833"/>
      <c r="W16" s="1833"/>
      <c r="X16" s="1833"/>
      <c r="Y16" s="1833"/>
      <c r="Z16" s="1833"/>
      <c r="AA16" s="1833"/>
      <c r="AB16" s="1833"/>
      <c r="AC16" s="1833"/>
      <c r="AD16" s="1833"/>
      <c r="AE16" s="1833"/>
      <c r="AF16" s="1833"/>
      <c r="AG16" s="1833"/>
      <c r="AH16" s="1833"/>
      <c r="AI16" s="1833"/>
      <c r="AJ16" s="1833"/>
      <c r="AK16" s="1833"/>
      <c r="AM16" s="689" t="str">
        <f>IF(COUNTA(J16)=1,"◎","○")</f>
        <v>○</v>
      </c>
      <c r="AN16" s="690" t="str">
        <f>IF(COUNTA(J16)=1,"適切に入力がされました","申請しない場合は入力不要です。")</f>
        <v>申請しない場合は入力不要です。</v>
      </c>
      <c r="AP16" s="689">
        <v>2</v>
      </c>
      <c r="AQ16" s="689" t="str">
        <f xml:space="preserve">
IF(COUNTIF(AM52:AM54,"○")=3,"○",
IF(COUNTIF(AM52:AM54,"×")&gt;=1,"×",
IF(COUNTIF(AM52:AM54,"◎")&gt;=1,"◎")))</f>
        <v>○</v>
      </c>
    </row>
    <row r="17" spans="2:59" ht="24.75" thickBot="1" x14ac:dyDescent="0.45">
      <c r="B17" s="1334" t="s">
        <v>197</v>
      </c>
      <c r="C17" s="1411"/>
      <c r="D17" s="1411"/>
      <c r="E17" s="1411"/>
      <c r="F17" s="1411"/>
      <c r="G17" s="1411"/>
      <c r="H17" s="1411"/>
      <c r="I17" s="1411"/>
      <c r="J17" s="1832"/>
      <c r="K17" s="1833"/>
      <c r="L17" s="1833"/>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c r="AM17" s="689" t="str">
        <f>IF(COUNTA(J17)=1,"◎","○")</f>
        <v>○</v>
      </c>
      <c r="AN17" s="690" t="str">
        <f>IF(COUNTA(J17)=1,"適切に入力がされました","申請しない場合は入力不要です。")</f>
        <v>申請しない場合は入力不要です。</v>
      </c>
      <c r="AP17" s="689" t="s">
        <v>1312</v>
      </c>
      <c r="AQ17" s="689" t="str">
        <f xml:space="preserve">
IF(COUNTIF(AQ15:AQ16,"○")=2,"○",
IF(COUNTIF(AQ15:AQ16,"◎")=2,"◎","×"))</f>
        <v>○</v>
      </c>
      <c r="AR17" s="2" t="str">
        <f xml:space="preserve">
IF(COUNTIF(AQ15:AQ16,"○")=2,"申請・報告しない場合は入力不要です。",
IF(COUNTIF(AQ15:AQ16,"◎")=2,"適切に入力がされました。","【要修正】（１）、（２）のいずれかが入力不十分です。"))</f>
        <v>申請・報告しない場合は入力不要です。</v>
      </c>
    </row>
    <row r="18" spans="2:59" ht="24.75" thickTop="1" x14ac:dyDescent="0.4">
      <c r="B18" s="2" t="s">
        <v>1300</v>
      </c>
      <c r="BE18" s="688" t="str">
        <f xml:space="preserve">
IF(COUNTIF(AM16:AM17,"◎")=2,"◎",
IF(COUNTIF(AM16:AM17,"◎")=1,"×",
IF(COUNTIF(AM16:AM17,"◎")=0,"○",)))</f>
        <v>○</v>
      </c>
      <c r="BF18" s="467" t="str">
        <f xml:space="preserve">
IF(COUNTIF(AM16:AM17,"◎")=2,"適切に入力がされました。",
IF(COUNTIF(AM16:AM17,"◎")=1,"【要修正】未入力の箇所があります。",
IF(COUNTIF(AM16:AM17,"◎")=0,"申請しない場合は入力不要です。",)))</f>
        <v>申請しない場合は入力不要です。</v>
      </c>
    </row>
    <row r="19" spans="2:59" x14ac:dyDescent="0.4">
      <c r="B19" s="1026" t="s">
        <v>56</v>
      </c>
      <c r="C19" s="1299"/>
      <c r="D19" s="1299"/>
      <c r="E19" s="1299"/>
      <c r="F19" s="1299"/>
      <c r="G19" s="1299"/>
      <c r="H19" s="1299"/>
      <c r="I19" s="1299"/>
      <c r="J19" s="1026" t="s">
        <v>224</v>
      </c>
      <c r="K19" s="1299"/>
      <c r="L19" s="1299"/>
      <c r="M19" s="1299"/>
      <c r="N19" s="1299"/>
      <c r="O19" s="1299"/>
      <c r="P19" s="1299"/>
      <c r="Q19" s="1299"/>
      <c r="R19" s="1856"/>
      <c r="S19" s="1856"/>
      <c r="T19" s="1856"/>
      <c r="U19" s="1026" t="s">
        <v>24</v>
      </c>
      <c r="V19" s="1299"/>
      <c r="W19" s="1026" t="s">
        <v>70</v>
      </c>
      <c r="X19" s="1299"/>
      <c r="Y19" s="1299"/>
      <c r="Z19" s="1299"/>
      <c r="AA19" s="1299"/>
      <c r="AB19" s="1026" t="s">
        <v>204</v>
      </c>
      <c r="AC19" s="1299"/>
      <c r="AD19" s="1299"/>
      <c r="AE19" s="1299"/>
      <c r="AF19" s="1299"/>
      <c r="AG19" s="1026" t="s">
        <v>205</v>
      </c>
      <c r="AH19" s="1299"/>
      <c r="AI19" s="1299"/>
      <c r="AJ19" s="1299"/>
      <c r="AK19" s="1299"/>
      <c r="AM19" s="689" t="s">
        <v>66</v>
      </c>
      <c r="AN19" s="587"/>
      <c r="BE19" s="689" t="s">
        <v>222</v>
      </c>
      <c r="BF19" s="681" t="s">
        <v>223</v>
      </c>
    </row>
    <row r="20" spans="2:59" x14ac:dyDescent="0.4">
      <c r="B20" s="1836"/>
      <c r="C20" s="1837"/>
      <c r="D20" s="1837"/>
      <c r="E20" s="1837"/>
      <c r="F20" s="1837"/>
      <c r="G20" s="1837"/>
      <c r="H20" s="1837"/>
      <c r="I20" s="1837"/>
      <c r="J20" s="1838"/>
      <c r="K20" s="1839"/>
      <c r="L20" s="1839"/>
      <c r="M20" s="1839"/>
      <c r="N20" s="1839"/>
      <c r="O20" s="1839"/>
      <c r="P20" s="1839"/>
      <c r="Q20" s="1839"/>
      <c r="R20" s="1839"/>
      <c r="S20" s="1839"/>
      <c r="T20" s="1839"/>
      <c r="U20" s="1840"/>
      <c r="V20" s="1841"/>
      <c r="W20" s="1823"/>
      <c r="X20" s="1824"/>
      <c r="Y20" s="1824"/>
      <c r="Z20" s="1824"/>
      <c r="AA20" s="1824"/>
      <c r="AB20" s="1825">
        <f>ROUNDDOWN(W20*1.1,0)</f>
        <v>0</v>
      </c>
      <c r="AC20" s="1826"/>
      <c r="AD20" s="1826"/>
      <c r="AE20" s="1826"/>
      <c r="AF20" s="1826"/>
      <c r="AG20" s="1834">
        <f xml:space="preserve">
IF(COUNTA(B20:AA20)=4,U20*AB20,
IF(AND(COUNTA(B20:AA20)&gt;=1,COUNTA(B20:AA20)&lt;4),0,
IF(COUNTA(B20:AA20)=0,0)))</f>
        <v>0</v>
      </c>
      <c r="AH20" s="1835"/>
      <c r="AI20" s="1835"/>
      <c r="AJ20" s="1835"/>
      <c r="AK20" s="1835"/>
      <c r="AM20" s="689" t="str">
        <f xml:space="preserve">
IF(COUNTA(B20:AA20)=4,"◎",
IF(AND(COUNTA(B20:AA20)&gt;=1,COUNTA(B20:AA20)&lt;4),"×",
IF(COUNTA(B20:AA20)=0,"○")))</f>
        <v>○</v>
      </c>
      <c r="AN20" s="690" t="str">
        <f xml:space="preserve">
IF(COUNTA(B20:AA20)=4,"適切に入力がされました。",
IF(AND(COUNTA(B20:AA20)&gt;=1,COUNTA(B20:AA20)&lt;4),"【要修正】未入力の箇所があります。",
IF(COUNTA(B20:AA20)=0,"申請しない場合は入力不要です。")))</f>
        <v>申請しない場合は入力不要です。</v>
      </c>
    </row>
    <row r="21" spans="2:59" x14ac:dyDescent="0.4">
      <c r="B21" s="1836"/>
      <c r="C21" s="1837"/>
      <c r="D21" s="1837"/>
      <c r="E21" s="1837"/>
      <c r="F21" s="1837"/>
      <c r="G21" s="1837"/>
      <c r="H21" s="1837"/>
      <c r="I21" s="1837"/>
      <c r="J21" s="1838"/>
      <c r="K21" s="1839"/>
      <c r="L21" s="1839"/>
      <c r="M21" s="1839"/>
      <c r="N21" s="1839"/>
      <c r="O21" s="1839"/>
      <c r="P21" s="1839"/>
      <c r="Q21" s="1839"/>
      <c r="R21" s="1839"/>
      <c r="S21" s="1839"/>
      <c r="T21" s="1839"/>
      <c r="U21" s="1840"/>
      <c r="V21" s="1841"/>
      <c r="W21" s="1823"/>
      <c r="X21" s="1824"/>
      <c r="Y21" s="1824"/>
      <c r="Z21" s="1824"/>
      <c r="AA21" s="1824"/>
      <c r="AB21" s="1825">
        <f t="shared" ref="AB21:AB22" si="0">ROUNDDOWN(W21*1.1,0)</f>
        <v>0</v>
      </c>
      <c r="AC21" s="1826"/>
      <c r="AD21" s="1826"/>
      <c r="AE21" s="1826"/>
      <c r="AF21" s="1826"/>
      <c r="AG21" s="1834">
        <f t="shared" ref="AG21:AG22" si="1" xml:space="preserve">
IF(COUNTA(B21:AA21)=4,U21*AB21,
IF(AND(COUNTA(B21:AA21)&gt;=1,COUNTA(B21:AA21)&lt;4),0,
IF(COUNTA(B21:AA21)=0,0)))</f>
        <v>0</v>
      </c>
      <c r="AH21" s="1835"/>
      <c r="AI21" s="1835"/>
      <c r="AJ21" s="1835"/>
      <c r="AK21" s="1835"/>
      <c r="AM21" s="689" t="str">
        <f xml:space="preserve">
IF(COUNTA(B21:AA21)=4,"◎",
IF(AND(COUNTA(B21:AA21)&gt;=1,COUNTA(B21:AA21)&lt;4),"×",
IF(COUNTA(B21:AA21)=0,"○")))</f>
        <v>○</v>
      </c>
      <c r="AN21" s="690" t="str">
        <f xml:space="preserve">
IF(COUNTA(B21:AA21)=4,"適切に入力がされました。",
IF(AND(COUNTA(B21:AA21)&gt;=1,COUNTA(B21:AA21)&lt;4),"【要修正】未入力の箇所があります。",
IF(COUNTA(B21:AA21)=0,"申請しない場合は入力不要です。")))</f>
        <v>申請しない場合は入力不要です。</v>
      </c>
    </row>
    <row r="22" spans="2:59" ht="24.75" thickBot="1" x14ac:dyDescent="0.45">
      <c r="B22" s="1836"/>
      <c r="C22" s="1837"/>
      <c r="D22" s="1837"/>
      <c r="E22" s="1837"/>
      <c r="F22" s="1837"/>
      <c r="G22" s="1837"/>
      <c r="H22" s="1837"/>
      <c r="I22" s="1837"/>
      <c r="J22" s="1838"/>
      <c r="K22" s="1839"/>
      <c r="L22" s="1839"/>
      <c r="M22" s="1839"/>
      <c r="N22" s="1839"/>
      <c r="O22" s="1839"/>
      <c r="P22" s="1839"/>
      <c r="Q22" s="1839"/>
      <c r="R22" s="1839"/>
      <c r="S22" s="1839"/>
      <c r="T22" s="1839"/>
      <c r="U22" s="1840"/>
      <c r="V22" s="1841"/>
      <c r="W22" s="1823"/>
      <c r="X22" s="1824"/>
      <c r="Y22" s="1824"/>
      <c r="Z22" s="1824"/>
      <c r="AA22" s="1824"/>
      <c r="AB22" s="1825">
        <f t="shared" si="0"/>
        <v>0</v>
      </c>
      <c r="AC22" s="1826"/>
      <c r="AD22" s="1826"/>
      <c r="AE22" s="1826"/>
      <c r="AF22" s="1826"/>
      <c r="AG22" s="1834">
        <f t="shared" si="1"/>
        <v>0</v>
      </c>
      <c r="AH22" s="1835"/>
      <c r="AI22" s="1835"/>
      <c r="AJ22" s="1835"/>
      <c r="AK22" s="1835"/>
      <c r="AM22" s="689" t="str">
        <f xml:space="preserve">
IF(COUNTA(B22:AA22)=4,"◎",
IF(AND(COUNTA(B22:AA22)&gt;=1,COUNTA(B22:AA22)&lt;4),"×",
IF(COUNTA(B22:AA22)=0,"○")))</f>
        <v>○</v>
      </c>
      <c r="AN22" s="690" t="str">
        <f xml:space="preserve">
IF(COUNTA(B22:AA22)=4,"適切に入力がされました。",
IF(AND(COUNTA(B22:AA22)&gt;=1,COUNTA(B22:AA22)&lt;4),"【要修正】未入力の箇所があります。",
IF(COUNTA(B22:AA22)=0,"申請しない場合は入力不要です。")))</f>
        <v>申請しない場合は入力不要です。</v>
      </c>
    </row>
    <row r="23" spans="2:59" ht="24.75" thickTop="1" x14ac:dyDescent="0.4">
      <c r="B23" s="1868"/>
      <c r="C23" s="1848"/>
      <c r="D23" s="1848"/>
      <c r="E23" s="1848"/>
      <c r="F23" s="1848"/>
      <c r="G23" s="1848"/>
      <c r="H23" s="1848"/>
      <c r="I23" s="1848"/>
      <c r="J23" s="1848"/>
      <c r="K23" s="1848"/>
      <c r="L23" s="1848"/>
      <c r="M23" s="1848"/>
      <c r="N23" s="1848"/>
      <c r="O23" s="1848"/>
      <c r="P23" s="1848"/>
      <c r="Q23" s="1848"/>
      <c r="R23" s="1848"/>
      <c r="S23" s="1848"/>
      <c r="T23" s="1848"/>
      <c r="U23" s="1848"/>
      <c r="V23" s="1848"/>
      <c r="W23" s="1875" t="s">
        <v>206</v>
      </c>
      <c r="X23" s="1875"/>
      <c r="Y23" s="1875"/>
      <c r="Z23" s="1875"/>
      <c r="AA23" s="1875"/>
      <c r="AB23" s="1875"/>
      <c r="AC23" s="1875"/>
      <c r="AD23" s="1875"/>
      <c r="AE23" s="1875"/>
      <c r="AF23" s="1876"/>
      <c r="AG23" s="1886">
        <f xml:space="preserve">
IF(SUM(COUNTIF(AM16:AM17,"○"),COUNTIF(AM20:AM22,"○"))=5,0,
IF(SUM(COUNTIF(AM16:AM17,"×"),COUNTIF(AM20:AM22,"×"))&gt;=1,0,
IF(AND(SUM(COUNTIF(AM16:AM17,"×"),COUNTIF(AM20:AM22,"×"))=0,SUM(COUNTIF(AM16:AM17,"◎"),COUNTIF(AM20:AM22,"◎"))&gt;=1),SUM(AG20:AK22))))</f>
        <v>0</v>
      </c>
      <c r="AH23" s="1887"/>
      <c r="AI23" s="1887"/>
      <c r="AJ23" s="1887"/>
      <c r="AK23" s="1887"/>
      <c r="BE23" s="688">
        <f xml:space="preserve">
IF(COUNTIF(AM20:AM22,"○")=5,"○",
IF(COUNTIF(AM20:AM22,"×")&gt;=1,"×",
IF(AND(COUNTIF(AM20:AM22,"×")=0,COUNTIF(AM20:AM22,"◎")&gt;=1),"◎",
)))</f>
        <v>0</v>
      </c>
      <c r="BF23" s="467">
        <f xml:space="preserve">
IF(COUNTIF(AM20:AM22,"○")=5,"申請しない場合は入力不要です。",
IF(COUNTIF(AM20:AM22,"×")&gt;=1,"【要修正】入力が不十分な箇所があります。",
IF(AND(COUNTIF(AM20:AM22,"×")=0,COUNTIF(AM20:AM22,"◎")&gt;=1),"適切に入力がされました。",
)))</f>
        <v>0</v>
      </c>
    </row>
    <row r="24" spans="2:59" x14ac:dyDescent="0.4">
      <c r="B24" s="1869"/>
      <c r="C24" s="1870"/>
      <c r="D24" s="1870"/>
      <c r="E24" s="1870"/>
      <c r="F24" s="1870"/>
      <c r="G24" s="1870"/>
      <c r="H24" s="1870"/>
      <c r="I24" s="1870"/>
      <c r="J24" s="1870"/>
      <c r="K24" s="1870"/>
      <c r="L24" s="1870"/>
      <c r="M24" s="1870"/>
      <c r="N24" s="1870"/>
      <c r="O24" s="1870"/>
      <c r="P24" s="1870"/>
      <c r="Q24" s="1870"/>
      <c r="R24" s="1870"/>
      <c r="S24" s="1870"/>
      <c r="T24" s="1870"/>
      <c r="U24" s="1870"/>
      <c r="V24" s="1870"/>
      <c r="W24" s="1877" t="s">
        <v>207</v>
      </c>
      <c r="X24" s="1877"/>
      <c r="Y24" s="1877"/>
      <c r="Z24" s="1877"/>
      <c r="AA24" s="1877"/>
      <c r="AB24" s="1877"/>
      <c r="AC24" s="1877"/>
      <c r="AD24" s="1877"/>
      <c r="AE24" s="1877"/>
      <c r="AF24" s="1878"/>
      <c r="AG24" s="1871">
        <v>905000</v>
      </c>
      <c r="AH24" s="1872"/>
      <c r="AI24" s="1872"/>
      <c r="AJ24" s="1872"/>
      <c r="AK24" s="1872"/>
    </row>
    <row r="25" spans="2:59" ht="22.5" customHeight="1" x14ac:dyDescent="0.4">
      <c r="B25" s="1869" t="s">
        <v>209</v>
      </c>
      <c r="C25" s="1870"/>
      <c r="D25" s="1870"/>
      <c r="E25" s="1870"/>
      <c r="F25" s="1870"/>
      <c r="G25" s="1870"/>
      <c r="H25" s="1870"/>
      <c r="I25" s="1870"/>
      <c r="J25" s="1870"/>
      <c r="K25" s="1870"/>
      <c r="L25" s="1870"/>
      <c r="M25" s="1870"/>
      <c r="N25" s="1870"/>
      <c r="O25" s="1870"/>
      <c r="P25" s="1870"/>
      <c r="Q25" s="1870"/>
      <c r="R25" s="1870"/>
      <c r="S25" s="1870"/>
      <c r="T25" s="1870"/>
      <c r="U25" s="1870"/>
      <c r="V25" s="1870"/>
      <c r="W25" s="1870"/>
      <c r="X25" s="1870"/>
      <c r="Y25" s="1870"/>
      <c r="Z25" s="1870"/>
      <c r="AA25" s="1870"/>
      <c r="AB25" s="1870"/>
      <c r="AC25" s="1870"/>
      <c r="AD25" s="1870"/>
      <c r="AE25" s="1870"/>
      <c r="AF25" s="1615"/>
      <c r="AG25" s="1873"/>
      <c r="AH25" s="1874"/>
      <c r="AI25" s="1874"/>
      <c r="AJ25" s="1874"/>
      <c r="AK25" s="1874"/>
      <c r="BD25" s="1854" t="s">
        <v>1205</v>
      </c>
      <c r="BE25" s="1855"/>
      <c r="BF25" s="1855"/>
      <c r="BG25" s="1557"/>
    </row>
    <row r="26" spans="2:59" x14ac:dyDescent="0.4">
      <c r="B26" s="1869"/>
      <c r="C26" s="1870"/>
      <c r="D26" s="1870"/>
      <c r="E26" s="1870"/>
      <c r="F26" s="1870"/>
      <c r="G26" s="1870"/>
      <c r="H26" s="1870"/>
      <c r="I26" s="1870"/>
      <c r="J26" s="1870"/>
      <c r="K26" s="1870"/>
      <c r="L26" s="1870"/>
      <c r="M26" s="1870"/>
      <c r="N26" s="1870"/>
      <c r="O26" s="1870"/>
      <c r="P26" s="1870"/>
      <c r="Q26" s="1870"/>
      <c r="R26" s="1870"/>
      <c r="S26" s="1870"/>
      <c r="T26" s="1870"/>
      <c r="U26" s="1870"/>
      <c r="V26" s="1870"/>
      <c r="W26" s="1877" t="s">
        <v>208</v>
      </c>
      <c r="X26" s="1877"/>
      <c r="Y26" s="1877"/>
      <c r="Z26" s="1877"/>
      <c r="AA26" s="1877"/>
      <c r="AB26" s="1877"/>
      <c r="AC26" s="1877"/>
      <c r="AD26" s="1877"/>
      <c r="AE26" s="1877"/>
      <c r="AF26" s="1878"/>
      <c r="AG26" s="1871">
        <f>AG24-AG25</f>
        <v>905000</v>
      </c>
      <c r="AH26" s="1872"/>
      <c r="AI26" s="1872"/>
      <c r="AJ26" s="1872"/>
      <c r="AK26" s="1872"/>
      <c r="BD26" s="1855"/>
      <c r="BE26" s="1855"/>
      <c r="BF26" s="1855"/>
      <c r="BG26" s="1557"/>
    </row>
    <row r="27" spans="2:59" x14ac:dyDescent="0.4">
      <c r="B27" s="1869"/>
      <c r="C27" s="1870"/>
      <c r="D27" s="1870"/>
      <c r="E27" s="1870"/>
      <c r="F27" s="1870"/>
      <c r="G27" s="1870"/>
      <c r="H27" s="1870"/>
      <c r="I27" s="1870"/>
      <c r="J27" s="1870"/>
      <c r="K27" s="1870"/>
      <c r="L27" s="1870"/>
      <c r="M27" s="1870"/>
      <c r="N27" s="1870"/>
      <c r="O27" s="1870"/>
      <c r="P27" s="1870"/>
      <c r="Q27" s="1870"/>
      <c r="R27" s="1870"/>
      <c r="S27" s="1870"/>
      <c r="T27" s="1870"/>
      <c r="U27" s="1870"/>
      <c r="V27" s="1870"/>
      <c r="W27" s="1877" t="s">
        <v>210</v>
      </c>
      <c r="X27" s="1877"/>
      <c r="Y27" s="1877"/>
      <c r="Z27" s="1877"/>
      <c r="AA27" s="1877"/>
      <c r="AB27" s="1877"/>
      <c r="AC27" s="1877"/>
      <c r="AD27" s="1877"/>
      <c r="AE27" s="1877"/>
      <c r="AF27" s="1878"/>
      <c r="AG27" s="1871">
        <f>MIN(AG23,AG26)</f>
        <v>0</v>
      </c>
      <c r="AH27" s="1872"/>
      <c r="AI27" s="1872"/>
      <c r="AJ27" s="1872"/>
      <c r="AK27" s="1872"/>
    </row>
    <row r="28" spans="2:59" x14ac:dyDescent="0.4">
      <c r="AB28" s="1830" t="s">
        <v>1213</v>
      </c>
      <c r="AC28" s="1831"/>
      <c r="AD28" s="1831"/>
      <c r="AE28" s="1831"/>
      <c r="AF28" s="1831"/>
      <c r="AG28" s="1829">
        <f>SUM(AG20:AK22)</f>
        <v>0</v>
      </c>
      <c r="AH28" s="1389"/>
      <c r="AI28" s="1389"/>
      <c r="AJ28" s="1389"/>
      <c r="AK28" s="1389"/>
    </row>
    <row r="29" spans="2:59" x14ac:dyDescent="0.4">
      <c r="B29" s="1822" t="str">
        <f>"２．パーテーション　【判定】"&amp;AQ13&amp;
IF(AQ13="○","（申請しない場合は入力不要です。）",
IF(AQ13="×","（【要修正】入力が不十分な箇所があります。）",
IF(AQ13="◎","（適切に入力がされました。）")))</f>
        <v>２．パーテーション　【判定】○（申請しない場合は入力不要です。）</v>
      </c>
      <c r="C29" s="947"/>
      <c r="D29" s="947"/>
      <c r="E29" s="947"/>
      <c r="F29" s="947"/>
      <c r="G29" s="947"/>
      <c r="H29" s="947"/>
      <c r="I29" s="947"/>
      <c r="J29" s="947"/>
      <c r="K29" s="947"/>
      <c r="L29" s="947"/>
      <c r="M29" s="947"/>
      <c r="N29" s="947"/>
      <c r="O29" s="947"/>
      <c r="P29" s="947"/>
      <c r="Q29" s="947"/>
      <c r="R29" s="947"/>
      <c r="S29" s="947"/>
      <c r="T29" s="947"/>
      <c r="U29" s="947"/>
      <c r="V29" s="947"/>
      <c r="W29" s="947"/>
      <c r="X29" s="947"/>
      <c r="Y29" s="947"/>
      <c r="Z29" s="947"/>
      <c r="AA29" s="947"/>
      <c r="AB29" s="947"/>
      <c r="AC29" s="947"/>
      <c r="AD29" s="947"/>
      <c r="AE29" s="947"/>
      <c r="AF29" s="947"/>
      <c r="AG29" s="947"/>
      <c r="AH29" s="947"/>
      <c r="AI29" s="947"/>
      <c r="AJ29" s="947"/>
      <c r="AK29" s="947"/>
      <c r="AL29" s="947"/>
      <c r="AM29" s="947"/>
    </row>
    <row r="30" spans="2:59" x14ac:dyDescent="0.4">
      <c r="B30" s="2" t="s">
        <v>198</v>
      </c>
    </row>
    <row r="31" spans="2:59" x14ac:dyDescent="0.4">
      <c r="B31" s="464" t="s">
        <v>200</v>
      </c>
      <c r="C31" s="1849" t="str">
        <f>C8</f>
        <v>HEPAフィルター式であること。（これ以外の規格は補助対象外）</v>
      </c>
      <c r="D31" s="1850"/>
      <c r="E31" s="1850"/>
      <c r="F31" s="1850"/>
      <c r="G31" s="1850"/>
      <c r="H31" s="1850"/>
      <c r="I31" s="1850"/>
      <c r="J31" s="1850"/>
      <c r="K31" s="1850"/>
      <c r="L31" s="1850"/>
      <c r="M31" s="1850"/>
      <c r="N31" s="1850"/>
      <c r="O31" s="1850"/>
      <c r="P31" s="1850"/>
      <c r="Q31" s="1850"/>
      <c r="R31" s="1850"/>
      <c r="S31" s="1850"/>
      <c r="T31" s="1850"/>
      <c r="U31" s="1850"/>
      <c r="V31" s="1850"/>
      <c r="W31" s="1850"/>
      <c r="X31" s="1850"/>
      <c r="Y31" s="1850"/>
      <c r="Z31" s="1850"/>
      <c r="AA31" s="1850"/>
      <c r="AB31" s="1850"/>
      <c r="AC31" s="1850"/>
      <c r="AD31" s="1850"/>
      <c r="AE31" s="1850"/>
      <c r="AF31" s="1850"/>
      <c r="AG31" s="1850"/>
      <c r="AH31" s="1850"/>
      <c r="AI31" s="1850"/>
      <c r="AJ31" s="1850"/>
      <c r="AK31" s="1851"/>
    </row>
    <row r="32" spans="2:59" x14ac:dyDescent="0.4">
      <c r="B32" s="465" t="s">
        <v>199</v>
      </c>
      <c r="C32" s="1866" t="str">
        <f>C9</f>
        <v>発熱外来診療スペースに整備するものであること。(診療を行わない待合、発熱外来部門以外への整備は補助対象外)</v>
      </c>
      <c r="D32" s="1035"/>
      <c r="E32" s="1035"/>
      <c r="F32" s="1035"/>
      <c r="G32" s="1035"/>
      <c r="H32" s="1035"/>
      <c r="I32" s="1035"/>
      <c r="J32" s="1035"/>
      <c r="K32" s="1035"/>
      <c r="L32" s="1035"/>
      <c r="M32" s="1035"/>
      <c r="N32" s="1035"/>
      <c r="O32" s="1035"/>
      <c r="P32" s="1035"/>
      <c r="Q32" s="1035"/>
      <c r="R32" s="1035"/>
      <c r="S32" s="1035"/>
      <c r="T32" s="1035"/>
      <c r="U32" s="1035"/>
      <c r="V32" s="1035"/>
      <c r="W32" s="1035"/>
      <c r="X32" s="1035"/>
      <c r="Y32" s="1035"/>
      <c r="Z32" s="1035"/>
      <c r="AA32" s="1035"/>
      <c r="AB32" s="1035"/>
      <c r="AC32" s="1035"/>
      <c r="AD32" s="1035"/>
      <c r="AE32" s="1035"/>
      <c r="AF32" s="1035"/>
      <c r="AG32" s="1035"/>
      <c r="AH32" s="1035"/>
      <c r="AI32" s="1035"/>
      <c r="AJ32" s="1035"/>
      <c r="AK32" s="1867"/>
    </row>
    <row r="33" spans="2:58" x14ac:dyDescent="0.4">
      <c r="B33" s="465" t="s">
        <v>201</v>
      </c>
      <c r="C33" s="7" t="s">
        <v>213</v>
      </c>
      <c r="D33" s="7"/>
      <c r="E33" s="682"/>
      <c r="F33" s="682"/>
      <c r="G33" s="682"/>
      <c r="H33" s="682"/>
      <c r="I33" s="682"/>
      <c r="J33" s="682"/>
      <c r="K33" s="682"/>
      <c r="L33" s="682"/>
      <c r="M33" s="682"/>
      <c r="N33" s="682"/>
      <c r="O33" s="682"/>
      <c r="P33" s="682"/>
      <c r="Q33" s="682"/>
      <c r="R33" s="682"/>
      <c r="S33" s="682"/>
      <c r="T33" s="682"/>
      <c r="U33" s="682"/>
      <c r="V33" s="682"/>
      <c r="W33" s="682"/>
      <c r="X33" s="682"/>
      <c r="Y33" s="682"/>
      <c r="Z33" s="682"/>
      <c r="AA33" s="682"/>
      <c r="AB33" s="682"/>
      <c r="AC33" s="682"/>
      <c r="AD33" s="682"/>
      <c r="AE33" s="682"/>
      <c r="AF33" s="682"/>
      <c r="AG33" s="682"/>
      <c r="AH33" s="682"/>
      <c r="AI33" s="682"/>
      <c r="AJ33" s="682"/>
      <c r="AK33" s="698"/>
    </row>
    <row r="34" spans="2:58" x14ac:dyDescent="0.4">
      <c r="B34" s="466" t="s">
        <v>1297</v>
      </c>
      <c r="C34" s="468" t="s">
        <v>1370</v>
      </c>
      <c r="D34" s="468"/>
      <c r="E34" s="468"/>
      <c r="F34" s="468"/>
      <c r="G34" s="468"/>
      <c r="H34" s="468"/>
      <c r="I34" s="468"/>
      <c r="J34" s="468"/>
      <c r="K34" s="468"/>
      <c r="L34" s="468"/>
      <c r="M34" s="468"/>
      <c r="N34" s="468"/>
      <c r="O34" s="468"/>
      <c r="P34" s="468"/>
      <c r="Q34" s="468"/>
      <c r="R34" s="468"/>
      <c r="S34" s="468"/>
      <c r="T34" s="468"/>
      <c r="U34" s="468"/>
      <c r="V34" s="468"/>
      <c r="W34" s="468"/>
      <c r="X34" s="468"/>
      <c r="Y34" s="468"/>
      <c r="Z34" s="468"/>
      <c r="AA34" s="468"/>
      <c r="AB34" s="468"/>
      <c r="AC34" s="468"/>
      <c r="AD34" s="468"/>
      <c r="AE34" s="468"/>
      <c r="AF34" s="468"/>
      <c r="AG34" s="468"/>
      <c r="AH34" s="468"/>
      <c r="AI34" s="468"/>
      <c r="AJ34" s="468"/>
      <c r="AK34" s="469"/>
    </row>
    <row r="35" spans="2:58" x14ac:dyDescent="0.4">
      <c r="B35" s="7" t="s">
        <v>1321</v>
      </c>
      <c r="C35" s="696"/>
      <c r="D35" s="694"/>
      <c r="E35" s="694"/>
      <c r="F35" s="694"/>
      <c r="G35" s="694"/>
      <c r="H35" s="694"/>
      <c r="I35" s="694"/>
      <c r="J35" s="694"/>
      <c r="K35" s="694"/>
      <c r="L35" s="694"/>
      <c r="M35" s="694"/>
      <c r="N35" s="694"/>
      <c r="O35" s="694"/>
      <c r="P35" s="694"/>
      <c r="Q35" s="694"/>
      <c r="R35" s="694"/>
      <c r="S35" s="694"/>
      <c r="T35" s="694"/>
      <c r="U35" s="694"/>
      <c r="V35" s="694"/>
      <c r="W35" s="694"/>
      <c r="X35" s="694"/>
      <c r="Y35" s="694"/>
      <c r="Z35" s="694"/>
      <c r="AA35" s="694"/>
      <c r="AB35" s="694"/>
      <c r="AC35" s="694"/>
      <c r="AD35" s="694"/>
      <c r="AE35" s="694"/>
      <c r="AF35" s="694"/>
      <c r="AG35" s="694"/>
      <c r="AH35" s="694"/>
      <c r="AI35" s="694"/>
      <c r="AJ35" s="694"/>
      <c r="AK35" s="694"/>
      <c r="AM35" s="689" t="s">
        <v>66</v>
      </c>
      <c r="AN35" s="587"/>
    </row>
    <row r="36" spans="2:58" x14ac:dyDescent="0.4">
      <c r="B36" s="1828" t="s">
        <v>1304</v>
      </c>
      <c r="C36" s="2092"/>
      <c r="D36" s="2088"/>
      <c r="E36" s="2089"/>
      <c r="F36" s="579" t="s">
        <v>1301</v>
      </c>
      <c r="G36" s="2088"/>
      <c r="H36" s="2089"/>
      <c r="I36" s="579" t="s">
        <v>1302</v>
      </c>
      <c r="J36" s="2088"/>
      <c r="K36" s="2090"/>
      <c r="L36" s="580" t="s">
        <v>1303</v>
      </c>
      <c r="M36" s="694"/>
      <c r="N36" s="694"/>
      <c r="O36" s="694"/>
      <c r="P36" s="694"/>
      <c r="Q36" s="694"/>
      <c r="R36" s="694"/>
      <c r="S36" s="694"/>
      <c r="T36" s="694"/>
      <c r="U36" s="694"/>
      <c r="V36" s="694"/>
      <c r="W36" s="694"/>
      <c r="X36" s="694"/>
      <c r="Y36" s="694"/>
      <c r="Z36" s="694"/>
      <c r="AA36" s="694"/>
      <c r="AB36" s="694"/>
      <c r="AC36" s="694"/>
      <c r="AD36" s="694"/>
      <c r="AE36" s="694"/>
      <c r="AF36" s="694"/>
      <c r="AG36" s="694"/>
      <c r="AH36" s="694"/>
      <c r="AI36" s="694"/>
      <c r="AJ36" s="694"/>
      <c r="AK36" s="694"/>
      <c r="AM36" s="689" t="str">
        <f xml:space="preserve">
IF(SUM(COUNTA(D36),COUNTA(G36),COUNTA(J36))=0,"○",
IF(SUM(COUNTA(D36),COUNTA(G36),COUNTA(J36))=3,"◎","×"))</f>
        <v>○</v>
      </c>
      <c r="AN36" s="587" t="str">
        <f xml:space="preserve">
IF(SUM(COUNTA(D36),COUNTA(G36),COUNTA(J36))=0,"申請しない場合は入力不要です。",
IF(SUM(COUNTA(D36),COUNTA(G36),COUNTA(J36))=3,"適切に入力がされました。","【要修正】入力が不十分です。"))</f>
        <v>申請しない場合は入力不要です。</v>
      </c>
    </row>
    <row r="37" spans="2:58" x14ac:dyDescent="0.4">
      <c r="B37" s="2" t="s">
        <v>202</v>
      </c>
    </row>
    <row r="38" spans="2:58" x14ac:dyDescent="0.4">
      <c r="B38" s="1865" t="s">
        <v>224</v>
      </c>
      <c r="C38" s="1369"/>
      <c r="D38" s="1369"/>
      <c r="E38" s="1369"/>
      <c r="F38" s="1369"/>
      <c r="G38" s="1369"/>
      <c r="H38" s="1369"/>
      <c r="I38" s="1369"/>
      <c r="J38" s="1865" t="s">
        <v>211</v>
      </c>
      <c r="K38" s="1405"/>
      <c r="L38" s="1405"/>
      <c r="M38" s="1405"/>
      <c r="N38" s="1405"/>
      <c r="O38" s="1454"/>
      <c r="P38" s="1334" t="s">
        <v>24</v>
      </c>
      <c r="Q38" s="1238"/>
      <c r="R38" s="1026" t="s">
        <v>70</v>
      </c>
      <c r="S38" s="1299"/>
      <c r="T38" s="1299"/>
      <c r="U38" s="1299"/>
      <c r="V38" s="1299"/>
      <c r="W38" s="1026" t="s">
        <v>204</v>
      </c>
      <c r="X38" s="1299"/>
      <c r="Y38" s="1299"/>
      <c r="Z38" s="1299"/>
      <c r="AA38" s="1299"/>
      <c r="AB38" s="1334" t="s">
        <v>214</v>
      </c>
      <c r="AC38" s="1238"/>
      <c r="AD38" s="1238"/>
      <c r="AE38" s="1238"/>
      <c r="AF38" s="1238"/>
      <c r="AG38" s="1026" t="s">
        <v>205</v>
      </c>
      <c r="AH38" s="1299"/>
      <c r="AI38" s="1299"/>
      <c r="AJ38" s="1299"/>
      <c r="AK38" s="1299"/>
      <c r="AM38" s="689" t="s">
        <v>66</v>
      </c>
      <c r="AN38" s="587"/>
      <c r="BE38" s="689" t="s">
        <v>222</v>
      </c>
      <c r="BF38" s="681" t="s">
        <v>223</v>
      </c>
    </row>
    <row r="39" spans="2:58" x14ac:dyDescent="0.4">
      <c r="B39" s="1857"/>
      <c r="C39" s="1858"/>
      <c r="D39" s="1858"/>
      <c r="E39" s="1858"/>
      <c r="F39" s="1858"/>
      <c r="G39" s="1858"/>
      <c r="H39" s="1858"/>
      <c r="I39" s="1858"/>
      <c r="J39" s="1859"/>
      <c r="K39" s="1860"/>
      <c r="L39" s="1860"/>
      <c r="M39" s="1860"/>
      <c r="N39" s="1860"/>
      <c r="O39" s="1861"/>
      <c r="P39" s="1840"/>
      <c r="Q39" s="1841"/>
      <c r="R39" s="1823"/>
      <c r="S39" s="1824"/>
      <c r="T39" s="1824"/>
      <c r="U39" s="1824"/>
      <c r="V39" s="1824"/>
      <c r="W39" s="1825">
        <f>ROUNDDOWN(R39*1.1,0)</f>
        <v>0</v>
      </c>
      <c r="X39" s="1826"/>
      <c r="Y39" s="1826"/>
      <c r="Z39" s="1826"/>
      <c r="AA39" s="1826"/>
      <c r="AB39" s="1825">
        <f>MIN(W39,205000)</f>
        <v>0</v>
      </c>
      <c r="AC39" s="1856"/>
      <c r="AD39" s="1856"/>
      <c r="AE39" s="1856"/>
      <c r="AF39" s="1856"/>
      <c r="AG39" s="1834">
        <f xml:space="preserve">
IF(COUNTA(B39:V39)=4,P39*AB39,
IF(AND(COUNTA(B39:V39)&gt;=1,COUNTA(B39:V39)&lt;4),0,
IF(COUNTA(B39:V39)=0,0)))</f>
        <v>0</v>
      </c>
      <c r="AH39" s="1835"/>
      <c r="AI39" s="1835"/>
      <c r="AJ39" s="1835"/>
      <c r="AK39" s="1835"/>
      <c r="AM39" s="689" t="str">
        <f xml:space="preserve">
IF(COUNTA(B39:V39)=4,"◎",
IF(AND(COUNTA(B39:V39)&gt;=1,COUNTA(B39:V39)&lt;4),"×",
IF(COUNTA(B39:V39)=0,"○")))</f>
        <v>○</v>
      </c>
      <c r="AN39" s="690" t="str">
        <f xml:space="preserve">
IF(COUNTA(B39:V39)=4,"適切に入力がされました。",
IF(AND(COUNTA(B39:V39)&gt;=1,COUNTA(B39:V39)&lt;4),"【要修正】未入力の箇所があります。",
IF(COUNTA(B39:V39)=0,"申請しない場合は入力不要です。")))</f>
        <v>申請しない場合は入力不要です。</v>
      </c>
      <c r="BE39" s="689" t="str">
        <f xml:space="preserve">
IF(COUNTA(B39:V39)=4,"◎",
IF(AND(COUNTA(B39:V39)&gt;=1,COUNTA(B39:V39)&lt;4),"×",
IF(COUNTA(B39:V39)=0,"○")))</f>
        <v>○</v>
      </c>
      <c r="BF39" s="690" t="str">
        <f xml:space="preserve">
IF(COUNTA(B39:V39)=4,"適切に入力がされました。",
IF(AND(COUNTA(B39:V39)&gt;=1,COUNTA(B39:V39)&lt;4),"【要修正】未入力の箇所があります。",
IF(COUNTA(B39:V39)=0,"申請しない場合は入力不要です。")))</f>
        <v>申請しない場合は入力不要です。</v>
      </c>
    </row>
    <row r="40" spans="2:58" x14ac:dyDescent="0.4">
      <c r="B40" s="1857"/>
      <c r="C40" s="1858"/>
      <c r="D40" s="1858"/>
      <c r="E40" s="1858"/>
      <c r="F40" s="1858"/>
      <c r="G40" s="1858"/>
      <c r="H40" s="1858"/>
      <c r="I40" s="1858"/>
      <c r="J40" s="1859"/>
      <c r="K40" s="1860"/>
      <c r="L40" s="1860"/>
      <c r="M40" s="1860"/>
      <c r="N40" s="1860"/>
      <c r="O40" s="1861"/>
      <c r="P40" s="1840"/>
      <c r="Q40" s="1841"/>
      <c r="R40" s="1823"/>
      <c r="S40" s="1824"/>
      <c r="T40" s="1824"/>
      <c r="U40" s="1824"/>
      <c r="V40" s="1824"/>
      <c r="W40" s="1825">
        <f>ROUNDDOWN(R40*1.1,0)</f>
        <v>0</v>
      </c>
      <c r="X40" s="1826"/>
      <c r="Y40" s="1826"/>
      <c r="Z40" s="1826"/>
      <c r="AA40" s="1826"/>
      <c r="AB40" s="1862">
        <f t="shared" ref="AB40" si="2">MIN(W40,205000)</f>
        <v>0</v>
      </c>
      <c r="AC40" s="1863"/>
      <c r="AD40" s="1863"/>
      <c r="AE40" s="1863"/>
      <c r="AF40" s="1864"/>
      <c r="AG40" s="1834">
        <f t="shared" ref="AG40:AG41" si="3" xml:space="preserve">
IF(COUNTA(B40:V40)=4,P40*AB40,
IF(AND(COUNTA(B40:V40)&gt;=1,COUNTA(B40:V40)&lt;4),0,
IF(COUNTA(B40:V40)=0,0)))</f>
        <v>0</v>
      </c>
      <c r="AH40" s="1835"/>
      <c r="AI40" s="1835"/>
      <c r="AJ40" s="1835"/>
      <c r="AK40" s="1835"/>
      <c r="AM40" s="689" t="str">
        <f t="shared" ref="AM40:AM41" si="4" xml:space="preserve">
IF(COUNTA(B40:V40)=4,"◎",
IF(AND(COUNTA(B40:V40)&gt;=1,COUNTA(B40:V40)&lt;4),"×",
IF(COUNTA(B40:V40)=0,"○")))</f>
        <v>○</v>
      </c>
      <c r="AN40" s="690" t="str">
        <f t="shared" ref="AN40:AN41" si="5" xml:space="preserve">
IF(COUNTA(B40:V40)=4,"適切に入力がされました。",
IF(AND(COUNTA(B40:V40)&gt;=1,COUNTA(B40:V40)&lt;4),"【要修正】未入力の箇所があります。",
IF(COUNTA(B40:V40)=0,"申請しない場合は入力不要です。")))</f>
        <v>申請しない場合は入力不要です。</v>
      </c>
      <c r="BE40" s="689" t="str">
        <f xml:space="preserve">
IF(COUNTA(B40:V40)=4,"◎",
IF(AND(COUNTA(B40:V40)&gt;=1,COUNTA(B40:V40)&lt;4),"×",
IF(COUNTA(B40:V40)=0,"○")))</f>
        <v>○</v>
      </c>
      <c r="BF40" s="690" t="str">
        <f xml:space="preserve">
IF(COUNTA(B40:V40)=4,"適切に入力がされました。",
IF(AND(COUNTA(B40:V40)&gt;=1,COUNTA(B40:V40)&lt;4),"【要修正】未入力の箇所があります。",
IF(COUNTA(B40:V40)=0,"申請しない場合は入力不要です。")))</f>
        <v>申請しない場合は入力不要です。</v>
      </c>
    </row>
    <row r="41" spans="2:58" ht="24.75" thickBot="1" x14ac:dyDescent="0.45">
      <c r="B41" s="1857"/>
      <c r="C41" s="1858"/>
      <c r="D41" s="1858"/>
      <c r="E41" s="1858"/>
      <c r="F41" s="1858"/>
      <c r="G41" s="1858"/>
      <c r="H41" s="1858"/>
      <c r="I41" s="1858"/>
      <c r="J41" s="1859"/>
      <c r="K41" s="1860"/>
      <c r="L41" s="1860"/>
      <c r="M41" s="1860"/>
      <c r="N41" s="1860"/>
      <c r="O41" s="1861"/>
      <c r="P41" s="1840"/>
      <c r="Q41" s="1841"/>
      <c r="R41" s="1823"/>
      <c r="S41" s="1824"/>
      <c r="T41" s="1824"/>
      <c r="U41" s="1824"/>
      <c r="V41" s="1824"/>
      <c r="W41" s="1825">
        <f>ROUNDDOWN(R41*1.1,0)</f>
        <v>0</v>
      </c>
      <c r="X41" s="1826"/>
      <c r="Y41" s="1826"/>
      <c r="Z41" s="1826"/>
      <c r="AA41" s="1826"/>
      <c r="AB41" s="1862">
        <f>MIN(W41,205000)</f>
        <v>0</v>
      </c>
      <c r="AC41" s="1863"/>
      <c r="AD41" s="1863"/>
      <c r="AE41" s="1863"/>
      <c r="AF41" s="1864"/>
      <c r="AG41" s="1834">
        <f t="shared" si="3"/>
        <v>0</v>
      </c>
      <c r="AH41" s="1835"/>
      <c r="AI41" s="1835"/>
      <c r="AJ41" s="1835"/>
      <c r="AK41" s="1835"/>
      <c r="AM41" s="689" t="str">
        <f t="shared" si="4"/>
        <v>○</v>
      </c>
      <c r="AN41" s="690" t="str">
        <f t="shared" si="5"/>
        <v>申請しない場合は入力不要です。</v>
      </c>
      <c r="BE41" s="689" t="str">
        <f xml:space="preserve">
IF(COUNTA(B41:V41)=4,"◎",
IF(AND(COUNTA(B41:V41)&gt;=1,COUNTA(B41:V41)&lt;4),"×",
IF(COUNTA(B41:V41)=0,"○")))</f>
        <v>○</v>
      </c>
      <c r="BF41" s="690" t="str">
        <f xml:space="preserve">
IF(COUNTA(B41:V41)=4,"適切に入力がされました。",
IF(AND(COUNTA(B41:V41)&gt;=1,COUNTA(B41:V41)&lt;4),"【要修正】未入力の箇所があります。",
IF(COUNTA(B41:V41)=0,"申請しない場合は入力不要です。")))</f>
        <v>申請しない場合は入力不要です。</v>
      </c>
    </row>
    <row r="42" spans="2:58" ht="24.75" thickTop="1" x14ac:dyDescent="0.4">
      <c r="B42" s="1847" t="s">
        <v>212</v>
      </c>
      <c r="C42" s="1848"/>
      <c r="D42" s="1848"/>
      <c r="E42" s="1848"/>
      <c r="F42" s="1848"/>
      <c r="G42" s="1848"/>
      <c r="H42" s="1848"/>
      <c r="I42" s="1848"/>
      <c r="J42" s="1848"/>
      <c r="K42" s="1848"/>
      <c r="L42" s="1848"/>
      <c r="M42" s="1848"/>
      <c r="N42" s="1848"/>
      <c r="O42" s="1848"/>
      <c r="P42" s="1842">
        <f>SUM(P39:Q41)</f>
        <v>0</v>
      </c>
      <c r="Q42" s="1843"/>
      <c r="R42" s="1844"/>
      <c r="S42" s="1845"/>
      <c r="T42" s="1845"/>
      <c r="U42" s="1845"/>
      <c r="V42" s="1845"/>
      <c r="W42" s="1845"/>
      <c r="X42" s="1845"/>
      <c r="Y42" s="1845"/>
      <c r="Z42" s="1845"/>
      <c r="AA42" s="1845"/>
      <c r="AB42" s="1845"/>
      <c r="AC42" s="1845"/>
      <c r="AD42" s="1845"/>
      <c r="AE42" s="1845"/>
      <c r="AF42" s="1846"/>
      <c r="AG42" s="1592">
        <f xml:space="preserve">
IF(COUNTIF(AM39:AM41,"○")=3,0,
IF(COUNTIF(AM39:AM41,"×")&gt;=1,0,
IF(AND(COUNTIF(AM39:AM41,"×")=0,COUNTIF(AM39:AM41,"◎")&gt;=1),SUM(AG39:AK41))))</f>
        <v>0</v>
      </c>
      <c r="AH42" s="1845"/>
      <c r="AI42" s="1845"/>
      <c r="AJ42" s="1845"/>
      <c r="AK42" s="1846"/>
      <c r="BE42" s="688" t="b">
        <f xml:space="preserve">
IF(COUNTIF(BE39:BE41,"○")=4,"○",
IF(COUNTIF(BE39:BE41,"×")&gt;=1,"×",
IF(AND(COUNTIF(BE39:BE41,"×")=0,COUNTIF(BE39:BE41,"◎")&gt;=1),"◎")))</f>
        <v>0</v>
      </c>
      <c r="BF42" s="467" t="b">
        <f xml:space="preserve">
IF(COUNTIF(BE39:BE41,"○")=4,"申請しない場合は入力不要です。",
IF(COUNTIF(BE39:BE41,"×")&gt;=1,"【要修正】入力不十分の箇所があるため金額が表示できません。",
IF(AND(COUNTIF(BE39:BE41,"×")=0,COUNTIF(BE39:BE41,"◎")&gt;=1),"適切に入力がされました。")))</f>
        <v>0</v>
      </c>
    </row>
    <row r="43" spans="2:58" x14ac:dyDescent="0.4">
      <c r="B43" s="470"/>
      <c r="C43" s="471"/>
      <c r="D43" s="471"/>
      <c r="E43" s="471"/>
      <c r="F43" s="471"/>
      <c r="G43" s="471"/>
      <c r="H43" s="471"/>
      <c r="I43" s="471"/>
      <c r="J43" s="471"/>
      <c r="K43" s="471"/>
      <c r="L43" s="471"/>
      <c r="M43" s="471"/>
      <c r="N43" s="471"/>
      <c r="O43" s="471"/>
      <c r="P43" s="471"/>
      <c r="Q43" s="471"/>
      <c r="R43" s="471"/>
      <c r="S43" s="471"/>
      <c r="T43" s="471"/>
      <c r="U43" s="697"/>
      <c r="V43" s="682"/>
      <c r="W43" s="697"/>
      <c r="X43" s="682"/>
      <c r="Y43" s="682"/>
      <c r="Z43" s="682"/>
      <c r="AA43" s="682"/>
      <c r="AB43" s="1830" t="s">
        <v>1213</v>
      </c>
      <c r="AC43" s="1831"/>
      <c r="AD43" s="1831"/>
      <c r="AE43" s="1831"/>
      <c r="AF43" s="1831"/>
      <c r="AG43" s="1829">
        <f>SUM(P39*W39,P40*W40,P41*W41)</f>
        <v>0</v>
      </c>
      <c r="AH43" s="1389"/>
      <c r="AI43" s="1389"/>
      <c r="AJ43" s="1389"/>
      <c r="AK43" s="1389"/>
    </row>
    <row r="44" spans="2:58" x14ac:dyDescent="0.4">
      <c r="B44" s="1822" t="str">
        <f>"３．簡易ベッド　【判定】"&amp;AQ17&amp;
IF(AQ17="○","（申請しない場合は入力不要です。）",
IF(AQ17="×","（【要修正】入力が不十分な箇所があります。）",
IF(AQ17="◎","（適切に入力がされました。）")))</f>
        <v>３．簡易ベッド　【判定】○（申請しない場合は入力不要です。）</v>
      </c>
      <c r="C44" s="947"/>
      <c r="D44" s="947"/>
      <c r="E44" s="947"/>
      <c r="F44" s="947"/>
      <c r="G44" s="947"/>
      <c r="H44" s="947"/>
      <c r="I44" s="947"/>
      <c r="J44" s="947"/>
      <c r="K44" s="947"/>
      <c r="L44" s="947"/>
      <c r="M44" s="947"/>
      <c r="N44" s="947"/>
      <c r="O44" s="947"/>
      <c r="P44" s="947"/>
      <c r="Q44" s="947"/>
      <c r="R44" s="947"/>
      <c r="S44" s="947"/>
      <c r="T44" s="947"/>
      <c r="U44" s="947"/>
      <c r="V44" s="947"/>
      <c r="W44" s="947"/>
      <c r="X44" s="947"/>
      <c r="Y44" s="947"/>
      <c r="Z44" s="947"/>
      <c r="AA44" s="947"/>
      <c r="AB44" s="947"/>
      <c r="AC44" s="947"/>
      <c r="AD44" s="947"/>
      <c r="AE44" s="947"/>
      <c r="AF44" s="947"/>
      <c r="AG44" s="947"/>
      <c r="AH44" s="947"/>
      <c r="AI44" s="947"/>
      <c r="AJ44" s="947"/>
      <c r="AK44" s="947"/>
      <c r="AL44" s="947"/>
      <c r="AM44" s="947"/>
    </row>
    <row r="45" spans="2:58" x14ac:dyDescent="0.4">
      <c r="B45" s="2" t="s">
        <v>198</v>
      </c>
    </row>
    <row r="46" spans="2:58" x14ac:dyDescent="0.4">
      <c r="B46" s="464" t="s">
        <v>200</v>
      </c>
      <c r="C46" s="1849" t="s">
        <v>930</v>
      </c>
      <c r="D46" s="1850"/>
      <c r="E46" s="1850"/>
      <c r="F46" s="1850"/>
      <c r="G46" s="1850"/>
      <c r="H46" s="1850"/>
      <c r="I46" s="1850"/>
      <c r="J46" s="1850"/>
      <c r="K46" s="1850"/>
      <c r="L46" s="1850"/>
      <c r="M46" s="1850"/>
      <c r="N46" s="1850"/>
      <c r="O46" s="1850"/>
      <c r="P46" s="1850"/>
      <c r="Q46" s="1850"/>
      <c r="R46" s="1850"/>
      <c r="S46" s="1850"/>
      <c r="T46" s="1850"/>
      <c r="U46" s="1850"/>
      <c r="V46" s="1850"/>
      <c r="W46" s="1850"/>
      <c r="X46" s="1850"/>
      <c r="Y46" s="1850"/>
      <c r="Z46" s="1850"/>
      <c r="AA46" s="1850"/>
      <c r="AB46" s="1850"/>
      <c r="AC46" s="1850"/>
      <c r="AD46" s="1850"/>
      <c r="AE46" s="1850"/>
      <c r="AF46" s="1850"/>
      <c r="AG46" s="1850"/>
      <c r="AH46" s="1850"/>
      <c r="AI46" s="1850"/>
      <c r="AJ46" s="1850"/>
      <c r="AK46" s="1851"/>
    </row>
    <row r="47" spans="2:58" x14ac:dyDescent="0.4">
      <c r="B47" s="466" t="s">
        <v>199</v>
      </c>
      <c r="C47" s="468" t="s">
        <v>217</v>
      </c>
      <c r="D47" s="468"/>
      <c r="E47" s="468"/>
      <c r="F47" s="468"/>
      <c r="G47" s="468"/>
      <c r="H47" s="468"/>
      <c r="I47" s="468"/>
      <c r="J47" s="468"/>
      <c r="K47" s="468"/>
      <c r="L47" s="468"/>
      <c r="M47" s="468"/>
      <c r="N47" s="468"/>
      <c r="O47" s="468"/>
      <c r="P47" s="468"/>
      <c r="Q47" s="468"/>
      <c r="R47" s="468"/>
      <c r="S47" s="468"/>
      <c r="T47" s="468"/>
      <c r="U47" s="468"/>
      <c r="V47" s="468"/>
      <c r="W47" s="468"/>
      <c r="X47" s="468"/>
      <c r="Y47" s="468"/>
      <c r="Z47" s="468"/>
      <c r="AA47" s="468"/>
      <c r="AB47" s="468"/>
      <c r="AC47" s="468"/>
      <c r="AD47" s="468"/>
      <c r="AE47" s="468"/>
      <c r="AF47" s="468"/>
      <c r="AG47" s="468"/>
      <c r="AH47" s="468"/>
      <c r="AI47" s="468"/>
      <c r="AJ47" s="468"/>
      <c r="AK47" s="469"/>
    </row>
    <row r="48" spans="2:58" x14ac:dyDescent="0.4">
      <c r="B48" s="7" t="s">
        <v>1306</v>
      </c>
      <c r="C48" s="696"/>
      <c r="D48" s="694"/>
      <c r="E48" s="694"/>
      <c r="F48" s="694"/>
      <c r="G48" s="694"/>
      <c r="H48" s="694"/>
      <c r="I48" s="694"/>
      <c r="J48" s="694"/>
      <c r="K48" s="694"/>
      <c r="L48" s="694"/>
      <c r="M48" s="694"/>
      <c r="N48" s="694"/>
      <c r="O48" s="694"/>
      <c r="P48" s="694"/>
      <c r="Q48" s="694"/>
      <c r="R48" s="694"/>
      <c r="S48" s="694"/>
      <c r="T48" s="694"/>
      <c r="U48" s="694"/>
      <c r="V48" s="694"/>
      <c r="W48" s="694"/>
      <c r="X48" s="694"/>
      <c r="Y48" s="694"/>
      <c r="Z48" s="694"/>
      <c r="AA48" s="694"/>
      <c r="AB48" s="694"/>
      <c r="AC48" s="694"/>
      <c r="AD48" s="694"/>
      <c r="AE48" s="694"/>
      <c r="AF48" s="694"/>
      <c r="AG48" s="694"/>
      <c r="AH48" s="694"/>
      <c r="AI48" s="694"/>
      <c r="AJ48" s="694"/>
      <c r="AK48" s="694"/>
      <c r="AM48" s="689" t="s">
        <v>66</v>
      </c>
      <c r="AN48" s="587"/>
    </row>
    <row r="49" spans="2:58" x14ac:dyDescent="0.4">
      <c r="B49" s="1828" t="s">
        <v>1304</v>
      </c>
      <c r="C49" s="2092"/>
      <c r="D49" s="2088"/>
      <c r="E49" s="2089"/>
      <c r="F49" s="579" t="s">
        <v>1301</v>
      </c>
      <c r="G49" s="2088"/>
      <c r="H49" s="2089"/>
      <c r="I49" s="579" t="s">
        <v>1302</v>
      </c>
      <c r="J49" s="2088"/>
      <c r="K49" s="2090"/>
      <c r="L49" s="580" t="s">
        <v>1303</v>
      </c>
      <c r="M49" s="694"/>
      <c r="N49" s="694"/>
      <c r="O49" s="694"/>
      <c r="P49" s="694"/>
      <c r="Q49" s="694"/>
      <c r="R49" s="694"/>
      <c r="S49" s="694"/>
      <c r="T49" s="694"/>
      <c r="U49" s="694"/>
      <c r="V49" s="694"/>
      <c r="W49" s="694"/>
      <c r="X49" s="694"/>
      <c r="Y49" s="694"/>
      <c r="Z49" s="694"/>
      <c r="AA49" s="694"/>
      <c r="AB49" s="694"/>
      <c r="AC49" s="694"/>
      <c r="AD49" s="694"/>
      <c r="AE49" s="694"/>
      <c r="AF49" s="694"/>
      <c r="AG49" s="694"/>
      <c r="AH49" s="694"/>
      <c r="AI49" s="694"/>
      <c r="AJ49" s="694"/>
      <c r="AK49" s="694"/>
      <c r="AM49" s="689" t="str">
        <f xml:space="preserve">
IF(SUM(COUNTA(D49),COUNTA(G49),COUNTA(J49))=0,"○",
IF(SUM(COUNTA(D49),COUNTA(G49),COUNTA(J49))=3,"◎","×"))</f>
        <v>○</v>
      </c>
      <c r="AN49" s="587" t="str">
        <f xml:space="preserve">
IF(SUM(COUNTA(D49),COUNTA(G49),COUNTA(J49))=0,"申請しない場合は入力不要です。",
IF(SUM(COUNTA(D49),COUNTA(G49),COUNTA(J49))=3,"適切に入力がされました。","【要修正】入力が不十分です。"))</f>
        <v>申請しない場合は入力不要です。</v>
      </c>
    </row>
    <row r="50" spans="2:58" x14ac:dyDescent="0.4">
      <c r="B50" s="2" t="s">
        <v>202</v>
      </c>
    </row>
    <row r="51" spans="2:58" x14ac:dyDescent="0.4">
      <c r="B51" s="1852" t="s">
        <v>224</v>
      </c>
      <c r="C51" s="1853"/>
      <c r="D51" s="1853"/>
      <c r="E51" s="1853"/>
      <c r="F51" s="1853"/>
      <c r="G51" s="1853"/>
      <c r="H51" s="1853"/>
      <c r="I51" s="1853"/>
      <c r="J51" s="1852" t="s">
        <v>211</v>
      </c>
      <c r="K51" s="1481"/>
      <c r="L51" s="1481"/>
      <c r="M51" s="1481"/>
      <c r="N51" s="1481"/>
      <c r="O51" s="1482"/>
      <c r="P51" s="1026" t="s">
        <v>24</v>
      </c>
      <c r="Q51" s="1299"/>
      <c r="R51" s="1026" t="s">
        <v>70</v>
      </c>
      <c r="S51" s="1299"/>
      <c r="T51" s="1299"/>
      <c r="U51" s="1299"/>
      <c r="V51" s="1299"/>
      <c r="W51" s="1026" t="s">
        <v>204</v>
      </c>
      <c r="X51" s="1299"/>
      <c r="Y51" s="1299"/>
      <c r="Z51" s="1299"/>
      <c r="AA51" s="1299"/>
      <c r="AB51" s="1026" t="s">
        <v>214</v>
      </c>
      <c r="AC51" s="1299"/>
      <c r="AD51" s="1299"/>
      <c r="AE51" s="1299"/>
      <c r="AF51" s="1299"/>
      <c r="AG51" s="1026" t="s">
        <v>205</v>
      </c>
      <c r="AH51" s="1299"/>
      <c r="AI51" s="1299"/>
      <c r="AJ51" s="1299"/>
      <c r="AK51" s="1299"/>
      <c r="AM51" s="689" t="s">
        <v>66</v>
      </c>
      <c r="AN51" s="587"/>
      <c r="BE51" s="689" t="s">
        <v>222</v>
      </c>
      <c r="BF51" s="681" t="s">
        <v>223</v>
      </c>
    </row>
    <row r="52" spans="2:58" x14ac:dyDescent="0.4">
      <c r="B52" s="1857"/>
      <c r="C52" s="1858"/>
      <c r="D52" s="1858"/>
      <c r="E52" s="1858"/>
      <c r="F52" s="1858"/>
      <c r="G52" s="1858"/>
      <c r="H52" s="1858"/>
      <c r="I52" s="1858"/>
      <c r="J52" s="1859"/>
      <c r="K52" s="1860"/>
      <c r="L52" s="1860"/>
      <c r="M52" s="1860"/>
      <c r="N52" s="1860"/>
      <c r="O52" s="1861"/>
      <c r="P52" s="1840"/>
      <c r="Q52" s="1841"/>
      <c r="R52" s="1823"/>
      <c r="S52" s="1824"/>
      <c r="T52" s="1824"/>
      <c r="U52" s="1824"/>
      <c r="V52" s="1824"/>
      <c r="W52" s="1825">
        <f>ROUNDDOWN(R52*1.1,0)</f>
        <v>0</v>
      </c>
      <c r="X52" s="1826"/>
      <c r="Y52" s="1826"/>
      <c r="Z52" s="1826"/>
      <c r="AA52" s="1826"/>
      <c r="AB52" s="1825">
        <f>MIN(W52,51400)</f>
        <v>0</v>
      </c>
      <c r="AC52" s="1856"/>
      <c r="AD52" s="1856"/>
      <c r="AE52" s="1856"/>
      <c r="AF52" s="1856"/>
      <c r="AG52" s="1834">
        <f xml:space="preserve">
IF(COUNTA(B52:V52)=4,P52*AB52,
IF(AND(COUNTA(B52:V52)&gt;=1,COUNTA(B52:V52)&lt;4),0,
IF(COUNTA(B52:V52)=0,0)))</f>
        <v>0</v>
      </c>
      <c r="AH52" s="1835"/>
      <c r="AI52" s="1835"/>
      <c r="AJ52" s="1835"/>
      <c r="AK52" s="1835"/>
      <c r="AM52" s="689" t="str">
        <f xml:space="preserve">
IF(COUNTA(B52:V52)=4,"◎",
IF(AND(COUNTA(B52:V52)&gt;=1,COUNTA(B52:V52)&lt;4),"×",
IF(COUNTA(B52:V52)=0,"○")))</f>
        <v>○</v>
      </c>
      <c r="AN52" s="690" t="str">
        <f xml:space="preserve">
IF(COUNTA(B52:V52)=4,"適切に入力がされました。",
IF(AND(COUNTA(B52:V52)&gt;=1,COUNTA(B52:V52)&lt;4),"【要修正】未入力の箇所があります。",
IF(COUNTA(B52:V52)=0,"申請しない場合は入力不要です。")))</f>
        <v>申請しない場合は入力不要です。</v>
      </c>
      <c r="BE52" s="689" t="str">
        <f xml:space="preserve">
IF(COUNTA(B52:V52)=4,"◎",
IF(AND(COUNTA(B52:V52)&gt;=1,COUNTA(B52:V52)&lt;4),"×",
IF(COUNTA(B52:V52)=0,"○")))</f>
        <v>○</v>
      </c>
      <c r="BF52" s="690" t="str">
        <f xml:space="preserve">
IF(COUNTA(B52:V52)=4,"適切に入力がされました。",
IF(AND(COUNTA(B52:V52)&gt;=1,COUNTA(B52:V52)&lt;4),"【要修正】未入力の箇所があります。",
IF(COUNTA(B52:V52)=0,"申請しない場合は入力不要です。")))</f>
        <v>申請しない場合は入力不要です。</v>
      </c>
    </row>
    <row r="53" spans="2:58" x14ac:dyDescent="0.4">
      <c r="B53" s="1857"/>
      <c r="C53" s="1858"/>
      <c r="D53" s="1858"/>
      <c r="E53" s="1858"/>
      <c r="F53" s="1858"/>
      <c r="G53" s="1858"/>
      <c r="H53" s="1858"/>
      <c r="I53" s="1858"/>
      <c r="J53" s="1859"/>
      <c r="K53" s="1860"/>
      <c r="L53" s="1860"/>
      <c r="M53" s="1860"/>
      <c r="N53" s="1860"/>
      <c r="O53" s="1861"/>
      <c r="P53" s="1840"/>
      <c r="Q53" s="1841"/>
      <c r="R53" s="1823"/>
      <c r="S53" s="1824"/>
      <c r="T53" s="1824"/>
      <c r="U53" s="1824"/>
      <c r="V53" s="1824"/>
      <c r="W53" s="1825">
        <f t="shared" ref="W53:W54" si="6">ROUNDDOWN(R53*1.1,0)</f>
        <v>0</v>
      </c>
      <c r="X53" s="1826"/>
      <c r="Y53" s="1826"/>
      <c r="Z53" s="1826"/>
      <c r="AA53" s="1826"/>
      <c r="AB53" s="1825">
        <f t="shared" ref="AB53:AB54" si="7">MIN(W53,51400)</f>
        <v>0</v>
      </c>
      <c r="AC53" s="1856"/>
      <c r="AD53" s="1856"/>
      <c r="AE53" s="1856"/>
      <c r="AF53" s="1856"/>
      <c r="AG53" s="1834">
        <f t="shared" ref="AG53:AG54" si="8" xml:space="preserve">
IF(COUNTA(B53:V53)=4,P53*AB53,
IF(AND(COUNTA(B53:V53)&gt;=1,COUNTA(B53:V53)&lt;4),0,
IF(COUNTA(B53:V53)=0,0)))</f>
        <v>0</v>
      </c>
      <c r="AH53" s="1835"/>
      <c r="AI53" s="1835"/>
      <c r="AJ53" s="1835"/>
      <c r="AK53" s="1835"/>
      <c r="AM53" s="689" t="str">
        <f t="shared" ref="AM53:AM54" si="9" xml:space="preserve">
IF(COUNTA(B53:V53)=4,"◎",
IF(AND(COUNTA(B53:V53)&gt;=1,COUNTA(B53:V53)&lt;4),"×",
IF(COUNTA(B53:V53)=0,"○")))</f>
        <v>○</v>
      </c>
      <c r="AN53" s="690" t="str">
        <f t="shared" ref="AN53:AN54" si="10" xml:space="preserve">
IF(COUNTA(B53:V53)=4,"適切に入力がされました。",
IF(AND(COUNTA(B53:V53)&gt;=1,COUNTA(B53:V53)&lt;4),"【要修正】未入力の箇所があります。",
IF(COUNTA(B53:V53)=0,"申請しない場合は入力不要です。")))</f>
        <v>申請しない場合は入力不要です。</v>
      </c>
      <c r="BE53" s="689" t="str">
        <f xml:space="preserve">
IF(COUNTA(B53:V53)=4,"◎",
IF(AND(COUNTA(B53:V53)&gt;=1,COUNTA(B53:V53)&lt;4),"×",
IF(COUNTA(B53:V53)=0,"○")))</f>
        <v>○</v>
      </c>
      <c r="BF53" s="690" t="str">
        <f xml:space="preserve">
IF(COUNTA(B53:V53)=4,"適切に入力がされました。",
IF(AND(COUNTA(B53:V53)&gt;=1,COUNTA(B53:V53)&lt;4),"【要修正】未入力の箇所があります。",
IF(COUNTA(B53:V53)=0,"申請しない場合は入力不要です。")))</f>
        <v>申請しない場合は入力不要です。</v>
      </c>
    </row>
    <row r="54" spans="2:58" ht="24.75" thickBot="1" x14ac:dyDescent="0.45">
      <c r="B54" s="1857"/>
      <c r="C54" s="1858"/>
      <c r="D54" s="1858"/>
      <c r="E54" s="1858"/>
      <c r="F54" s="1858"/>
      <c r="G54" s="1858"/>
      <c r="H54" s="1858"/>
      <c r="I54" s="1858"/>
      <c r="J54" s="1859"/>
      <c r="K54" s="1860"/>
      <c r="L54" s="1860"/>
      <c r="M54" s="1860"/>
      <c r="N54" s="1860"/>
      <c r="O54" s="1861"/>
      <c r="P54" s="1840"/>
      <c r="Q54" s="1841"/>
      <c r="R54" s="1823"/>
      <c r="S54" s="1824"/>
      <c r="T54" s="1824"/>
      <c r="U54" s="1824"/>
      <c r="V54" s="1824"/>
      <c r="W54" s="1825">
        <f t="shared" si="6"/>
        <v>0</v>
      </c>
      <c r="X54" s="1826"/>
      <c r="Y54" s="1826"/>
      <c r="Z54" s="1826"/>
      <c r="AA54" s="1826"/>
      <c r="AB54" s="1825">
        <f t="shared" si="7"/>
        <v>0</v>
      </c>
      <c r="AC54" s="1856"/>
      <c r="AD54" s="1856"/>
      <c r="AE54" s="1856"/>
      <c r="AF54" s="1856"/>
      <c r="AG54" s="1834">
        <f t="shared" si="8"/>
        <v>0</v>
      </c>
      <c r="AH54" s="1835"/>
      <c r="AI54" s="1835"/>
      <c r="AJ54" s="1835"/>
      <c r="AK54" s="1835"/>
      <c r="AM54" s="689" t="str">
        <f t="shared" si="9"/>
        <v>○</v>
      </c>
      <c r="AN54" s="690" t="str">
        <f t="shared" si="10"/>
        <v>申請しない場合は入力不要です。</v>
      </c>
      <c r="BE54" s="689" t="str">
        <f xml:space="preserve">
IF(COUNTA(B54:V54)=4,"◎",
IF(AND(COUNTA(B54:V54)&gt;=1,COUNTA(B54:V54)&lt;4),"×",
IF(COUNTA(B54:V54)=0,"○")))</f>
        <v>○</v>
      </c>
      <c r="BF54" s="690" t="str">
        <f xml:space="preserve">
IF(COUNTA(B54:V54)=4,"適切に入力がされました。",
IF(AND(COUNTA(B54:V54)&gt;=1,COUNTA(B54:V54)&lt;4),"【要修正】未入力の箇所があります。",
IF(COUNTA(B54:V54)=0,"申請しない場合は入力不要です。")))</f>
        <v>申請しない場合は入力不要です。</v>
      </c>
    </row>
    <row r="55" spans="2:58" ht="24.75" thickTop="1" x14ac:dyDescent="0.4">
      <c r="B55" s="1847" t="s">
        <v>212</v>
      </c>
      <c r="C55" s="1848"/>
      <c r="D55" s="1848"/>
      <c r="E55" s="1848"/>
      <c r="F55" s="1848"/>
      <c r="G55" s="1848"/>
      <c r="H55" s="1848"/>
      <c r="I55" s="1848"/>
      <c r="J55" s="1848"/>
      <c r="K55" s="1848"/>
      <c r="L55" s="1848"/>
      <c r="M55" s="1848"/>
      <c r="N55" s="1848"/>
      <c r="O55" s="1848"/>
      <c r="P55" s="1842">
        <f>SUM(P52:Q54)</f>
        <v>0</v>
      </c>
      <c r="Q55" s="1843"/>
      <c r="R55" s="1844"/>
      <c r="S55" s="1845"/>
      <c r="T55" s="1845"/>
      <c r="U55" s="1845"/>
      <c r="V55" s="1845"/>
      <c r="W55" s="1845"/>
      <c r="X55" s="1845"/>
      <c r="Y55" s="1845"/>
      <c r="Z55" s="1845"/>
      <c r="AA55" s="1845"/>
      <c r="AB55" s="1845"/>
      <c r="AC55" s="1845"/>
      <c r="AD55" s="1845"/>
      <c r="AE55" s="1845"/>
      <c r="AF55" s="1846"/>
      <c r="AG55" s="1592">
        <f xml:space="preserve">
IF(COUNTIF(AM52:AM54,"○")=3,0,
IF(COUNTIF(AM52:AM54,"×")&gt;=1,0,
IF(AND(COUNTIF(AM52:AM54,"×")=0,COUNTIF(AM52:AM54,"◎")&gt;=1),SUM(AG52:AK54))))</f>
        <v>0</v>
      </c>
      <c r="AH55" s="1845"/>
      <c r="AI55" s="1845"/>
      <c r="AJ55" s="1845"/>
      <c r="AK55" s="1846"/>
      <c r="BE55" s="688" t="b">
        <f xml:space="preserve">
IF(COUNTIF(BE52:BE54,"○")=4,"○",
IF(COUNTIF(BE52:BE54,"×")&gt;=1,"×",
IF(AND(COUNTIF(BE52:BE54,"×")=0,COUNTIF(BE52:BE54,"◎")&gt;=1),"◎")))</f>
        <v>0</v>
      </c>
      <c r="BF55" s="467" t="b">
        <f xml:space="preserve">
IF(COUNTIF(BE52:BE54,"○")=4,"申請しない場合は入力不要です。",
IF(COUNTIF(BE52:BE54,"×")&gt;=1,"【要修正】入力不十分の箇所があるため金額が表示できません。",
IF(AND(COUNTIF(BE52:BE54,"×")=0,COUNTIF(BE52:BE54,"◎")&gt;=1),"適切に入力がされました。")))</f>
        <v>0</v>
      </c>
    </row>
    <row r="56" spans="2:58" x14ac:dyDescent="0.4">
      <c r="AB56" s="1830" t="s">
        <v>1213</v>
      </c>
      <c r="AC56" s="1831"/>
      <c r="AD56" s="1831"/>
      <c r="AE56" s="1831"/>
      <c r="AF56" s="1831"/>
      <c r="AG56" s="1829">
        <f>SUM(P52*W52,P53*W53,P54*W54)</f>
        <v>0</v>
      </c>
      <c r="AH56" s="1389"/>
      <c r="AI56" s="1389"/>
      <c r="AJ56" s="1389"/>
      <c r="AK56" s="1389"/>
    </row>
    <row r="57" spans="2:58" x14ac:dyDescent="0.4">
      <c r="BE57" s="2" t="s">
        <v>933</v>
      </c>
    </row>
    <row r="58" spans="2:58" x14ac:dyDescent="0.4">
      <c r="BE58" s="2" t="s">
        <v>934</v>
      </c>
    </row>
    <row r="59" spans="2:58" x14ac:dyDescent="0.4">
      <c r="BE59" s="2" t="s">
        <v>935</v>
      </c>
    </row>
    <row r="60" spans="2:58" x14ac:dyDescent="0.4">
      <c r="BE60" s="2" t="s">
        <v>936</v>
      </c>
    </row>
    <row r="61" spans="2:58" x14ac:dyDescent="0.4">
      <c r="BE61" s="2" t="s">
        <v>203</v>
      </c>
    </row>
    <row r="62" spans="2:58" x14ac:dyDescent="0.4">
      <c r="BE62" s="2" t="s">
        <v>937</v>
      </c>
    </row>
    <row r="63" spans="2:58" x14ac:dyDescent="0.4">
      <c r="BE63" s="2" t="s">
        <v>215</v>
      </c>
    </row>
    <row r="64" spans="2:58" x14ac:dyDescent="0.4">
      <c r="BE64" s="2" t="s">
        <v>216</v>
      </c>
    </row>
  </sheetData>
  <sheetProtection algorithmName="SHA-512" hashValue="Lbq0bI25Ryu8IfbSFNobD5Zk5jABcev8yHn727/3fHBSsfKqm0fwCKfo673KLTF548hp2Va0C2wCP2YVKoT5vg==" saltValue="suJlkM7MHhe8m5QPfHPPSw==" spinCount="100000" sheet="1" objects="1" scenarios="1"/>
  <mergeCells count="149">
    <mergeCell ref="C10:AK10"/>
    <mergeCell ref="C12:AK12"/>
    <mergeCell ref="B5:AK5"/>
    <mergeCell ref="B25:AF25"/>
    <mergeCell ref="B2:S3"/>
    <mergeCell ref="AG23:AK23"/>
    <mergeCell ref="AG24:AK24"/>
    <mergeCell ref="AG19:AK19"/>
    <mergeCell ref="AG20:AK20"/>
    <mergeCell ref="C8:AK8"/>
    <mergeCell ref="C9:AK9"/>
    <mergeCell ref="B16:I16"/>
    <mergeCell ref="AI2:AM2"/>
    <mergeCell ref="AI3:AM3"/>
    <mergeCell ref="AI4:AM4"/>
    <mergeCell ref="AG2:AH2"/>
    <mergeCell ref="AG3:AH3"/>
    <mergeCell ref="AG4:AH4"/>
    <mergeCell ref="AA2:AF2"/>
    <mergeCell ref="W22:AA22"/>
    <mergeCell ref="AB22:AF22"/>
    <mergeCell ref="AA3:AF3"/>
    <mergeCell ref="AA4:AF4"/>
    <mergeCell ref="B17:I17"/>
    <mergeCell ref="J16:AK16"/>
    <mergeCell ref="W26:AF26"/>
    <mergeCell ref="W27:AF27"/>
    <mergeCell ref="J19:T19"/>
    <mergeCell ref="J20:T20"/>
    <mergeCell ref="B19:I19"/>
    <mergeCell ref="B20:I20"/>
    <mergeCell ref="U19:V19"/>
    <mergeCell ref="U20:V20"/>
    <mergeCell ref="W19:AA19"/>
    <mergeCell ref="W20:AA20"/>
    <mergeCell ref="AB19:AF19"/>
    <mergeCell ref="AB20:AF20"/>
    <mergeCell ref="B22:I22"/>
    <mergeCell ref="J22:T22"/>
    <mergeCell ref="U22:V22"/>
    <mergeCell ref="AG21:AK21"/>
    <mergeCell ref="C31:AK31"/>
    <mergeCell ref="C32:AK32"/>
    <mergeCell ref="B23:V23"/>
    <mergeCell ref="B24:V24"/>
    <mergeCell ref="B26:V26"/>
    <mergeCell ref="B27:V27"/>
    <mergeCell ref="AG27:AK27"/>
    <mergeCell ref="AG25:AK25"/>
    <mergeCell ref="AG26:AK26"/>
    <mergeCell ref="W23:AF23"/>
    <mergeCell ref="W24:AF24"/>
    <mergeCell ref="B38:I38"/>
    <mergeCell ref="B39:I39"/>
    <mergeCell ref="B40:I40"/>
    <mergeCell ref="B41:I41"/>
    <mergeCell ref="P38:Q38"/>
    <mergeCell ref="R38:V38"/>
    <mergeCell ref="P39:Q39"/>
    <mergeCell ref="R39:V39"/>
    <mergeCell ref="P40:Q40"/>
    <mergeCell ref="R40:V40"/>
    <mergeCell ref="P41:Q41"/>
    <mergeCell ref="R41:V41"/>
    <mergeCell ref="J38:O38"/>
    <mergeCell ref="J39:O39"/>
    <mergeCell ref="J40:O40"/>
    <mergeCell ref="J41:O41"/>
    <mergeCell ref="AB40:AF40"/>
    <mergeCell ref="AB41:AF41"/>
    <mergeCell ref="W38:AA38"/>
    <mergeCell ref="AG38:AK38"/>
    <mergeCell ref="W39:AA39"/>
    <mergeCell ref="AG39:AK39"/>
    <mergeCell ref="W40:AA40"/>
    <mergeCell ref="AG40:AK40"/>
    <mergeCell ref="W41:AA41"/>
    <mergeCell ref="AG41:AK41"/>
    <mergeCell ref="AB38:AF38"/>
    <mergeCell ref="AB39:AF39"/>
    <mergeCell ref="BD3:BD5"/>
    <mergeCell ref="BD25:BG26"/>
    <mergeCell ref="B55:O55"/>
    <mergeCell ref="P55:Q55"/>
    <mergeCell ref="R55:AF55"/>
    <mergeCell ref="AG55:AK55"/>
    <mergeCell ref="AB54:AF54"/>
    <mergeCell ref="AG54:AK54"/>
    <mergeCell ref="B54:I54"/>
    <mergeCell ref="J54:O54"/>
    <mergeCell ref="P54:Q54"/>
    <mergeCell ref="AB52:AF52"/>
    <mergeCell ref="AG52:AK52"/>
    <mergeCell ref="B53:I53"/>
    <mergeCell ref="J53:O53"/>
    <mergeCell ref="P53:Q53"/>
    <mergeCell ref="R53:V53"/>
    <mergeCell ref="W53:AA53"/>
    <mergeCell ref="AB53:AF53"/>
    <mergeCell ref="AG53:AK53"/>
    <mergeCell ref="B52:I52"/>
    <mergeCell ref="J52:O52"/>
    <mergeCell ref="P52:Q52"/>
    <mergeCell ref="R52:V52"/>
    <mergeCell ref="AB43:AF43"/>
    <mergeCell ref="AG43:AK43"/>
    <mergeCell ref="AB56:AF56"/>
    <mergeCell ref="AG56:AK56"/>
    <mergeCell ref="W52:AA52"/>
    <mergeCell ref="P42:Q42"/>
    <mergeCell ref="R42:AF42"/>
    <mergeCell ref="B42:O42"/>
    <mergeCell ref="C46:AK46"/>
    <mergeCell ref="B51:I51"/>
    <mergeCell ref="J51:O51"/>
    <mergeCell ref="P51:Q51"/>
    <mergeCell ref="R51:V51"/>
    <mergeCell ref="W51:AA51"/>
    <mergeCell ref="AB51:AF51"/>
    <mergeCell ref="AG51:AK51"/>
    <mergeCell ref="AG42:AK42"/>
    <mergeCell ref="B49:C49"/>
    <mergeCell ref="D49:E49"/>
    <mergeCell ref="G49:H49"/>
    <mergeCell ref="J49:K49"/>
    <mergeCell ref="B1:AM1"/>
    <mergeCell ref="B6:AM6"/>
    <mergeCell ref="B29:AM29"/>
    <mergeCell ref="B44:AM44"/>
    <mergeCell ref="R54:V54"/>
    <mergeCell ref="W54:AA54"/>
    <mergeCell ref="C11:AK11"/>
    <mergeCell ref="B14:C14"/>
    <mergeCell ref="D14:E14"/>
    <mergeCell ref="G14:H14"/>
    <mergeCell ref="J14:K14"/>
    <mergeCell ref="B36:C36"/>
    <mergeCell ref="D36:E36"/>
    <mergeCell ref="G36:H36"/>
    <mergeCell ref="J36:K36"/>
    <mergeCell ref="AG28:AK28"/>
    <mergeCell ref="AB28:AF28"/>
    <mergeCell ref="J17:AK17"/>
    <mergeCell ref="AG22:AK22"/>
    <mergeCell ref="B21:I21"/>
    <mergeCell ref="J21:T21"/>
    <mergeCell ref="U21:V21"/>
    <mergeCell ref="W21:AA21"/>
    <mergeCell ref="AB21:AF21"/>
  </mergeCells>
  <phoneticPr fontId="1"/>
  <conditionalFormatting sqref="BE3:BE5 BE18 AM16:AM17 BE23 AM20:AM22 BE39:BE42 BE52:BE55">
    <cfRule type="containsText" dxfId="21" priority="11" operator="containsText" text="×">
      <formula>NOT(ISERROR(SEARCH("×",AM3)))</formula>
    </cfRule>
  </conditionalFormatting>
  <conditionalFormatting sqref="AN16:AN17 BF3:BF5 BF23 AN20:AN22 BF39:BF42 BF52:BF55">
    <cfRule type="containsText" dxfId="20" priority="10" operator="containsText" text="要修正">
      <formula>NOT(ISERROR(SEARCH("要修正",AN3)))</formula>
    </cfRule>
  </conditionalFormatting>
  <conditionalFormatting sqref="BD3:BD5">
    <cfRule type="containsText" dxfId="19" priority="9" operator="containsText" text="×">
      <formula>NOT(ISERROR(SEARCH("×",BD3)))</formula>
    </cfRule>
  </conditionalFormatting>
  <conditionalFormatting sqref="BF18">
    <cfRule type="containsText" dxfId="18" priority="7" operator="containsText" text="要修正">
      <formula>NOT(ISERROR(SEARCH("要修正",BF18)))</formula>
    </cfRule>
  </conditionalFormatting>
  <conditionalFormatting sqref="AM39:AM41">
    <cfRule type="containsText" dxfId="17" priority="6" operator="containsText" text="×">
      <formula>NOT(ISERROR(SEARCH("×",AM39)))</formula>
    </cfRule>
  </conditionalFormatting>
  <conditionalFormatting sqref="AN39:AN41">
    <cfRule type="containsText" dxfId="16" priority="5" operator="containsText" text="要修正">
      <formula>NOT(ISERROR(SEARCH("要修正",AN39)))</formula>
    </cfRule>
  </conditionalFormatting>
  <conditionalFormatting sqref="AM16:AM17 AM14">
    <cfRule type="containsText" dxfId="15" priority="4" operator="containsText" text="×">
      <formula>NOT(ISERROR(SEARCH("×",AM14)))</formula>
    </cfRule>
  </conditionalFormatting>
  <conditionalFormatting sqref="AM52:AM54">
    <cfRule type="containsText" dxfId="14" priority="3" operator="containsText" text="×">
      <formula>NOT(ISERROR(SEARCH("×",AM52)))</formula>
    </cfRule>
  </conditionalFormatting>
  <conditionalFormatting sqref="AN52:AN54">
    <cfRule type="containsText" dxfId="13" priority="2" operator="containsText" text="要修正">
      <formula>NOT(ISERROR(SEARCH("要修正",AN52)))</formula>
    </cfRule>
  </conditionalFormatting>
  <conditionalFormatting sqref="B44:AK44 B29:AK29 B6:AK6">
    <cfRule type="containsText" dxfId="12" priority="1" operator="containsText" text="×">
      <formula>NOT(ISERROR(SEARCH("×",B6)))</formula>
    </cfRule>
  </conditionalFormatting>
  <dataValidations xWindow="621" yWindow="810" count="8">
    <dataValidation type="list" allowBlank="1" showInputMessage="1" showErrorMessage="1" sqref="J16 J50 J37" xr:uid="{00000000-0002-0000-0700-000000000000}">
      <formula1>$BE$57:$BE$58</formula1>
    </dataValidation>
    <dataValidation type="list" allowBlank="1" showInputMessage="1" showErrorMessage="1" sqref="J52:O54 J39:O41" xr:uid="{00000000-0002-0000-0700-000001000000}">
      <formula1>$BE$63:$BE$64</formula1>
    </dataValidation>
    <dataValidation type="list" allowBlank="1" showInputMessage="1" showErrorMessage="1" sqref="B20:B22" xr:uid="{00000000-0002-0000-0700-000002000000}">
      <formula1>$BE$61:$BE$62</formula1>
    </dataValidation>
    <dataValidation type="list" allowBlank="1" showInputMessage="1" showErrorMessage="1" sqref="J17:AK17" xr:uid="{00000000-0002-0000-0700-000003000000}">
      <formula1>$BE$59:$BE$60</formula1>
    </dataValidation>
    <dataValidation allowBlank="1" showInputMessage="1" showErrorMessage="1" promptTitle="品名の入力" prompt="購入予定である個人防護具の品名を入力してください。（型番のみの入力の場合、購入内容が不明のため修正を依頼させていただきますのでご注意ください。）" sqref="B52:I54 J20:T22 B39:I41" xr:uid="{00000000-0002-0000-0700-000004000000}"/>
    <dataValidation type="whole" operator="greaterThanOrEqual" allowBlank="1" showInputMessage="1" showErrorMessage="1" errorTitle="整数値を入力" error="数値のみを入力し、「台」等の単位入力はしないでください。" sqref="U20:V22 P52:Q54 P39:Q41" xr:uid="{61A748DF-6F39-43F1-94A5-CE614B40CA81}">
      <formula1>1</formula1>
    </dataValidation>
    <dataValidation type="decimal" operator="greaterThan" allowBlank="1" showInputMessage="1" showErrorMessage="1" errorTitle="金額の値のみ入力" error="数値のみ入力し、「円」は入力しないでください。" sqref="W20:AA22 R39:V41" xr:uid="{F1A0C2B8-1494-4840-B66C-53CF8E2E49C6}">
      <formula1>0</formula1>
    </dataValidation>
    <dataValidation type="whole" allowBlank="1" showInputMessage="1" showErrorMessage="1" sqref="J49:K49 J36:K36 J14:K14" xr:uid="{D77E5D2D-6C23-4897-8875-8C7AE5B30465}">
      <formula1>1</formula1>
      <formula2>31</formula2>
    </dataValidation>
  </dataValidations>
  <pageMargins left="0.7" right="0.7" top="0.75" bottom="0.75" header="0.3" footer="0.3"/>
  <pageSetup paperSize="9" scale="53" fitToHeight="0" orientation="portrait" r:id="rId1"/>
  <drawing r:id="rId2"/>
  <legacyDrawing r:id="rId3"/>
  <extLst>
    <ext xmlns:x14="http://schemas.microsoft.com/office/spreadsheetml/2009/9/main" uri="{CCE6A557-97BC-4b89-ADB6-D9C93CAAB3DF}">
      <x14:dataValidations xmlns:xm="http://schemas.microsoft.com/office/excel/2006/main" xWindow="621" yWindow="810" count="2">
        <x14:dataValidation type="list" allowBlank="1" showInputMessage="1" showErrorMessage="1" xr:uid="{03A50B14-55EE-42CC-BFA7-B33965ED9B25}">
          <x14:formula1>
            <xm:f>防護具!$AG$12:$AG$13</xm:f>
          </x14:formula1>
          <xm:sqref>D14:E14 D49:E49 D36:E36</xm:sqref>
        </x14:dataValidation>
        <x14:dataValidation type="list" allowBlank="1" showInputMessage="1" showErrorMessage="1" xr:uid="{7FBC4730-7CDB-4E72-BA09-DB8EC3A0747B}">
          <x14:formula1>
            <xm:f>防護具!$AH$12:$AH$17</xm:f>
          </x14:formula1>
          <xm:sqref>G14:H14 G49:H49 G36:H36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FFC000"/>
    <pageSetUpPr fitToPage="1"/>
  </sheetPr>
  <dimension ref="A1:AZ81"/>
  <sheetViews>
    <sheetView showGridLines="0" view="pageBreakPreview" zoomScale="60" zoomScaleNormal="100" workbookViewId="0">
      <selection activeCell="C32" activeCellId="3" sqref="C7:N10 C17:N20 G26:I26 C32:K71"/>
    </sheetView>
  </sheetViews>
  <sheetFormatPr defaultColWidth="9" defaultRowHeight="20.100000000000001" customHeight="1" x14ac:dyDescent="0.4"/>
  <cols>
    <col min="1" max="1" width="3.625" style="1" customWidth="1"/>
    <col min="2" max="2" width="12.625" style="1" hidden="1" customWidth="1"/>
    <col min="3" max="3" width="20.625" style="1" customWidth="1"/>
    <col min="4" max="4" width="40.625" style="1" customWidth="1"/>
    <col min="5" max="5" width="8.625" style="1" customWidth="1"/>
    <col min="6" max="6" width="15.625" style="1" customWidth="1"/>
    <col min="7" max="9" width="4.625" style="1" customWidth="1"/>
    <col min="10" max="11" width="35.625" style="1" customWidth="1"/>
    <col min="12" max="13" width="15.625" style="1" customWidth="1"/>
    <col min="14" max="14" width="8.625" style="1" customWidth="1"/>
    <col min="15" max="15" width="2.625" style="1" customWidth="1"/>
    <col min="16" max="16" width="3.75" style="1" customWidth="1"/>
    <col min="17" max="17" width="15.625" style="1" customWidth="1"/>
    <col min="18" max="20" width="3.625" style="1" customWidth="1"/>
    <col min="21" max="25" width="15.625" style="1" customWidth="1"/>
    <col min="26" max="26" width="5.625" style="65" customWidth="1"/>
    <col min="27" max="28" width="12.625" style="65" customWidth="1"/>
    <col min="29" max="29" width="45.625" style="20" customWidth="1"/>
    <col min="30" max="32" width="12.625" style="20" customWidth="1"/>
    <col min="33" max="33" width="9" style="1" customWidth="1"/>
    <col min="34" max="16384" width="9" style="1"/>
  </cols>
  <sheetData>
    <row r="1" spans="1:47" ht="30" customHeight="1" x14ac:dyDescent="0.4">
      <c r="C1" s="1820" t="str">
        <f>額内訳書!C1</f>
        <v>　（10月１日～３月31日分）</v>
      </c>
      <c r="D1" s="1821"/>
      <c r="E1" s="1821"/>
      <c r="F1" s="1821"/>
      <c r="G1" s="1821"/>
      <c r="H1" s="1821"/>
      <c r="I1" s="1821"/>
      <c r="J1" s="1821"/>
      <c r="K1" s="1821"/>
      <c r="L1" s="1821"/>
      <c r="M1" s="1821"/>
      <c r="N1" s="1821"/>
      <c r="O1" s="1821"/>
    </row>
    <row r="2" spans="1:47" ht="24.95" customHeight="1" x14ac:dyDescent="0.4">
      <c r="C2" s="63" t="s">
        <v>80</v>
      </c>
      <c r="J2" s="64"/>
      <c r="K2" s="64"/>
      <c r="L2" s="281" t="s">
        <v>26</v>
      </c>
      <c r="M2" s="1891">
        <f>IF(AM79="×",0,IF(AM79="○",0,IF(AM79="◎",SUM(M32:M61))))</f>
        <v>0</v>
      </c>
      <c r="N2" s="1892"/>
      <c r="AD2" s="65" t="str">
        <f>IF(AE2=TRUE,"○","×")</f>
        <v>×</v>
      </c>
      <c r="AE2" s="511" t="b">
        <v>0</v>
      </c>
      <c r="AG2" s="65" t="str">
        <f>IF(AH2=TRUE,"○","×")</f>
        <v>×</v>
      </c>
      <c r="AH2" s="511" t="b">
        <v>0</v>
      </c>
    </row>
    <row r="3" spans="1:47" ht="9.9499999999999993" customHeight="1" x14ac:dyDescent="0.4">
      <c r="C3" s="63"/>
      <c r="E3" s="66"/>
      <c r="F3" s="67"/>
      <c r="G3" s="66"/>
      <c r="H3" s="66"/>
      <c r="I3" s="64"/>
      <c r="J3" s="64"/>
      <c r="K3" s="64"/>
      <c r="L3" s="64"/>
      <c r="M3" s="64"/>
      <c r="Z3" s="65" t="s">
        <v>68</v>
      </c>
      <c r="AD3" s="65" t="str">
        <f t="shared" ref="AD3" si="0">IF(AE3=TRUE,"○","×")</f>
        <v>×</v>
      </c>
      <c r="AE3" s="511" t="b">
        <v>0</v>
      </c>
      <c r="AG3" s="65" t="str">
        <f>IF(AH3=TRUE,"○","×")</f>
        <v>×</v>
      </c>
      <c r="AH3" s="511" t="b">
        <v>0</v>
      </c>
    </row>
    <row r="4" spans="1:47" ht="24.95" customHeight="1" x14ac:dyDescent="0.4">
      <c r="A4" s="114"/>
      <c r="B4" s="114"/>
      <c r="C4" s="115" t="s">
        <v>150</v>
      </c>
      <c r="D4" s="114"/>
      <c r="E4" s="114"/>
      <c r="F4" s="114"/>
      <c r="G4" s="114"/>
      <c r="H4" s="114"/>
      <c r="I4" s="116"/>
      <c r="J4" s="116"/>
      <c r="K4" s="116"/>
      <c r="L4" s="116"/>
      <c r="M4" s="116"/>
      <c r="N4" s="114"/>
      <c r="O4" s="114"/>
      <c r="P4" s="65"/>
      <c r="X4" s="65"/>
      <c r="Z4" s="1"/>
      <c r="AD4" s="65" t="str">
        <f>IF(AE4=TRUE,"○","×")</f>
        <v>×</v>
      </c>
      <c r="AE4" s="511" t="b">
        <v>0</v>
      </c>
    </row>
    <row r="5" spans="1:47" ht="24.95" customHeight="1" x14ac:dyDescent="0.4">
      <c r="C5" s="1" t="s">
        <v>235</v>
      </c>
      <c r="F5" s="68"/>
      <c r="G5" s="68"/>
      <c r="H5" s="68"/>
      <c r="I5" s="68"/>
      <c r="J5" s="68"/>
      <c r="K5" s="68"/>
      <c r="L5" s="68"/>
      <c r="M5" s="68"/>
      <c r="P5" s="65"/>
    </row>
    <row r="6" spans="1:47" ht="24.95" customHeight="1" x14ac:dyDescent="0.4">
      <c r="C6" s="1918" t="s">
        <v>236</v>
      </c>
      <c r="D6" s="1091"/>
      <c r="E6" s="1091"/>
      <c r="F6" s="1091"/>
      <c r="G6" s="1091"/>
      <c r="H6" s="1091"/>
      <c r="I6" s="1091"/>
      <c r="J6" s="1091"/>
      <c r="K6" s="1091"/>
      <c r="L6" s="1091"/>
      <c r="M6" s="1091"/>
      <c r="P6" s="65"/>
    </row>
    <row r="7" spans="1:47" ht="24.95" customHeight="1" x14ac:dyDescent="0.4">
      <c r="C7" s="1901"/>
      <c r="D7" s="1902"/>
      <c r="E7" s="1902"/>
      <c r="F7" s="1902"/>
      <c r="G7" s="1902"/>
      <c r="H7" s="1902"/>
      <c r="I7" s="1902"/>
      <c r="J7" s="1902"/>
      <c r="K7" s="1902"/>
      <c r="L7" s="1902"/>
      <c r="M7" s="1903"/>
      <c r="N7" s="1904"/>
      <c r="P7" s="65"/>
      <c r="Z7" s="1"/>
      <c r="AA7" s="1" t="str">
        <f>C4</f>
        <v>１．はじめに</v>
      </c>
      <c r="AB7" s="1"/>
      <c r="AC7" s="1"/>
    </row>
    <row r="8" spans="1:47" ht="24.95" customHeight="1" x14ac:dyDescent="0.4">
      <c r="C8" s="1905"/>
      <c r="D8" s="1906"/>
      <c r="E8" s="1906"/>
      <c r="F8" s="1906"/>
      <c r="G8" s="1906"/>
      <c r="H8" s="1906"/>
      <c r="I8" s="1906"/>
      <c r="J8" s="1906"/>
      <c r="K8" s="1906"/>
      <c r="L8" s="1906"/>
      <c r="M8" s="1907"/>
      <c r="N8" s="1908"/>
      <c r="P8" s="65"/>
      <c r="Z8" s="1"/>
      <c r="AA8" s="281" t="s">
        <v>147</v>
      </c>
      <c r="AB8" s="281" t="s">
        <v>97</v>
      </c>
      <c r="AC8" s="112" t="s">
        <v>98</v>
      </c>
    </row>
    <row r="9" spans="1:47" ht="24.95" customHeight="1" x14ac:dyDescent="0.4">
      <c r="C9" s="1905"/>
      <c r="D9" s="1906"/>
      <c r="E9" s="1906"/>
      <c r="F9" s="1906"/>
      <c r="G9" s="1906"/>
      <c r="H9" s="1906"/>
      <c r="I9" s="1906"/>
      <c r="J9" s="1906"/>
      <c r="K9" s="1906"/>
      <c r="L9" s="1906"/>
      <c r="M9" s="1907"/>
      <c r="N9" s="1908"/>
      <c r="P9" s="65"/>
      <c r="Z9" s="1"/>
      <c r="AA9" s="281" t="s">
        <v>148</v>
      </c>
      <c r="AB9" s="281" t="str">
        <f xml:space="preserve">
IF(AND(COUNTIF(AD2:AD3,"○")=0,AD4="×"),"○",
IF(AND(COUNTIF(AD2:AD3,"○")=0,AD4="○"),"◎",
IF(AND(COUNTIF(AD2:AD3,"○")=1,AD4="×"),"◎",
IF(AND(COUNTIF(AD2:AD3,"○")=1,AD4="○"),"×",
IF(AND(COUNTIF(AD2:AD3,"○")=2,AD4="×"),"×",
IF(AND(COUNTIF(AD2:AD3,"○")=2,AD4="○"),"×"))))))</f>
        <v>○</v>
      </c>
      <c r="AC9" s="69" t="str">
        <f xml:space="preserve">
IF(AND(COUNTIF(AD2:AD3,"○")=0,AD4="×"),"申請しない場合は入力不要です。",
IF(AND(COUNTIF(AD2:AD3,"○")=0,AD4="○"),"適切に入力がされました。",
IF(AND(COUNTIF(AD2:AD3,"○")=1,AD4="×"),"適切に入力がされました。",
IF(AND(COUNTIF(AD2:AD3,"○")=1,AD4="○"),"【要修正】いずれか１つのチェックボックスにチェックをしてください。",
IF(AND(COUNTIF(AD2:AD3,"○")=2,AD4="×"),"【要修正】いずれか１つのチェックボックスにチェックをしてください。",
IF(AND(COUNTIF(AD2:AD3,"○")=2,AD4="○"),"【要修正】いずれか１つのチェックボックスにチェックをしてください。"))))))</f>
        <v>申請しない場合は入力不要です。</v>
      </c>
      <c r="AN9" s="280"/>
      <c r="AO9" s="280"/>
      <c r="AP9" s="280"/>
      <c r="AQ9" s="280"/>
      <c r="AR9" s="280"/>
      <c r="AS9" s="280"/>
      <c r="AT9" s="280"/>
      <c r="AU9" s="280"/>
    </row>
    <row r="10" spans="1:47" ht="24.95" customHeight="1" x14ac:dyDescent="0.4">
      <c r="C10" s="1909"/>
      <c r="D10" s="1910"/>
      <c r="E10" s="1910"/>
      <c r="F10" s="1910"/>
      <c r="G10" s="1910"/>
      <c r="H10" s="1910"/>
      <c r="I10" s="1910"/>
      <c r="J10" s="1910"/>
      <c r="K10" s="1910"/>
      <c r="L10" s="1910"/>
      <c r="M10" s="1910"/>
      <c r="N10" s="1911"/>
      <c r="P10" s="65"/>
      <c r="X10" s="65"/>
      <c r="Z10" s="1"/>
      <c r="AA10" s="281" t="s">
        <v>149</v>
      </c>
      <c r="AB10" s="281" t="str">
        <f xml:space="preserve">
IF(AND(COUNTIF(AD2:AD3,"○")=0,AD4="×",COUNTA(C7)=0),"○",
IF(AND(COUNTIF(AD2:AD3,"○")=0,AD4="×",COUNTA(C7)=1),"×",
IF(AND(COUNTIF(AD2:AD3,"○")=0,AD4="○",COUNTA(C7)=0),"×",
IF(AND(COUNTIF(AD2:AD3,"○")=0,AD4="○",COUNTA(C7)=1),"◎",
IF(AND(COUNTIF(AD2:AD3,"○")=1,AD4="×",COUNTA(C7)=0),"◎",
IF(AND(COUNTIF(AD2:AD3,"○")=1,AD4="×",COUNTA(C7)=1),"◎",
IF(AND(COUNTIF(AD2:AD3,"○")=1,AD4="○",COUNTA(C7)=0),"×",
IF(AND(COUNTIF(AD2:AD3,"○")=1,AD4="○",COUNTA(C7)=1),"×",
IF(AND(COUNTIF(AD2:AD3,"○")=2,AD4="×",COUNTA(C7)=0),"×",
IF(AND(COUNTIF(AD2:AD3,"○")=2,AD4="×",COUNTA(C7)=1),"×",
IF(AND(COUNTIF(AD2:AD3,"○")=2,AD4="○",COUNTA(C7)=0),"×",
IF(AND(COUNTIF(AD2:AD3,"○")=2,AD4="○",COUNTA(C7)=1),"×"))))))))))))</f>
        <v>○</v>
      </c>
      <c r="AC10" s="69" t="str">
        <f xml:space="preserve">
IF(AND(COUNTIF(AD2:AD3,"○")=0,AD4="×",COUNTA(C7)=0),"申請しない場合は入力不要です。",
IF(AND(COUNTIF(AD2:AD3,"○")=0,AD4="×",COUNTA(C7)=1),"【要修正】過去の交付状況のいずれかをチェックしてください。",
IF(AND(COUNTIF(AD2:AD3,"○")=0,AD4="○",COUNTA(C7)=0),"【要修正】追加での整備が必要な理由を記入してください。",
IF(AND(COUNTIF(AD2:AD3,"○")=0,AD4="○",COUNTA(C7)=1),"適切に入力がされました。",
IF(AND(COUNTIF(AD2:AD3,"○")=1,AD4="×",COUNTA(C7)=0),"適切に入力がされました。",
IF(AND(COUNTIF(AD2:AD3,"○")=1,AD4="×",COUNTA(C7)=1),"適切に入力がされました。（追加整備の理由は入力不要です。）",
IF(AND(COUNTIF(AD2:AD3,"○")=1,AD4="○",COUNTA(C7)=0),"【要修正】過去の交付状況はいずれか１つをチェックしてください。",
IF(AND(COUNTIF(AD2:AD3,"○")=1,AD4="○",COUNTA(C7)=1),"【要修正】過去の交付状況はいずれか１つをチェックしてください。",
IF(AND(COUNTIF(AD2:AD3,"○")=2,AD4="×",COUNTA(C7)=0),"【要修正】過去の交付状況はいずれか１つをチェックしてください。",
IF(AND(COUNTIF(AD2:AD3,"○")=2,AD4="×",COUNTA(C7)=1),"【要修正】過去の交付状況はいずれか１つをチェックしてください。",
IF(AND(COUNTIF(AD2:AD3,"○")=2,AD4="○",COUNTA(C7)=0),"【要修正】過去の交付状況はいずれか１つをチェックしてください。",
IF(AND(COUNTIF(AD2:AD3,"○")=2,AD4="○",COUNTA(C7)=1),"【要修正】過去の交付状況はいずれか１つをチェックしてください。"))))))))))))</f>
        <v>申請しない場合は入力不要です。</v>
      </c>
    </row>
    <row r="11" spans="1:47" ht="9.9499999999999993" customHeight="1" x14ac:dyDescent="0.4">
      <c r="C11" s="282"/>
      <c r="D11" s="282"/>
      <c r="E11" s="282"/>
      <c r="F11" s="282"/>
      <c r="G11" s="282"/>
      <c r="H11" s="282"/>
      <c r="I11" s="282"/>
      <c r="J11" s="574"/>
      <c r="K11" s="574"/>
      <c r="L11" s="574"/>
      <c r="M11" s="282"/>
      <c r="P11" s="65"/>
      <c r="Z11" s="1"/>
      <c r="AA11" s="1"/>
      <c r="AB11" s="1"/>
      <c r="AC11" s="1"/>
      <c r="AD11" s="70"/>
      <c r="AI11" s="68"/>
      <c r="AJ11" s="68"/>
      <c r="AK11" s="68"/>
      <c r="AL11" s="68"/>
      <c r="AM11" s="111"/>
      <c r="AO11" s="111"/>
      <c r="AP11" s="111"/>
      <c r="AQ11" s="111"/>
      <c r="AR11" s="111"/>
      <c r="AS11" s="111"/>
      <c r="AT11" s="111"/>
      <c r="AU11" s="111"/>
    </row>
    <row r="12" spans="1:47" ht="24.95" customHeight="1" x14ac:dyDescent="0.4">
      <c r="A12" s="114"/>
      <c r="B12" s="114"/>
      <c r="C12" s="117" t="s">
        <v>238</v>
      </c>
      <c r="D12" s="118"/>
      <c r="E12" s="118"/>
      <c r="F12" s="118"/>
      <c r="G12" s="118"/>
      <c r="H12" s="118"/>
      <c r="I12" s="118"/>
      <c r="J12" s="118"/>
      <c r="K12" s="118"/>
      <c r="L12" s="118"/>
      <c r="M12" s="118"/>
      <c r="N12" s="114"/>
      <c r="O12" s="114"/>
      <c r="P12" s="65"/>
      <c r="AD12" s="70"/>
      <c r="AI12" s="68"/>
      <c r="AJ12" s="68"/>
      <c r="AK12" s="68"/>
      <c r="AL12" s="68"/>
      <c r="AM12" s="111"/>
      <c r="AO12" s="111"/>
      <c r="AP12" s="111"/>
      <c r="AQ12" s="111"/>
      <c r="AR12" s="111"/>
      <c r="AS12" s="111"/>
      <c r="AT12" s="111"/>
      <c r="AU12" s="111"/>
    </row>
    <row r="13" spans="1:47" ht="24.95" customHeight="1" x14ac:dyDescent="0.4">
      <c r="C13" s="1898" t="s">
        <v>239</v>
      </c>
      <c r="D13" s="947"/>
      <c r="E13" s="947"/>
      <c r="F13" s="947"/>
      <c r="G13" s="947"/>
      <c r="H13" s="947"/>
      <c r="I13" s="947"/>
      <c r="J13" s="947"/>
      <c r="K13" s="947"/>
      <c r="L13" s="947"/>
      <c r="M13" s="947"/>
      <c r="N13" s="947"/>
      <c r="P13" s="65"/>
      <c r="AD13" s="70"/>
      <c r="AI13" s="68"/>
      <c r="AJ13" s="68"/>
      <c r="AK13" s="68"/>
      <c r="AL13" s="68"/>
      <c r="AM13" s="111"/>
      <c r="AO13" s="111"/>
      <c r="AP13" s="111"/>
      <c r="AQ13" s="111"/>
      <c r="AR13" s="111"/>
      <c r="AS13" s="111"/>
      <c r="AT13" s="111"/>
      <c r="AU13" s="111"/>
    </row>
    <row r="14" spans="1:47" ht="60" customHeight="1" x14ac:dyDescent="0.4">
      <c r="C14" s="1912" t="s">
        <v>1368</v>
      </c>
      <c r="D14" s="1557"/>
      <c r="E14" s="1557"/>
      <c r="F14" s="1557"/>
      <c r="G14" s="1557"/>
      <c r="H14" s="1557"/>
      <c r="I14" s="1557"/>
      <c r="J14" s="1557"/>
      <c r="K14" s="1557"/>
      <c r="L14" s="1557"/>
      <c r="M14" s="1557"/>
      <c r="N14" s="1557"/>
      <c r="P14" s="65"/>
      <c r="AD14" s="70"/>
      <c r="AI14" s="68"/>
      <c r="AJ14" s="68"/>
      <c r="AK14" s="68"/>
      <c r="AL14" s="68"/>
      <c r="AM14" s="111"/>
      <c r="AO14" s="111"/>
      <c r="AP14" s="111"/>
      <c r="AQ14" s="111"/>
      <c r="AR14" s="111"/>
      <c r="AS14" s="111"/>
      <c r="AT14" s="111"/>
      <c r="AU14" s="111"/>
    </row>
    <row r="15" spans="1:47" ht="60" customHeight="1" x14ac:dyDescent="0.4">
      <c r="C15" s="1557"/>
      <c r="D15" s="1557"/>
      <c r="E15" s="1557"/>
      <c r="F15" s="1557"/>
      <c r="G15" s="1557"/>
      <c r="H15" s="1557"/>
      <c r="I15" s="1557"/>
      <c r="J15" s="1557"/>
      <c r="K15" s="1557"/>
      <c r="L15" s="1557"/>
      <c r="M15" s="1557"/>
      <c r="N15" s="1557"/>
      <c r="P15" s="65"/>
      <c r="AD15" s="70"/>
      <c r="AI15" s="68"/>
      <c r="AJ15" s="68"/>
      <c r="AK15" s="68"/>
      <c r="AL15" s="68"/>
      <c r="AM15" s="111"/>
      <c r="AO15" s="111"/>
      <c r="AP15" s="111"/>
      <c r="AQ15" s="111"/>
      <c r="AR15" s="111"/>
      <c r="AS15" s="111"/>
      <c r="AT15" s="111"/>
      <c r="AU15" s="111"/>
    </row>
    <row r="16" spans="1:47" ht="24.95" customHeight="1" x14ac:dyDescent="0.4">
      <c r="C16" s="282" t="s">
        <v>1111</v>
      </c>
      <c r="D16" s="282"/>
      <c r="E16" s="282"/>
      <c r="F16" s="282"/>
      <c r="G16" s="282"/>
      <c r="H16" s="282"/>
      <c r="I16" s="282"/>
      <c r="J16" s="574"/>
      <c r="K16" s="574"/>
      <c r="L16" s="574"/>
      <c r="M16" s="282"/>
      <c r="P16" s="65"/>
      <c r="Z16" s="1"/>
      <c r="AA16" s="1" t="str">
        <f>C12</f>
        <v>２．整備方法</v>
      </c>
      <c r="AB16" s="1"/>
      <c r="AC16" s="1"/>
      <c r="AD16" s="70"/>
      <c r="AI16" s="68"/>
      <c r="AJ16" s="68"/>
      <c r="AK16" s="68"/>
      <c r="AL16" s="68"/>
      <c r="AM16" s="111"/>
      <c r="AO16" s="111"/>
      <c r="AP16" s="111"/>
      <c r="AQ16" s="111"/>
      <c r="AR16" s="111"/>
      <c r="AS16" s="111"/>
      <c r="AT16" s="111"/>
      <c r="AU16" s="111"/>
    </row>
    <row r="17" spans="1:47" ht="24.95" customHeight="1" x14ac:dyDescent="0.4">
      <c r="C17" s="1901"/>
      <c r="D17" s="1902"/>
      <c r="E17" s="1902"/>
      <c r="F17" s="1902"/>
      <c r="G17" s="1902"/>
      <c r="H17" s="1902"/>
      <c r="I17" s="1902"/>
      <c r="J17" s="1902"/>
      <c r="K17" s="1902"/>
      <c r="L17" s="1902"/>
      <c r="M17" s="1903"/>
      <c r="N17" s="1904"/>
      <c r="P17" s="65"/>
      <c r="Z17" s="1"/>
      <c r="AA17" s="281" t="s">
        <v>99</v>
      </c>
      <c r="AB17" s="281" t="s">
        <v>66</v>
      </c>
      <c r="AC17" s="112" t="s">
        <v>73</v>
      </c>
    </row>
    <row r="18" spans="1:47" ht="24.95" customHeight="1" x14ac:dyDescent="0.4">
      <c r="C18" s="1905"/>
      <c r="D18" s="1906"/>
      <c r="E18" s="1906"/>
      <c r="F18" s="1906"/>
      <c r="G18" s="1906"/>
      <c r="H18" s="1906"/>
      <c r="I18" s="1906"/>
      <c r="J18" s="1906"/>
      <c r="K18" s="1906"/>
      <c r="L18" s="1906"/>
      <c r="M18" s="1907"/>
      <c r="N18" s="1908"/>
      <c r="P18" s="65"/>
      <c r="Z18" s="1"/>
      <c r="AA18" s="281" t="s">
        <v>148</v>
      </c>
      <c r="AB18" s="281" t="str">
        <f xml:space="preserve">
IF(AND(AG2="×",AG3="×"),"○",
IF(AND(AG2="×",AG3="○"),"◎",
IF(AND(AG2="○",AG3="×"),"◎",
IF(AND(AG2="○",AG3="○"),"×"))))</f>
        <v>○</v>
      </c>
      <c r="AC18" s="69" t="str">
        <f xml:space="preserve">
IF(AND(AG2="×",AG3="×"),"申請しない場合は入力不要です。",
IF(AND(AG2="×",AG3="○"),"適切に入力がされました。",
IF(AND(AG2="○",AG3="×"),"適切に入力がされました。",
IF(AND(AG2="○",AG3="○"),"【要修正】いずれか１つのチェックボックスをチェックしてください。"))))</f>
        <v>申請しない場合は入力不要です。</v>
      </c>
    </row>
    <row r="19" spans="1:47" ht="24.95" customHeight="1" x14ac:dyDescent="0.4">
      <c r="C19" s="1905"/>
      <c r="D19" s="1906"/>
      <c r="E19" s="1906"/>
      <c r="F19" s="1906"/>
      <c r="G19" s="1906"/>
      <c r="H19" s="1906"/>
      <c r="I19" s="1906"/>
      <c r="J19" s="1906"/>
      <c r="K19" s="1906"/>
      <c r="L19" s="1906"/>
      <c r="M19" s="1907"/>
      <c r="N19" s="1908"/>
      <c r="P19" s="65"/>
      <c r="Z19" s="1"/>
      <c r="AA19" s="281" t="s">
        <v>240</v>
      </c>
      <c r="AB19" s="281" t="str">
        <f xml:space="preserve">
IF(AND(AG2="×",AG3="×",COUNTA(C17)=0),"○",
IF(AND(AG2="×",AG3="×",COUNTA(C17)=1),"○",
IF(AND(AG2="×",AG3="○",COUNTA(C17)=0),"×",
IF(AND(AG2="×",AG3="○",COUNTA(C17)=1),"◎",
IF(AND(AG2="○",AG3="×",COUNTA(C17)=0),"◎",
IF(AND(AG2="○",AG3="×",COUNTA(C17)=1),"◎",
IF(AND(AG2="○",AG3="○",COUNTA(C17)=0),"×",
IF(AND(AG2="○",AG3="○",COUNTA(C17)=1),"×"))))))))</f>
        <v>○</v>
      </c>
      <c r="AC19" s="69" t="str">
        <f xml:space="preserve">
IF(AND(AG2="×",AG3="×",COUNTA(C17)=0),"申請しない場合は入力不要です。",
IF(AND(AG2="×",AG3="×",COUNTA(C17)=1),"申請しない場合は入力不要です。（記述欄の入力は不要です。）",
IF(AND(AG2="×",AG3="○",COUNTA(C17)=0),"【要修正】購入による整備とした理由を入力してください。",
IF(AND(AG2="×",AG3="○",COUNTA(C17)=1),"適切に入力がされました。",
IF(AND(AG2="○",AG3="×",COUNTA(C17)=0),"適切に入力がされました。",
IF(AND(AG2="○",AG3="×",COUNTA(C17)=1),"適切に入力がされました。（記述欄の入力は不要です。）",
IF(AND(AG2="○",AG3="○",COUNTA(C17)=0),"【要修正】チェックボックスがいずれもチェックされています。",
IF(AND(AG2="○",AG3="○",COUNTA(C17)=1),"【要修正】チェックボックスがいずれもチェックされています。"))))))))</f>
        <v>申請しない場合は入力不要です。</v>
      </c>
      <c r="AN19" s="280"/>
      <c r="AO19" s="280"/>
      <c r="AP19" s="280"/>
      <c r="AQ19" s="280"/>
      <c r="AR19" s="280"/>
      <c r="AS19" s="280"/>
      <c r="AT19" s="280"/>
      <c r="AU19" s="280"/>
    </row>
    <row r="20" spans="1:47" ht="24.95" customHeight="1" x14ac:dyDescent="0.4">
      <c r="C20" s="1909"/>
      <c r="D20" s="1910"/>
      <c r="E20" s="1910"/>
      <c r="F20" s="1910"/>
      <c r="G20" s="1910"/>
      <c r="H20" s="1910"/>
      <c r="I20" s="1910"/>
      <c r="J20" s="1910"/>
      <c r="K20" s="1910"/>
      <c r="L20" s="1910"/>
      <c r="M20" s="1910"/>
      <c r="N20" s="1911"/>
      <c r="P20" s="65"/>
      <c r="Z20" s="1"/>
      <c r="AA20" s="1"/>
      <c r="AB20" s="1"/>
      <c r="AC20" s="1"/>
    </row>
    <row r="21" spans="1:47" ht="9.9499999999999993" customHeight="1" x14ac:dyDescent="0.4">
      <c r="C21" s="282"/>
      <c r="D21" s="282"/>
      <c r="E21" s="282"/>
      <c r="F21" s="282"/>
      <c r="G21" s="282"/>
      <c r="H21" s="282"/>
      <c r="I21" s="282"/>
      <c r="J21" s="574"/>
      <c r="K21" s="574"/>
      <c r="L21" s="574"/>
      <c r="M21" s="282"/>
      <c r="P21" s="65"/>
      <c r="AA21" s="1"/>
      <c r="AB21" s="1"/>
      <c r="AC21" s="1"/>
      <c r="AD21" s="70"/>
      <c r="AI21" s="68"/>
      <c r="AJ21" s="68"/>
      <c r="AK21" s="68"/>
      <c r="AL21" s="68"/>
      <c r="AM21" s="111"/>
      <c r="AO21" s="111"/>
      <c r="AP21" s="111"/>
      <c r="AQ21" s="111"/>
      <c r="AR21" s="111"/>
      <c r="AS21" s="111"/>
      <c r="AT21" s="111"/>
      <c r="AU21" s="111"/>
    </row>
    <row r="22" spans="1:47" ht="24.95" customHeight="1" x14ac:dyDescent="0.4">
      <c r="A22" s="114"/>
      <c r="B22" s="114"/>
      <c r="C22" s="115" t="s">
        <v>237</v>
      </c>
      <c r="D22" s="114"/>
      <c r="E22" s="114"/>
      <c r="F22" s="114"/>
      <c r="G22" s="114"/>
      <c r="H22" s="114"/>
      <c r="I22" s="114"/>
      <c r="J22" s="114"/>
      <c r="K22" s="114"/>
      <c r="L22" s="114"/>
      <c r="M22" s="114"/>
      <c r="N22" s="114"/>
      <c r="O22" s="114"/>
      <c r="P22" s="65"/>
      <c r="AI22" s="111"/>
      <c r="AJ22" s="111"/>
      <c r="AK22" s="111"/>
      <c r="AL22" s="66"/>
      <c r="AM22" s="111"/>
      <c r="AO22" s="111"/>
      <c r="AP22" s="111"/>
      <c r="AQ22" s="111"/>
      <c r="AR22" s="111"/>
      <c r="AS22" s="111"/>
      <c r="AT22" s="111"/>
      <c r="AU22" s="111"/>
    </row>
    <row r="23" spans="1:47" ht="90" customHeight="1" x14ac:dyDescent="0.4">
      <c r="C23" s="1913" t="s">
        <v>1320</v>
      </c>
      <c r="D23" s="1914"/>
      <c r="E23" s="1914"/>
      <c r="F23" s="1914"/>
      <c r="G23" s="1914"/>
      <c r="H23" s="1914"/>
      <c r="I23" s="1914"/>
      <c r="J23" s="1914"/>
      <c r="K23" s="1914"/>
      <c r="L23" s="1914"/>
      <c r="M23" s="1914"/>
      <c r="N23" s="1914"/>
      <c r="P23" s="65"/>
    </row>
    <row r="24" spans="1:47" ht="5.0999999999999996" customHeight="1" x14ac:dyDescent="0.4">
      <c r="C24" s="279"/>
      <c r="D24" s="472"/>
      <c r="E24" s="472"/>
      <c r="F24" s="472"/>
      <c r="G24" s="472"/>
      <c r="H24" s="472"/>
      <c r="I24" s="472"/>
      <c r="J24" s="577"/>
      <c r="K24" s="577"/>
      <c r="L24" s="577"/>
      <c r="M24" s="472"/>
      <c r="N24" s="472"/>
      <c r="P24" s="65"/>
    </row>
    <row r="25" spans="1:47" ht="24.95" customHeight="1" x14ac:dyDescent="0.4">
      <c r="F25" s="1929" t="s">
        <v>226</v>
      </c>
      <c r="G25" s="1930"/>
      <c r="H25" s="1931"/>
      <c r="I25" s="1932"/>
      <c r="J25" s="73" t="s">
        <v>242</v>
      </c>
      <c r="P25" s="65"/>
    </row>
    <row r="26" spans="1:47" ht="24.95" customHeight="1" x14ac:dyDescent="0.4">
      <c r="F26" s="585" t="s">
        <v>227</v>
      </c>
      <c r="G26" s="1933"/>
      <c r="H26" s="2093"/>
      <c r="I26" s="1678"/>
      <c r="J26" s="575" t="s">
        <v>249</v>
      </c>
      <c r="P26" s="65"/>
    </row>
    <row r="27" spans="1:47" ht="24.95" customHeight="1" x14ac:dyDescent="0.4">
      <c r="F27" s="125" t="s">
        <v>228</v>
      </c>
      <c r="G27" s="1934">
        <f>ROUNDUP(G26/1.1,2)</f>
        <v>0</v>
      </c>
      <c r="H27" s="1931"/>
      <c r="I27" s="1932"/>
      <c r="P27" s="65"/>
    </row>
    <row r="28" spans="1:47" ht="20.100000000000001" customHeight="1" x14ac:dyDescent="0.4">
      <c r="D28" s="119"/>
      <c r="E28" s="472"/>
      <c r="H28" s="119"/>
      <c r="I28" s="472"/>
      <c r="J28" s="577"/>
      <c r="K28" s="577"/>
      <c r="L28" s="577"/>
      <c r="M28" s="472"/>
      <c r="N28" s="472"/>
      <c r="P28" s="65"/>
    </row>
    <row r="29" spans="1:47" ht="5.0999999999999996" customHeight="1" x14ac:dyDescent="0.4">
      <c r="C29" s="1915"/>
      <c r="D29" s="1915"/>
      <c r="E29" s="1915"/>
      <c r="F29" s="1915"/>
      <c r="G29" s="1915"/>
      <c r="H29" s="1915"/>
      <c r="I29" s="1915"/>
      <c r="J29" s="1915"/>
      <c r="K29" s="1915"/>
      <c r="L29" s="1915"/>
      <c r="M29" s="1915"/>
      <c r="N29" s="1915"/>
      <c r="P29" s="65"/>
      <c r="AA29" s="71" t="str">
        <f>C22</f>
        <v>３．簡易診療室情報</v>
      </c>
    </row>
    <row r="30" spans="1:47" ht="24.95" customHeight="1" x14ac:dyDescent="0.4">
      <c r="C30" s="1922" t="s">
        <v>56</v>
      </c>
      <c r="D30" s="1922" t="s">
        <v>224</v>
      </c>
      <c r="E30" s="1922" t="s">
        <v>24</v>
      </c>
      <c r="F30" s="1922" t="s">
        <v>70</v>
      </c>
      <c r="G30" s="1923" t="s">
        <v>1308</v>
      </c>
      <c r="H30" s="1924"/>
      <c r="I30" s="1925"/>
      <c r="J30" s="1926" t="s">
        <v>154</v>
      </c>
      <c r="K30" s="1416"/>
      <c r="L30" s="1922" t="s">
        <v>71</v>
      </c>
      <c r="M30" s="1922" t="s">
        <v>72</v>
      </c>
      <c r="N30" s="1922" t="s">
        <v>25</v>
      </c>
      <c r="AD30" s="120"/>
      <c r="AE30" s="70"/>
      <c r="AF30" s="70"/>
      <c r="AG30" s="127" t="s">
        <v>247</v>
      </c>
      <c r="AH30" s="68"/>
    </row>
    <row r="31" spans="1:47" ht="24.95" customHeight="1" x14ac:dyDescent="0.4">
      <c r="B31" s="20"/>
      <c r="C31" s="1667"/>
      <c r="D31" s="1667"/>
      <c r="E31" s="1667"/>
      <c r="F31" s="1667"/>
      <c r="G31" s="582" t="s">
        <v>1309</v>
      </c>
      <c r="H31" s="582" t="s">
        <v>1310</v>
      </c>
      <c r="I31" s="582" t="s">
        <v>1311</v>
      </c>
      <c r="J31" s="1927"/>
      <c r="K31" s="1928"/>
      <c r="L31" s="1667"/>
      <c r="M31" s="1667"/>
      <c r="N31" s="1667"/>
      <c r="AA31" s="281" t="s">
        <v>147</v>
      </c>
      <c r="AB31" s="22" t="s">
        <v>69</v>
      </c>
      <c r="AC31" s="21" t="s">
        <v>73</v>
      </c>
      <c r="AD31" s="120"/>
      <c r="AE31" s="70"/>
      <c r="AF31" s="70"/>
      <c r="AG31" s="127" t="str">
        <f t="shared" ref="AG31:AG70" si="1">IF(AB32="×",AA32&amp;"/","")</f>
        <v/>
      </c>
      <c r="AH31" s="73"/>
    </row>
    <row r="32" spans="1:47" ht="24.95" customHeight="1" x14ac:dyDescent="0.4">
      <c r="A32" s="20">
        <v>1</v>
      </c>
      <c r="B32" s="586" t="str">
        <f>IFERROR(DATE(IF(G32=5,2023,IF(G32=6,2024)),H32,I32),"")</f>
        <v/>
      </c>
      <c r="C32" s="162"/>
      <c r="D32" s="163"/>
      <c r="E32" s="164"/>
      <c r="F32" s="165"/>
      <c r="G32" s="583"/>
      <c r="H32" s="583"/>
      <c r="I32" s="583"/>
      <c r="J32" s="1897"/>
      <c r="K32" s="1833"/>
      <c r="L32" s="128">
        <f t="shared" ref="L32:L71" si="2">ROUNDDOWN(F32*1.1,0)</f>
        <v>0</v>
      </c>
      <c r="M32" s="113">
        <f t="shared" ref="M32:M71" si="3">ROUNDDOWN(E32*L32,0)</f>
        <v>0</v>
      </c>
      <c r="N32" s="112" t="str">
        <f>IF(AB32="◎",COUNTIF($AB$32:AB32,"◎"),"")</f>
        <v/>
      </c>
      <c r="Q32" s="2038" t="str">
        <f xml:space="preserve">
IF(AB32&lt;&gt;"◎","",
DATE(IF(G32=5,2023,IF(G32=6,2024)),H32,I32))</f>
        <v/>
      </c>
      <c r="R32" s="699" t="str">
        <f>IF($Q32=MAX($Q$32:$Q$71),G32,"")</f>
        <v/>
      </c>
      <c r="S32" s="699" t="str">
        <f>IF($Q32=MAX($Q$32:$Q$71),H32,"")</f>
        <v/>
      </c>
      <c r="T32" s="699" t="str">
        <f>IF($Q32=MAX($Q$32:$Q$71),I32,"")</f>
        <v/>
      </c>
      <c r="Z32" s="65" t="s">
        <v>67</v>
      </c>
      <c r="AA32" s="72">
        <v>1</v>
      </c>
      <c r="AB32" s="281" t="str">
        <f xml:space="preserve">
IF(COUNTA(C32:K32)=0,"○",
IF(AND(COUNTA(C32:K32)&gt;=1,COUNTA(C32:K32)&lt;8),"×",
IF(COUNTA(C32:K32)=8,"◎")))</f>
        <v>○</v>
      </c>
      <c r="AC32" s="69" t="str">
        <f xml:space="preserve">
IF(COUNTA(C32:K32)=0,"申請しない場合は入力不要です。",
IF(AND(COUNTA(C32:K32)&gt;=1,COUNTA(C32:K32)&lt;8),"【要修正】入力が不十分な箇所があります。",
IF(COUNTA(C32:K32)=8,"適切に入力がされました。")))</f>
        <v>申請しない場合は入力不要です。</v>
      </c>
      <c r="AD32" s="120"/>
      <c r="AE32" s="70"/>
      <c r="AF32" s="70"/>
      <c r="AG32" s="127" t="str">
        <f t="shared" si="1"/>
        <v/>
      </c>
      <c r="AH32" s="73"/>
    </row>
    <row r="33" spans="1:52" ht="24.95" customHeight="1" x14ac:dyDescent="0.4">
      <c r="A33" s="20">
        <v>2</v>
      </c>
      <c r="B33" s="584" t="str">
        <f t="shared" ref="B33:B71" si="4">IFERROR(DATE(IF(G33=5,2023,IF(G33=6,2024)),H33,I33),"")</f>
        <v/>
      </c>
      <c r="C33" s="162"/>
      <c r="D33" s="163"/>
      <c r="E33" s="164"/>
      <c r="F33" s="165"/>
      <c r="G33" s="583"/>
      <c r="H33" s="583"/>
      <c r="I33" s="583"/>
      <c r="J33" s="1897"/>
      <c r="K33" s="1833"/>
      <c r="L33" s="128">
        <f t="shared" si="2"/>
        <v>0</v>
      </c>
      <c r="M33" s="113">
        <f t="shared" si="3"/>
        <v>0</v>
      </c>
      <c r="N33" s="112" t="str">
        <f>IF(AB33="◎",COUNTIF($AB$32:AB33,"◎"),"")</f>
        <v/>
      </c>
      <c r="Q33" s="2038" t="str">
        <f t="shared" ref="Q33:Q71" si="5" xml:space="preserve">
IF(AB33&lt;&gt;"◎","",
DATE(IF(G33=5,2023,IF(G33=6,2024)),H33,I33))</f>
        <v/>
      </c>
      <c r="R33" s="699" t="str">
        <f t="shared" ref="R33:R71" si="6">IF($Q33=MAX($Q$32:$Q$71),G33,"")</f>
        <v/>
      </c>
      <c r="S33" s="699" t="str">
        <f t="shared" ref="S33:S71" si="7">IF($Q33=MAX($Q$32:$Q$71),H33,"")</f>
        <v/>
      </c>
      <c r="T33" s="699" t="str">
        <f t="shared" ref="T33:T71" si="8">IF($Q33=MAX($Q$32:$Q$71),I33,"")</f>
        <v/>
      </c>
      <c r="Z33" s="65" t="s">
        <v>67</v>
      </c>
      <c r="AA33" s="72">
        <v>2</v>
      </c>
      <c r="AB33" s="576" t="str">
        <f t="shared" ref="AB33:AB71" si="9" xml:space="preserve">
IF(COUNTA(C33:K33)=0,"○",
IF(AND(COUNTA(C33:K33)&gt;=1,COUNTA(C33:K33)&lt;8),"×",
IF(COUNTA(C33:K33)=8,"◎")))</f>
        <v>○</v>
      </c>
      <c r="AC33" s="69" t="str">
        <f t="shared" ref="AC33:AC71" si="10" xml:space="preserve">
IF(COUNTA(C33:K33)=0,"申請しない場合は入力不要です。",
IF(AND(COUNTA(C33:K33)&gt;=1,COUNTA(C33:K33)&lt;8),"【要修正】入力が不十分な箇所があります。",
IF(COUNTA(C33:K33)=8,"適切に入力がされました。")))</f>
        <v>申請しない場合は入力不要です。</v>
      </c>
      <c r="AD33" s="120"/>
      <c r="AE33" s="70"/>
      <c r="AF33" s="70"/>
      <c r="AG33" s="127" t="str">
        <f t="shared" si="1"/>
        <v/>
      </c>
      <c r="AH33" s="73"/>
      <c r="AV33" s="1916" t="s">
        <v>81</v>
      </c>
      <c r="AW33" s="1917"/>
      <c r="AX33" s="1917"/>
      <c r="AY33" s="1917"/>
      <c r="AZ33" s="1917"/>
    </row>
    <row r="34" spans="1:52" ht="24.95" customHeight="1" x14ac:dyDescent="0.4">
      <c r="A34" s="20">
        <v>3</v>
      </c>
      <c r="B34" s="584" t="str">
        <f t="shared" si="4"/>
        <v/>
      </c>
      <c r="C34" s="162"/>
      <c r="D34" s="163"/>
      <c r="E34" s="164"/>
      <c r="F34" s="165"/>
      <c r="G34" s="583"/>
      <c r="H34" s="583"/>
      <c r="I34" s="583"/>
      <c r="J34" s="1897"/>
      <c r="K34" s="1833"/>
      <c r="L34" s="128">
        <f t="shared" si="2"/>
        <v>0</v>
      </c>
      <c r="M34" s="113">
        <f t="shared" si="3"/>
        <v>0</v>
      </c>
      <c r="N34" s="112" t="str">
        <f>IF(AB34="◎",COUNTIF($AB$32:AB34,"◎"),"")</f>
        <v/>
      </c>
      <c r="Q34" s="2038" t="str">
        <f t="shared" si="5"/>
        <v/>
      </c>
      <c r="R34" s="699" t="str">
        <f t="shared" si="6"/>
        <v/>
      </c>
      <c r="S34" s="699" t="str">
        <f t="shared" si="7"/>
        <v/>
      </c>
      <c r="T34" s="699" t="str">
        <f t="shared" si="8"/>
        <v/>
      </c>
      <c r="Z34" s="65" t="s">
        <v>67</v>
      </c>
      <c r="AA34" s="72">
        <v>3</v>
      </c>
      <c r="AB34" s="576" t="str">
        <f t="shared" si="9"/>
        <v>○</v>
      </c>
      <c r="AC34" s="69" t="str">
        <f t="shared" si="10"/>
        <v>申請しない場合は入力不要です。</v>
      </c>
      <c r="AD34" s="120"/>
      <c r="AE34" s="70"/>
      <c r="AF34" s="70"/>
      <c r="AG34" s="127" t="str">
        <f t="shared" si="1"/>
        <v/>
      </c>
      <c r="AH34" s="73"/>
      <c r="AV34" s="1918"/>
      <c r="AW34" s="1917"/>
      <c r="AX34" s="1917"/>
      <c r="AY34" s="1917"/>
      <c r="AZ34" s="1917"/>
    </row>
    <row r="35" spans="1:52" ht="24.95" customHeight="1" x14ac:dyDescent="0.4">
      <c r="A35" s="20">
        <v>4</v>
      </c>
      <c r="B35" s="584" t="str">
        <f t="shared" si="4"/>
        <v/>
      </c>
      <c r="C35" s="162"/>
      <c r="D35" s="163"/>
      <c r="E35" s="164"/>
      <c r="F35" s="165"/>
      <c r="G35" s="583"/>
      <c r="H35" s="583"/>
      <c r="I35" s="583"/>
      <c r="J35" s="1897"/>
      <c r="K35" s="1833"/>
      <c r="L35" s="128">
        <f t="shared" si="2"/>
        <v>0</v>
      </c>
      <c r="M35" s="113">
        <f t="shared" si="3"/>
        <v>0</v>
      </c>
      <c r="N35" s="112" t="str">
        <f>IF(AB35="◎",COUNTIF($AB$32:AB35,"◎"),"")</f>
        <v/>
      </c>
      <c r="Q35" s="2038" t="str">
        <f t="shared" si="5"/>
        <v/>
      </c>
      <c r="R35" s="699" t="str">
        <f t="shared" si="6"/>
        <v/>
      </c>
      <c r="S35" s="699" t="str">
        <f t="shared" si="7"/>
        <v/>
      </c>
      <c r="T35" s="699" t="str">
        <f t="shared" si="8"/>
        <v/>
      </c>
      <c r="Z35" s="65" t="s">
        <v>67</v>
      </c>
      <c r="AA35" s="72">
        <v>4</v>
      </c>
      <c r="AB35" s="576" t="str">
        <f t="shared" si="9"/>
        <v>○</v>
      </c>
      <c r="AC35" s="69" t="str">
        <f t="shared" si="10"/>
        <v>申請しない場合は入力不要です。</v>
      </c>
      <c r="AD35" s="120"/>
      <c r="AE35" s="70"/>
      <c r="AF35" s="70"/>
      <c r="AG35" s="127" t="str">
        <f t="shared" si="1"/>
        <v/>
      </c>
      <c r="AH35" s="73"/>
      <c r="AV35" s="1918"/>
      <c r="AW35" s="1917"/>
      <c r="AX35" s="1917"/>
      <c r="AY35" s="1917"/>
      <c r="AZ35" s="1917"/>
    </row>
    <row r="36" spans="1:52" ht="24.95" customHeight="1" x14ac:dyDescent="0.4">
      <c r="A36" s="20">
        <v>5</v>
      </c>
      <c r="B36" s="584" t="str">
        <f t="shared" si="4"/>
        <v/>
      </c>
      <c r="C36" s="162"/>
      <c r="D36" s="163"/>
      <c r="E36" s="164"/>
      <c r="F36" s="165"/>
      <c r="G36" s="583"/>
      <c r="H36" s="583"/>
      <c r="I36" s="583"/>
      <c r="J36" s="1897"/>
      <c r="K36" s="1833"/>
      <c r="L36" s="128">
        <f t="shared" si="2"/>
        <v>0</v>
      </c>
      <c r="M36" s="113">
        <f t="shared" si="3"/>
        <v>0</v>
      </c>
      <c r="N36" s="112" t="str">
        <f>IF(AB36="◎",COUNTIF($AB$32:AB36,"◎"),"")</f>
        <v/>
      </c>
      <c r="Q36" s="2038" t="str">
        <f t="shared" si="5"/>
        <v/>
      </c>
      <c r="R36" s="699" t="str">
        <f t="shared" si="6"/>
        <v/>
      </c>
      <c r="S36" s="699" t="str">
        <f t="shared" si="7"/>
        <v/>
      </c>
      <c r="T36" s="699" t="str">
        <f t="shared" si="8"/>
        <v/>
      </c>
      <c r="Z36" s="65" t="s">
        <v>67</v>
      </c>
      <c r="AA36" s="72">
        <v>5</v>
      </c>
      <c r="AB36" s="576" t="str">
        <f t="shared" si="9"/>
        <v>○</v>
      </c>
      <c r="AC36" s="69" t="str">
        <f t="shared" si="10"/>
        <v>申請しない場合は入力不要です。</v>
      </c>
      <c r="AD36" s="120"/>
      <c r="AE36" s="70"/>
      <c r="AF36" s="70"/>
      <c r="AG36" s="127" t="str">
        <f t="shared" si="1"/>
        <v/>
      </c>
      <c r="AH36" s="73"/>
      <c r="AV36" s="1918"/>
      <c r="AW36" s="1917"/>
      <c r="AX36" s="1917"/>
      <c r="AY36" s="1917"/>
      <c r="AZ36" s="1917"/>
    </row>
    <row r="37" spans="1:52" ht="24.95" customHeight="1" x14ac:dyDescent="0.4">
      <c r="A37" s="20">
        <v>6</v>
      </c>
      <c r="B37" s="584" t="str">
        <f t="shared" si="4"/>
        <v/>
      </c>
      <c r="C37" s="162"/>
      <c r="D37" s="163"/>
      <c r="E37" s="164"/>
      <c r="F37" s="165"/>
      <c r="G37" s="583"/>
      <c r="H37" s="583"/>
      <c r="I37" s="583"/>
      <c r="J37" s="1897"/>
      <c r="K37" s="1833"/>
      <c r="L37" s="128">
        <f t="shared" si="2"/>
        <v>0</v>
      </c>
      <c r="M37" s="113">
        <f t="shared" si="3"/>
        <v>0</v>
      </c>
      <c r="N37" s="112" t="str">
        <f>IF(AB37="◎",COUNTIF($AB$32:AB37,"◎"),"")</f>
        <v/>
      </c>
      <c r="Q37" s="2038" t="str">
        <f t="shared" si="5"/>
        <v/>
      </c>
      <c r="R37" s="699" t="str">
        <f t="shared" si="6"/>
        <v/>
      </c>
      <c r="S37" s="699" t="str">
        <f t="shared" si="7"/>
        <v/>
      </c>
      <c r="T37" s="699" t="str">
        <f t="shared" si="8"/>
        <v/>
      </c>
      <c r="Z37" s="65" t="s">
        <v>67</v>
      </c>
      <c r="AA37" s="72">
        <v>6</v>
      </c>
      <c r="AB37" s="576" t="str">
        <f t="shared" si="9"/>
        <v>○</v>
      </c>
      <c r="AC37" s="69" t="str">
        <f t="shared" si="10"/>
        <v>申請しない場合は入力不要です。</v>
      </c>
      <c r="AD37" s="120"/>
      <c r="AE37" s="70"/>
      <c r="AF37" s="70"/>
      <c r="AG37" s="127" t="str">
        <f t="shared" si="1"/>
        <v/>
      </c>
      <c r="AH37" s="73"/>
      <c r="AR37" s="68"/>
    </row>
    <row r="38" spans="1:52" ht="24.95" customHeight="1" x14ac:dyDescent="0.4">
      <c r="A38" s="20">
        <v>7</v>
      </c>
      <c r="B38" s="584" t="str">
        <f t="shared" si="4"/>
        <v/>
      </c>
      <c r="C38" s="162"/>
      <c r="D38" s="163"/>
      <c r="E38" s="164"/>
      <c r="F38" s="165"/>
      <c r="G38" s="583"/>
      <c r="H38" s="583"/>
      <c r="I38" s="583"/>
      <c r="J38" s="1897"/>
      <c r="K38" s="1833"/>
      <c r="L38" s="128">
        <f t="shared" si="2"/>
        <v>0</v>
      </c>
      <c r="M38" s="113">
        <f t="shared" si="3"/>
        <v>0</v>
      </c>
      <c r="N38" s="112" t="str">
        <f>IF(AB38="◎",COUNTIF($AB$32:AB38,"◎"),"")</f>
        <v/>
      </c>
      <c r="Q38" s="2038" t="str">
        <f t="shared" si="5"/>
        <v/>
      </c>
      <c r="R38" s="699" t="str">
        <f t="shared" si="6"/>
        <v/>
      </c>
      <c r="S38" s="699" t="str">
        <f t="shared" si="7"/>
        <v/>
      </c>
      <c r="T38" s="699" t="str">
        <f t="shared" si="8"/>
        <v/>
      </c>
      <c r="Z38" s="65" t="s">
        <v>67</v>
      </c>
      <c r="AA38" s="72">
        <v>7</v>
      </c>
      <c r="AB38" s="576" t="str">
        <f t="shared" si="9"/>
        <v>○</v>
      </c>
      <c r="AC38" s="69" t="str">
        <f t="shared" si="10"/>
        <v>申請しない場合は入力不要です。</v>
      </c>
      <c r="AD38" s="120"/>
      <c r="AE38" s="70"/>
      <c r="AF38" s="70"/>
      <c r="AG38" s="127" t="str">
        <f t="shared" si="1"/>
        <v/>
      </c>
      <c r="AH38" s="73"/>
    </row>
    <row r="39" spans="1:52" ht="24.95" customHeight="1" x14ac:dyDescent="0.4">
      <c r="A39" s="20">
        <v>8</v>
      </c>
      <c r="B39" s="584" t="str">
        <f t="shared" si="4"/>
        <v/>
      </c>
      <c r="C39" s="162"/>
      <c r="D39" s="163"/>
      <c r="E39" s="164"/>
      <c r="F39" s="165"/>
      <c r="G39" s="583"/>
      <c r="H39" s="583"/>
      <c r="I39" s="583"/>
      <c r="J39" s="1897"/>
      <c r="K39" s="1833"/>
      <c r="L39" s="128">
        <f t="shared" si="2"/>
        <v>0</v>
      </c>
      <c r="M39" s="113">
        <f t="shared" si="3"/>
        <v>0</v>
      </c>
      <c r="N39" s="112" t="str">
        <f>IF(AB39="◎",COUNTIF($AB$32:AB39,"◎"),"")</f>
        <v/>
      </c>
      <c r="Q39" s="2038" t="str">
        <f t="shared" si="5"/>
        <v/>
      </c>
      <c r="R39" s="699" t="str">
        <f t="shared" si="6"/>
        <v/>
      </c>
      <c r="S39" s="699" t="str">
        <f t="shared" si="7"/>
        <v/>
      </c>
      <c r="T39" s="699" t="str">
        <f t="shared" si="8"/>
        <v/>
      </c>
      <c r="Z39" s="65" t="s">
        <v>67</v>
      </c>
      <c r="AA39" s="72">
        <v>8</v>
      </c>
      <c r="AB39" s="576" t="str">
        <f t="shared" si="9"/>
        <v>○</v>
      </c>
      <c r="AC39" s="69" t="str">
        <f t="shared" si="10"/>
        <v>申請しない場合は入力不要です。</v>
      </c>
      <c r="AD39" s="120"/>
      <c r="AE39" s="70"/>
      <c r="AF39" s="70"/>
      <c r="AG39" s="127" t="str">
        <f t="shared" si="1"/>
        <v/>
      </c>
      <c r="AH39" s="73"/>
    </row>
    <row r="40" spans="1:52" ht="24.95" customHeight="1" x14ac:dyDescent="0.4">
      <c r="A40" s="20">
        <v>9</v>
      </c>
      <c r="B40" s="584" t="str">
        <f t="shared" si="4"/>
        <v/>
      </c>
      <c r="C40" s="162"/>
      <c r="D40" s="163"/>
      <c r="E40" s="164"/>
      <c r="F40" s="165"/>
      <c r="G40" s="583"/>
      <c r="H40" s="583"/>
      <c r="I40" s="583"/>
      <c r="J40" s="1897"/>
      <c r="K40" s="1833"/>
      <c r="L40" s="128">
        <f t="shared" si="2"/>
        <v>0</v>
      </c>
      <c r="M40" s="113">
        <f t="shared" si="3"/>
        <v>0</v>
      </c>
      <c r="N40" s="112" t="str">
        <f>IF(AB40="◎",COUNTIF($AB$32:AB40,"◎"),"")</f>
        <v/>
      </c>
      <c r="Q40" s="2038" t="str">
        <f t="shared" si="5"/>
        <v/>
      </c>
      <c r="R40" s="699" t="str">
        <f t="shared" si="6"/>
        <v/>
      </c>
      <c r="S40" s="699" t="str">
        <f t="shared" si="7"/>
        <v/>
      </c>
      <c r="T40" s="699" t="str">
        <f t="shared" si="8"/>
        <v/>
      </c>
      <c r="Z40" s="65" t="s">
        <v>67</v>
      </c>
      <c r="AA40" s="72">
        <v>9</v>
      </c>
      <c r="AB40" s="576" t="str">
        <f t="shared" si="9"/>
        <v>○</v>
      </c>
      <c r="AC40" s="69" t="str">
        <f t="shared" si="10"/>
        <v>申請しない場合は入力不要です。</v>
      </c>
      <c r="AD40" s="120"/>
      <c r="AE40" s="70"/>
      <c r="AF40" s="70"/>
      <c r="AG40" s="127" t="str">
        <f t="shared" si="1"/>
        <v/>
      </c>
      <c r="AH40" s="73"/>
    </row>
    <row r="41" spans="1:52" ht="24.95" customHeight="1" x14ac:dyDescent="0.4">
      <c r="A41" s="20">
        <v>10</v>
      </c>
      <c r="B41" s="584" t="str">
        <f t="shared" si="4"/>
        <v/>
      </c>
      <c r="C41" s="162"/>
      <c r="D41" s="163"/>
      <c r="E41" s="164"/>
      <c r="F41" s="165"/>
      <c r="G41" s="583"/>
      <c r="H41" s="583"/>
      <c r="I41" s="583"/>
      <c r="J41" s="1897"/>
      <c r="K41" s="1833"/>
      <c r="L41" s="128">
        <f t="shared" si="2"/>
        <v>0</v>
      </c>
      <c r="M41" s="113">
        <f t="shared" si="3"/>
        <v>0</v>
      </c>
      <c r="N41" s="112" t="str">
        <f>IF(AB41="◎",COUNTIF($AB$32:AB41,"◎"),"")</f>
        <v/>
      </c>
      <c r="Q41" s="2038" t="str">
        <f t="shared" si="5"/>
        <v/>
      </c>
      <c r="R41" s="699" t="str">
        <f t="shared" si="6"/>
        <v/>
      </c>
      <c r="S41" s="699" t="str">
        <f t="shared" si="7"/>
        <v/>
      </c>
      <c r="T41" s="699" t="str">
        <f t="shared" si="8"/>
        <v/>
      </c>
      <c r="Z41" s="65" t="s">
        <v>67</v>
      </c>
      <c r="AA41" s="72">
        <v>10</v>
      </c>
      <c r="AB41" s="576" t="str">
        <f t="shared" si="9"/>
        <v>○</v>
      </c>
      <c r="AC41" s="69" t="str">
        <f t="shared" si="10"/>
        <v>申請しない場合は入力不要です。</v>
      </c>
      <c r="AD41" s="120"/>
      <c r="AE41" s="70"/>
      <c r="AF41" s="70"/>
      <c r="AG41" s="127" t="str">
        <f t="shared" si="1"/>
        <v/>
      </c>
      <c r="AH41" s="73"/>
    </row>
    <row r="42" spans="1:52" ht="24.95" customHeight="1" x14ac:dyDescent="0.4">
      <c r="A42" s="20">
        <v>11</v>
      </c>
      <c r="B42" s="584" t="str">
        <f t="shared" si="4"/>
        <v/>
      </c>
      <c r="C42" s="162"/>
      <c r="D42" s="163"/>
      <c r="E42" s="164"/>
      <c r="F42" s="165"/>
      <c r="G42" s="583"/>
      <c r="H42" s="583"/>
      <c r="I42" s="583"/>
      <c r="J42" s="1897"/>
      <c r="K42" s="1833"/>
      <c r="L42" s="128">
        <f t="shared" si="2"/>
        <v>0</v>
      </c>
      <c r="M42" s="113">
        <f t="shared" si="3"/>
        <v>0</v>
      </c>
      <c r="N42" s="112" t="str">
        <f>IF(AB42="◎",COUNTIF($AB$32:AB42,"◎"),"")</f>
        <v/>
      </c>
      <c r="Q42" s="2038" t="str">
        <f t="shared" si="5"/>
        <v/>
      </c>
      <c r="R42" s="699" t="str">
        <f t="shared" si="6"/>
        <v/>
      </c>
      <c r="S42" s="699" t="str">
        <f t="shared" si="7"/>
        <v/>
      </c>
      <c r="T42" s="699" t="str">
        <f t="shared" si="8"/>
        <v/>
      </c>
      <c r="Z42" s="65" t="s">
        <v>67</v>
      </c>
      <c r="AA42" s="72">
        <v>11</v>
      </c>
      <c r="AB42" s="576" t="str">
        <f t="shared" si="9"/>
        <v>○</v>
      </c>
      <c r="AC42" s="69" t="str">
        <f t="shared" si="10"/>
        <v>申請しない場合は入力不要です。</v>
      </c>
      <c r="AD42" s="120"/>
      <c r="AE42" s="70"/>
      <c r="AF42" s="70"/>
      <c r="AG42" s="127" t="str">
        <f t="shared" si="1"/>
        <v/>
      </c>
      <c r="AH42" s="73"/>
    </row>
    <row r="43" spans="1:52" ht="24.95" customHeight="1" x14ac:dyDescent="0.4">
      <c r="A43" s="20">
        <v>12</v>
      </c>
      <c r="B43" s="584" t="str">
        <f t="shared" si="4"/>
        <v/>
      </c>
      <c r="C43" s="162"/>
      <c r="D43" s="163"/>
      <c r="E43" s="164"/>
      <c r="F43" s="165"/>
      <c r="G43" s="583"/>
      <c r="H43" s="583"/>
      <c r="I43" s="583"/>
      <c r="J43" s="1897"/>
      <c r="K43" s="1833"/>
      <c r="L43" s="128">
        <f t="shared" si="2"/>
        <v>0</v>
      </c>
      <c r="M43" s="113">
        <f t="shared" si="3"/>
        <v>0</v>
      </c>
      <c r="N43" s="112" t="str">
        <f>IF(AB43="◎",COUNTIF($AB$32:AB43,"◎"),"")</f>
        <v/>
      </c>
      <c r="Q43" s="2038" t="str">
        <f t="shared" si="5"/>
        <v/>
      </c>
      <c r="R43" s="699" t="str">
        <f t="shared" si="6"/>
        <v/>
      </c>
      <c r="S43" s="699" t="str">
        <f t="shared" si="7"/>
        <v/>
      </c>
      <c r="T43" s="699" t="str">
        <f t="shared" si="8"/>
        <v/>
      </c>
      <c r="Z43" s="65" t="s">
        <v>67</v>
      </c>
      <c r="AA43" s="72">
        <v>12</v>
      </c>
      <c r="AB43" s="576" t="str">
        <f t="shared" si="9"/>
        <v>○</v>
      </c>
      <c r="AC43" s="69" t="str">
        <f t="shared" si="10"/>
        <v>申請しない場合は入力不要です。</v>
      </c>
      <c r="AD43" s="120"/>
      <c r="AE43" s="70"/>
      <c r="AF43" s="70"/>
      <c r="AG43" s="127" t="str">
        <f t="shared" si="1"/>
        <v/>
      </c>
      <c r="AH43" s="73"/>
    </row>
    <row r="44" spans="1:52" ht="24.95" customHeight="1" x14ac:dyDescent="0.4">
      <c r="A44" s="20">
        <v>13</v>
      </c>
      <c r="B44" s="584" t="str">
        <f t="shared" si="4"/>
        <v/>
      </c>
      <c r="C44" s="162"/>
      <c r="D44" s="163"/>
      <c r="E44" s="164"/>
      <c r="F44" s="165"/>
      <c r="G44" s="583"/>
      <c r="H44" s="583"/>
      <c r="I44" s="583"/>
      <c r="J44" s="1897"/>
      <c r="K44" s="1833"/>
      <c r="L44" s="128">
        <f t="shared" si="2"/>
        <v>0</v>
      </c>
      <c r="M44" s="113">
        <f t="shared" si="3"/>
        <v>0</v>
      </c>
      <c r="N44" s="112" t="str">
        <f>IF(AB44="◎",COUNTIF($AB$32:AB44,"◎"),"")</f>
        <v/>
      </c>
      <c r="Q44" s="2038" t="str">
        <f t="shared" si="5"/>
        <v/>
      </c>
      <c r="R44" s="699" t="str">
        <f t="shared" si="6"/>
        <v/>
      </c>
      <c r="S44" s="699" t="str">
        <f t="shared" si="7"/>
        <v/>
      </c>
      <c r="T44" s="699" t="str">
        <f t="shared" si="8"/>
        <v/>
      </c>
      <c r="Z44" s="65" t="s">
        <v>67</v>
      </c>
      <c r="AA44" s="72">
        <v>13</v>
      </c>
      <c r="AB44" s="576" t="str">
        <f t="shared" si="9"/>
        <v>○</v>
      </c>
      <c r="AC44" s="69" t="str">
        <f t="shared" si="10"/>
        <v>申請しない場合は入力不要です。</v>
      </c>
      <c r="AD44" s="120"/>
      <c r="AE44" s="70"/>
      <c r="AF44" s="70"/>
      <c r="AG44" s="127" t="str">
        <f t="shared" si="1"/>
        <v/>
      </c>
      <c r="AH44" s="73"/>
    </row>
    <row r="45" spans="1:52" ht="24.95" customHeight="1" x14ac:dyDescent="0.4">
      <c r="A45" s="20">
        <v>14</v>
      </c>
      <c r="B45" s="584" t="str">
        <f t="shared" si="4"/>
        <v/>
      </c>
      <c r="C45" s="162"/>
      <c r="D45" s="163"/>
      <c r="E45" s="164"/>
      <c r="F45" s="165"/>
      <c r="G45" s="583"/>
      <c r="H45" s="583"/>
      <c r="I45" s="583"/>
      <c r="J45" s="1897"/>
      <c r="K45" s="1833"/>
      <c r="L45" s="128">
        <f t="shared" si="2"/>
        <v>0</v>
      </c>
      <c r="M45" s="113">
        <f t="shared" si="3"/>
        <v>0</v>
      </c>
      <c r="N45" s="112" t="str">
        <f>IF(AB45="◎",COUNTIF($AB$32:AB45,"◎"),"")</f>
        <v/>
      </c>
      <c r="Q45" s="2038" t="str">
        <f t="shared" si="5"/>
        <v/>
      </c>
      <c r="R45" s="699" t="str">
        <f t="shared" si="6"/>
        <v/>
      </c>
      <c r="S45" s="699" t="str">
        <f t="shared" si="7"/>
        <v/>
      </c>
      <c r="T45" s="699" t="str">
        <f t="shared" si="8"/>
        <v/>
      </c>
      <c r="Z45" s="65" t="s">
        <v>67</v>
      </c>
      <c r="AA45" s="72">
        <v>14</v>
      </c>
      <c r="AB45" s="576" t="str">
        <f t="shared" si="9"/>
        <v>○</v>
      </c>
      <c r="AC45" s="69" t="str">
        <f t="shared" si="10"/>
        <v>申請しない場合は入力不要です。</v>
      </c>
      <c r="AD45" s="120"/>
      <c r="AE45" s="70"/>
      <c r="AF45" s="70"/>
      <c r="AG45" s="127" t="str">
        <f t="shared" si="1"/>
        <v/>
      </c>
      <c r="AH45" s="73"/>
    </row>
    <row r="46" spans="1:52" ht="24.95" customHeight="1" x14ac:dyDescent="0.4">
      <c r="A46" s="20">
        <v>15</v>
      </c>
      <c r="B46" s="584" t="str">
        <f t="shared" si="4"/>
        <v/>
      </c>
      <c r="C46" s="162"/>
      <c r="D46" s="163"/>
      <c r="E46" s="164"/>
      <c r="F46" s="165"/>
      <c r="G46" s="583"/>
      <c r="H46" s="583"/>
      <c r="I46" s="583"/>
      <c r="J46" s="1897"/>
      <c r="K46" s="1833"/>
      <c r="L46" s="128">
        <f t="shared" si="2"/>
        <v>0</v>
      </c>
      <c r="M46" s="113">
        <f t="shared" si="3"/>
        <v>0</v>
      </c>
      <c r="N46" s="112" t="str">
        <f>IF(AB46="◎",COUNTIF($AB$32:AB46,"◎"),"")</f>
        <v/>
      </c>
      <c r="Q46" s="2038" t="str">
        <f t="shared" si="5"/>
        <v/>
      </c>
      <c r="R46" s="699" t="str">
        <f t="shared" si="6"/>
        <v/>
      </c>
      <c r="S46" s="699" t="str">
        <f t="shared" si="7"/>
        <v/>
      </c>
      <c r="T46" s="699" t="str">
        <f t="shared" si="8"/>
        <v/>
      </c>
      <c r="Z46" s="65" t="s">
        <v>67</v>
      </c>
      <c r="AA46" s="72">
        <v>15</v>
      </c>
      <c r="AB46" s="576" t="str">
        <f t="shared" si="9"/>
        <v>○</v>
      </c>
      <c r="AC46" s="69" t="str">
        <f t="shared" si="10"/>
        <v>申請しない場合は入力不要です。</v>
      </c>
      <c r="AD46" s="120"/>
      <c r="AE46" s="70"/>
      <c r="AF46" s="70"/>
      <c r="AG46" s="127" t="str">
        <f t="shared" si="1"/>
        <v/>
      </c>
      <c r="AH46" s="73"/>
    </row>
    <row r="47" spans="1:52" ht="24.95" customHeight="1" x14ac:dyDescent="0.4">
      <c r="A47" s="20">
        <v>16</v>
      </c>
      <c r="B47" s="584" t="str">
        <f t="shared" si="4"/>
        <v/>
      </c>
      <c r="C47" s="162"/>
      <c r="D47" s="163"/>
      <c r="E47" s="164"/>
      <c r="F47" s="165"/>
      <c r="G47" s="583"/>
      <c r="H47" s="583"/>
      <c r="I47" s="583"/>
      <c r="J47" s="1897"/>
      <c r="K47" s="1833"/>
      <c r="L47" s="128">
        <f t="shared" si="2"/>
        <v>0</v>
      </c>
      <c r="M47" s="113">
        <f t="shared" si="3"/>
        <v>0</v>
      </c>
      <c r="N47" s="112" t="str">
        <f>IF(AB47="◎",COUNTIF($AB$32:AB47,"◎"),"")</f>
        <v/>
      </c>
      <c r="Q47" s="2038" t="str">
        <f t="shared" si="5"/>
        <v/>
      </c>
      <c r="R47" s="699" t="str">
        <f t="shared" si="6"/>
        <v/>
      </c>
      <c r="S47" s="699" t="str">
        <f t="shared" si="7"/>
        <v/>
      </c>
      <c r="T47" s="699" t="str">
        <f t="shared" si="8"/>
        <v/>
      </c>
      <c r="Z47" s="65" t="s">
        <v>67</v>
      </c>
      <c r="AA47" s="72">
        <v>16</v>
      </c>
      <c r="AB47" s="576" t="str">
        <f t="shared" si="9"/>
        <v>○</v>
      </c>
      <c r="AC47" s="69" t="str">
        <f t="shared" si="10"/>
        <v>申請しない場合は入力不要です。</v>
      </c>
      <c r="AD47" s="120"/>
      <c r="AE47" s="70"/>
      <c r="AF47" s="70"/>
      <c r="AG47" s="127" t="str">
        <f t="shared" si="1"/>
        <v/>
      </c>
      <c r="AH47" s="73"/>
    </row>
    <row r="48" spans="1:52" ht="24.95" customHeight="1" x14ac:dyDescent="0.4">
      <c r="A48" s="20">
        <v>17</v>
      </c>
      <c r="B48" s="584" t="str">
        <f t="shared" si="4"/>
        <v/>
      </c>
      <c r="C48" s="162"/>
      <c r="D48" s="163"/>
      <c r="E48" s="164"/>
      <c r="F48" s="165"/>
      <c r="G48" s="583"/>
      <c r="H48" s="583"/>
      <c r="I48" s="583"/>
      <c r="J48" s="1897"/>
      <c r="K48" s="1833"/>
      <c r="L48" s="128">
        <f t="shared" si="2"/>
        <v>0</v>
      </c>
      <c r="M48" s="113">
        <f t="shared" si="3"/>
        <v>0</v>
      </c>
      <c r="N48" s="112" t="str">
        <f>IF(AB48="◎",COUNTIF($AB$32:AB48,"◎"),"")</f>
        <v/>
      </c>
      <c r="Q48" s="2038" t="str">
        <f t="shared" si="5"/>
        <v/>
      </c>
      <c r="R48" s="699" t="str">
        <f t="shared" si="6"/>
        <v/>
      </c>
      <c r="S48" s="699" t="str">
        <f t="shared" si="7"/>
        <v/>
      </c>
      <c r="T48" s="699" t="str">
        <f t="shared" si="8"/>
        <v/>
      </c>
      <c r="Z48" s="65" t="s">
        <v>67</v>
      </c>
      <c r="AA48" s="72">
        <v>17</v>
      </c>
      <c r="AB48" s="576" t="str">
        <f t="shared" si="9"/>
        <v>○</v>
      </c>
      <c r="AC48" s="69" t="str">
        <f t="shared" si="10"/>
        <v>申請しない場合は入力不要です。</v>
      </c>
      <c r="AD48" s="120"/>
      <c r="AE48" s="70"/>
      <c r="AF48" s="70"/>
      <c r="AG48" s="127" t="str">
        <f t="shared" si="1"/>
        <v/>
      </c>
      <c r="AH48" s="73"/>
    </row>
    <row r="49" spans="1:34" ht="24.95" customHeight="1" x14ac:dyDescent="0.4">
      <c r="A49" s="20">
        <v>18</v>
      </c>
      <c r="B49" s="584" t="str">
        <f t="shared" si="4"/>
        <v/>
      </c>
      <c r="C49" s="162"/>
      <c r="D49" s="163"/>
      <c r="E49" s="164"/>
      <c r="F49" s="165"/>
      <c r="G49" s="583"/>
      <c r="H49" s="583"/>
      <c r="I49" s="583"/>
      <c r="J49" s="1897"/>
      <c r="K49" s="1833"/>
      <c r="L49" s="128">
        <f t="shared" si="2"/>
        <v>0</v>
      </c>
      <c r="M49" s="113">
        <f t="shared" si="3"/>
        <v>0</v>
      </c>
      <c r="N49" s="112" t="str">
        <f>IF(AB49="◎",COUNTIF($AB$32:AB49,"◎"),"")</f>
        <v/>
      </c>
      <c r="Q49" s="2038" t="str">
        <f t="shared" si="5"/>
        <v/>
      </c>
      <c r="R49" s="699" t="str">
        <f t="shared" si="6"/>
        <v/>
      </c>
      <c r="S49" s="699" t="str">
        <f t="shared" si="7"/>
        <v/>
      </c>
      <c r="T49" s="699" t="str">
        <f t="shared" si="8"/>
        <v/>
      </c>
      <c r="Z49" s="65" t="s">
        <v>67</v>
      </c>
      <c r="AA49" s="72">
        <v>18</v>
      </c>
      <c r="AB49" s="576" t="str">
        <f t="shared" si="9"/>
        <v>○</v>
      </c>
      <c r="AC49" s="69" t="str">
        <f t="shared" si="10"/>
        <v>申請しない場合は入力不要です。</v>
      </c>
      <c r="AD49" s="120"/>
      <c r="AE49" s="70"/>
      <c r="AF49" s="70"/>
      <c r="AG49" s="127" t="str">
        <f t="shared" si="1"/>
        <v/>
      </c>
      <c r="AH49" s="73"/>
    </row>
    <row r="50" spans="1:34" ht="24.95" customHeight="1" x14ac:dyDescent="0.4">
      <c r="A50" s="20">
        <v>19</v>
      </c>
      <c r="B50" s="584" t="str">
        <f t="shared" si="4"/>
        <v/>
      </c>
      <c r="C50" s="162"/>
      <c r="D50" s="163"/>
      <c r="E50" s="164"/>
      <c r="F50" s="165"/>
      <c r="G50" s="583"/>
      <c r="H50" s="583"/>
      <c r="I50" s="583"/>
      <c r="J50" s="1897"/>
      <c r="K50" s="1833"/>
      <c r="L50" s="128">
        <f t="shared" si="2"/>
        <v>0</v>
      </c>
      <c r="M50" s="113">
        <f t="shared" si="3"/>
        <v>0</v>
      </c>
      <c r="N50" s="112" t="str">
        <f>IF(AB50="◎",COUNTIF($AB$32:AB50,"◎"),"")</f>
        <v/>
      </c>
      <c r="Q50" s="2038" t="str">
        <f t="shared" si="5"/>
        <v/>
      </c>
      <c r="R50" s="699" t="str">
        <f t="shared" si="6"/>
        <v/>
      </c>
      <c r="S50" s="699" t="str">
        <f t="shared" si="7"/>
        <v/>
      </c>
      <c r="T50" s="699" t="str">
        <f t="shared" si="8"/>
        <v/>
      </c>
      <c r="Z50" s="65" t="s">
        <v>67</v>
      </c>
      <c r="AA50" s="72">
        <v>19</v>
      </c>
      <c r="AB50" s="576" t="str">
        <f t="shared" si="9"/>
        <v>○</v>
      </c>
      <c r="AC50" s="69" t="str">
        <f t="shared" si="10"/>
        <v>申請しない場合は入力不要です。</v>
      </c>
      <c r="AD50" s="120"/>
      <c r="AE50" s="70"/>
      <c r="AF50" s="70"/>
      <c r="AG50" s="127" t="str">
        <f t="shared" si="1"/>
        <v/>
      </c>
      <c r="AH50" s="73"/>
    </row>
    <row r="51" spans="1:34" ht="24.95" customHeight="1" x14ac:dyDescent="0.4">
      <c r="A51" s="20">
        <v>20</v>
      </c>
      <c r="B51" s="584" t="str">
        <f t="shared" si="4"/>
        <v/>
      </c>
      <c r="C51" s="162"/>
      <c r="D51" s="163"/>
      <c r="E51" s="164"/>
      <c r="F51" s="165"/>
      <c r="G51" s="583"/>
      <c r="H51" s="583"/>
      <c r="I51" s="583"/>
      <c r="J51" s="1897"/>
      <c r="K51" s="1833"/>
      <c r="L51" s="128">
        <f t="shared" si="2"/>
        <v>0</v>
      </c>
      <c r="M51" s="113">
        <f t="shared" si="3"/>
        <v>0</v>
      </c>
      <c r="N51" s="112" t="str">
        <f>IF(AB51="◎",COUNTIF($AB$32:AB51,"◎"),"")</f>
        <v/>
      </c>
      <c r="Q51" s="2038" t="str">
        <f t="shared" si="5"/>
        <v/>
      </c>
      <c r="R51" s="699" t="str">
        <f t="shared" si="6"/>
        <v/>
      </c>
      <c r="S51" s="699" t="str">
        <f t="shared" si="7"/>
        <v/>
      </c>
      <c r="T51" s="699" t="str">
        <f t="shared" si="8"/>
        <v/>
      </c>
      <c r="Z51" s="65" t="s">
        <v>67</v>
      </c>
      <c r="AA51" s="72">
        <v>20</v>
      </c>
      <c r="AB51" s="576" t="str">
        <f t="shared" si="9"/>
        <v>○</v>
      </c>
      <c r="AC51" s="69" t="str">
        <f t="shared" si="10"/>
        <v>申請しない場合は入力不要です。</v>
      </c>
      <c r="AD51" s="120"/>
      <c r="AE51" s="70"/>
      <c r="AF51" s="70"/>
      <c r="AG51" s="127" t="str">
        <f t="shared" si="1"/>
        <v/>
      </c>
      <c r="AH51" s="73"/>
    </row>
    <row r="52" spans="1:34" ht="24.95" customHeight="1" x14ac:dyDescent="0.4">
      <c r="A52" s="20">
        <v>21</v>
      </c>
      <c r="B52" s="584" t="str">
        <f t="shared" si="4"/>
        <v/>
      </c>
      <c r="C52" s="162"/>
      <c r="D52" s="163"/>
      <c r="E52" s="164"/>
      <c r="F52" s="165"/>
      <c r="G52" s="583"/>
      <c r="H52" s="583"/>
      <c r="I52" s="583"/>
      <c r="J52" s="1897"/>
      <c r="K52" s="1833"/>
      <c r="L52" s="128">
        <f t="shared" si="2"/>
        <v>0</v>
      </c>
      <c r="M52" s="113">
        <f t="shared" si="3"/>
        <v>0</v>
      </c>
      <c r="N52" s="112" t="str">
        <f>IF(AB52="◎",COUNTIF($AB$32:AB52,"◎"),"")</f>
        <v/>
      </c>
      <c r="Q52" s="2038" t="str">
        <f t="shared" si="5"/>
        <v/>
      </c>
      <c r="R52" s="699" t="str">
        <f t="shared" si="6"/>
        <v/>
      </c>
      <c r="S52" s="699" t="str">
        <f t="shared" si="7"/>
        <v/>
      </c>
      <c r="T52" s="699" t="str">
        <f t="shared" si="8"/>
        <v/>
      </c>
      <c r="Z52" s="65" t="s">
        <v>67</v>
      </c>
      <c r="AA52" s="72">
        <v>21</v>
      </c>
      <c r="AB52" s="576" t="str">
        <f t="shared" si="9"/>
        <v>○</v>
      </c>
      <c r="AC52" s="69" t="str">
        <f t="shared" si="10"/>
        <v>申請しない場合は入力不要です。</v>
      </c>
      <c r="AD52" s="120"/>
      <c r="AE52" s="70"/>
      <c r="AF52" s="70"/>
      <c r="AG52" s="127" t="str">
        <f t="shared" si="1"/>
        <v/>
      </c>
      <c r="AH52" s="73"/>
    </row>
    <row r="53" spans="1:34" ht="24.95" customHeight="1" x14ac:dyDescent="0.4">
      <c r="A53" s="20">
        <v>22</v>
      </c>
      <c r="B53" s="584" t="str">
        <f t="shared" si="4"/>
        <v/>
      </c>
      <c r="C53" s="162"/>
      <c r="D53" s="163"/>
      <c r="E53" s="164"/>
      <c r="F53" s="165"/>
      <c r="G53" s="583"/>
      <c r="H53" s="583"/>
      <c r="I53" s="583"/>
      <c r="J53" s="1897"/>
      <c r="K53" s="1833"/>
      <c r="L53" s="128">
        <f t="shared" si="2"/>
        <v>0</v>
      </c>
      <c r="M53" s="113">
        <f t="shared" si="3"/>
        <v>0</v>
      </c>
      <c r="N53" s="112" t="str">
        <f>IF(AB53="◎",COUNTIF($AB$32:AB53,"◎"),"")</f>
        <v/>
      </c>
      <c r="Q53" s="2038" t="str">
        <f t="shared" si="5"/>
        <v/>
      </c>
      <c r="R53" s="699" t="str">
        <f t="shared" si="6"/>
        <v/>
      </c>
      <c r="S53" s="699" t="str">
        <f t="shared" si="7"/>
        <v/>
      </c>
      <c r="T53" s="699" t="str">
        <f t="shared" si="8"/>
        <v/>
      </c>
      <c r="Z53" s="65" t="s">
        <v>67</v>
      </c>
      <c r="AA53" s="72">
        <v>22</v>
      </c>
      <c r="AB53" s="576" t="str">
        <f t="shared" si="9"/>
        <v>○</v>
      </c>
      <c r="AC53" s="69" t="str">
        <f t="shared" si="10"/>
        <v>申請しない場合は入力不要です。</v>
      </c>
      <c r="AD53" s="120"/>
      <c r="AE53" s="70"/>
      <c r="AF53" s="70"/>
      <c r="AG53" s="127" t="str">
        <f t="shared" si="1"/>
        <v/>
      </c>
      <c r="AH53" s="73"/>
    </row>
    <row r="54" spans="1:34" ht="24.95" customHeight="1" x14ac:dyDescent="0.4">
      <c r="A54" s="20">
        <v>23</v>
      </c>
      <c r="B54" s="584" t="str">
        <f t="shared" si="4"/>
        <v/>
      </c>
      <c r="C54" s="162"/>
      <c r="D54" s="163"/>
      <c r="E54" s="164"/>
      <c r="F54" s="165"/>
      <c r="G54" s="583"/>
      <c r="H54" s="583"/>
      <c r="I54" s="583"/>
      <c r="J54" s="1897"/>
      <c r="K54" s="1833"/>
      <c r="L54" s="128">
        <f t="shared" si="2"/>
        <v>0</v>
      </c>
      <c r="M54" s="113">
        <f t="shared" si="3"/>
        <v>0</v>
      </c>
      <c r="N54" s="112" t="str">
        <f>IF(AB54="◎",COUNTIF($AB$32:AB54,"◎"),"")</f>
        <v/>
      </c>
      <c r="Q54" s="2038" t="str">
        <f t="shared" si="5"/>
        <v/>
      </c>
      <c r="R54" s="699" t="str">
        <f t="shared" si="6"/>
        <v/>
      </c>
      <c r="S54" s="699" t="str">
        <f t="shared" si="7"/>
        <v/>
      </c>
      <c r="T54" s="699" t="str">
        <f t="shared" si="8"/>
        <v/>
      </c>
      <c r="Z54" s="65" t="s">
        <v>67</v>
      </c>
      <c r="AA54" s="72">
        <v>23</v>
      </c>
      <c r="AB54" s="576" t="str">
        <f t="shared" si="9"/>
        <v>○</v>
      </c>
      <c r="AC54" s="69" t="str">
        <f t="shared" si="10"/>
        <v>申請しない場合は入力不要です。</v>
      </c>
      <c r="AD54" s="120"/>
      <c r="AE54" s="70"/>
      <c r="AF54" s="70"/>
      <c r="AG54" s="127" t="str">
        <f t="shared" si="1"/>
        <v/>
      </c>
      <c r="AH54" s="73"/>
    </row>
    <row r="55" spans="1:34" ht="24.95" customHeight="1" x14ac:dyDescent="0.4">
      <c r="A55" s="20">
        <v>24</v>
      </c>
      <c r="B55" s="584" t="str">
        <f t="shared" si="4"/>
        <v/>
      </c>
      <c r="C55" s="162"/>
      <c r="D55" s="163"/>
      <c r="E55" s="164"/>
      <c r="F55" s="165"/>
      <c r="G55" s="583"/>
      <c r="H55" s="583"/>
      <c r="I55" s="583"/>
      <c r="J55" s="1897"/>
      <c r="K55" s="1833"/>
      <c r="L55" s="128">
        <f t="shared" si="2"/>
        <v>0</v>
      </c>
      <c r="M55" s="113">
        <f t="shared" si="3"/>
        <v>0</v>
      </c>
      <c r="N55" s="112" t="str">
        <f>IF(AB55="◎",COUNTIF($AB$32:AB55,"◎"),"")</f>
        <v/>
      </c>
      <c r="Q55" s="2038" t="str">
        <f t="shared" si="5"/>
        <v/>
      </c>
      <c r="R55" s="699" t="str">
        <f t="shared" si="6"/>
        <v/>
      </c>
      <c r="S55" s="699" t="str">
        <f t="shared" si="7"/>
        <v/>
      </c>
      <c r="T55" s="699" t="str">
        <f t="shared" si="8"/>
        <v/>
      </c>
      <c r="Z55" s="65" t="s">
        <v>67</v>
      </c>
      <c r="AA55" s="72">
        <v>24</v>
      </c>
      <c r="AB55" s="576" t="str">
        <f t="shared" si="9"/>
        <v>○</v>
      </c>
      <c r="AC55" s="69" t="str">
        <f t="shared" si="10"/>
        <v>申請しない場合は入力不要です。</v>
      </c>
      <c r="AD55" s="120"/>
      <c r="AE55" s="70"/>
      <c r="AF55" s="70"/>
      <c r="AG55" s="127" t="str">
        <f t="shared" si="1"/>
        <v/>
      </c>
      <c r="AH55" s="73"/>
    </row>
    <row r="56" spans="1:34" ht="24.95" customHeight="1" x14ac:dyDescent="0.4">
      <c r="A56" s="20">
        <v>25</v>
      </c>
      <c r="B56" s="584" t="str">
        <f t="shared" si="4"/>
        <v/>
      </c>
      <c r="C56" s="162"/>
      <c r="D56" s="163"/>
      <c r="E56" s="164"/>
      <c r="F56" s="165"/>
      <c r="G56" s="583"/>
      <c r="H56" s="583"/>
      <c r="I56" s="583"/>
      <c r="J56" s="1897"/>
      <c r="K56" s="1833"/>
      <c r="L56" s="128">
        <f t="shared" si="2"/>
        <v>0</v>
      </c>
      <c r="M56" s="113">
        <f t="shared" si="3"/>
        <v>0</v>
      </c>
      <c r="N56" s="112" t="str">
        <f>IF(AB56="◎",COUNTIF($AB$32:AB56,"◎"),"")</f>
        <v/>
      </c>
      <c r="Q56" s="2038" t="str">
        <f t="shared" si="5"/>
        <v/>
      </c>
      <c r="R56" s="699" t="str">
        <f t="shared" si="6"/>
        <v/>
      </c>
      <c r="S56" s="699" t="str">
        <f t="shared" si="7"/>
        <v/>
      </c>
      <c r="T56" s="699" t="str">
        <f t="shared" si="8"/>
        <v/>
      </c>
      <c r="Z56" s="65" t="s">
        <v>67</v>
      </c>
      <c r="AA56" s="72">
        <v>25</v>
      </c>
      <c r="AB56" s="576" t="str">
        <f t="shared" si="9"/>
        <v>○</v>
      </c>
      <c r="AC56" s="69" t="str">
        <f t="shared" si="10"/>
        <v>申請しない場合は入力不要です。</v>
      </c>
      <c r="AD56" s="120"/>
      <c r="AE56" s="70"/>
      <c r="AF56" s="70"/>
      <c r="AG56" s="127" t="str">
        <f t="shared" si="1"/>
        <v/>
      </c>
      <c r="AH56" s="73"/>
    </row>
    <row r="57" spans="1:34" ht="24.95" customHeight="1" x14ac:dyDescent="0.4">
      <c r="A57" s="20">
        <v>26</v>
      </c>
      <c r="B57" s="584" t="str">
        <f t="shared" si="4"/>
        <v/>
      </c>
      <c r="C57" s="162"/>
      <c r="D57" s="163"/>
      <c r="E57" s="164"/>
      <c r="F57" s="165"/>
      <c r="G57" s="583"/>
      <c r="H57" s="583"/>
      <c r="I57" s="583"/>
      <c r="J57" s="1897"/>
      <c r="K57" s="1833"/>
      <c r="L57" s="128">
        <f t="shared" si="2"/>
        <v>0</v>
      </c>
      <c r="M57" s="113">
        <f t="shared" si="3"/>
        <v>0</v>
      </c>
      <c r="N57" s="112" t="str">
        <f>IF(AB57="◎",COUNTIF($AB$32:AB57,"◎"),"")</f>
        <v/>
      </c>
      <c r="Q57" s="2038" t="str">
        <f t="shared" si="5"/>
        <v/>
      </c>
      <c r="R57" s="699" t="str">
        <f t="shared" si="6"/>
        <v/>
      </c>
      <c r="S57" s="699" t="str">
        <f t="shared" si="7"/>
        <v/>
      </c>
      <c r="T57" s="699" t="str">
        <f t="shared" si="8"/>
        <v/>
      </c>
      <c r="Z57" s="65" t="s">
        <v>67</v>
      </c>
      <c r="AA57" s="72">
        <v>26</v>
      </c>
      <c r="AB57" s="576" t="str">
        <f t="shared" si="9"/>
        <v>○</v>
      </c>
      <c r="AC57" s="69" t="str">
        <f t="shared" si="10"/>
        <v>申請しない場合は入力不要です。</v>
      </c>
      <c r="AD57" s="120"/>
      <c r="AE57" s="70"/>
      <c r="AF57" s="70"/>
      <c r="AG57" s="127" t="str">
        <f t="shared" si="1"/>
        <v/>
      </c>
      <c r="AH57" s="73"/>
    </row>
    <row r="58" spans="1:34" ht="24.95" customHeight="1" x14ac:dyDescent="0.4">
      <c r="A58" s="20">
        <v>27</v>
      </c>
      <c r="B58" s="584" t="str">
        <f t="shared" si="4"/>
        <v/>
      </c>
      <c r="C58" s="162"/>
      <c r="D58" s="163"/>
      <c r="E58" s="164"/>
      <c r="F58" s="165"/>
      <c r="G58" s="583"/>
      <c r="H58" s="583"/>
      <c r="I58" s="583"/>
      <c r="J58" s="1897"/>
      <c r="K58" s="1833"/>
      <c r="L58" s="128">
        <f t="shared" si="2"/>
        <v>0</v>
      </c>
      <c r="M58" s="113">
        <f t="shared" si="3"/>
        <v>0</v>
      </c>
      <c r="N58" s="112" t="str">
        <f>IF(AB58="◎",COUNTIF($AB$32:AB58,"◎"),"")</f>
        <v/>
      </c>
      <c r="Q58" s="2038" t="str">
        <f t="shared" si="5"/>
        <v/>
      </c>
      <c r="R58" s="699" t="str">
        <f t="shared" si="6"/>
        <v/>
      </c>
      <c r="S58" s="699" t="str">
        <f t="shared" si="7"/>
        <v/>
      </c>
      <c r="T58" s="699" t="str">
        <f t="shared" si="8"/>
        <v/>
      </c>
      <c r="Z58" s="65" t="s">
        <v>67</v>
      </c>
      <c r="AA58" s="72">
        <v>27</v>
      </c>
      <c r="AB58" s="576" t="str">
        <f t="shared" si="9"/>
        <v>○</v>
      </c>
      <c r="AC58" s="69" t="str">
        <f t="shared" si="10"/>
        <v>申請しない場合は入力不要です。</v>
      </c>
      <c r="AD58" s="120"/>
      <c r="AE58" s="70"/>
      <c r="AF58" s="70"/>
      <c r="AG58" s="127" t="str">
        <f t="shared" si="1"/>
        <v/>
      </c>
      <c r="AH58" s="73"/>
    </row>
    <row r="59" spans="1:34" ht="24.95" customHeight="1" x14ac:dyDescent="0.4">
      <c r="A59" s="20">
        <v>28</v>
      </c>
      <c r="B59" s="584" t="str">
        <f t="shared" si="4"/>
        <v/>
      </c>
      <c r="C59" s="162"/>
      <c r="D59" s="163"/>
      <c r="E59" s="164"/>
      <c r="F59" s="165"/>
      <c r="G59" s="583"/>
      <c r="H59" s="583"/>
      <c r="I59" s="583"/>
      <c r="J59" s="1897"/>
      <c r="K59" s="1833"/>
      <c r="L59" s="128">
        <f t="shared" si="2"/>
        <v>0</v>
      </c>
      <c r="M59" s="113">
        <f t="shared" si="3"/>
        <v>0</v>
      </c>
      <c r="N59" s="112" t="str">
        <f>IF(AB59="◎",COUNTIF($AB$32:AB59,"◎"),"")</f>
        <v/>
      </c>
      <c r="Q59" s="2038" t="str">
        <f t="shared" si="5"/>
        <v/>
      </c>
      <c r="R59" s="699" t="str">
        <f t="shared" si="6"/>
        <v/>
      </c>
      <c r="S59" s="699" t="str">
        <f t="shared" si="7"/>
        <v/>
      </c>
      <c r="T59" s="699" t="str">
        <f t="shared" si="8"/>
        <v/>
      </c>
      <c r="Z59" s="65" t="s">
        <v>67</v>
      </c>
      <c r="AA59" s="72">
        <v>28</v>
      </c>
      <c r="AB59" s="576" t="str">
        <f t="shared" si="9"/>
        <v>○</v>
      </c>
      <c r="AC59" s="69" t="str">
        <f t="shared" si="10"/>
        <v>申請しない場合は入力不要です。</v>
      </c>
      <c r="AD59" s="120"/>
      <c r="AE59" s="70"/>
      <c r="AF59" s="70"/>
      <c r="AG59" s="127" t="str">
        <f t="shared" si="1"/>
        <v/>
      </c>
      <c r="AH59" s="73"/>
    </row>
    <row r="60" spans="1:34" ht="24.95" customHeight="1" x14ac:dyDescent="0.4">
      <c r="A60" s="20">
        <v>29</v>
      </c>
      <c r="B60" s="584" t="str">
        <f t="shared" si="4"/>
        <v/>
      </c>
      <c r="C60" s="162"/>
      <c r="D60" s="163"/>
      <c r="E60" s="164"/>
      <c r="F60" s="165"/>
      <c r="G60" s="583"/>
      <c r="H60" s="583"/>
      <c r="I60" s="583"/>
      <c r="J60" s="1897"/>
      <c r="K60" s="1833"/>
      <c r="L60" s="128">
        <f t="shared" si="2"/>
        <v>0</v>
      </c>
      <c r="M60" s="113">
        <f t="shared" si="3"/>
        <v>0</v>
      </c>
      <c r="N60" s="112" t="str">
        <f>IF(AB60="◎",COUNTIF($AB$32:AB60,"◎"),"")</f>
        <v/>
      </c>
      <c r="Q60" s="2038" t="str">
        <f t="shared" si="5"/>
        <v/>
      </c>
      <c r="R60" s="699" t="str">
        <f t="shared" si="6"/>
        <v/>
      </c>
      <c r="S60" s="699" t="str">
        <f t="shared" si="7"/>
        <v/>
      </c>
      <c r="T60" s="699" t="str">
        <f t="shared" si="8"/>
        <v/>
      </c>
      <c r="Z60" s="65" t="s">
        <v>67</v>
      </c>
      <c r="AA60" s="72">
        <v>29</v>
      </c>
      <c r="AB60" s="576" t="str">
        <f t="shared" si="9"/>
        <v>○</v>
      </c>
      <c r="AC60" s="69" t="str">
        <f t="shared" si="10"/>
        <v>申請しない場合は入力不要です。</v>
      </c>
      <c r="AD60" s="120"/>
      <c r="AE60" s="70"/>
      <c r="AF60" s="70"/>
      <c r="AG60" s="127" t="str">
        <f t="shared" si="1"/>
        <v/>
      </c>
      <c r="AH60" s="73"/>
    </row>
    <row r="61" spans="1:34" ht="24.95" customHeight="1" x14ac:dyDescent="0.4">
      <c r="A61" s="20">
        <v>30</v>
      </c>
      <c r="B61" s="584" t="str">
        <f t="shared" si="4"/>
        <v/>
      </c>
      <c r="C61" s="162"/>
      <c r="D61" s="163"/>
      <c r="E61" s="164"/>
      <c r="F61" s="165"/>
      <c r="G61" s="583"/>
      <c r="H61" s="583"/>
      <c r="I61" s="583"/>
      <c r="J61" s="1897"/>
      <c r="K61" s="1833"/>
      <c r="L61" s="128">
        <f t="shared" si="2"/>
        <v>0</v>
      </c>
      <c r="M61" s="113">
        <f t="shared" si="3"/>
        <v>0</v>
      </c>
      <c r="N61" s="112" t="str">
        <f>IF(AB61="◎",COUNTIF($AB$32:AB61,"◎"),"")</f>
        <v/>
      </c>
      <c r="Q61" s="2038" t="str">
        <f t="shared" si="5"/>
        <v/>
      </c>
      <c r="R61" s="699" t="str">
        <f t="shared" si="6"/>
        <v/>
      </c>
      <c r="S61" s="699" t="str">
        <f t="shared" si="7"/>
        <v/>
      </c>
      <c r="T61" s="699" t="str">
        <f t="shared" si="8"/>
        <v/>
      </c>
      <c r="Z61" s="65" t="s">
        <v>67</v>
      </c>
      <c r="AA61" s="72">
        <v>30</v>
      </c>
      <c r="AB61" s="576" t="str">
        <f t="shared" si="9"/>
        <v>○</v>
      </c>
      <c r="AC61" s="69" t="str">
        <f t="shared" si="10"/>
        <v>申請しない場合は入力不要です。</v>
      </c>
      <c r="AG61" s="127" t="str">
        <f t="shared" si="1"/>
        <v/>
      </c>
    </row>
    <row r="62" spans="1:34" ht="24.95" customHeight="1" x14ac:dyDescent="0.4">
      <c r="A62" s="20">
        <v>31</v>
      </c>
      <c r="B62" s="584" t="str">
        <f t="shared" si="4"/>
        <v/>
      </c>
      <c r="C62" s="162"/>
      <c r="D62" s="163"/>
      <c r="E62" s="164"/>
      <c r="F62" s="165"/>
      <c r="G62" s="583"/>
      <c r="H62" s="583"/>
      <c r="I62" s="583"/>
      <c r="J62" s="1897"/>
      <c r="K62" s="1833"/>
      <c r="L62" s="128">
        <f t="shared" si="2"/>
        <v>0</v>
      </c>
      <c r="M62" s="113">
        <f t="shared" si="3"/>
        <v>0</v>
      </c>
      <c r="N62" s="112" t="str">
        <f>IF(AB62="◎",COUNTIF($AB$32:AB62,"◎"),"")</f>
        <v/>
      </c>
      <c r="Q62" s="2038" t="str">
        <f t="shared" si="5"/>
        <v/>
      </c>
      <c r="R62" s="699" t="str">
        <f t="shared" si="6"/>
        <v/>
      </c>
      <c r="S62" s="699" t="str">
        <f t="shared" si="7"/>
        <v/>
      </c>
      <c r="T62" s="699" t="str">
        <f t="shared" si="8"/>
        <v/>
      </c>
      <c r="Z62" s="65" t="s">
        <v>67</v>
      </c>
      <c r="AA62" s="72">
        <v>31</v>
      </c>
      <c r="AB62" s="576" t="str">
        <f t="shared" si="9"/>
        <v>○</v>
      </c>
      <c r="AC62" s="69" t="str">
        <f t="shared" si="10"/>
        <v>申請しない場合は入力不要です。</v>
      </c>
      <c r="AG62" s="127" t="str">
        <f t="shared" si="1"/>
        <v/>
      </c>
    </row>
    <row r="63" spans="1:34" ht="24.95" customHeight="1" x14ac:dyDescent="0.4">
      <c r="A63" s="20">
        <v>32</v>
      </c>
      <c r="B63" s="584" t="str">
        <f t="shared" si="4"/>
        <v/>
      </c>
      <c r="C63" s="162"/>
      <c r="D63" s="163"/>
      <c r="E63" s="164"/>
      <c r="F63" s="165"/>
      <c r="G63" s="583"/>
      <c r="H63" s="583"/>
      <c r="I63" s="583"/>
      <c r="J63" s="1897"/>
      <c r="K63" s="1833"/>
      <c r="L63" s="128">
        <f t="shared" si="2"/>
        <v>0</v>
      </c>
      <c r="M63" s="113">
        <f t="shared" si="3"/>
        <v>0</v>
      </c>
      <c r="N63" s="112" t="str">
        <f>IF(AB63="◎",COUNTIF($AB$32:AB63,"◎"),"")</f>
        <v/>
      </c>
      <c r="Q63" s="2038" t="str">
        <f t="shared" si="5"/>
        <v/>
      </c>
      <c r="R63" s="699" t="str">
        <f t="shared" si="6"/>
        <v/>
      </c>
      <c r="S63" s="699" t="str">
        <f t="shared" si="7"/>
        <v/>
      </c>
      <c r="T63" s="699" t="str">
        <f t="shared" si="8"/>
        <v/>
      </c>
      <c r="Z63" s="65" t="s">
        <v>67</v>
      </c>
      <c r="AA63" s="72">
        <v>32</v>
      </c>
      <c r="AB63" s="576" t="str">
        <f t="shared" si="9"/>
        <v>○</v>
      </c>
      <c r="AC63" s="69" t="str">
        <f t="shared" si="10"/>
        <v>申請しない場合は入力不要です。</v>
      </c>
      <c r="AG63" s="127" t="str">
        <f t="shared" si="1"/>
        <v/>
      </c>
    </row>
    <row r="64" spans="1:34" ht="24.95" customHeight="1" x14ac:dyDescent="0.4">
      <c r="A64" s="20">
        <v>33</v>
      </c>
      <c r="B64" s="584" t="str">
        <f t="shared" si="4"/>
        <v/>
      </c>
      <c r="C64" s="162"/>
      <c r="D64" s="163"/>
      <c r="E64" s="164"/>
      <c r="F64" s="165"/>
      <c r="G64" s="583"/>
      <c r="H64" s="583"/>
      <c r="I64" s="583"/>
      <c r="J64" s="1897"/>
      <c r="K64" s="1833"/>
      <c r="L64" s="128">
        <f t="shared" si="2"/>
        <v>0</v>
      </c>
      <c r="M64" s="113">
        <f t="shared" si="3"/>
        <v>0</v>
      </c>
      <c r="N64" s="112" t="str">
        <f>IF(AB64="◎",COUNTIF($AB$32:AB64,"◎"),"")</f>
        <v/>
      </c>
      <c r="Q64" s="2038" t="str">
        <f t="shared" si="5"/>
        <v/>
      </c>
      <c r="R64" s="699" t="str">
        <f t="shared" si="6"/>
        <v/>
      </c>
      <c r="S64" s="699" t="str">
        <f t="shared" si="7"/>
        <v/>
      </c>
      <c r="T64" s="699" t="str">
        <f t="shared" si="8"/>
        <v/>
      </c>
      <c r="Z64" s="65" t="s">
        <v>67</v>
      </c>
      <c r="AA64" s="72">
        <v>33</v>
      </c>
      <c r="AB64" s="576" t="str">
        <f t="shared" si="9"/>
        <v>○</v>
      </c>
      <c r="AC64" s="69" t="str">
        <f t="shared" si="10"/>
        <v>申請しない場合は入力不要です。</v>
      </c>
      <c r="AG64" s="127" t="str">
        <f t="shared" si="1"/>
        <v/>
      </c>
    </row>
    <row r="65" spans="1:46" ht="24.95" customHeight="1" x14ac:dyDescent="0.4">
      <c r="A65" s="20">
        <v>34</v>
      </c>
      <c r="B65" s="584" t="str">
        <f t="shared" si="4"/>
        <v/>
      </c>
      <c r="C65" s="162"/>
      <c r="D65" s="163"/>
      <c r="E65" s="164"/>
      <c r="F65" s="165"/>
      <c r="G65" s="583"/>
      <c r="H65" s="583"/>
      <c r="I65" s="583"/>
      <c r="J65" s="1897"/>
      <c r="K65" s="1833"/>
      <c r="L65" s="128">
        <f t="shared" si="2"/>
        <v>0</v>
      </c>
      <c r="M65" s="113">
        <f t="shared" si="3"/>
        <v>0</v>
      </c>
      <c r="N65" s="112" t="str">
        <f>IF(AB65="◎",COUNTIF($AB$32:AB65,"◎"),"")</f>
        <v/>
      </c>
      <c r="Q65" s="2038" t="str">
        <f t="shared" si="5"/>
        <v/>
      </c>
      <c r="R65" s="699" t="str">
        <f t="shared" si="6"/>
        <v/>
      </c>
      <c r="S65" s="699" t="str">
        <f t="shared" si="7"/>
        <v/>
      </c>
      <c r="T65" s="699" t="str">
        <f t="shared" si="8"/>
        <v/>
      </c>
      <c r="Z65" s="65" t="s">
        <v>67</v>
      </c>
      <c r="AA65" s="72">
        <v>34</v>
      </c>
      <c r="AB65" s="576" t="str">
        <f t="shared" si="9"/>
        <v>○</v>
      </c>
      <c r="AC65" s="69" t="str">
        <f t="shared" si="10"/>
        <v>申請しない場合は入力不要です。</v>
      </c>
      <c r="AG65" s="127" t="str">
        <f t="shared" si="1"/>
        <v/>
      </c>
    </row>
    <row r="66" spans="1:46" ht="24.95" customHeight="1" x14ac:dyDescent="0.4">
      <c r="A66" s="20">
        <v>35</v>
      </c>
      <c r="B66" s="584" t="str">
        <f t="shared" si="4"/>
        <v/>
      </c>
      <c r="C66" s="162"/>
      <c r="D66" s="163"/>
      <c r="E66" s="164"/>
      <c r="F66" s="165"/>
      <c r="G66" s="583"/>
      <c r="H66" s="583"/>
      <c r="I66" s="583"/>
      <c r="J66" s="1897"/>
      <c r="K66" s="1833"/>
      <c r="L66" s="128">
        <f t="shared" si="2"/>
        <v>0</v>
      </c>
      <c r="M66" s="113">
        <f t="shared" si="3"/>
        <v>0</v>
      </c>
      <c r="N66" s="112" t="str">
        <f>IF(AB66="◎",COUNTIF($AB$32:AB66,"◎"),"")</f>
        <v/>
      </c>
      <c r="Q66" s="2038" t="str">
        <f t="shared" si="5"/>
        <v/>
      </c>
      <c r="R66" s="699" t="str">
        <f t="shared" si="6"/>
        <v/>
      </c>
      <c r="S66" s="699" t="str">
        <f t="shared" si="7"/>
        <v/>
      </c>
      <c r="T66" s="699" t="str">
        <f t="shared" si="8"/>
        <v/>
      </c>
      <c r="Z66" s="65" t="s">
        <v>67</v>
      </c>
      <c r="AA66" s="72">
        <v>35</v>
      </c>
      <c r="AB66" s="576" t="str">
        <f t="shared" si="9"/>
        <v>○</v>
      </c>
      <c r="AC66" s="69" t="str">
        <f t="shared" si="10"/>
        <v>申請しない場合は入力不要です。</v>
      </c>
      <c r="AG66" s="127" t="str">
        <f t="shared" si="1"/>
        <v/>
      </c>
    </row>
    <row r="67" spans="1:46" ht="24.95" customHeight="1" x14ac:dyDescent="0.4">
      <c r="A67" s="20">
        <v>36</v>
      </c>
      <c r="B67" s="584" t="str">
        <f t="shared" si="4"/>
        <v/>
      </c>
      <c r="C67" s="162"/>
      <c r="D67" s="163"/>
      <c r="E67" s="164"/>
      <c r="F67" s="165"/>
      <c r="G67" s="583"/>
      <c r="H67" s="583"/>
      <c r="I67" s="583"/>
      <c r="J67" s="1897"/>
      <c r="K67" s="1833"/>
      <c r="L67" s="128">
        <f t="shared" si="2"/>
        <v>0</v>
      </c>
      <c r="M67" s="113">
        <f t="shared" si="3"/>
        <v>0</v>
      </c>
      <c r="N67" s="112" t="str">
        <f>IF(AB67="◎",COUNTIF($AB$32:AB67,"◎"),"")</f>
        <v/>
      </c>
      <c r="Q67" s="2038" t="str">
        <f t="shared" si="5"/>
        <v/>
      </c>
      <c r="R67" s="699" t="str">
        <f t="shared" si="6"/>
        <v/>
      </c>
      <c r="S67" s="699" t="str">
        <f t="shared" si="7"/>
        <v/>
      </c>
      <c r="T67" s="699" t="str">
        <f t="shared" si="8"/>
        <v/>
      </c>
      <c r="Z67" s="65" t="s">
        <v>67</v>
      </c>
      <c r="AA67" s="72">
        <v>36</v>
      </c>
      <c r="AB67" s="576" t="str">
        <f t="shared" si="9"/>
        <v>○</v>
      </c>
      <c r="AC67" s="69" t="str">
        <f t="shared" si="10"/>
        <v>申請しない場合は入力不要です。</v>
      </c>
      <c r="AG67" s="127" t="str">
        <f t="shared" si="1"/>
        <v/>
      </c>
    </row>
    <row r="68" spans="1:46" ht="24.95" customHeight="1" x14ac:dyDescent="0.4">
      <c r="A68" s="20">
        <v>37</v>
      </c>
      <c r="B68" s="584" t="str">
        <f t="shared" si="4"/>
        <v/>
      </c>
      <c r="C68" s="162"/>
      <c r="D68" s="163"/>
      <c r="E68" s="164"/>
      <c r="F68" s="165"/>
      <c r="G68" s="583"/>
      <c r="H68" s="583"/>
      <c r="I68" s="583"/>
      <c r="J68" s="1897"/>
      <c r="K68" s="1833"/>
      <c r="L68" s="128">
        <f t="shared" si="2"/>
        <v>0</v>
      </c>
      <c r="M68" s="113">
        <f t="shared" si="3"/>
        <v>0</v>
      </c>
      <c r="N68" s="112" t="str">
        <f>IF(AB68="◎",COUNTIF($AB$32:AB68,"◎"),"")</f>
        <v/>
      </c>
      <c r="Q68" s="2038" t="str">
        <f t="shared" si="5"/>
        <v/>
      </c>
      <c r="R68" s="699" t="str">
        <f t="shared" si="6"/>
        <v/>
      </c>
      <c r="S68" s="699" t="str">
        <f t="shared" si="7"/>
        <v/>
      </c>
      <c r="T68" s="699" t="str">
        <f t="shared" si="8"/>
        <v/>
      </c>
      <c r="Z68" s="65" t="s">
        <v>67</v>
      </c>
      <c r="AA68" s="72">
        <v>37</v>
      </c>
      <c r="AB68" s="576" t="str">
        <f t="shared" si="9"/>
        <v>○</v>
      </c>
      <c r="AC68" s="69" t="str">
        <f t="shared" si="10"/>
        <v>申請しない場合は入力不要です。</v>
      </c>
      <c r="AG68" s="127" t="str">
        <f t="shared" si="1"/>
        <v/>
      </c>
    </row>
    <row r="69" spans="1:46" ht="24.95" customHeight="1" x14ac:dyDescent="0.4">
      <c r="A69" s="20">
        <v>38</v>
      </c>
      <c r="B69" s="584" t="str">
        <f t="shared" si="4"/>
        <v/>
      </c>
      <c r="C69" s="162"/>
      <c r="D69" s="163"/>
      <c r="E69" s="164"/>
      <c r="F69" s="165"/>
      <c r="G69" s="583"/>
      <c r="H69" s="583"/>
      <c r="I69" s="583"/>
      <c r="J69" s="1897"/>
      <c r="K69" s="1833"/>
      <c r="L69" s="128">
        <f t="shared" si="2"/>
        <v>0</v>
      </c>
      <c r="M69" s="113">
        <f t="shared" si="3"/>
        <v>0</v>
      </c>
      <c r="N69" s="112" t="str">
        <f>IF(AB69="◎",COUNTIF($AB$32:AB69,"◎"),"")</f>
        <v/>
      </c>
      <c r="Q69" s="2038" t="str">
        <f t="shared" si="5"/>
        <v/>
      </c>
      <c r="R69" s="699" t="str">
        <f t="shared" si="6"/>
        <v/>
      </c>
      <c r="S69" s="699" t="str">
        <f t="shared" si="7"/>
        <v/>
      </c>
      <c r="T69" s="699" t="str">
        <f t="shared" si="8"/>
        <v/>
      </c>
      <c r="Z69" s="65" t="s">
        <v>67</v>
      </c>
      <c r="AA69" s="72">
        <v>38</v>
      </c>
      <c r="AB69" s="576" t="str">
        <f t="shared" si="9"/>
        <v>○</v>
      </c>
      <c r="AC69" s="69" t="str">
        <f t="shared" si="10"/>
        <v>申請しない場合は入力不要です。</v>
      </c>
      <c r="AG69" s="127" t="str">
        <f t="shared" si="1"/>
        <v/>
      </c>
    </row>
    <row r="70" spans="1:46" ht="24.95" customHeight="1" x14ac:dyDescent="0.4">
      <c r="A70" s="20">
        <v>39</v>
      </c>
      <c r="B70" s="584" t="str">
        <f t="shared" si="4"/>
        <v/>
      </c>
      <c r="C70" s="162"/>
      <c r="D70" s="163"/>
      <c r="E70" s="164"/>
      <c r="F70" s="165"/>
      <c r="G70" s="583"/>
      <c r="H70" s="583"/>
      <c r="I70" s="583"/>
      <c r="J70" s="1897"/>
      <c r="K70" s="1833"/>
      <c r="L70" s="128">
        <f t="shared" si="2"/>
        <v>0</v>
      </c>
      <c r="M70" s="113">
        <f t="shared" si="3"/>
        <v>0</v>
      </c>
      <c r="N70" s="112" t="str">
        <f>IF(AB70="◎",COUNTIF($AB$32:AB70,"◎"),"")</f>
        <v/>
      </c>
      <c r="Q70" s="2038" t="str">
        <f t="shared" si="5"/>
        <v/>
      </c>
      <c r="R70" s="699" t="str">
        <f t="shared" si="6"/>
        <v/>
      </c>
      <c r="S70" s="699" t="str">
        <f t="shared" si="7"/>
        <v/>
      </c>
      <c r="T70" s="699" t="str">
        <f t="shared" si="8"/>
        <v/>
      </c>
      <c r="Z70" s="65" t="s">
        <v>67</v>
      </c>
      <c r="AA70" s="72">
        <v>39</v>
      </c>
      <c r="AB70" s="576" t="str">
        <f t="shared" si="9"/>
        <v>○</v>
      </c>
      <c r="AC70" s="69" t="str">
        <f t="shared" si="10"/>
        <v>申請しない場合は入力不要です。</v>
      </c>
      <c r="AG70" s="127" t="str">
        <f t="shared" si="1"/>
        <v/>
      </c>
    </row>
    <row r="71" spans="1:46" ht="20.100000000000001" customHeight="1" x14ac:dyDescent="0.4">
      <c r="A71" s="20">
        <v>40</v>
      </c>
      <c r="B71" s="584" t="str">
        <f t="shared" si="4"/>
        <v/>
      </c>
      <c r="C71" s="162"/>
      <c r="D71" s="163"/>
      <c r="E71" s="164"/>
      <c r="F71" s="165"/>
      <c r="G71" s="583"/>
      <c r="H71" s="583"/>
      <c r="I71" s="583"/>
      <c r="J71" s="1897"/>
      <c r="K71" s="1833"/>
      <c r="L71" s="128">
        <f t="shared" si="2"/>
        <v>0</v>
      </c>
      <c r="M71" s="113">
        <f t="shared" si="3"/>
        <v>0</v>
      </c>
      <c r="N71" s="112" t="str">
        <f>IF(AB71="◎",COUNTIF($AB$32:AB71,"◎"),"")</f>
        <v/>
      </c>
      <c r="Q71" s="2038" t="str">
        <f t="shared" si="5"/>
        <v/>
      </c>
      <c r="R71" s="699" t="str">
        <f t="shared" si="6"/>
        <v/>
      </c>
      <c r="S71" s="699" t="str">
        <f t="shared" si="7"/>
        <v/>
      </c>
      <c r="T71" s="699" t="str">
        <f t="shared" si="8"/>
        <v/>
      </c>
      <c r="Z71" s="65" t="s">
        <v>67</v>
      </c>
      <c r="AA71" s="72">
        <v>40</v>
      </c>
      <c r="AB71" s="576" t="str">
        <f t="shared" si="9"/>
        <v>○</v>
      </c>
      <c r="AC71" s="69" t="str">
        <f t="shared" si="10"/>
        <v>申請しない場合は入力不要です。</v>
      </c>
    </row>
    <row r="73" spans="1:46" ht="20.100000000000001" customHeight="1" x14ac:dyDescent="0.4">
      <c r="Z73" s="71" t="s">
        <v>151</v>
      </c>
    </row>
    <row r="74" spans="1:46" ht="20.100000000000001" customHeight="1" x14ac:dyDescent="0.4">
      <c r="Z74" s="71" t="s">
        <v>152</v>
      </c>
    </row>
    <row r="75" spans="1:46" ht="20.100000000000001" customHeight="1" x14ac:dyDescent="0.4">
      <c r="Z75" s="71" t="s">
        <v>153</v>
      </c>
    </row>
    <row r="78" spans="1:46" ht="19.5" customHeight="1" x14ac:dyDescent="0.4">
      <c r="AI78" s="1921" t="s">
        <v>99</v>
      </c>
      <c r="AJ78" s="1411"/>
      <c r="AK78" s="1411"/>
      <c r="AL78" s="281" t="s">
        <v>97</v>
      </c>
      <c r="AM78" s="281" t="s">
        <v>101</v>
      </c>
      <c r="AN78" s="1919" t="s">
        <v>100</v>
      </c>
      <c r="AO78" s="1207"/>
      <c r="AP78" s="1207"/>
      <c r="AQ78" s="1207"/>
      <c r="AR78" s="1207"/>
      <c r="AS78" s="1207"/>
      <c r="AT78" s="1920"/>
    </row>
    <row r="79" spans="1:46" ht="20.100000000000001" customHeight="1" x14ac:dyDescent="0.4">
      <c r="AI79" s="1896" t="s">
        <v>150</v>
      </c>
      <c r="AJ79" s="1411"/>
      <c r="AK79" s="1411"/>
      <c r="AL79" s="281" t="str">
        <f>IF(AND(AB9="×",AB10="×"),"×",
IF(AND(AB9="×",AB10="○"),"×",
IF(AND(AB9="×",AB10="◎"),"×",
IF(AND(AB9="○",AB10="×"),"×",
IF(AND(AB9="○",AB10="○"),"○",
IF(AND(AB9="○",AB10="◎"),"×",
IF(AND(AB9="◎",AB10="×"),"×",
IF(AND(AB9="◎",AB10="○"),"×",
IF(AND(AB9="◎",AB10="◎"),"◎",
)))))))))</f>
        <v>○</v>
      </c>
      <c r="AM79" s="1893" t="str">
        <f xml:space="preserve">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
IF(AND(AL79="◎",AL80="◎",AL81="◎"),"◎")))))))))))))))))))))))))))</f>
        <v>○</v>
      </c>
      <c r="AN79" s="1899" t="str">
        <f xml:space="preserve">
IF(AND(AL79="×",AL80="×",AL81="×"),"【要修正】以下を確認してください。"&amp;CHAR(10)&amp;"→以下を確認してください。"&amp;CHAR(10)&amp;"→「１．はじめに」：入力不十分、「２．整備方法」：入力不十分、「３．簡易診療室情報」：入力不十分",
IF(AND(AL79="×",AL80="×",AL81="○"),"【要修正】以下を確認してください。"&amp;CHAR(10)&amp;"→「１．はじめに」：入力不十分、「２．整備方法」：入力不十分、「３．簡易診療室情報」：未入力",
IF(AND(AL79="×",AL80="×",AL81="◎"),"【要修正】以下を確認してください。"&amp;CHAR(10)&amp;"→「１．はじめに」：入力不十分、「２．整備方法」：入力不十分",
IF(AND(AL79="×",AL80="○",AL81="×"),"【要修正】以下を確認してください。"&amp;CHAR(10)&amp;"→「１．はじめに」：入力不十分、「２．整備方法」：未入力、「３．簡易診療室情報」：入力不十分",
IF(AND(AL79="×",AL80="○",AL81="○"),"【要修正】以下を確認してください。"&amp;CHAR(10)&amp;"→「１．はじめに」：入力不十分、「２．整備方法」：未入力、「３．簡易診療室情報」：未入力",
IF(AND(AL79="×",AL80="○",AL81="◎"),"【要修正】以下を確認してください。"&amp;CHAR(10)&amp;"→「１．はじめに」：入力不十分、「２．整備方法」：未入力",
IF(AND(AL79="×",AL80="◎",AL81="×"),"【要修正】以下を確認してください。"&amp;CHAR(10)&amp;"→「１．はじめに」：入力不十分、「３．簡易診療室情報」：入力不十分",
IF(AND(AL79="×",AL80="◎",AL81="○"),"【要修正】以下を確認してください。"&amp;CHAR(10)&amp;"→「１．はじめに」：入力不十分、「３．簡易診療室情報」：未入力",
IF(AND(AL79="×",AL80="◎",AL81="◎"),"【要修正】以下を確認してください。"&amp;CHAR(10)&amp;"→「１．はじめに」：入力不十分",
IF(AND(AL79="○",AL80="×",AL81="×"),"【要修正】以下を確認してください。"&amp;CHAR(10)&amp;"→「１．はじめに」：未入力、「２．整備方法」：入力不十分、「３．簡易診療室情報」：入力不十分",
IF(AND(AL79="○",AL80="×",AL81="○"),"【要修正】以下を確認してください。"&amp;CHAR(10)&amp;"→「１．はじめに」：未入力、「２．整備方法」：入力不十分、「３．簡易診療室情報」：未入力",
IF(AND(AL79="○",AL80="×",AL81="◎"),"【要修正】以下を確認してください。"&amp;CHAR(10)&amp;"→「１．はじめに」：未入力、「２．整備方法」：入力不十分",
IF(AND(AL79="○",AL80="○",AL81="×"),"【要修正】以下を確認してください。"&amp;CHAR(10)&amp;"→「１．はじめに」：未入力、「２．整備方法」：未入力、「３．簡易診療室情報」：入力不十分",
IF(AND(AL79="○",AL80="○",AL81="○"),"申請しない場合は入力不要です。",
IF(AND(AL79="○",AL80="○",AL81="◎"),"【要修正】以下を確認してください。"&amp;CHAR(10)&amp;"→「１．はじめに」：未入力、「２．整備方法」：未入力",
IF(AND(AL79="○",AL80="◎",AL81="×"),"【要修正】以下を確認してください。"&amp;CHAR(10)&amp;"→「１．はじめに」：未入力、「３．簡易診療室情報」：入力不十分",
IF(AND(AL79="○",AL80="◎",AL81="○"),"【要修正】以下を確認してください。"&amp;CHAR(10)&amp;"→「１．はじめに」：未入力、「３．簡易診療室情報」：未入力",
IF(AND(AL79="○",AL80="◎",AL81="◎"),"【要修正】以下を確認してください。"&amp;CHAR(10)&amp;"→「１．はじめに」：未入力",
IF(AND(AL79="◎",AL80="×",AL81="×"),"【要修正】以下を確認してください。"&amp;CHAR(10)&amp;"→「２．整備方法」：入力不十分、「３．簡易診療室情報」：入力不十分",
IF(AND(AL79="◎",AL80="×",AL81="○"),"【要修正】以下を確認してください。"&amp;CHAR(10)&amp;"→「２．整備方法」：入力不十分、「３．簡易診療室情報」：未入力",
IF(AND(AL79="◎",AL80="×",AL81="◎"),"【要修正】以下を確認してください。"&amp;CHAR(10)&amp;"→「２．整備方法」：入力不十分",
IF(AND(AL79="◎",AL80="○",AL81="×"),"【要修正】以下を確認してください。"&amp;CHAR(10)&amp;"→「２．整備方法」：未入力、「３．簡易診療室情報」：入力不十分",
IF(AND(AL79="◎",AL80="○",AL81="○"),"【要修正】以下を確認してください。"&amp;CHAR(10)&amp;"→「２．整備方法」：未入力、「３．簡易診療室情報」：未入力",
IF(AND(AL79="◎",AL80="○",AL81="◎"),"【要修正】以下を確認してください。"&amp;CHAR(10)&amp;"→「２．整備方法」：未入力",
IF(AND(AL79="◎",AL80="◎",AL81="×"),"【要修正】以下を確認してください。"&amp;CHAR(10)&amp;"→「３．簡易診療室情報」：入力不十分",
IF(AND(AL79="◎",AL80="◎",AL81="○"),"【要修正】以下を確認してください。"&amp;CHAR(10)&amp;"→「３．簡易診療室情報」：未入力",
IF(AND(AL79="◎",AL80="◎",AL81="◎"),"適切に入力がされました。")))))))))))))))))))))))))))</f>
        <v>申請しない場合は入力不要です。</v>
      </c>
      <c r="AO79" s="797"/>
      <c r="AP79" s="797"/>
      <c r="AQ79" s="797"/>
      <c r="AR79" s="797"/>
      <c r="AS79" s="797"/>
      <c r="AT79" s="798"/>
    </row>
    <row r="80" spans="1:46" ht="20.100000000000001" customHeight="1" x14ac:dyDescent="0.4">
      <c r="AI80" s="1896" t="s">
        <v>248</v>
      </c>
      <c r="AJ80" s="1411"/>
      <c r="AK80" s="1411"/>
      <c r="AL80" s="281" t="str">
        <f xml:space="preserve">
IF(AND(AB18="×",AB19="×"),"×",
IF(AND(AB18="×",AB19="○"),"×",
IF(AND(AB18="×",AB19="◎"),"×",
IF(AND(AB18="○",AB19="×"),"×",
IF(AND(AB18="○",AB19="○"),"○",
IF(AND(AB18="○",AB19="◎"),"×",
IF(AND(AB18="◎",AB19="×"),"×",
IF(AND(AB18="◎",AB19="○"),"×",
IF(AND(AB18="◎",AB19="◎"),"◎",
)))))))))</f>
        <v>○</v>
      </c>
      <c r="AM80" s="1894"/>
      <c r="AN80" s="1899"/>
      <c r="AO80" s="797"/>
      <c r="AP80" s="797"/>
      <c r="AQ80" s="797"/>
      <c r="AR80" s="797"/>
      <c r="AS80" s="797"/>
      <c r="AT80" s="798"/>
    </row>
    <row r="81" spans="35:46" ht="20.100000000000001" customHeight="1" x14ac:dyDescent="0.4">
      <c r="AI81" s="1896" t="s">
        <v>237</v>
      </c>
      <c r="AJ81" s="1411"/>
      <c r="AK81" s="1411"/>
      <c r="AL81" s="281" t="str">
        <f>IF(COUNTIF(AB32:AB61,"×")&gt;=1,"×",IF(COUNTIF(AB32:AB61,"○")=30,"○","◎"))</f>
        <v>○</v>
      </c>
      <c r="AM81" s="1895"/>
      <c r="AN81" s="1900"/>
      <c r="AO81" s="797"/>
      <c r="AP81" s="797"/>
      <c r="AQ81" s="797"/>
      <c r="AR81" s="797"/>
      <c r="AS81" s="797"/>
      <c r="AT81" s="798"/>
    </row>
  </sheetData>
  <sheetProtection algorithmName="SHA-512" hashValue="YGmjEj9EwinDyUz+ANy3d+ZT4ubpaGWADhWolE3t0+SNBBScJ7A2Ewh40T3ZWIjznAyA4GWeVnL9imyVn392LQ==" saltValue="ZJH+0p+EMQmw2fmHxIPi2g==" spinCount="100000" sheet="1" objects="1" scenarios="1"/>
  <mergeCells count="69">
    <mergeCell ref="L30:L31"/>
    <mergeCell ref="M30:M31"/>
    <mergeCell ref="N30:N31"/>
    <mergeCell ref="F25:I25"/>
    <mergeCell ref="G26:I26"/>
    <mergeCell ref="G27:I27"/>
    <mergeCell ref="J70:K70"/>
    <mergeCell ref="J71:K71"/>
    <mergeCell ref="J63:K63"/>
    <mergeCell ref="J64:K64"/>
    <mergeCell ref="J65:K65"/>
    <mergeCell ref="J66:K66"/>
    <mergeCell ref="J67:K67"/>
    <mergeCell ref="J55:K55"/>
    <mergeCell ref="J56:K56"/>
    <mergeCell ref="C30:C31"/>
    <mergeCell ref="D30:D31"/>
    <mergeCell ref="E30:E31"/>
    <mergeCell ref="F30:F31"/>
    <mergeCell ref="G30:I30"/>
    <mergeCell ref="J30:K31"/>
    <mergeCell ref="AV33:AZ36"/>
    <mergeCell ref="AN78:AT78"/>
    <mergeCell ref="C6:M6"/>
    <mergeCell ref="AI78:AK78"/>
    <mergeCell ref="J32:K32"/>
    <mergeCell ref="J33:K33"/>
    <mergeCell ref="J34:K34"/>
    <mergeCell ref="J35:K35"/>
    <mergeCell ref="J36:K36"/>
    <mergeCell ref="J37:K37"/>
    <mergeCell ref="J38:K38"/>
    <mergeCell ref="J39:K39"/>
    <mergeCell ref="J40:K40"/>
    <mergeCell ref="J59:K59"/>
    <mergeCell ref="J45:K45"/>
    <mergeCell ref="J47:K47"/>
    <mergeCell ref="AN79:AT81"/>
    <mergeCell ref="C7:N10"/>
    <mergeCell ref="C14:N15"/>
    <mergeCell ref="C17:N20"/>
    <mergeCell ref="C23:N23"/>
    <mergeCell ref="C29:N29"/>
    <mergeCell ref="J62:K62"/>
    <mergeCell ref="AI80:AK80"/>
    <mergeCell ref="J42:K42"/>
    <mergeCell ref="J43:K43"/>
    <mergeCell ref="J44:K44"/>
    <mergeCell ref="J46:K46"/>
    <mergeCell ref="J48:K48"/>
    <mergeCell ref="J49:K49"/>
    <mergeCell ref="J57:K57"/>
    <mergeCell ref="J50:K50"/>
    <mergeCell ref="C1:O1"/>
    <mergeCell ref="M2:N2"/>
    <mergeCell ref="AM79:AM81"/>
    <mergeCell ref="AI79:AK79"/>
    <mergeCell ref="AI81:AK81"/>
    <mergeCell ref="J51:K51"/>
    <mergeCell ref="J52:K52"/>
    <mergeCell ref="J58:K58"/>
    <mergeCell ref="J54:K54"/>
    <mergeCell ref="C13:N13"/>
    <mergeCell ref="J68:K68"/>
    <mergeCell ref="J69:K69"/>
    <mergeCell ref="J60:K60"/>
    <mergeCell ref="J61:K61"/>
    <mergeCell ref="J53:K53"/>
    <mergeCell ref="J41:K41"/>
  </mergeCells>
  <phoneticPr fontId="1"/>
  <conditionalFormatting sqref="AL22 AB9:AB10 AL79:AL81 AM79 AB32:AB71">
    <cfRule type="containsText" dxfId="11" priority="12" operator="containsText" text="×">
      <formula>NOT(ISERROR(SEARCH("×",AB9)))</formula>
    </cfRule>
  </conditionalFormatting>
  <conditionalFormatting sqref="AC32:AC71">
    <cfRule type="containsText" dxfId="10" priority="11" operator="containsText" text="不備の点">
      <formula>NOT(ISERROR(SEARCH("不備の点",AC32)))</formula>
    </cfRule>
  </conditionalFormatting>
  <conditionalFormatting sqref="AC9:AC10">
    <cfRule type="containsText" dxfId="9" priority="9" operator="containsText" text="要修正">
      <formula>NOT(ISERROR(SEARCH("要修正",AC9)))</formula>
    </cfRule>
  </conditionalFormatting>
  <conditionalFormatting sqref="AN79:AN80">
    <cfRule type="containsText" dxfId="8" priority="5" operator="containsText" text="要修正">
      <formula>NOT(ISERROR(SEARCH("要修正",AN79)))</formula>
    </cfRule>
  </conditionalFormatting>
  <conditionalFormatting sqref="AB18:AB19">
    <cfRule type="containsText" dxfId="7" priority="2" operator="containsText" text="×">
      <formula>NOT(ISERROR(SEARCH("×",AB18)))</formula>
    </cfRule>
  </conditionalFormatting>
  <conditionalFormatting sqref="AC18:AC19">
    <cfRule type="containsText" dxfId="6" priority="1" operator="containsText" text="要修正">
      <formula>NOT(ISERROR(SEARCH("要修正",AC18)))</formula>
    </cfRule>
  </conditionalFormatting>
  <dataValidations xWindow="661" yWindow="722" count="6">
    <dataValidation allowBlank="1" showInputMessage="1" showErrorMessage="1" promptTitle="金額の表示" prompt="数式が入力されているため、自動計算されます。" sqref="M32:M71" xr:uid="{00000000-0002-0000-0900-000001000000}"/>
    <dataValidation allowBlank="1" showInputMessage="1" showErrorMessage="1" promptTitle="設置箇所及び用途の入力" prompt="以下を参考に入力してください。_x000a_テント１張の場合_x000a_→敷地内駐車場に設置。診療室として使用。_x000a_椅子2脚の場合_x000a_→診療室内に設置。_x000a_１脚：診察用（医師使用）、１脚：診察用（患者使用）" sqref="J32:K71" xr:uid="{00000000-0002-0000-0900-000002000000}"/>
    <dataValidation type="list" allowBlank="1" showInputMessage="1" showErrorMessage="1" promptTitle="種類を選択" prompt="購入またはリース品の種別をプルダウンから選択してください。_x000a_！消耗品類は補助対象外のため計上しないでください！" sqref="C32:C71" xr:uid="{00000000-0002-0000-0900-000003000000}">
      <formula1>$Z$73:$Z$75</formula1>
    </dataValidation>
    <dataValidation allowBlank="1" showInputMessage="1" showErrorMessage="1" promptTitle="品名の入力" prompt="購入予定である個人防護具の品名を入力してください。（型番のみの入力の場合、購入内容が不明のため修正を依頼させていただきますのでご注意ください。）" sqref="D32:D71" xr:uid="{00000000-0002-0000-0900-000004000000}"/>
    <dataValidation allowBlank="1" showInputMessage="1" showErrorMessage="1" promptTitle="「単価（税抜）」欄と「単価（税込）」欄について" prompt="どちらか一方を入力してください。（最終的に、「金額（税込）」欄が、見積書等（発注・契約書、納品書、請求書、領収書など）と一致するようにしてください。）_x000a_入力しない方は「0」は入力せず、空欄としてください。" sqref="L32:L71 F32:F71" xr:uid="{00000000-0002-0000-0900-000000000000}"/>
    <dataValidation type="whole" allowBlank="1" showInputMessage="1" showErrorMessage="1" errorTitle="入力内容に誤りあり" error="1から31までの数字を入力してください。" sqref="I32:I71" xr:uid="{2F4554FE-C581-4C44-A98B-A5A592F575B0}">
      <formula1>1</formula1>
      <formula2>31</formula2>
    </dataValidation>
  </dataValidations>
  <printOptions horizontalCentered="1"/>
  <pageMargins left="0.7" right="0.7" top="0.75" bottom="0.75" header="0.3" footer="0.3"/>
  <pageSetup paperSize="9" scale="3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302" r:id="rId4" name="Check Box 134">
              <controlPr defaultSize="0" autoFill="0" autoLine="0" autoPict="0">
                <anchor moveWithCells="1">
                  <from>
                    <xdr:col>2</xdr:col>
                    <xdr:colOff>371475</xdr:colOff>
                    <xdr:row>5</xdr:row>
                    <xdr:rowOff>28575</xdr:rowOff>
                  </from>
                  <to>
                    <xdr:col>2</xdr:col>
                    <xdr:colOff>790575</xdr:colOff>
                    <xdr:row>5</xdr:row>
                    <xdr:rowOff>266700</xdr:rowOff>
                  </to>
                </anchor>
              </controlPr>
            </control>
          </mc:Choice>
        </mc:AlternateContent>
        <mc:AlternateContent xmlns:mc="http://schemas.openxmlformats.org/markup-compatibility/2006">
          <mc:Choice Requires="x14">
            <control shapeId="7304" r:id="rId5" name="Check Box 136">
              <controlPr defaultSize="0" autoFill="0" autoLine="0" autoPict="0">
                <anchor moveWithCells="1">
                  <from>
                    <xdr:col>3</xdr:col>
                    <xdr:colOff>3000375</xdr:colOff>
                    <xdr:row>5</xdr:row>
                    <xdr:rowOff>28575</xdr:rowOff>
                  </from>
                  <to>
                    <xdr:col>4</xdr:col>
                    <xdr:colOff>285750</xdr:colOff>
                    <xdr:row>5</xdr:row>
                    <xdr:rowOff>304800</xdr:rowOff>
                  </to>
                </anchor>
              </controlPr>
            </control>
          </mc:Choice>
        </mc:AlternateContent>
        <mc:AlternateContent xmlns:mc="http://schemas.openxmlformats.org/markup-compatibility/2006">
          <mc:Choice Requires="x14">
            <control shapeId="7579" r:id="rId6" name="Check Box 411">
              <controlPr defaultSize="0" autoFill="0" autoLine="0" autoPict="0">
                <anchor moveWithCells="1">
                  <from>
                    <xdr:col>3</xdr:col>
                    <xdr:colOff>771525</xdr:colOff>
                    <xdr:row>5</xdr:row>
                    <xdr:rowOff>9525</xdr:rowOff>
                  </from>
                  <to>
                    <xdr:col>3</xdr:col>
                    <xdr:colOff>1171575</xdr:colOff>
                    <xdr:row>5</xdr:row>
                    <xdr:rowOff>285750</xdr:rowOff>
                  </to>
                </anchor>
              </controlPr>
            </control>
          </mc:Choice>
        </mc:AlternateContent>
        <mc:AlternateContent xmlns:mc="http://schemas.openxmlformats.org/markup-compatibility/2006">
          <mc:Choice Requires="x14">
            <control shapeId="7969" r:id="rId7" name="Check Box 801">
              <controlPr defaultSize="0" autoFill="0" autoLine="0" autoPict="0">
                <anchor moveWithCells="1">
                  <from>
                    <xdr:col>2</xdr:col>
                    <xdr:colOff>409575</xdr:colOff>
                    <xdr:row>15</xdr:row>
                    <xdr:rowOff>38100</xdr:rowOff>
                  </from>
                  <to>
                    <xdr:col>2</xdr:col>
                    <xdr:colOff>838200</xdr:colOff>
                    <xdr:row>15</xdr:row>
                    <xdr:rowOff>276225</xdr:rowOff>
                  </to>
                </anchor>
              </controlPr>
            </control>
          </mc:Choice>
        </mc:AlternateContent>
        <mc:AlternateContent xmlns:mc="http://schemas.openxmlformats.org/markup-compatibility/2006">
          <mc:Choice Requires="x14">
            <control shapeId="7970" r:id="rId8" name="Check Box 802">
              <controlPr defaultSize="0" autoFill="0" autoLine="0" autoPict="0">
                <anchor moveWithCells="1">
                  <from>
                    <xdr:col>3</xdr:col>
                    <xdr:colOff>1076325</xdr:colOff>
                    <xdr:row>15</xdr:row>
                    <xdr:rowOff>28575</xdr:rowOff>
                  </from>
                  <to>
                    <xdr:col>3</xdr:col>
                    <xdr:colOff>1495425</xdr:colOff>
                    <xdr:row>15</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661" yWindow="722" count="2">
        <x14:dataValidation type="list" operator="greaterThanOrEqual" allowBlank="1" showInputMessage="1" showErrorMessage="1" errorTitle="入力内容に誤りあり" error="補助対象期間の令和の年数を入力してください。" xr:uid="{4F668409-3C72-42CA-B191-87DBBFC24A8C}">
          <x14:formula1>
            <xm:f>防護具!$AG$12:$AG$13</xm:f>
          </x14:formula1>
          <xm:sqref>G32:G71</xm:sqref>
        </x14:dataValidation>
        <x14:dataValidation type="list" operator="greaterThanOrEqual" allowBlank="1" showInputMessage="1" showErrorMessage="1" errorTitle="入力内容に誤りあり" error="補助対象期間の月の数を入力してください。" xr:uid="{0726ED61-FF5A-499F-ADCE-663D8FD7D800}">
          <x14:formula1>
            <xm:f>防護具!$AH$12:$AH$17</xm:f>
          </x14:formula1>
          <xm:sqref>H32:H71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BS779"/>
  <sheetViews>
    <sheetView workbookViewId="0">
      <pane xSplit="12" ySplit="2" topLeftCell="AK3" activePane="bottomRight" state="frozen"/>
      <selection pane="topRight" activeCell="M1" sqref="M1"/>
      <selection pane="bottomLeft" activeCell="A3" sqref="A3"/>
      <selection pane="bottomRight" activeCell="BQ5" sqref="BQ5"/>
    </sheetView>
  </sheetViews>
  <sheetFormatPr defaultColWidth="8.625" defaultRowHeight="9.75" x14ac:dyDescent="0.2"/>
  <cols>
    <col min="1" max="1" width="3.625" style="175" customWidth="1"/>
    <col min="2" max="2" width="30.625" style="183" hidden="1" customWidth="1"/>
    <col min="3" max="3" width="30.625" style="184" hidden="1" customWidth="1"/>
    <col min="4" max="4" width="8.625" style="183" hidden="1" customWidth="1"/>
    <col min="5" max="5" width="3.625" style="184" hidden="1" customWidth="1"/>
    <col min="6" max="7" width="8.625" style="183" hidden="1" customWidth="1"/>
    <col min="8" max="8" width="3.625" style="184" hidden="1" customWidth="1"/>
    <col min="9" max="10" width="8.625" style="183" hidden="1" customWidth="1"/>
    <col min="11" max="11" width="8.625" style="175" hidden="1" customWidth="1"/>
    <col min="12" max="12" width="3.625" style="175" hidden="1" customWidth="1"/>
    <col min="13" max="15" width="8.625" style="100" customWidth="1"/>
    <col min="16" max="16" width="6.625" style="100" customWidth="1"/>
    <col min="17" max="17" width="8.625" style="74" hidden="1" customWidth="1"/>
    <col min="18" max="18" width="6.625" style="89" customWidth="1"/>
    <col min="19" max="26" width="6.625" style="90" customWidth="1"/>
    <col min="27" max="34" width="6.625" style="91" customWidth="1"/>
    <col min="35" max="42" width="6.625" style="90" customWidth="1"/>
    <col min="43" max="50" width="6.625" style="91" customWidth="1"/>
    <col min="51" max="58" width="6.625" style="90" customWidth="1"/>
    <col min="59" max="66" width="6.625" style="91" customWidth="1"/>
    <col min="67" max="69" width="3.625" style="197" customWidth="1"/>
    <col min="70" max="73" width="3.625" style="77" customWidth="1"/>
    <col min="74" max="16384" width="8.625" style="77"/>
  </cols>
  <sheetData>
    <row r="1" spans="1:71" s="76" customFormat="1" ht="18.75" x14ac:dyDescent="0.4">
      <c r="A1" s="100"/>
      <c r="B1" s="180"/>
      <c r="C1" s="1960"/>
      <c r="D1" s="1960"/>
      <c r="E1" s="1960"/>
      <c r="F1" s="1960"/>
      <c r="G1" s="180"/>
      <c r="H1" s="1960"/>
      <c r="I1" s="1960"/>
      <c r="J1" s="180"/>
      <c r="K1" s="100"/>
      <c r="L1" s="100"/>
      <c r="M1" s="100"/>
      <c r="N1" s="100"/>
      <c r="O1" s="100"/>
      <c r="P1" s="100"/>
      <c r="Q1" s="74"/>
      <c r="R1" s="82"/>
      <c r="S1" s="190" t="s">
        <v>44</v>
      </c>
      <c r="T1" s="191"/>
      <c r="U1" s="191"/>
      <c r="V1" s="191"/>
      <c r="W1" s="191"/>
      <c r="X1" s="191"/>
      <c r="Y1" s="191"/>
      <c r="Z1" s="195"/>
      <c r="AA1" s="192" t="s">
        <v>175</v>
      </c>
      <c r="AB1" s="193"/>
      <c r="AC1" s="193"/>
      <c r="AD1" s="193"/>
      <c r="AE1" s="193"/>
      <c r="AF1" s="193"/>
      <c r="AG1" s="193"/>
      <c r="AH1" s="194"/>
      <c r="AI1" s="190" t="s">
        <v>10</v>
      </c>
      <c r="AJ1" s="191"/>
      <c r="AK1" s="191"/>
      <c r="AL1" s="191"/>
      <c r="AM1" s="191"/>
      <c r="AN1" s="191"/>
      <c r="AO1" s="191"/>
      <c r="AP1" s="195"/>
      <c r="AQ1" s="192" t="s">
        <v>1326</v>
      </c>
      <c r="AR1" s="193"/>
      <c r="AS1" s="193"/>
      <c r="AT1" s="193"/>
      <c r="AU1" s="193"/>
      <c r="AV1" s="193"/>
      <c r="AW1" s="193"/>
      <c r="AX1" s="194"/>
      <c r="AY1" s="190" t="s">
        <v>45</v>
      </c>
      <c r="AZ1" s="191"/>
      <c r="BA1" s="191"/>
      <c r="BB1" s="191"/>
      <c r="BC1" s="191"/>
      <c r="BD1" s="191"/>
      <c r="BE1" s="191"/>
      <c r="BF1" s="195"/>
      <c r="BG1" s="192" t="s">
        <v>96</v>
      </c>
      <c r="BH1" s="193"/>
      <c r="BI1" s="193"/>
      <c r="BJ1" s="193"/>
      <c r="BK1" s="193"/>
      <c r="BL1" s="193"/>
      <c r="BM1" s="193"/>
      <c r="BN1" s="193"/>
      <c r="BO1" s="197"/>
      <c r="BP1" s="197"/>
      <c r="BQ1" s="197"/>
    </row>
    <row r="2" spans="1:71" s="76" customFormat="1" x14ac:dyDescent="0.2">
      <c r="A2" s="100" t="s">
        <v>258</v>
      </c>
      <c r="B2" s="180"/>
      <c r="C2" s="182"/>
      <c r="D2" s="180"/>
      <c r="E2" s="182"/>
      <c r="F2" s="180"/>
      <c r="G2" s="180"/>
      <c r="H2" s="182"/>
      <c r="I2" s="180"/>
      <c r="J2" s="180"/>
      <c r="K2" s="100"/>
      <c r="L2" s="100"/>
      <c r="M2" s="100" t="s">
        <v>155</v>
      </c>
      <c r="N2" s="100" t="s">
        <v>165</v>
      </c>
      <c r="O2" s="100" t="s">
        <v>131</v>
      </c>
      <c r="P2" s="100" t="s">
        <v>156</v>
      </c>
      <c r="Q2" s="74"/>
      <c r="R2" s="83" t="s">
        <v>166</v>
      </c>
      <c r="S2" s="178">
        <v>0</v>
      </c>
      <c r="T2" s="84" t="s">
        <v>168</v>
      </c>
      <c r="U2" s="84" t="s">
        <v>169</v>
      </c>
      <c r="V2" s="84" t="s">
        <v>170</v>
      </c>
      <c r="W2" s="84" t="s">
        <v>171</v>
      </c>
      <c r="X2" s="84" t="s">
        <v>172</v>
      </c>
      <c r="Y2" s="84" t="s">
        <v>173</v>
      </c>
      <c r="Z2" s="84" t="s">
        <v>174</v>
      </c>
      <c r="AA2" s="85" t="s">
        <v>167</v>
      </c>
      <c r="AB2" s="85" t="s">
        <v>168</v>
      </c>
      <c r="AC2" s="85" t="s">
        <v>169</v>
      </c>
      <c r="AD2" s="85" t="s">
        <v>170</v>
      </c>
      <c r="AE2" s="85" t="s">
        <v>171</v>
      </c>
      <c r="AF2" s="85" t="s">
        <v>172</v>
      </c>
      <c r="AG2" s="85" t="s">
        <v>173</v>
      </c>
      <c r="AH2" s="85" t="s">
        <v>174</v>
      </c>
      <c r="AI2" s="84" t="s">
        <v>167</v>
      </c>
      <c r="AJ2" s="84" t="s">
        <v>168</v>
      </c>
      <c r="AK2" s="84" t="s">
        <v>169</v>
      </c>
      <c r="AL2" s="84" t="s">
        <v>170</v>
      </c>
      <c r="AM2" s="84" t="s">
        <v>171</v>
      </c>
      <c r="AN2" s="84" t="s">
        <v>172</v>
      </c>
      <c r="AO2" s="84" t="s">
        <v>173</v>
      </c>
      <c r="AP2" s="84" t="s">
        <v>174</v>
      </c>
      <c r="AQ2" s="588">
        <v>0</v>
      </c>
      <c r="AR2" s="85" t="s">
        <v>168</v>
      </c>
      <c r="AS2" s="85" t="s">
        <v>169</v>
      </c>
      <c r="AT2" s="85" t="s">
        <v>170</v>
      </c>
      <c r="AU2" s="85" t="s">
        <v>171</v>
      </c>
      <c r="AV2" s="85" t="s">
        <v>172</v>
      </c>
      <c r="AW2" s="85" t="s">
        <v>173</v>
      </c>
      <c r="AX2" s="85" t="s">
        <v>174</v>
      </c>
      <c r="AY2" s="84" t="s">
        <v>167</v>
      </c>
      <c r="AZ2" s="84" t="s">
        <v>168</v>
      </c>
      <c r="BA2" s="84" t="s">
        <v>169</v>
      </c>
      <c r="BB2" s="84" t="s">
        <v>170</v>
      </c>
      <c r="BC2" s="84" t="s">
        <v>171</v>
      </c>
      <c r="BD2" s="84" t="s">
        <v>172</v>
      </c>
      <c r="BE2" s="84" t="s">
        <v>173</v>
      </c>
      <c r="BF2" s="84" t="s">
        <v>174</v>
      </c>
      <c r="BG2" s="85" t="s">
        <v>167</v>
      </c>
      <c r="BH2" s="85" t="s">
        <v>168</v>
      </c>
      <c r="BI2" s="85" t="s">
        <v>169</v>
      </c>
      <c r="BJ2" s="85" t="s">
        <v>170</v>
      </c>
      <c r="BK2" s="85" t="s">
        <v>171</v>
      </c>
      <c r="BL2" s="85" t="s">
        <v>172</v>
      </c>
      <c r="BM2" s="85" t="s">
        <v>173</v>
      </c>
      <c r="BN2" s="85" t="s">
        <v>174</v>
      </c>
      <c r="BO2" s="209" t="s">
        <v>180</v>
      </c>
      <c r="BP2" s="181" t="s">
        <v>181</v>
      </c>
      <c r="BQ2" s="181" t="s">
        <v>182</v>
      </c>
    </row>
    <row r="3" spans="1:71" x14ac:dyDescent="0.2">
      <c r="A3" s="210">
        <v>1001</v>
      </c>
      <c r="B3" s="211"/>
      <c r="C3" s="212"/>
      <c r="D3" s="211"/>
      <c r="E3" s="212"/>
      <c r="F3" s="211"/>
      <c r="G3" s="211"/>
      <c r="H3" s="212"/>
      <c r="I3" s="211"/>
      <c r="J3" s="211"/>
      <c r="K3" s="211"/>
      <c r="L3" s="171"/>
      <c r="M3" s="171" t="s">
        <v>268</v>
      </c>
      <c r="N3" s="171" t="s">
        <v>269</v>
      </c>
      <c r="O3" s="171" t="s">
        <v>270</v>
      </c>
      <c r="P3" s="171" t="s">
        <v>916</v>
      </c>
      <c r="Q3" s="171"/>
      <c r="R3" s="213">
        <v>731000</v>
      </c>
      <c r="S3" s="87">
        <v>0</v>
      </c>
      <c r="T3" s="87">
        <v>0</v>
      </c>
      <c r="U3" s="87">
        <v>0</v>
      </c>
      <c r="V3" s="87">
        <v>0</v>
      </c>
      <c r="W3" s="87">
        <v>0</v>
      </c>
      <c r="X3" s="87">
        <v>0</v>
      </c>
      <c r="Y3" s="87">
        <v>0</v>
      </c>
      <c r="Z3" s="87">
        <v>0</v>
      </c>
      <c r="AA3" s="214">
        <v>0</v>
      </c>
      <c r="AB3" s="214">
        <v>0</v>
      </c>
      <c r="AC3" s="214">
        <v>0</v>
      </c>
      <c r="AD3" s="214">
        <v>0</v>
      </c>
      <c r="AE3" s="214">
        <v>0</v>
      </c>
      <c r="AF3" s="214">
        <v>0</v>
      </c>
      <c r="AG3" s="214">
        <v>0</v>
      </c>
      <c r="AH3" s="214">
        <v>0</v>
      </c>
      <c r="AI3" s="87">
        <v>493548</v>
      </c>
      <c r="AJ3" s="87">
        <v>0</v>
      </c>
      <c r="AK3" s="87">
        <v>493548</v>
      </c>
      <c r="AL3" s="87">
        <v>493548</v>
      </c>
      <c r="AM3" s="87">
        <v>3628800</v>
      </c>
      <c r="AN3" s="87">
        <v>493548</v>
      </c>
      <c r="AO3" s="87">
        <v>493548</v>
      </c>
      <c r="AP3" s="87">
        <v>493000</v>
      </c>
      <c r="AQ3" s="88">
        <v>0</v>
      </c>
      <c r="AR3" s="88">
        <v>0</v>
      </c>
      <c r="AS3" s="88">
        <v>0</v>
      </c>
      <c r="AT3" s="88">
        <v>0</v>
      </c>
      <c r="AU3" s="88">
        <v>0</v>
      </c>
      <c r="AV3" s="88">
        <v>0</v>
      </c>
      <c r="AW3" s="88">
        <v>0</v>
      </c>
      <c r="AX3" s="88">
        <v>0</v>
      </c>
      <c r="AY3" s="87">
        <v>0</v>
      </c>
      <c r="AZ3" s="87">
        <v>0</v>
      </c>
      <c r="BA3" s="87">
        <v>0</v>
      </c>
      <c r="BB3" s="87">
        <v>0</v>
      </c>
      <c r="BC3" s="87">
        <v>0</v>
      </c>
      <c r="BD3" s="87">
        <v>0</v>
      </c>
      <c r="BE3" s="87">
        <v>0</v>
      </c>
      <c r="BF3" s="87">
        <v>0</v>
      </c>
      <c r="BG3" s="88">
        <v>238920</v>
      </c>
      <c r="BH3" s="88">
        <v>0</v>
      </c>
      <c r="BI3" s="88">
        <v>238920</v>
      </c>
      <c r="BJ3" s="88">
        <v>238920</v>
      </c>
      <c r="BK3" s="88">
        <v>238920</v>
      </c>
      <c r="BL3" s="88">
        <v>238920</v>
      </c>
      <c r="BM3" s="88">
        <v>238920</v>
      </c>
      <c r="BN3" s="590">
        <v>238000</v>
      </c>
      <c r="BO3" s="171">
        <v>2023</v>
      </c>
      <c r="BP3" s="171">
        <v>9</v>
      </c>
      <c r="BQ3" s="171">
        <v>30</v>
      </c>
      <c r="BS3" s="76" t="str">
        <f t="shared" ref="BS3:BS42" si="0">IF(R3=SUM(Z3,AH3,AP3,BF3,BN3),"○","×")</f>
        <v>○</v>
      </c>
    </row>
    <row r="4" spans="1:71" x14ac:dyDescent="0.2">
      <c r="A4" s="210">
        <v>1002</v>
      </c>
      <c r="B4" s="211"/>
      <c r="C4" s="212"/>
      <c r="D4" s="211"/>
      <c r="E4" s="212"/>
      <c r="F4" s="211"/>
      <c r="G4" s="211"/>
      <c r="H4" s="212"/>
      <c r="I4" s="211"/>
      <c r="J4" s="211"/>
      <c r="K4" s="211"/>
      <c r="L4" s="171"/>
      <c r="M4" s="171" t="s">
        <v>271</v>
      </c>
      <c r="N4" s="171" t="s">
        <v>272</v>
      </c>
      <c r="O4" s="171" t="s">
        <v>273</v>
      </c>
      <c r="P4" s="171" t="s">
        <v>916</v>
      </c>
      <c r="Q4" s="171"/>
      <c r="R4" s="213">
        <v>404000</v>
      </c>
      <c r="S4" s="87">
        <v>0</v>
      </c>
      <c r="T4" s="87">
        <v>0</v>
      </c>
      <c r="U4" s="87">
        <v>0</v>
      </c>
      <c r="V4" s="87">
        <v>0</v>
      </c>
      <c r="W4" s="87">
        <v>0</v>
      </c>
      <c r="X4" s="87">
        <v>0</v>
      </c>
      <c r="Y4" s="87">
        <v>0</v>
      </c>
      <c r="Z4" s="87">
        <v>0</v>
      </c>
      <c r="AA4" s="214">
        <v>416680</v>
      </c>
      <c r="AB4" s="214">
        <v>0</v>
      </c>
      <c r="AC4" s="214">
        <v>416680</v>
      </c>
      <c r="AD4" s="214">
        <v>416680</v>
      </c>
      <c r="AE4" s="214">
        <v>410000</v>
      </c>
      <c r="AF4" s="214">
        <v>404980</v>
      </c>
      <c r="AG4" s="214">
        <v>404980</v>
      </c>
      <c r="AH4" s="214">
        <v>404000</v>
      </c>
      <c r="AI4" s="87">
        <v>0</v>
      </c>
      <c r="AJ4" s="87">
        <v>0</v>
      </c>
      <c r="AK4" s="87">
        <v>0</v>
      </c>
      <c r="AL4" s="87">
        <v>0</v>
      </c>
      <c r="AM4" s="87">
        <v>0</v>
      </c>
      <c r="AN4" s="87">
        <v>0</v>
      </c>
      <c r="AO4" s="87">
        <v>0</v>
      </c>
      <c r="AP4" s="87">
        <v>0</v>
      </c>
      <c r="AQ4" s="88">
        <v>0</v>
      </c>
      <c r="AR4" s="88">
        <v>0</v>
      </c>
      <c r="AS4" s="88">
        <v>0</v>
      </c>
      <c r="AT4" s="88">
        <v>0</v>
      </c>
      <c r="AU4" s="88">
        <v>0</v>
      </c>
      <c r="AV4" s="88">
        <v>0</v>
      </c>
      <c r="AW4" s="88">
        <v>0</v>
      </c>
      <c r="AX4" s="88">
        <v>0</v>
      </c>
      <c r="AY4" s="87">
        <v>0</v>
      </c>
      <c r="AZ4" s="87">
        <v>0</v>
      </c>
      <c r="BA4" s="87">
        <v>0</v>
      </c>
      <c r="BB4" s="87">
        <v>0</v>
      </c>
      <c r="BC4" s="87">
        <v>0</v>
      </c>
      <c r="BD4" s="87">
        <v>0</v>
      </c>
      <c r="BE4" s="87">
        <v>0</v>
      </c>
      <c r="BF4" s="87">
        <v>0</v>
      </c>
      <c r="BG4" s="88">
        <v>0</v>
      </c>
      <c r="BH4" s="88">
        <v>0</v>
      </c>
      <c r="BI4" s="88">
        <v>0</v>
      </c>
      <c r="BJ4" s="88">
        <v>0</v>
      </c>
      <c r="BK4" s="88">
        <v>0</v>
      </c>
      <c r="BL4" s="88">
        <v>0</v>
      </c>
      <c r="BM4" s="88">
        <v>0</v>
      </c>
      <c r="BN4" s="590">
        <v>0</v>
      </c>
      <c r="BO4" s="171">
        <v>2023</v>
      </c>
      <c r="BP4" s="171">
        <v>1</v>
      </c>
      <c r="BQ4" s="171">
        <v>19</v>
      </c>
      <c r="BS4" s="76" t="str">
        <f t="shared" si="0"/>
        <v>○</v>
      </c>
    </row>
    <row r="5" spans="1:71" x14ac:dyDescent="0.2">
      <c r="A5" s="210">
        <v>1003</v>
      </c>
      <c r="B5" s="211"/>
      <c r="C5" s="212"/>
      <c r="D5" s="211"/>
      <c r="E5" s="212"/>
      <c r="F5" s="211"/>
      <c r="G5" s="211"/>
      <c r="H5" s="212"/>
      <c r="I5" s="211"/>
      <c r="J5" s="211"/>
      <c r="K5" s="211"/>
      <c r="L5" s="171"/>
      <c r="M5" s="171" t="s">
        <v>274</v>
      </c>
      <c r="N5" s="171" t="s">
        <v>275</v>
      </c>
      <c r="O5" s="171" t="s">
        <v>276</v>
      </c>
      <c r="P5" s="171" t="s">
        <v>916</v>
      </c>
      <c r="Q5" s="171"/>
      <c r="R5" s="213">
        <v>304000</v>
      </c>
      <c r="S5" s="87">
        <v>0</v>
      </c>
      <c r="T5" s="87">
        <v>0</v>
      </c>
      <c r="U5" s="87">
        <v>0</v>
      </c>
      <c r="V5" s="87">
        <v>0</v>
      </c>
      <c r="W5" s="87">
        <v>0</v>
      </c>
      <c r="X5" s="87">
        <v>0</v>
      </c>
      <c r="Y5" s="87">
        <v>0</v>
      </c>
      <c r="Z5" s="87">
        <v>0</v>
      </c>
      <c r="AA5" s="214">
        <v>0</v>
      </c>
      <c r="AB5" s="214">
        <v>0</v>
      </c>
      <c r="AC5" s="214">
        <v>0</v>
      </c>
      <c r="AD5" s="214">
        <v>0</v>
      </c>
      <c r="AE5" s="214">
        <v>0</v>
      </c>
      <c r="AF5" s="214">
        <v>0</v>
      </c>
      <c r="AG5" s="214">
        <v>0</v>
      </c>
      <c r="AH5" s="214">
        <v>0</v>
      </c>
      <c r="AI5" s="87">
        <v>294250</v>
      </c>
      <c r="AJ5" s="87">
        <v>0</v>
      </c>
      <c r="AK5" s="87">
        <v>294250</v>
      </c>
      <c r="AL5" s="87">
        <v>294250</v>
      </c>
      <c r="AM5" s="87">
        <v>3024000</v>
      </c>
      <c r="AN5" s="87">
        <v>294250</v>
      </c>
      <c r="AO5" s="87">
        <v>294250</v>
      </c>
      <c r="AP5" s="87">
        <v>294000</v>
      </c>
      <c r="AQ5" s="88">
        <v>0</v>
      </c>
      <c r="AR5" s="88">
        <v>0</v>
      </c>
      <c r="AS5" s="88">
        <v>0</v>
      </c>
      <c r="AT5" s="88">
        <v>0</v>
      </c>
      <c r="AU5" s="88">
        <v>0</v>
      </c>
      <c r="AV5" s="88">
        <v>0</v>
      </c>
      <c r="AW5" s="88">
        <v>0</v>
      </c>
      <c r="AX5" s="88">
        <v>0</v>
      </c>
      <c r="AY5" s="87">
        <v>10340</v>
      </c>
      <c r="AZ5" s="87">
        <v>0</v>
      </c>
      <c r="BA5" s="87">
        <v>10340</v>
      </c>
      <c r="BB5" s="87">
        <v>10340</v>
      </c>
      <c r="BC5" s="87">
        <v>51400</v>
      </c>
      <c r="BD5" s="87">
        <v>10340</v>
      </c>
      <c r="BE5" s="87">
        <v>10340</v>
      </c>
      <c r="BF5" s="87">
        <v>10000</v>
      </c>
      <c r="BG5" s="88">
        <v>0</v>
      </c>
      <c r="BH5" s="88">
        <v>0</v>
      </c>
      <c r="BI5" s="88">
        <v>0</v>
      </c>
      <c r="BJ5" s="88">
        <v>0</v>
      </c>
      <c r="BK5" s="88">
        <v>0</v>
      </c>
      <c r="BL5" s="88">
        <v>0</v>
      </c>
      <c r="BM5" s="88">
        <v>0</v>
      </c>
      <c r="BN5" s="590">
        <v>0</v>
      </c>
      <c r="BO5" s="171">
        <v>2023</v>
      </c>
      <c r="BP5" s="171">
        <v>1</v>
      </c>
      <c r="BQ5" s="171">
        <v>19</v>
      </c>
      <c r="BS5" s="76" t="str">
        <f t="shared" si="0"/>
        <v>○</v>
      </c>
    </row>
    <row r="6" spans="1:71" x14ac:dyDescent="0.2">
      <c r="A6" s="210">
        <v>1004</v>
      </c>
      <c r="B6" s="211"/>
      <c r="C6" s="212"/>
      <c r="D6" s="211"/>
      <c r="E6" s="212"/>
      <c r="F6" s="211"/>
      <c r="G6" s="211"/>
      <c r="H6" s="212"/>
      <c r="I6" s="211"/>
      <c r="J6" s="211"/>
      <c r="K6" s="211"/>
      <c r="L6" s="171"/>
      <c r="M6" s="171" t="s">
        <v>277</v>
      </c>
      <c r="N6" s="171" t="s">
        <v>278</v>
      </c>
      <c r="O6" s="171" t="s">
        <v>279</v>
      </c>
      <c r="P6" s="171" t="s">
        <v>916</v>
      </c>
      <c r="Q6" s="171"/>
      <c r="R6" s="213">
        <v>272000</v>
      </c>
      <c r="S6" s="87">
        <v>0</v>
      </c>
      <c r="T6" s="87">
        <v>0</v>
      </c>
      <c r="U6" s="87">
        <v>0</v>
      </c>
      <c r="V6" s="87">
        <v>0</v>
      </c>
      <c r="W6" s="87">
        <v>0</v>
      </c>
      <c r="X6" s="87">
        <v>0</v>
      </c>
      <c r="Y6" s="87">
        <v>0</v>
      </c>
      <c r="Z6" s="87">
        <v>0</v>
      </c>
      <c r="AA6" s="214">
        <v>0</v>
      </c>
      <c r="AB6" s="214">
        <v>0</v>
      </c>
      <c r="AC6" s="214">
        <v>0</v>
      </c>
      <c r="AD6" s="214">
        <v>0</v>
      </c>
      <c r="AE6" s="214">
        <v>0</v>
      </c>
      <c r="AF6" s="214">
        <v>0</v>
      </c>
      <c r="AG6" s="214">
        <v>0</v>
      </c>
      <c r="AH6" s="214">
        <v>0</v>
      </c>
      <c r="AI6" s="87">
        <v>66380</v>
      </c>
      <c r="AJ6" s="87">
        <v>0</v>
      </c>
      <c r="AK6" s="87">
        <v>66380</v>
      </c>
      <c r="AL6" s="87">
        <v>66380</v>
      </c>
      <c r="AM6" s="87">
        <v>1393200</v>
      </c>
      <c r="AN6" s="87">
        <v>66380</v>
      </c>
      <c r="AO6" s="87">
        <v>66380</v>
      </c>
      <c r="AP6" s="87">
        <v>66000</v>
      </c>
      <c r="AQ6" s="88">
        <v>0</v>
      </c>
      <c r="AR6" s="88">
        <v>0</v>
      </c>
      <c r="AS6" s="88">
        <v>0</v>
      </c>
      <c r="AT6" s="88">
        <v>0</v>
      </c>
      <c r="AU6" s="88">
        <v>0</v>
      </c>
      <c r="AV6" s="88">
        <v>0</v>
      </c>
      <c r="AW6" s="88">
        <v>0</v>
      </c>
      <c r="AX6" s="88">
        <v>0</v>
      </c>
      <c r="AY6" s="87">
        <v>0</v>
      </c>
      <c r="AZ6" s="87">
        <v>0</v>
      </c>
      <c r="BA6" s="87">
        <v>0</v>
      </c>
      <c r="BB6" s="87">
        <v>0</v>
      </c>
      <c r="BC6" s="87">
        <v>0</v>
      </c>
      <c r="BD6" s="87">
        <v>0</v>
      </c>
      <c r="BE6" s="87">
        <v>0</v>
      </c>
      <c r="BF6" s="87">
        <v>0</v>
      </c>
      <c r="BG6" s="88">
        <v>206580</v>
      </c>
      <c r="BH6" s="88">
        <v>0</v>
      </c>
      <c r="BI6" s="88">
        <v>206580</v>
      </c>
      <c r="BJ6" s="88">
        <v>206580</v>
      </c>
      <c r="BK6" s="88">
        <v>206580</v>
      </c>
      <c r="BL6" s="88">
        <v>206580</v>
      </c>
      <c r="BM6" s="88">
        <v>206580</v>
      </c>
      <c r="BN6" s="590">
        <v>206000</v>
      </c>
      <c r="BO6" s="171">
        <v>2023</v>
      </c>
      <c r="BP6" s="171">
        <v>1</v>
      </c>
      <c r="BQ6" s="171">
        <v>19</v>
      </c>
      <c r="BS6" s="76" t="str">
        <f t="shared" si="0"/>
        <v>○</v>
      </c>
    </row>
    <row r="7" spans="1:71" x14ac:dyDescent="0.2">
      <c r="A7" s="210">
        <v>1006</v>
      </c>
      <c r="B7" s="211"/>
      <c r="C7" s="212"/>
      <c r="D7" s="211"/>
      <c r="E7" s="212"/>
      <c r="F7" s="211"/>
      <c r="G7" s="211"/>
      <c r="H7" s="212"/>
      <c r="I7" s="211"/>
      <c r="J7" s="211"/>
      <c r="K7" s="211"/>
      <c r="L7" s="171"/>
      <c r="M7" s="171" t="s">
        <v>280</v>
      </c>
      <c r="N7" s="171" t="s">
        <v>281</v>
      </c>
      <c r="O7" s="171" t="s">
        <v>282</v>
      </c>
      <c r="P7" s="171" t="s">
        <v>916</v>
      </c>
      <c r="Q7" s="171"/>
      <c r="R7" s="213">
        <v>2328000</v>
      </c>
      <c r="S7" s="87">
        <v>0</v>
      </c>
      <c r="T7" s="87">
        <v>0</v>
      </c>
      <c r="U7" s="87">
        <v>0</v>
      </c>
      <c r="V7" s="87">
        <v>0</v>
      </c>
      <c r="W7" s="87">
        <v>0</v>
      </c>
      <c r="X7" s="87">
        <v>0</v>
      </c>
      <c r="Y7" s="87">
        <v>0</v>
      </c>
      <c r="Z7" s="87">
        <v>0</v>
      </c>
      <c r="AA7" s="214">
        <v>0</v>
      </c>
      <c r="AB7" s="214">
        <v>0</v>
      </c>
      <c r="AC7" s="214">
        <v>0</v>
      </c>
      <c r="AD7" s="214">
        <v>0</v>
      </c>
      <c r="AE7" s="214">
        <v>0</v>
      </c>
      <c r="AF7" s="214">
        <v>0</v>
      </c>
      <c r="AG7" s="214">
        <v>0</v>
      </c>
      <c r="AH7" s="214">
        <v>0</v>
      </c>
      <c r="AI7" s="87">
        <v>2207952</v>
      </c>
      <c r="AJ7" s="87">
        <v>0</v>
      </c>
      <c r="AK7" s="87">
        <v>2207952</v>
      </c>
      <c r="AL7" s="87">
        <v>2207952</v>
      </c>
      <c r="AM7" s="87">
        <v>2556000</v>
      </c>
      <c r="AN7" s="87">
        <v>2207952</v>
      </c>
      <c r="AO7" s="87">
        <v>2207952</v>
      </c>
      <c r="AP7" s="87">
        <v>2207000</v>
      </c>
      <c r="AQ7" s="88">
        <v>0</v>
      </c>
      <c r="AR7" s="88">
        <v>0</v>
      </c>
      <c r="AS7" s="88">
        <v>0</v>
      </c>
      <c r="AT7" s="88">
        <v>0</v>
      </c>
      <c r="AU7" s="88">
        <v>0</v>
      </c>
      <c r="AV7" s="88">
        <v>0</v>
      </c>
      <c r="AW7" s="88">
        <v>0</v>
      </c>
      <c r="AX7" s="88">
        <v>0</v>
      </c>
      <c r="AY7" s="87">
        <v>37290</v>
      </c>
      <c r="AZ7" s="87">
        <v>0</v>
      </c>
      <c r="BA7" s="87">
        <v>37290</v>
      </c>
      <c r="BB7" s="87">
        <v>37290</v>
      </c>
      <c r="BC7" s="87">
        <v>51400</v>
      </c>
      <c r="BD7" s="87">
        <v>37290</v>
      </c>
      <c r="BE7" s="87">
        <v>37290</v>
      </c>
      <c r="BF7" s="87">
        <v>37000</v>
      </c>
      <c r="BG7" s="88">
        <v>84649</v>
      </c>
      <c r="BH7" s="88">
        <v>0</v>
      </c>
      <c r="BI7" s="88">
        <v>84649</v>
      </c>
      <c r="BJ7" s="88">
        <v>84649</v>
      </c>
      <c r="BK7" s="88">
        <v>84649</v>
      </c>
      <c r="BL7" s="88">
        <v>84649</v>
      </c>
      <c r="BM7" s="88">
        <v>84649</v>
      </c>
      <c r="BN7" s="590">
        <v>84000</v>
      </c>
      <c r="BO7" s="171">
        <v>2023</v>
      </c>
      <c r="BP7" s="171">
        <v>1</v>
      </c>
      <c r="BQ7" s="171">
        <v>19</v>
      </c>
      <c r="BS7" s="76" t="str">
        <f t="shared" si="0"/>
        <v>○</v>
      </c>
    </row>
    <row r="8" spans="1:71" x14ac:dyDescent="0.2">
      <c r="A8" s="210">
        <v>1007</v>
      </c>
      <c r="B8" s="211"/>
      <c r="C8" s="212"/>
      <c r="D8" s="211"/>
      <c r="E8" s="212"/>
      <c r="F8" s="211"/>
      <c r="G8" s="211"/>
      <c r="H8" s="212"/>
      <c r="I8" s="211"/>
      <c r="J8" s="211"/>
      <c r="K8" s="211"/>
      <c r="L8" s="171"/>
      <c r="M8" s="171" t="s">
        <v>283</v>
      </c>
      <c r="N8" s="171" t="s">
        <v>269</v>
      </c>
      <c r="O8" s="171" t="s">
        <v>284</v>
      </c>
      <c r="P8" s="171" t="s">
        <v>916</v>
      </c>
      <c r="Q8" s="171"/>
      <c r="R8" s="213">
        <v>1770000</v>
      </c>
      <c r="S8" s="87">
        <v>0</v>
      </c>
      <c r="T8" s="87">
        <v>0</v>
      </c>
      <c r="U8" s="87">
        <v>0</v>
      </c>
      <c r="V8" s="87">
        <v>0</v>
      </c>
      <c r="W8" s="87">
        <v>0</v>
      </c>
      <c r="X8" s="87">
        <v>0</v>
      </c>
      <c r="Y8" s="87">
        <v>0</v>
      </c>
      <c r="Z8" s="87">
        <v>0</v>
      </c>
      <c r="AA8" s="214">
        <v>792000</v>
      </c>
      <c r="AB8" s="214">
        <v>0</v>
      </c>
      <c r="AC8" s="214">
        <v>792000</v>
      </c>
      <c r="AD8" s="214">
        <v>792000</v>
      </c>
      <c r="AE8" s="214">
        <v>820000</v>
      </c>
      <c r="AF8" s="214">
        <v>792000</v>
      </c>
      <c r="AG8" s="214">
        <v>792000</v>
      </c>
      <c r="AH8" s="214">
        <v>792000</v>
      </c>
      <c r="AI8" s="87">
        <v>978590</v>
      </c>
      <c r="AJ8" s="87">
        <v>0</v>
      </c>
      <c r="AK8" s="87">
        <v>978590</v>
      </c>
      <c r="AL8" s="87">
        <v>978590</v>
      </c>
      <c r="AM8" s="87">
        <v>4633200</v>
      </c>
      <c r="AN8" s="87">
        <v>978590</v>
      </c>
      <c r="AO8" s="87">
        <v>978590</v>
      </c>
      <c r="AP8" s="87">
        <v>978000</v>
      </c>
      <c r="AQ8" s="88">
        <v>0</v>
      </c>
      <c r="AR8" s="88">
        <v>0</v>
      </c>
      <c r="AS8" s="88">
        <v>0</v>
      </c>
      <c r="AT8" s="88">
        <v>0</v>
      </c>
      <c r="AU8" s="88">
        <v>0</v>
      </c>
      <c r="AV8" s="88">
        <v>0</v>
      </c>
      <c r="AW8" s="88">
        <v>0</v>
      </c>
      <c r="AX8" s="88">
        <v>0</v>
      </c>
      <c r="AY8" s="87">
        <v>0</v>
      </c>
      <c r="AZ8" s="87">
        <v>0</v>
      </c>
      <c r="BA8" s="87">
        <v>0</v>
      </c>
      <c r="BB8" s="87">
        <v>0</v>
      </c>
      <c r="BC8" s="87">
        <v>0</v>
      </c>
      <c r="BD8" s="87">
        <v>0</v>
      </c>
      <c r="BE8" s="87">
        <v>0</v>
      </c>
      <c r="BF8" s="87">
        <v>0</v>
      </c>
      <c r="BG8" s="88">
        <v>0</v>
      </c>
      <c r="BH8" s="88">
        <v>0</v>
      </c>
      <c r="BI8" s="88">
        <v>0</v>
      </c>
      <c r="BJ8" s="88">
        <v>0</v>
      </c>
      <c r="BK8" s="88">
        <v>0</v>
      </c>
      <c r="BL8" s="88">
        <v>0</v>
      </c>
      <c r="BM8" s="88">
        <v>0</v>
      </c>
      <c r="BN8" s="590">
        <v>0</v>
      </c>
      <c r="BO8" s="171">
        <v>2023</v>
      </c>
      <c r="BP8" s="171">
        <v>1</v>
      </c>
      <c r="BQ8" s="171">
        <v>19</v>
      </c>
      <c r="BS8" s="76" t="str">
        <f t="shared" si="0"/>
        <v>○</v>
      </c>
    </row>
    <row r="9" spans="1:71" x14ac:dyDescent="0.2">
      <c r="A9" s="210">
        <v>1008</v>
      </c>
      <c r="B9" s="211"/>
      <c r="C9" s="212"/>
      <c r="D9" s="211"/>
      <c r="E9" s="212"/>
      <c r="F9" s="211"/>
      <c r="G9" s="211"/>
      <c r="H9" s="212"/>
      <c r="I9" s="211"/>
      <c r="J9" s="211"/>
      <c r="K9" s="211"/>
      <c r="L9" s="171"/>
      <c r="M9" s="171" t="s">
        <v>285</v>
      </c>
      <c r="N9" s="171" t="s">
        <v>286</v>
      </c>
      <c r="O9" s="171" t="s">
        <v>287</v>
      </c>
      <c r="P9" s="171" t="s">
        <v>916</v>
      </c>
      <c r="Q9" s="171"/>
      <c r="R9" s="213">
        <v>128000</v>
      </c>
      <c r="S9" s="87">
        <v>0</v>
      </c>
      <c r="T9" s="87">
        <v>0</v>
      </c>
      <c r="U9" s="87">
        <v>0</v>
      </c>
      <c r="V9" s="87">
        <v>0</v>
      </c>
      <c r="W9" s="87">
        <v>0</v>
      </c>
      <c r="X9" s="87">
        <v>0</v>
      </c>
      <c r="Y9" s="87">
        <v>0</v>
      </c>
      <c r="Z9" s="87">
        <v>0</v>
      </c>
      <c r="AA9" s="214">
        <v>0</v>
      </c>
      <c r="AB9" s="214">
        <v>0</v>
      </c>
      <c r="AC9" s="214">
        <v>0</v>
      </c>
      <c r="AD9" s="214">
        <v>0</v>
      </c>
      <c r="AE9" s="214">
        <v>0</v>
      </c>
      <c r="AF9" s="214">
        <v>0</v>
      </c>
      <c r="AG9" s="214">
        <v>0</v>
      </c>
      <c r="AH9" s="214">
        <v>0</v>
      </c>
      <c r="AI9" s="87">
        <v>0</v>
      </c>
      <c r="AJ9" s="87">
        <v>0</v>
      </c>
      <c r="AK9" s="87">
        <v>0</v>
      </c>
      <c r="AL9" s="87">
        <v>0</v>
      </c>
      <c r="AM9" s="87">
        <v>0</v>
      </c>
      <c r="AN9" s="87">
        <v>0</v>
      </c>
      <c r="AO9" s="87">
        <v>0</v>
      </c>
      <c r="AP9" s="87">
        <v>0</v>
      </c>
      <c r="AQ9" s="88">
        <v>0</v>
      </c>
      <c r="AR9" s="88">
        <v>0</v>
      </c>
      <c r="AS9" s="88">
        <v>0</v>
      </c>
      <c r="AT9" s="88">
        <v>0</v>
      </c>
      <c r="AU9" s="88">
        <v>0</v>
      </c>
      <c r="AV9" s="88">
        <v>0</v>
      </c>
      <c r="AW9" s="88">
        <v>0</v>
      </c>
      <c r="AX9" s="88">
        <v>0</v>
      </c>
      <c r="AY9" s="87">
        <v>0</v>
      </c>
      <c r="AZ9" s="87">
        <v>0</v>
      </c>
      <c r="BA9" s="87">
        <v>0</v>
      </c>
      <c r="BB9" s="87">
        <v>0</v>
      </c>
      <c r="BC9" s="87">
        <v>0</v>
      </c>
      <c r="BD9" s="87">
        <v>0</v>
      </c>
      <c r="BE9" s="87">
        <v>0</v>
      </c>
      <c r="BF9" s="87">
        <v>0</v>
      </c>
      <c r="BG9" s="88">
        <v>128353</v>
      </c>
      <c r="BH9" s="88">
        <v>0</v>
      </c>
      <c r="BI9" s="88">
        <v>128353</v>
      </c>
      <c r="BJ9" s="88">
        <v>128353</v>
      </c>
      <c r="BK9" s="88">
        <v>128353</v>
      </c>
      <c r="BL9" s="88">
        <v>128353</v>
      </c>
      <c r="BM9" s="88">
        <v>128353</v>
      </c>
      <c r="BN9" s="590">
        <v>128000</v>
      </c>
      <c r="BO9" s="171">
        <v>2023</v>
      </c>
      <c r="BP9" s="171">
        <v>1</v>
      </c>
      <c r="BQ9" s="171">
        <v>19</v>
      </c>
      <c r="BS9" s="76" t="str">
        <f t="shared" si="0"/>
        <v>○</v>
      </c>
    </row>
    <row r="10" spans="1:71" x14ac:dyDescent="0.2">
      <c r="A10" s="210">
        <v>1010</v>
      </c>
      <c r="B10" s="211"/>
      <c r="C10" s="212"/>
      <c r="D10" s="211"/>
      <c r="E10" s="212"/>
      <c r="F10" s="211"/>
      <c r="G10" s="211"/>
      <c r="H10" s="212"/>
      <c r="I10" s="211"/>
      <c r="J10" s="211"/>
      <c r="K10" s="211"/>
      <c r="L10" s="171"/>
      <c r="M10" s="171" t="s">
        <v>288</v>
      </c>
      <c r="N10" s="171" t="s">
        <v>289</v>
      </c>
      <c r="O10" s="171" t="s">
        <v>290</v>
      </c>
      <c r="P10" s="171" t="s">
        <v>916</v>
      </c>
      <c r="Q10" s="171"/>
      <c r="R10" s="213">
        <v>205000</v>
      </c>
      <c r="S10" s="87">
        <v>0</v>
      </c>
      <c r="T10" s="87">
        <v>0</v>
      </c>
      <c r="U10" s="87">
        <v>0</v>
      </c>
      <c r="V10" s="87">
        <v>0</v>
      </c>
      <c r="W10" s="87">
        <v>0</v>
      </c>
      <c r="X10" s="87">
        <v>0</v>
      </c>
      <c r="Y10" s="87">
        <v>0</v>
      </c>
      <c r="Z10" s="87">
        <v>0</v>
      </c>
      <c r="AA10" s="214">
        <v>214500</v>
      </c>
      <c r="AB10" s="214">
        <v>0</v>
      </c>
      <c r="AC10" s="214">
        <v>214500</v>
      </c>
      <c r="AD10" s="214">
        <v>214500</v>
      </c>
      <c r="AE10" s="214">
        <v>205000</v>
      </c>
      <c r="AF10" s="214">
        <v>205000</v>
      </c>
      <c r="AG10" s="214">
        <v>205000</v>
      </c>
      <c r="AH10" s="214">
        <v>205000</v>
      </c>
      <c r="AI10" s="87">
        <v>0</v>
      </c>
      <c r="AJ10" s="87">
        <v>0</v>
      </c>
      <c r="AK10" s="87">
        <v>0</v>
      </c>
      <c r="AL10" s="87">
        <v>0</v>
      </c>
      <c r="AM10" s="87">
        <v>0</v>
      </c>
      <c r="AN10" s="87">
        <v>0</v>
      </c>
      <c r="AO10" s="87">
        <v>0</v>
      </c>
      <c r="AP10" s="87">
        <v>0</v>
      </c>
      <c r="AQ10" s="88">
        <v>0</v>
      </c>
      <c r="AR10" s="88">
        <v>0</v>
      </c>
      <c r="AS10" s="88">
        <v>0</v>
      </c>
      <c r="AT10" s="88">
        <v>0</v>
      </c>
      <c r="AU10" s="88">
        <v>0</v>
      </c>
      <c r="AV10" s="88">
        <v>0</v>
      </c>
      <c r="AW10" s="88">
        <v>0</v>
      </c>
      <c r="AX10" s="88">
        <v>0</v>
      </c>
      <c r="AY10" s="87">
        <v>0</v>
      </c>
      <c r="AZ10" s="87">
        <v>0</v>
      </c>
      <c r="BA10" s="87">
        <v>0</v>
      </c>
      <c r="BB10" s="87">
        <v>0</v>
      </c>
      <c r="BC10" s="87">
        <v>0</v>
      </c>
      <c r="BD10" s="87">
        <v>0</v>
      </c>
      <c r="BE10" s="87">
        <v>0</v>
      </c>
      <c r="BF10" s="87">
        <v>0</v>
      </c>
      <c r="BG10" s="88">
        <v>0</v>
      </c>
      <c r="BH10" s="88">
        <v>0</v>
      </c>
      <c r="BI10" s="88">
        <v>0</v>
      </c>
      <c r="BJ10" s="88">
        <v>0</v>
      </c>
      <c r="BK10" s="88">
        <v>0</v>
      </c>
      <c r="BL10" s="88">
        <v>0</v>
      </c>
      <c r="BM10" s="88">
        <v>0</v>
      </c>
      <c r="BN10" s="590">
        <v>0</v>
      </c>
      <c r="BO10" s="171">
        <v>2023</v>
      </c>
      <c r="BP10" s="171">
        <v>1</v>
      </c>
      <c r="BQ10" s="171">
        <v>19</v>
      </c>
      <c r="BS10" s="76" t="str">
        <f t="shared" si="0"/>
        <v>○</v>
      </c>
    </row>
    <row r="11" spans="1:71" x14ac:dyDescent="0.2">
      <c r="A11" s="210">
        <v>1011</v>
      </c>
      <c r="B11" s="211"/>
      <c r="C11" s="212"/>
      <c r="D11" s="211"/>
      <c r="E11" s="212"/>
      <c r="F11" s="211"/>
      <c r="G11" s="211"/>
      <c r="H11" s="212"/>
      <c r="I11" s="211"/>
      <c r="J11" s="211"/>
      <c r="K11" s="211"/>
      <c r="L11" s="171"/>
      <c r="M11" s="171" t="s">
        <v>291</v>
      </c>
      <c r="N11" s="171" t="s">
        <v>269</v>
      </c>
      <c r="O11" s="171" t="s">
        <v>292</v>
      </c>
      <c r="P11" s="171" t="s">
        <v>916</v>
      </c>
      <c r="Q11" s="171"/>
      <c r="R11" s="213">
        <v>770000</v>
      </c>
      <c r="S11" s="87">
        <v>0</v>
      </c>
      <c r="T11" s="87">
        <v>0</v>
      </c>
      <c r="U11" s="87">
        <v>0</v>
      </c>
      <c r="V11" s="87">
        <v>0</v>
      </c>
      <c r="W11" s="87">
        <v>0</v>
      </c>
      <c r="X11" s="87">
        <v>0</v>
      </c>
      <c r="Y11" s="87">
        <v>0</v>
      </c>
      <c r="Z11" s="87">
        <v>0</v>
      </c>
      <c r="AA11" s="214">
        <v>770000</v>
      </c>
      <c r="AB11" s="214">
        <v>0</v>
      </c>
      <c r="AC11" s="214">
        <v>770000</v>
      </c>
      <c r="AD11" s="214">
        <v>770000</v>
      </c>
      <c r="AE11" s="214">
        <v>820000</v>
      </c>
      <c r="AF11" s="214">
        <v>770000</v>
      </c>
      <c r="AG11" s="214">
        <v>770000</v>
      </c>
      <c r="AH11" s="214">
        <v>770000</v>
      </c>
      <c r="AI11" s="87">
        <v>0</v>
      </c>
      <c r="AJ11" s="87">
        <v>0</v>
      </c>
      <c r="AK11" s="87">
        <v>0</v>
      </c>
      <c r="AL11" s="87">
        <v>0</v>
      </c>
      <c r="AM11" s="87">
        <v>0</v>
      </c>
      <c r="AN11" s="87">
        <v>0</v>
      </c>
      <c r="AO11" s="87">
        <v>0</v>
      </c>
      <c r="AP11" s="87">
        <v>0</v>
      </c>
      <c r="AQ11" s="88">
        <v>0</v>
      </c>
      <c r="AR11" s="88">
        <v>0</v>
      </c>
      <c r="AS11" s="88">
        <v>0</v>
      </c>
      <c r="AT11" s="88">
        <v>0</v>
      </c>
      <c r="AU11" s="88">
        <v>0</v>
      </c>
      <c r="AV11" s="88">
        <v>0</v>
      </c>
      <c r="AW11" s="88">
        <v>0</v>
      </c>
      <c r="AX11" s="88">
        <v>0</v>
      </c>
      <c r="AY11" s="87">
        <v>0</v>
      </c>
      <c r="AZ11" s="87">
        <v>0</v>
      </c>
      <c r="BA11" s="87">
        <v>0</v>
      </c>
      <c r="BB11" s="87">
        <v>0</v>
      </c>
      <c r="BC11" s="87">
        <v>0</v>
      </c>
      <c r="BD11" s="87">
        <v>0</v>
      </c>
      <c r="BE11" s="87">
        <v>0</v>
      </c>
      <c r="BF11" s="87">
        <v>0</v>
      </c>
      <c r="BG11" s="88">
        <v>0</v>
      </c>
      <c r="BH11" s="88">
        <v>0</v>
      </c>
      <c r="BI11" s="88">
        <v>0</v>
      </c>
      <c r="BJ11" s="88">
        <v>0</v>
      </c>
      <c r="BK11" s="88">
        <v>0</v>
      </c>
      <c r="BL11" s="88">
        <v>0</v>
      </c>
      <c r="BM11" s="88">
        <v>0</v>
      </c>
      <c r="BN11" s="590">
        <v>0</v>
      </c>
      <c r="BO11" s="171">
        <v>2023</v>
      </c>
      <c r="BP11" s="171">
        <v>1</v>
      </c>
      <c r="BQ11" s="171">
        <v>19</v>
      </c>
      <c r="BS11" s="76" t="str">
        <f t="shared" si="0"/>
        <v>○</v>
      </c>
    </row>
    <row r="12" spans="1:71" x14ac:dyDescent="0.2">
      <c r="A12" s="210">
        <v>1012</v>
      </c>
      <c r="B12" s="211"/>
      <c r="C12" s="212"/>
      <c r="D12" s="211"/>
      <c r="E12" s="212"/>
      <c r="F12" s="211"/>
      <c r="G12" s="211"/>
      <c r="H12" s="212"/>
      <c r="I12" s="211"/>
      <c r="J12" s="211"/>
      <c r="K12" s="211"/>
      <c r="L12" s="171"/>
      <c r="M12" s="171" t="s">
        <v>293</v>
      </c>
      <c r="N12" s="171" t="s">
        <v>289</v>
      </c>
      <c r="O12" s="171" t="s">
        <v>294</v>
      </c>
      <c r="P12" s="171" t="s">
        <v>916</v>
      </c>
      <c r="Q12" s="171"/>
      <c r="R12" s="213">
        <v>513000</v>
      </c>
      <c r="S12" s="87">
        <v>0</v>
      </c>
      <c r="T12" s="87">
        <v>0</v>
      </c>
      <c r="U12" s="87">
        <v>0</v>
      </c>
      <c r="V12" s="87">
        <v>0</v>
      </c>
      <c r="W12" s="87">
        <v>0</v>
      </c>
      <c r="X12" s="87">
        <v>0</v>
      </c>
      <c r="Y12" s="87">
        <v>0</v>
      </c>
      <c r="Z12" s="87">
        <v>0</v>
      </c>
      <c r="AA12" s="214">
        <v>0</v>
      </c>
      <c r="AB12" s="214">
        <v>0</v>
      </c>
      <c r="AC12" s="214">
        <v>0</v>
      </c>
      <c r="AD12" s="214">
        <v>0</v>
      </c>
      <c r="AE12" s="214">
        <v>0</v>
      </c>
      <c r="AF12" s="214">
        <v>0</v>
      </c>
      <c r="AG12" s="214">
        <v>0</v>
      </c>
      <c r="AH12" s="214">
        <v>0</v>
      </c>
      <c r="AI12" s="87">
        <v>180056</v>
      </c>
      <c r="AJ12" s="87">
        <v>0</v>
      </c>
      <c r="AK12" s="87">
        <v>180056</v>
      </c>
      <c r="AL12" s="87">
        <v>180056</v>
      </c>
      <c r="AM12" s="87">
        <v>720000</v>
      </c>
      <c r="AN12" s="87">
        <v>180056</v>
      </c>
      <c r="AO12" s="87">
        <v>180056</v>
      </c>
      <c r="AP12" s="87">
        <v>180000</v>
      </c>
      <c r="AQ12" s="88">
        <v>0</v>
      </c>
      <c r="AR12" s="88">
        <v>0</v>
      </c>
      <c r="AS12" s="88">
        <v>0</v>
      </c>
      <c r="AT12" s="88">
        <v>0</v>
      </c>
      <c r="AU12" s="88">
        <v>0</v>
      </c>
      <c r="AV12" s="88">
        <v>0</v>
      </c>
      <c r="AW12" s="88">
        <v>0</v>
      </c>
      <c r="AX12" s="88">
        <v>0</v>
      </c>
      <c r="AY12" s="87">
        <v>0</v>
      </c>
      <c r="AZ12" s="87">
        <v>0</v>
      </c>
      <c r="BA12" s="87">
        <v>0</v>
      </c>
      <c r="BB12" s="87">
        <v>0</v>
      </c>
      <c r="BC12" s="87">
        <v>0</v>
      </c>
      <c r="BD12" s="87">
        <v>0</v>
      </c>
      <c r="BE12" s="87">
        <v>0</v>
      </c>
      <c r="BF12" s="87">
        <v>0</v>
      </c>
      <c r="BG12" s="88">
        <v>333080</v>
      </c>
      <c r="BH12" s="88">
        <v>0</v>
      </c>
      <c r="BI12" s="88">
        <v>333080</v>
      </c>
      <c r="BJ12" s="88">
        <v>333080</v>
      </c>
      <c r="BK12" s="88">
        <v>333080</v>
      </c>
      <c r="BL12" s="88">
        <v>333080</v>
      </c>
      <c r="BM12" s="88">
        <v>333080</v>
      </c>
      <c r="BN12" s="590">
        <v>333000</v>
      </c>
      <c r="BO12" s="171">
        <v>2023</v>
      </c>
      <c r="BP12" s="171">
        <v>1</v>
      </c>
      <c r="BQ12" s="171">
        <v>19</v>
      </c>
      <c r="BS12" s="76" t="str">
        <f t="shared" si="0"/>
        <v>○</v>
      </c>
    </row>
    <row r="13" spans="1:71" x14ac:dyDescent="0.2">
      <c r="A13" s="210">
        <v>1013</v>
      </c>
      <c r="B13" s="211"/>
      <c r="C13" s="212"/>
      <c r="D13" s="211"/>
      <c r="E13" s="212"/>
      <c r="F13" s="211"/>
      <c r="G13" s="211"/>
      <c r="H13" s="212"/>
      <c r="I13" s="211"/>
      <c r="J13" s="211"/>
      <c r="K13" s="211"/>
      <c r="L13" s="171"/>
      <c r="M13" s="171" t="s">
        <v>295</v>
      </c>
      <c r="N13" s="171" t="s">
        <v>296</v>
      </c>
      <c r="O13" s="171" t="s">
        <v>297</v>
      </c>
      <c r="P13" s="171" t="s">
        <v>916</v>
      </c>
      <c r="Q13" s="171"/>
      <c r="R13" s="213">
        <v>632000</v>
      </c>
      <c r="S13" s="87">
        <v>0</v>
      </c>
      <c r="T13" s="87">
        <v>0</v>
      </c>
      <c r="U13" s="87">
        <v>0</v>
      </c>
      <c r="V13" s="87">
        <v>0</v>
      </c>
      <c r="W13" s="87">
        <v>0</v>
      </c>
      <c r="X13" s="87">
        <v>0</v>
      </c>
      <c r="Y13" s="87">
        <v>0</v>
      </c>
      <c r="Z13" s="87">
        <v>0</v>
      </c>
      <c r="AA13" s="214">
        <v>0</v>
      </c>
      <c r="AB13" s="214">
        <v>0</v>
      </c>
      <c r="AC13" s="214">
        <v>0</v>
      </c>
      <c r="AD13" s="214">
        <v>0</v>
      </c>
      <c r="AE13" s="214">
        <v>0</v>
      </c>
      <c r="AF13" s="214">
        <v>0</v>
      </c>
      <c r="AG13" s="214">
        <v>0</v>
      </c>
      <c r="AH13" s="214">
        <v>0</v>
      </c>
      <c r="AI13" s="87">
        <v>581750</v>
      </c>
      <c r="AJ13" s="87">
        <v>0</v>
      </c>
      <c r="AK13" s="87">
        <v>581750</v>
      </c>
      <c r="AL13" s="87">
        <v>581750</v>
      </c>
      <c r="AM13" s="87">
        <v>4320000</v>
      </c>
      <c r="AN13" s="87">
        <v>581750</v>
      </c>
      <c r="AO13" s="87">
        <v>581750</v>
      </c>
      <c r="AP13" s="87">
        <v>581000</v>
      </c>
      <c r="AQ13" s="88">
        <v>0</v>
      </c>
      <c r="AR13" s="88">
        <v>0</v>
      </c>
      <c r="AS13" s="88">
        <v>0</v>
      </c>
      <c r="AT13" s="88">
        <v>0</v>
      </c>
      <c r="AU13" s="88">
        <v>0</v>
      </c>
      <c r="AV13" s="88">
        <v>0</v>
      </c>
      <c r="AW13" s="88">
        <v>0</v>
      </c>
      <c r="AX13" s="88">
        <v>0</v>
      </c>
      <c r="AY13" s="87">
        <v>51400</v>
      </c>
      <c r="AZ13" s="87">
        <v>0</v>
      </c>
      <c r="BA13" s="87">
        <v>51400</v>
      </c>
      <c r="BB13" s="87">
        <v>51400</v>
      </c>
      <c r="BC13" s="87">
        <v>51400</v>
      </c>
      <c r="BD13" s="87">
        <v>51400</v>
      </c>
      <c r="BE13" s="87">
        <v>51400</v>
      </c>
      <c r="BF13" s="87">
        <v>51000</v>
      </c>
      <c r="BG13" s="88">
        <v>0</v>
      </c>
      <c r="BH13" s="88">
        <v>0</v>
      </c>
      <c r="BI13" s="88">
        <v>0</v>
      </c>
      <c r="BJ13" s="88">
        <v>0</v>
      </c>
      <c r="BK13" s="88">
        <v>0</v>
      </c>
      <c r="BL13" s="88">
        <v>0</v>
      </c>
      <c r="BM13" s="88">
        <v>0</v>
      </c>
      <c r="BN13" s="590">
        <v>0</v>
      </c>
      <c r="BO13" s="171">
        <v>2023</v>
      </c>
      <c r="BP13" s="171">
        <v>1</v>
      </c>
      <c r="BQ13" s="171">
        <v>19</v>
      </c>
      <c r="BS13" s="76" t="str">
        <f t="shared" si="0"/>
        <v>○</v>
      </c>
    </row>
    <row r="14" spans="1:71" x14ac:dyDescent="0.2">
      <c r="A14" s="210">
        <v>1014</v>
      </c>
      <c r="B14" s="211"/>
      <c r="C14" s="212"/>
      <c r="D14" s="211"/>
      <c r="E14" s="212"/>
      <c r="F14" s="211"/>
      <c r="G14" s="211"/>
      <c r="H14" s="212"/>
      <c r="I14" s="211"/>
      <c r="J14" s="211"/>
      <c r="K14" s="211"/>
      <c r="L14" s="171"/>
      <c r="M14" s="171" t="s">
        <v>298</v>
      </c>
      <c r="N14" s="171" t="s">
        <v>299</v>
      </c>
      <c r="O14" s="171" t="s">
        <v>300</v>
      </c>
      <c r="P14" s="171" t="s">
        <v>916</v>
      </c>
      <c r="Q14" s="171"/>
      <c r="R14" s="213">
        <v>383000</v>
      </c>
      <c r="S14" s="87">
        <v>0</v>
      </c>
      <c r="T14" s="87">
        <v>0</v>
      </c>
      <c r="U14" s="87">
        <v>0</v>
      </c>
      <c r="V14" s="87">
        <v>0</v>
      </c>
      <c r="W14" s="87">
        <v>0</v>
      </c>
      <c r="X14" s="87">
        <v>0</v>
      </c>
      <c r="Y14" s="87">
        <v>0</v>
      </c>
      <c r="Z14" s="87">
        <v>0</v>
      </c>
      <c r="AA14" s="214">
        <v>341000</v>
      </c>
      <c r="AB14" s="214">
        <v>0</v>
      </c>
      <c r="AC14" s="214">
        <v>341000</v>
      </c>
      <c r="AD14" s="214">
        <v>341000</v>
      </c>
      <c r="AE14" s="214">
        <v>410000</v>
      </c>
      <c r="AF14" s="214">
        <v>341000</v>
      </c>
      <c r="AG14" s="214">
        <v>341000</v>
      </c>
      <c r="AH14" s="214">
        <v>341000</v>
      </c>
      <c r="AI14" s="87">
        <v>42460</v>
      </c>
      <c r="AJ14" s="87">
        <v>0</v>
      </c>
      <c r="AK14" s="87">
        <v>42460</v>
      </c>
      <c r="AL14" s="87">
        <v>42460</v>
      </c>
      <c r="AM14" s="87">
        <v>4392000</v>
      </c>
      <c r="AN14" s="87">
        <v>42460</v>
      </c>
      <c r="AO14" s="87">
        <v>42460</v>
      </c>
      <c r="AP14" s="87">
        <v>42000</v>
      </c>
      <c r="AQ14" s="88">
        <v>0</v>
      </c>
      <c r="AR14" s="88">
        <v>0</v>
      </c>
      <c r="AS14" s="88">
        <v>0</v>
      </c>
      <c r="AT14" s="88">
        <v>0</v>
      </c>
      <c r="AU14" s="88">
        <v>0</v>
      </c>
      <c r="AV14" s="88">
        <v>0</v>
      </c>
      <c r="AW14" s="88">
        <v>0</v>
      </c>
      <c r="AX14" s="88">
        <v>0</v>
      </c>
      <c r="AY14" s="87">
        <v>0</v>
      </c>
      <c r="AZ14" s="87">
        <v>0</v>
      </c>
      <c r="BA14" s="87">
        <v>0</v>
      </c>
      <c r="BB14" s="87">
        <v>0</v>
      </c>
      <c r="BC14" s="87">
        <v>0</v>
      </c>
      <c r="BD14" s="87">
        <v>0</v>
      </c>
      <c r="BE14" s="87">
        <v>0</v>
      </c>
      <c r="BF14" s="87">
        <v>0</v>
      </c>
      <c r="BG14" s="88">
        <v>0</v>
      </c>
      <c r="BH14" s="88">
        <v>0</v>
      </c>
      <c r="BI14" s="88">
        <v>0</v>
      </c>
      <c r="BJ14" s="88">
        <v>0</v>
      </c>
      <c r="BK14" s="88">
        <v>0</v>
      </c>
      <c r="BL14" s="88">
        <v>0</v>
      </c>
      <c r="BM14" s="88">
        <v>0</v>
      </c>
      <c r="BN14" s="590">
        <v>0</v>
      </c>
      <c r="BO14" s="171">
        <v>2023</v>
      </c>
      <c r="BP14" s="171">
        <v>1</v>
      </c>
      <c r="BQ14" s="171">
        <v>19</v>
      </c>
      <c r="BS14" s="76" t="str">
        <f t="shared" si="0"/>
        <v>○</v>
      </c>
    </row>
    <row r="15" spans="1:71" x14ac:dyDescent="0.2">
      <c r="A15" s="210">
        <v>1015</v>
      </c>
      <c r="B15" s="211"/>
      <c r="C15" s="212"/>
      <c r="D15" s="211"/>
      <c r="E15" s="212"/>
      <c r="F15" s="211"/>
      <c r="G15" s="211"/>
      <c r="H15" s="212"/>
      <c r="I15" s="211"/>
      <c r="J15" s="211"/>
      <c r="K15" s="211"/>
      <c r="L15" s="171"/>
      <c r="M15" s="171" t="s">
        <v>301</v>
      </c>
      <c r="N15" s="171" t="s">
        <v>302</v>
      </c>
      <c r="O15" s="171" t="s">
        <v>303</v>
      </c>
      <c r="P15" s="171" t="s">
        <v>916</v>
      </c>
      <c r="Q15" s="171"/>
      <c r="R15" s="213">
        <v>407000</v>
      </c>
      <c r="S15" s="87">
        <v>0</v>
      </c>
      <c r="T15" s="87">
        <v>0</v>
      </c>
      <c r="U15" s="87">
        <v>0</v>
      </c>
      <c r="V15" s="87">
        <v>0</v>
      </c>
      <c r="W15" s="87">
        <v>0</v>
      </c>
      <c r="X15" s="87">
        <v>0</v>
      </c>
      <c r="Y15" s="87">
        <v>0</v>
      </c>
      <c r="Z15" s="87">
        <v>0</v>
      </c>
      <c r="AA15" s="214">
        <v>0</v>
      </c>
      <c r="AB15" s="214">
        <v>0</v>
      </c>
      <c r="AC15" s="214">
        <v>0</v>
      </c>
      <c r="AD15" s="214">
        <v>0</v>
      </c>
      <c r="AE15" s="214">
        <v>0</v>
      </c>
      <c r="AF15" s="214">
        <v>0</v>
      </c>
      <c r="AG15" s="214">
        <v>0</v>
      </c>
      <c r="AH15" s="214">
        <v>0</v>
      </c>
      <c r="AI15" s="87">
        <v>278420</v>
      </c>
      <c r="AJ15" s="87">
        <v>0</v>
      </c>
      <c r="AK15" s="87">
        <v>278420</v>
      </c>
      <c r="AL15" s="87">
        <v>278420</v>
      </c>
      <c r="AM15" s="87">
        <v>9828000</v>
      </c>
      <c r="AN15" s="87">
        <v>278420</v>
      </c>
      <c r="AO15" s="87">
        <v>278420</v>
      </c>
      <c r="AP15" s="87">
        <v>278000</v>
      </c>
      <c r="AQ15" s="88">
        <v>0</v>
      </c>
      <c r="AR15" s="88">
        <v>0</v>
      </c>
      <c r="AS15" s="88">
        <v>0</v>
      </c>
      <c r="AT15" s="88">
        <v>0</v>
      </c>
      <c r="AU15" s="88">
        <v>0</v>
      </c>
      <c r="AV15" s="88">
        <v>0</v>
      </c>
      <c r="AW15" s="88">
        <v>0</v>
      </c>
      <c r="AX15" s="88">
        <v>0</v>
      </c>
      <c r="AY15" s="87">
        <v>0</v>
      </c>
      <c r="AZ15" s="87">
        <v>0</v>
      </c>
      <c r="BA15" s="87">
        <v>0</v>
      </c>
      <c r="BB15" s="87">
        <v>0</v>
      </c>
      <c r="BC15" s="87">
        <v>0</v>
      </c>
      <c r="BD15" s="87">
        <v>0</v>
      </c>
      <c r="BE15" s="87">
        <v>0</v>
      </c>
      <c r="BF15" s="87">
        <v>0</v>
      </c>
      <c r="BG15" s="88">
        <v>129580</v>
      </c>
      <c r="BH15" s="88">
        <v>0</v>
      </c>
      <c r="BI15" s="88">
        <v>129580</v>
      </c>
      <c r="BJ15" s="88">
        <v>129580</v>
      </c>
      <c r="BK15" s="88">
        <v>129580</v>
      </c>
      <c r="BL15" s="88">
        <v>129580</v>
      </c>
      <c r="BM15" s="88">
        <v>129580</v>
      </c>
      <c r="BN15" s="590">
        <v>129000</v>
      </c>
      <c r="BO15" s="171">
        <v>2023</v>
      </c>
      <c r="BP15" s="171">
        <v>1</v>
      </c>
      <c r="BQ15" s="171">
        <v>19</v>
      </c>
      <c r="BS15" s="76" t="str">
        <f t="shared" si="0"/>
        <v>○</v>
      </c>
    </row>
    <row r="16" spans="1:71" x14ac:dyDescent="0.2">
      <c r="A16" s="210">
        <v>1016</v>
      </c>
      <c r="B16" s="211"/>
      <c r="C16" s="212"/>
      <c r="D16" s="211"/>
      <c r="E16" s="212"/>
      <c r="F16" s="211"/>
      <c r="G16" s="211"/>
      <c r="H16" s="212"/>
      <c r="I16" s="211"/>
      <c r="J16" s="211"/>
      <c r="K16" s="211"/>
      <c r="L16" s="171"/>
      <c r="M16" s="171">
        <v>1530038</v>
      </c>
      <c r="N16" s="171" t="s">
        <v>299</v>
      </c>
      <c r="O16" s="171" t="s">
        <v>304</v>
      </c>
      <c r="P16" s="171" t="s">
        <v>916</v>
      </c>
      <c r="Q16" s="171"/>
      <c r="R16" s="213">
        <v>219000</v>
      </c>
      <c r="S16" s="87">
        <v>0</v>
      </c>
      <c r="T16" s="87">
        <v>0</v>
      </c>
      <c r="U16" s="87">
        <v>0</v>
      </c>
      <c r="V16" s="87">
        <v>0</v>
      </c>
      <c r="W16" s="87">
        <v>0</v>
      </c>
      <c r="X16" s="87">
        <v>0</v>
      </c>
      <c r="Y16" s="87">
        <v>0</v>
      </c>
      <c r="Z16" s="87">
        <v>0</v>
      </c>
      <c r="AA16" s="214">
        <v>171600</v>
      </c>
      <c r="AB16" s="214">
        <v>0</v>
      </c>
      <c r="AC16" s="214">
        <v>171600</v>
      </c>
      <c r="AD16" s="214">
        <v>171600</v>
      </c>
      <c r="AE16" s="214">
        <v>205000</v>
      </c>
      <c r="AF16" s="214">
        <v>171600</v>
      </c>
      <c r="AG16" s="214">
        <v>171600</v>
      </c>
      <c r="AH16" s="214">
        <v>171000</v>
      </c>
      <c r="AI16" s="87">
        <v>48864</v>
      </c>
      <c r="AJ16" s="87">
        <v>0</v>
      </c>
      <c r="AK16" s="87">
        <v>48864</v>
      </c>
      <c r="AL16" s="87">
        <v>48864</v>
      </c>
      <c r="AM16" s="87">
        <v>1656000</v>
      </c>
      <c r="AN16" s="87">
        <v>48864</v>
      </c>
      <c r="AO16" s="87">
        <v>48864</v>
      </c>
      <c r="AP16" s="87">
        <v>48000</v>
      </c>
      <c r="AQ16" s="88">
        <v>0</v>
      </c>
      <c r="AR16" s="88">
        <v>0</v>
      </c>
      <c r="AS16" s="88">
        <v>0</v>
      </c>
      <c r="AT16" s="88">
        <v>0</v>
      </c>
      <c r="AU16" s="88">
        <v>0</v>
      </c>
      <c r="AV16" s="88">
        <v>0</v>
      </c>
      <c r="AW16" s="88">
        <v>0</v>
      </c>
      <c r="AX16" s="88">
        <v>0</v>
      </c>
      <c r="AY16" s="87">
        <v>0</v>
      </c>
      <c r="AZ16" s="87">
        <v>0</v>
      </c>
      <c r="BA16" s="87">
        <v>0</v>
      </c>
      <c r="BB16" s="87">
        <v>0</v>
      </c>
      <c r="BC16" s="87">
        <v>0</v>
      </c>
      <c r="BD16" s="87">
        <v>0</v>
      </c>
      <c r="BE16" s="87">
        <v>0</v>
      </c>
      <c r="BF16" s="87">
        <v>0</v>
      </c>
      <c r="BG16" s="88">
        <v>0</v>
      </c>
      <c r="BH16" s="88">
        <v>0</v>
      </c>
      <c r="BI16" s="88">
        <v>0</v>
      </c>
      <c r="BJ16" s="88">
        <v>0</v>
      </c>
      <c r="BK16" s="88">
        <v>0</v>
      </c>
      <c r="BL16" s="88">
        <v>0</v>
      </c>
      <c r="BM16" s="88">
        <v>0</v>
      </c>
      <c r="BN16" s="590">
        <v>0</v>
      </c>
      <c r="BO16" s="171">
        <v>2023</v>
      </c>
      <c r="BP16" s="171">
        <v>1</v>
      </c>
      <c r="BQ16" s="171">
        <v>19</v>
      </c>
      <c r="BS16" s="76" t="str">
        <f t="shared" si="0"/>
        <v>○</v>
      </c>
    </row>
    <row r="17" spans="1:71" s="81" customFormat="1" x14ac:dyDescent="0.2">
      <c r="A17" s="210">
        <v>1017</v>
      </c>
      <c r="B17" s="211"/>
      <c r="C17" s="212"/>
      <c r="D17" s="211"/>
      <c r="E17" s="212"/>
      <c r="F17" s="211"/>
      <c r="G17" s="211"/>
      <c r="H17" s="212"/>
      <c r="I17" s="211"/>
      <c r="J17" s="211"/>
      <c r="K17" s="211"/>
      <c r="L17" s="171"/>
      <c r="M17" s="171" t="s">
        <v>305</v>
      </c>
      <c r="N17" s="171" t="s">
        <v>306</v>
      </c>
      <c r="O17" s="171" t="s">
        <v>307</v>
      </c>
      <c r="P17" s="171" t="s">
        <v>916</v>
      </c>
      <c r="Q17" s="75"/>
      <c r="R17" s="213">
        <v>1090000</v>
      </c>
      <c r="S17" s="87">
        <v>0</v>
      </c>
      <c r="T17" s="87">
        <v>0</v>
      </c>
      <c r="U17" s="87">
        <v>0</v>
      </c>
      <c r="V17" s="87">
        <v>0</v>
      </c>
      <c r="W17" s="87">
        <v>0</v>
      </c>
      <c r="X17" s="87">
        <v>0</v>
      </c>
      <c r="Y17" s="87">
        <v>0</v>
      </c>
      <c r="Z17" s="87">
        <v>0</v>
      </c>
      <c r="AA17" s="214">
        <v>0</v>
      </c>
      <c r="AB17" s="214">
        <v>0</v>
      </c>
      <c r="AC17" s="214">
        <v>0</v>
      </c>
      <c r="AD17" s="214">
        <v>0</v>
      </c>
      <c r="AE17" s="214">
        <v>0</v>
      </c>
      <c r="AF17" s="214">
        <v>0</v>
      </c>
      <c r="AG17" s="214">
        <v>0</v>
      </c>
      <c r="AH17" s="214">
        <v>0</v>
      </c>
      <c r="AI17" s="87">
        <v>950320</v>
      </c>
      <c r="AJ17" s="87">
        <v>0</v>
      </c>
      <c r="AK17" s="87">
        <v>950320</v>
      </c>
      <c r="AL17" s="87">
        <v>950320</v>
      </c>
      <c r="AM17" s="87">
        <v>3153600</v>
      </c>
      <c r="AN17" s="87">
        <v>950320</v>
      </c>
      <c r="AO17" s="87">
        <v>950320</v>
      </c>
      <c r="AP17" s="87">
        <v>950000</v>
      </c>
      <c r="AQ17" s="88">
        <v>0</v>
      </c>
      <c r="AR17" s="88">
        <v>0</v>
      </c>
      <c r="AS17" s="88">
        <v>0</v>
      </c>
      <c r="AT17" s="88">
        <v>0</v>
      </c>
      <c r="AU17" s="88">
        <v>0</v>
      </c>
      <c r="AV17" s="88">
        <v>0</v>
      </c>
      <c r="AW17" s="88">
        <v>0</v>
      </c>
      <c r="AX17" s="88">
        <v>0</v>
      </c>
      <c r="AY17" s="87">
        <v>0</v>
      </c>
      <c r="AZ17" s="87">
        <v>0</v>
      </c>
      <c r="BA17" s="87">
        <v>0</v>
      </c>
      <c r="BB17" s="87">
        <v>0</v>
      </c>
      <c r="BC17" s="87">
        <v>0</v>
      </c>
      <c r="BD17" s="87">
        <v>0</v>
      </c>
      <c r="BE17" s="87">
        <v>0</v>
      </c>
      <c r="BF17" s="87">
        <v>0</v>
      </c>
      <c r="BG17" s="88">
        <v>140580</v>
      </c>
      <c r="BH17" s="88">
        <v>0</v>
      </c>
      <c r="BI17" s="88">
        <v>140580</v>
      </c>
      <c r="BJ17" s="88">
        <v>140580</v>
      </c>
      <c r="BK17" s="88">
        <v>140580</v>
      </c>
      <c r="BL17" s="88">
        <v>140580</v>
      </c>
      <c r="BM17" s="88">
        <v>140580</v>
      </c>
      <c r="BN17" s="590">
        <v>140000</v>
      </c>
      <c r="BO17" s="171">
        <v>2023</v>
      </c>
      <c r="BP17" s="171">
        <v>1</v>
      </c>
      <c r="BQ17" s="171">
        <v>19</v>
      </c>
      <c r="BS17" s="76" t="str">
        <f t="shared" si="0"/>
        <v>○</v>
      </c>
    </row>
    <row r="18" spans="1:71" x14ac:dyDescent="0.2">
      <c r="A18" s="210">
        <v>1018</v>
      </c>
      <c r="B18" s="211"/>
      <c r="C18" s="212"/>
      <c r="D18" s="211"/>
      <c r="E18" s="212"/>
      <c r="F18" s="211"/>
      <c r="G18" s="211"/>
      <c r="H18" s="212"/>
      <c r="I18" s="211"/>
      <c r="J18" s="211"/>
      <c r="K18" s="211"/>
      <c r="L18" s="171"/>
      <c r="M18" s="171" t="s">
        <v>308</v>
      </c>
      <c r="N18" s="171" t="s">
        <v>272</v>
      </c>
      <c r="O18" s="171" t="s">
        <v>309</v>
      </c>
      <c r="P18" s="171" t="s">
        <v>916</v>
      </c>
      <c r="Q18" s="171"/>
      <c r="R18" s="213">
        <v>639000</v>
      </c>
      <c r="S18" s="87">
        <v>0</v>
      </c>
      <c r="T18" s="87">
        <v>0</v>
      </c>
      <c r="U18" s="87">
        <v>0</v>
      </c>
      <c r="V18" s="87">
        <v>0</v>
      </c>
      <c r="W18" s="87">
        <v>0</v>
      </c>
      <c r="X18" s="87">
        <v>0</v>
      </c>
      <c r="Y18" s="87">
        <v>0</v>
      </c>
      <c r="Z18" s="87">
        <v>0</v>
      </c>
      <c r="AA18" s="214">
        <v>451000</v>
      </c>
      <c r="AB18" s="214">
        <v>0</v>
      </c>
      <c r="AC18" s="214">
        <v>451000</v>
      </c>
      <c r="AD18" s="214">
        <v>451000</v>
      </c>
      <c r="AE18" s="214">
        <v>410000</v>
      </c>
      <c r="AF18" s="214">
        <v>410000</v>
      </c>
      <c r="AG18" s="214">
        <v>410000</v>
      </c>
      <c r="AH18" s="214">
        <v>410000</v>
      </c>
      <c r="AI18" s="87">
        <v>229562</v>
      </c>
      <c r="AJ18" s="87">
        <v>0</v>
      </c>
      <c r="AK18" s="87">
        <v>229562</v>
      </c>
      <c r="AL18" s="87">
        <v>229562</v>
      </c>
      <c r="AM18" s="87">
        <v>5112000</v>
      </c>
      <c r="AN18" s="87">
        <v>229562</v>
      </c>
      <c r="AO18" s="87">
        <v>229562</v>
      </c>
      <c r="AP18" s="87">
        <v>229000</v>
      </c>
      <c r="AQ18" s="88">
        <v>0</v>
      </c>
      <c r="AR18" s="88">
        <v>0</v>
      </c>
      <c r="AS18" s="88">
        <v>0</v>
      </c>
      <c r="AT18" s="88">
        <v>0</v>
      </c>
      <c r="AU18" s="88">
        <v>0</v>
      </c>
      <c r="AV18" s="88">
        <v>0</v>
      </c>
      <c r="AW18" s="88">
        <v>0</v>
      </c>
      <c r="AX18" s="88">
        <v>0</v>
      </c>
      <c r="AY18" s="87">
        <v>0</v>
      </c>
      <c r="AZ18" s="87">
        <v>0</v>
      </c>
      <c r="BA18" s="87">
        <v>0</v>
      </c>
      <c r="BB18" s="87">
        <v>0</v>
      </c>
      <c r="BC18" s="87">
        <v>0</v>
      </c>
      <c r="BD18" s="87">
        <v>0</v>
      </c>
      <c r="BE18" s="87">
        <v>0</v>
      </c>
      <c r="BF18" s="87">
        <v>0</v>
      </c>
      <c r="BG18" s="88">
        <v>0</v>
      </c>
      <c r="BH18" s="88">
        <v>0</v>
      </c>
      <c r="BI18" s="88">
        <v>0</v>
      </c>
      <c r="BJ18" s="88">
        <v>0</v>
      </c>
      <c r="BK18" s="88">
        <v>0</v>
      </c>
      <c r="BL18" s="88">
        <v>0</v>
      </c>
      <c r="BM18" s="88">
        <v>0</v>
      </c>
      <c r="BN18" s="590">
        <v>0</v>
      </c>
      <c r="BO18" s="171">
        <v>2023</v>
      </c>
      <c r="BP18" s="171">
        <v>1</v>
      </c>
      <c r="BQ18" s="171">
        <v>19</v>
      </c>
      <c r="BS18" s="76" t="str">
        <f t="shared" si="0"/>
        <v>○</v>
      </c>
    </row>
    <row r="19" spans="1:71" x14ac:dyDescent="0.2">
      <c r="A19" s="210">
        <v>1019</v>
      </c>
      <c r="B19" s="211"/>
      <c r="C19" s="212"/>
      <c r="D19" s="211"/>
      <c r="E19" s="212"/>
      <c r="F19" s="211"/>
      <c r="G19" s="211"/>
      <c r="H19" s="212"/>
      <c r="I19" s="211"/>
      <c r="J19" s="211"/>
      <c r="K19" s="211"/>
      <c r="L19" s="171"/>
      <c r="M19" s="171" t="s">
        <v>310</v>
      </c>
      <c r="N19" s="171" t="s">
        <v>302</v>
      </c>
      <c r="O19" s="171" t="s">
        <v>311</v>
      </c>
      <c r="P19" s="171" t="s">
        <v>916</v>
      </c>
      <c r="Q19" s="171"/>
      <c r="R19" s="213">
        <v>893000</v>
      </c>
      <c r="S19" s="87">
        <v>0</v>
      </c>
      <c r="T19" s="87">
        <v>0</v>
      </c>
      <c r="U19" s="87">
        <v>0</v>
      </c>
      <c r="V19" s="87">
        <v>0</v>
      </c>
      <c r="W19" s="87">
        <v>0</v>
      </c>
      <c r="X19" s="87">
        <v>0</v>
      </c>
      <c r="Y19" s="87">
        <v>0</v>
      </c>
      <c r="Z19" s="87">
        <v>0</v>
      </c>
      <c r="AA19" s="214">
        <v>0</v>
      </c>
      <c r="AB19" s="214">
        <v>0</v>
      </c>
      <c r="AC19" s="214">
        <v>0</v>
      </c>
      <c r="AD19" s="214">
        <v>0</v>
      </c>
      <c r="AE19" s="214">
        <v>0</v>
      </c>
      <c r="AF19" s="214">
        <v>0</v>
      </c>
      <c r="AG19" s="214">
        <v>0</v>
      </c>
      <c r="AH19" s="214">
        <v>0</v>
      </c>
      <c r="AI19" s="87">
        <v>524920</v>
      </c>
      <c r="AJ19" s="87">
        <v>0</v>
      </c>
      <c r="AK19" s="87">
        <v>524920</v>
      </c>
      <c r="AL19" s="87">
        <v>524920</v>
      </c>
      <c r="AM19" s="87">
        <v>2592000</v>
      </c>
      <c r="AN19" s="87">
        <v>524920</v>
      </c>
      <c r="AO19" s="87">
        <v>524920</v>
      </c>
      <c r="AP19" s="87">
        <v>524000</v>
      </c>
      <c r="AQ19" s="88">
        <v>0</v>
      </c>
      <c r="AR19" s="88">
        <v>0</v>
      </c>
      <c r="AS19" s="88">
        <v>0</v>
      </c>
      <c r="AT19" s="88">
        <v>0</v>
      </c>
      <c r="AU19" s="88">
        <v>0</v>
      </c>
      <c r="AV19" s="88">
        <v>0</v>
      </c>
      <c r="AW19" s="88">
        <v>0</v>
      </c>
      <c r="AX19" s="88">
        <v>0</v>
      </c>
      <c r="AY19" s="87">
        <v>0</v>
      </c>
      <c r="AZ19" s="87">
        <v>0</v>
      </c>
      <c r="BA19" s="87">
        <v>0</v>
      </c>
      <c r="BB19" s="87">
        <v>0</v>
      </c>
      <c r="BC19" s="87">
        <v>0</v>
      </c>
      <c r="BD19" s="87">
        <v>0</v>
      </c>
      <c r="BE19" s="87">
        <v>0</v>
      </c>
      <c r="BF19" s="87">
        <v>0</v>
      </c>
      <c r="BG19" s="88">
        <v>369600</v>
      </c>
      <c r="BH19" s="88">
        <v>0</v>
      </c>
      <c r="BI19" s="88">
        <v>369600</v>
      </c>
      <c r="BJ19" s="88">
        <v>369600</v>
      </c>
      <c r="BK19" s="88">
        <v>369600</v>
      </c>
      <c r="BL19" s="88">
        <v>369600</v>
      </c>
      <c r="BM19" s="88">
        <v>369600</v>
      </c>
      <c r="BN19" s="590">
        <v>369000</v>
      </c>
      <c r="BO19" s="171">
        <v>2023</v>
      </c>
      <c r="BP19" s="171">
        <v>1</v>
      </c>
      <c r="BQ19" s="171">
        <v>19</v>
      </c>
      <c r="BS19" s="76" t="str">
        <f t="shared" si="0"/>
        <v>○</v>
      </c>
    </row>
    <row r="20" spans="1:71" x14ac:dyDescent="0.2">
      <c r="A20" s="210">
        <v>1020</v>
      </c>
      <c r="B20" s="211"/>
      <c r="C20" s="212"/>
      <c r="D20" s="211"/>
      <c r="E20" s="212"/>
      <c r="F20" s="211"/>
      <c r="G20" s="211"/>
      <c r="H20" s="212"/>
      <c r="I20" s="211"/>
      <c r="J20" s="211"/>
      <c r="K20" s="211"/>
      <c r="L20" s="171"/>
      <c r="M20" s="171" t="s">
        <v>312</v>
      </c>
      <c r="N20" s="171" t="s">
        <v>313</v>
      </c>
      <c r="O20" s="171" t="s">
        <v>314</v>
      </c>
      <c r="P20" s="171" t="s">
        <v>916</v>
      </c>
      <c r="Q20" s="171"/>
      <c r="R20" s="213">
        <v>686000</v>
      </c>
      <c r="S20" s="87">
        <v>523160</v>
      </c>
      <c r="T20" s="87">
        <v>0</v>
      </c>
      <c r="U20" s="87">
        <v>523160</v>
      </c>
      <c r="V20" s="87">
        <v>523160</v>
      </c>
      <c r="W20" s="87">
        <v>905000</v>
      </c>
      <c r="X20" s="87">
        <v>523160</v>
      </c>
      <c r="Y20" s="87">
        <v>523160</v>
      </c>
      <c r="Z20" s="87">
        <v>523000</v>
      </c>
      <c r="AA20" s="214">
        <v>0</v>
      </c>
      <c r="AB20" s="214">
        <v>0</v>
      </c>
      <c r="AC20" s="214">
        <v>0</v>
      </c>
      <c r="AD20" s="214">
        <v>0</v>
      </c>
      <c r="AE20" s="214">
        <v>0</v>
      </c>
      <c r="AF20" s="214">
        <v>0</v>
      </c>
      <c r="AG20" s="214">
        <v>0</v>
      </c>
      <c r="AH20" s="214">
        <v>0</v>
      </c>
      <c r="AI20" s="87">
        <v>163350</v>
      </c>
      <c r="AJ20" s="87">
        <v>0</v>
      </c>
      <c r="AK20" s="87">
        <v>163350</v>
      </c>
      <c r="AL20" s="87">
        <v>163350</v>
      </c>
      <c r="AM20" s="87">
        <v>1576800</v>
      </c>
      <c r="AN20" s="87">
        <v>163350</v>
      </c>
      <c r="AO20" s="87">
        <v>163350</v>
      </c>
      <c r="AP20" s="87">
        <v>163000</v>
      </c>
      <c r="AQ20" s="88">
        <v>523160</v>
      </c>
      <c r="AR20" s="88">
        <v>0</v>
      </c>
      <c r="AS20" s="88">
        <v>523160</v>
      </c>
      <c r="AT20" s="88">
        <v>523160</v>
      </c>
      <c r="AU20" s="88">
        <v>905000</v>
      </c>
      <c r="AV20" s="88">
        <v>523160</v>
      </c>
      <c r="AW20" s="88">
        <v>523160</v>
      </c>
      <c r="AX20" s="88">
        <v>523000</v>
      </c>
      <c r="AY20" s="87">
        <v>0</v>
      </c>
      <c r="AZ20" s="87">
        <v>0</v>
      </c>
      <c r="BA20" s="87">
        <v>0</v>
      </c>
      <c r="BB20" s="87">
        <v>0</v>
      </c>
      <c r="BC20" s="87">
        <v>0</v>
      </c>
      <c r="BD20" s="87">
        <v>0</v>
      </c>
      <c r="BE20" s="87">
        <v>0</v>
      </c>
      <c r="BF20" s="87">
        <v>0</v>
      </c>
      <c r="BG20" s="88">
        <v>0</v>
      </c>
      <c r="BH20" s="88">
        <v>0</v>
      </c>
      <c r="BI20" s="88">
        <v>0</v>
      </c>
      <c r="BJ20" s="88">
        <v>0</v>
      </c>
      <c r="BK20" s="88">
        <v>0</v>
      </c>
      <c r="BL20" s="88">
        <v>0</v>
      </c>
      <c r="BM20" s="88">
        <v>0</v>
      </c>
      <c r="BN20" s="590">
        <v>0</v>
      </c>
      <c r="BO20" s="171">
        <v>2023</v>
      </c>
      <c r="BP20" s="171">
        <v>1</v>
      </c>
      <c r="BQ20" s="171">
        <v>19</v>
      </c>
      <c r="BS20" s="76" t="str">
        <f t="shared" si="0"/>
        <v>○</v>
      </c>
    </row>
    <row r="21" spans="1:71" x14ac:dyDescent="0.2">
      <c r="A21" s="210">
        <v>1022</v>
      </c>
      <c r="B21" s="211"/>
      <c r="C21" s="212"/>
      <c r="D21" s="211"/>
      <c r="E21" s="212"/>
      <c r="F21" s="211"/>
      <c r="G21" s="211"/>
      <c r="H21" s="212"/>
      <c r="I21" s="211"/>
      <c r="J21" s="211"/>
      <c r="K21" s="211"/>
      <c r="L21" s="171"/>
      <c r="M21" s="171" t="s">
        <v>315</v>
      </c>
      <c r="N21" s="171" t="s">
        <v>269</v>
      </c>
      <c r="O21" s="171" t="s">
        <v>316</v>
      </c>
      <c r="P21" s="171" t="s">
        <v>916</v>
      </c>
      <c r="Q21" s="171"/>
      <c r="R21" s="213">
        <v>463000</v>
      </c>
      <c r="S21" s="87">
        <v>0</v>
      </c>
      <c r="T21" s="87">
        <v>0</v>
      </c>
      <c r="U21" s="87">
        <v>0</v>
      </c>
      <c r="V21" s="87">
        <v>0</v>
      </c>
      <c r="W21" s="87">
        <v>0</v>
      </c>
      <c r="X21" s="87">
        <v>0</v>
      </c>
      <c r="Y21" s="87">
        <v>0</v>
      </c>
      <c r="Z21" s="87">
        <v>0</v>
      </c>
      <c r="AA21" s="214">
        <v>400920</v>
      </c>
      <c r="AB21" s="214">
        <v>0</v>
      </c>
      <c r="AC21" s="214">
        <v>400920</v>
      </c>
      <c r="AD21" s="214">
        <v>400920</v>
      </c>
      <c r="AE21" s="214">
        <v>410000</v>
      </c>
      <c r="AF21" s="214">
        <v>400000</v>
      </c>
      <c r="AG21" s="214">
        <v>400000</v>
      </c>
      <c r="AH21" s="214">
        <v>400000</v>
      </c>
      <c r="AI21" s="87">
        <v>63800</v>
      </c>
      <c r="AJ21" s="87">
        <v>0</v>
      </c>
      <c r="AK21" s="87">
        <v>63800</v>
      </c>
      <c r="AL21" s="87">
        <v>63800</v>
      </c>
      <c r="AM21" s="87">
        <v>1965600</v>
      </c>
      <c r="AN21" s="87">
        <v>63800</v>
      </c>
      <c r="AO21" s="87">
        <v>63800</v>
      </c>
      <c r="AP21" s="87">
        <v>63000</v>
      </c>
      <c r="AQ21" s="88">
        <v>0</v>
      </c>
      <c r="AR21" s="88">
        <v>0</v>
      </c>
      <c r="AS21" s="88">
        <v>0</v>
      </c>
      <c r="AT21" s="88">
        <v>0</v>
      </c>
      <c r="AU21" s="88">
        <v>0</v>
      </c>
      <c r="AV21" s="88">
        <v>0</v>
      </c>
      <c r="AW21" s="88">
        <v>0</v>
      </c>
      <c r="AX21" s="88">
        <v>0</v>
      </c>
      <c r="AY21" s="87">
        <v>0</v>
      </c>
      <c r="AZ21" s="87">
        <v>0</v>
      </c>
      <c r="BA21" s="87">
        <v>0</v>
      </c>
      <c r="BB21" s="87">
        <v>0</v>
      </c>
      <c r="BC21" s="87">
        <v>0</v>
      </c>
      <c r="BD21" s="87">
        <v>0</v>
      </c>
      <c r="BE21" s="87">
        <v>0</v>
      </c>
      <c r="BF21" s="87">
        <v>0</v>
      </c>
      <c r="BG21" s="88">
        <v>0</v>
      </c>
      <c r="BH21" s="88">
        <v>0</v>
      </c>
      <c r="BI21" s="88">
        <v>0</v>
      </c>
      <c r="BJ21" s="88">
        <v>0</v>
      </c>
      <c r="BK21" s="88">
        <v>0</v>
      </c>
      <c r="BL21" s="88">
        <v>0</v>
      </c>
      <c r="BM21" s="88">
        <v>0</v>
      </c>
      <c r="BN21" s="590">
        <v>0</v>
      </c>
      <c r="BO21" s="171">
        <v>2023</v>
      </c>
      <c r="BP21" s="171">
        <v>1</v>
      </c>
      <c r="BQ21" s="171">
        <v>19</v>
      </c>
      <c r="BS21" s="76" t="str">
        <f t="shared" si="0"/>
        <v>○</v>
      </c>
    </row>
    <row r="22" spans="1:71" x14ac:dyDescent="0.2">
      <c r="A22" s="210">
        <v>1023</v>
      </c>
      <c r="B22" s="211"/>
      <c r="C22" s="212"/>
      <c r="D22" s="211"/>
      <c r="E22" s="212"/>
      <c r="F22" s="211"/>
      <c r="G22" s="211"/>
      <c r="H22" s="212"/>
      <c r="I22" s="211"/>
      <c r="J22" s="211"/>
      <c r="K22" s="211"/>
      <c r="L22" s="171"/>
      <c r="M22" s="171" t="s">
        <v>317</v>
      </c>
      <c r="N22" s="171" t="s">
        <v>318</v>
      </c>
      <c r="O22" s="171" t="s">
        <v>319</v>
      </c>
      <c r="P22" s="171" t="s">
        <v>916</v>
      </c>
      <c r="Q22" s="171"/>
      <c r="R22" s="213">
        <v>5186000</v>
      </c>
      <c r="S22" s="87">
        <v>0</v>
      </c>
      <c r="T22" s="87">
        <v>0</v>
      </c>
      <c r="U22" s="87">
        <v>0</v>
      </c>
      <c r="V22" s="87">
        <v>0</v>
      </c>
      <c r="W22" s="87">
        <v>0</v>
      </c>
      <c r="X22" s="87">
        <v>0</v>
      </c>
      <c r="Y22" s="87">
        <v>0</v>
      </c>
      <c r="Z22" s="87">
        <v>0</v>
      </c>
      <c r="AA22" s="214">
        <v>1240800</v>
      </c>
      <c r="AB22" s="214">
        <v>0</v>
      </c>
      <c r="AC22" s="214">
        <v>1240800</v>
      </c>
      <c r="AD22" s="214">
        <v>1240800</v>
      </c>
      <c r="AE22" s="214">
        <v>1230000</v>
      </c>
      <c r="AF22" s="214">
        <v>1230000</v>
      </c>
      <c r="AG22" s="214">
        <v>1230000</v>
      </c>
      <c r="AH22" s="214">
        <v>1230000</v>
      </c>
      <c r="AI22" s="87">
        <v>3956428</v>
      </c>
      <c r="AJ22" s="87">
        <v>0</v>
      </c>
      <c r="AK22" s="87">
        <v>3956428</v>
      </c>
      <c r="AL22" s="87">
        <v>3956428</v>
      </c>
      <c r="AM22" s="87">
        <v>9241200</v>
      </c>
      <c r="AN22" s="87">
        <v>3956428</v>
      </c>
      <c r="AO22" s="87">
        <v>3956428</v>
      </c>
      <c r="AP22" s="87">
        <v>3956000</v>
      </c>
      <c r="AQ22" s="88">
        <v>0</v>
      </c>
      <c r="AR22" s="88">
        <v>0</v>
      </c>
      <c r="AS22" s="88">
        <v>0</v>
      </c>
      <c r="AT22" s="88">
        <v>0</v>
      </c>
      <c r="AU22" s="88">
        <v>0</v>
      </c>
      <c r="AV22" s="88">
        <v>0</v>
      </c>
      <c r="AW22" s="88">
        <v>0</v>
      </c>
      <c r="AX22" s="88">
        <v>0</v>
      </c>
      <c r="AY22" s="87">
        <v>0</v>
      </c>
      <c r="AZ22" s="87">
        <v>0</v>
      </c>
      <c r="BA22" s="87">
        <v>0</v>
      </c>
      <c r="BB22" s="87">
        <v>0</v>
      </c>
      <c r="BC22" s="87">
        <v>0</v>
      </c>
      <c r="BD22" s="87">
        <v>0</v>
      </c>
      <c r="BE22" s="87">
        <v>0</v>
      </c>
      <c r="BF22" s="87">
        <v>0</v>
      </c>
      <c r="BG22" s="88">
        <v>0</v>
      </c>
      <c r="BH22" s="88">
        <v>0</v>
      </c>
      <c r="BI22" s="88">
        <v>0</v>
      </c>
      <c r="BJ22" s="88">
        <v>0</v>
      </c>
      <c r="BK22" s="88">
        <v>0</v>
      </c>
      <c r="BL22" s="88">
        <v>0</v>
      </c>
      <c r="BM22" s="88">
        <v>0</v>
      </c>
      <c r="BN22" s="590">
        <v>0</v>
      </c>
      <c r="BO22" s="171">
        <v>2023</v>
      </c>
      <c r="BP22" s="171">
        <v>1</v>
      </c>
      <c r="BQ22" s="171">
        <v>19</v>
      </c>
      <c r="BS22" s="76" t="str">
        <f t="shared" si="0"/>
        <v>○</v>
      </c>
    </row>
    <row r="23" spans="1:71" x14ac:dyDescent="0.2">
      <c r="A23" s="210">
        <v>1024</v>
      </c>
      <c r="B23" s="211"/>
      <c r="C23" s="212"/>
      <c r="D23" s="211"/>
      <c r="E23" s="212"/>
      <c r="F23" s="211"/>
      <c r="G23" s="211"/>
      <c r="H23" s="212"/>
      <c r="I23" s="211"/>
      <c r="J23" s="211"/>
      <c r="K23" s="211"/>
      <c r="L23" s="171"/>
      <c r="M23" s="171" t="s">
        <v>320</v>
      </c>
      <c r="N23" s="171" t="s">
        <v>302</v>
      </c>
      <c r="O23" s="171" t="s">
        <v>321</v>
      </c>
      <c r="P23" s="171" t="s">
        <v>916</v>
      </c>
      <c r="Q23" s="171"/>
      <c r="R23" s="213">
        <v>4000</v>
      </c>
      <c r="S23" s="87">
        <v>0</v>
      </c>
      <c r="T23" s="87">
        <v>0</v>
      </c>
      <c r="U23" s="87">
        <v>0</v>
      </c>
      <c r="V23" s="87">
        <v>0</v>
      </c>
      <c r="W23" s="87">
        <v>0</v>
      </c>
      <c r="X23" s="87">
        <v>0</v>
      </c>
      <c r="Y23" s="87">
        <v>0</v>
      </c>
      <c r="Z23" s="87">
        <v>0</v>
      </c>
      <c r="AA23" s="214">
        <v>0</v>
      </c>
      <c r="AB23" s="214">
        <v>0</v>
      </c>
      <c r="AC23" s="214">
        <v>0</v>
      </c>
      <c r="AD23" s="214">
        <v>0</v>
      </c>
      <c r="AE23" s="214">
        <v>0</v>
      </c>
      <c r="AF23" s="214">
        <v>0</v>
      </c>
      <c r="AG23" s="214">
        <v>0</v>
      </c>
      <c r="AH23" s="214">
        <v>0</v>
      </c>
      <c r="AI23" s="87">
        <v>0</v>
      </c>
      <c r="AJ23" s="87">
        <v>0</v>
      </c>
      <c r="AK23" s="87">
        <v>0</v>
      </c>
      <c r="AL23" s="87">
        <v>0</v>
      </c>
      <c r="AM23" s="87">
        <v>0</v>
      </c>
      <c r="AN23" s="87">
        <v>0</v>
      </c>
      <c r="AO23" s="87">
        <v>0</v>
      </c>
      <c r="AP23" s="87">
        <v>0</v>
      </c>
      <c r="AQ23" s="88">
        <v>0</v>
      </c>
      <c r="AR23" s="88">
        <v>0</v>
      </c>
      <c r="AS23" s="88">
        <v>0</v>
      </c>
      <c r="AT23" s="88">
        <v>0</v>
      </c>
      <c r="AU23" s="88">
        <v>0</v>
      </c>
      <c r="AV23" s="88">
        <v>0</v>
      </c>
      <c r="AW23" s="88">
        <v>0</v>
      </c>
      <c r="AX23" s="88">
        <v>0</v>
      </c>
      <c r="AY23" s="87">
        <v>0</v>
      </c>
      <c r="AZ23" s="87">
        <v>0</v>
      </c>
      <c r="BA23" s="87">
        <v>0</v>
      </c>
      <c r="BB23" s="87">
        <v>0</v>
      </c>
      <c r="BC23" s="87">
        <v>0</v>
      </c>
      <c r="BD23" s="87">
        <v>0</v>
      </c>
      <c r="BE23" s="87">
        <v>0</v>
      </c>
      <c r="BF23" s="87">
        <v>0</v>
      </c>
      <c r="BG23" s="88">
        <v>4999</v>
      </c>
      <c r="BH23" s="88">
        <v>0</v>
      </c>
      <c r="BI23" s="88">
        <v>4999</v>
      </c>
      <c r="BJ23" s="88">
        <v>4999</v>
      </c>
      <c r="BK23" s="88">
        <v>4999</v>
      </c>
      <c r="BL23" s="88">
        <v>4999</v>
      </c>
      <c r="BM23" s="88">
        <v>4999</v>
      </c>
      <c r="BN23" s="590">
        <v>4000</v>
      </c>
      <c r="BO23" s="171">
        <v>2023</v>
      </c>
      <c r="BP23" s="171">
        <v>1</v>
      </c>
      <c r="BQ23" s="171">
        <v>19</v>
      </c>
      <c r="BS23" s="76" t="str">
        <f t="shared" si="0"/>
        <v>○</v>
      </c>
    </row>
    <row r="24" spans="1:71" x14ac:dyDescent="0.2">
      <c r="A24" s="210">
        <v>1025</v>
      </c>
      <c r="B24" s="211"/>
      <c r="C24" s="212"/>
      <c r="D24" s="211"/>
      <c r="E24" s="212"/>
      <c r="F24" s="211"/>
      <c r="G24" s="211"/>
      <c r="H24" s="212"/>
      <c r="I24" s="211"/>
      <c r="J24" s="211"/>
      <c r="K24" s="211"/>
      <c r="L24" s="171"/>
      <c r="M24" s="171" t="s">
        <v>322</v>
      </c>
      <c r="N24" s="171" t="s">
        <v>323</v>
      </c>
      <c r="O24" s="171" t="s">
        <v>324</v>
      </c>
      <c r="P24" s="171" t="s">
        <v>916</v>
      </c>
      <c r="Q24" s="171"/>
      <c r="R24" s="213">
        <v>1518000</v>
      </c>
      <c r="S24" s="87">
        <v>0</v>
      </c>
      <c r="T24" s="87">
        <v>0</v>
      </c>
      <c r="U24" s="87">
        <v>0</v>
      </c>
      <c r="V24" s="87">
        <v>0</v>
      </c>
      <c r="W24" s="87">
        <v>0</v>
      </c>
      <c r="X24" s="87">
        <v>0</v>
      </c>
      <c r="Y24" s="87">
        <v>0</v>
      </c>
      <c r="Z24" s="87">
        <v>0</v>
      </c>
      <c r="AA24" s="214">
        <v>1518000</v>
      </c>
      <c r="AB24" s="214">
        <v>0</v>
      </c>
      <c r="AC24" s="214">
        <v>1518000</v>
      </c>
      <c r="AD24" s="214">
        <v>1518000</v>
      </c>
      <c r="AE24" s="214">
        <v>1640000</v>
      </c>
      <c r="AF24" s="214">
        <v>1518000</v>
      </c>
      <c r="AG24" s="214">
        <v>1518000</v>
      </c>
      <c r="AH24" s="214">
        <v>1518000</v>
      </c>
      <c r="AI24" s="87">
        <v>0</v>
      </c>
      <c r="AJ24" s="87">
        <v>0</v>
      </c>
      <c r="AK24" s="87">
        <v>0</v>
      </c>
      <c r="AL24" s="87">
        <v>0</v>
      </c>
      <c r="AM24" s="87">
        <v>0</v>
      </c>
      <c r="AN24" s="87">
        <v>0</v>
      </c>
      <c r="AO24" s="87">
        <v>0</v>
      </c>
      <c r="AP24" s="87">
        <v>0</v>
      </c>
      <c r="AQ24" s="88">
        <v>0</v>
      </c>
      <c r="AR24" s="88">
        <v>0</v>
      </c>
      <c r="AS24" s="88">
        <v>0</v>
      </c>
      <c r="AT24" s="88">
        <v>0</v>
      </c>
      <c r="AU24" s="88">
        <v>0</v>
      </c>
      <c r="AV24" s="88">
        <v>0</v>
      </c>
      <c r="AW24" s="88">
        <v>0</v>
      </c>
      <c r="AX24" s="88">
        <v>0</v>
      </c>
      <c r="AY24" s="87">
        <v>0</v>
      </c>
      <c r="AZ24" s="87">
        <v>0</v>
      </c>
      <c r="BA24" s="87">
        <v>0</v>
      </c>
      <c r="BB24" s="87">
        <v>0</v>
      </c>
      <c r="BC24" s="87">
        <v>0</v>
      </c>
      <c r="BD24" s="87">
        <v>0</v>
      </c>
      <c r="BE24" s="87">
        <v>0</v>
      </c>
      <c r="BF24" s="87">
        <v>0</v>
      </c>
      <c r="BG24" s="88">
        <v>0</v>
      </c>
      <c r="BH24" s="88">
        <v>0</v>
      </c>
      <c r="BI24" s="88">
        <v>0</v>
      </c>
      <c r="BJ24" s="88">
        <v>0</v>
      </c>
      <c r="BK24" s="88">
        <v>0</v>
      </c>
      <c r="BL24" s="88">
        <v>0</v>
      </c>
      <c r="BM24" s="88">
        <v>0</v>
      </c>
      <c r="BN24" s="590">
        <v>0</v>
      </c>
      <c r="BO24" s="171">
        <v>2023</v>
      </c>
      <c r="BP24" s="171">
        <v>1</v>
      </c>
      <c r="BQ24" s="171">
        <v>19</v>
      </c>
      <c r="BS24" s="76" t="str">
        <f t="shared" si="0"/>
        <v>○</v>
      </c>
    </row>
    <row r="25" spans="1:71" s="81" customFormat="1" x14ac:dyDescent="0.2">
      <c r="A25" s="210">
        <v>1026</v>
      </c>
      <c r="B25" s="211"/>
      <c r="C25" s="212"/>
      <c r="D25" s="211"/>
      <c r="E25" s="212"/>
      <c r="F25" s="211"/>
      <c r="G25" s="211"/>
      <c r="H25" s="212"/>
      <c r="I25" s="211"/>
      <c r="J25" s="211"/>
      <c r="K25" s="211"/>
      <c r="L25" s="171"/>
      <c r="M25" s="171" t="s">
        <v>325</v>
      </c>
      <c r="N25" s="171" t="s">
        <v>269</v>
      </c>
      <c r="O25" s="171" t="s">
        <v>326</v>
      </c>
      <c r="P25" s="171" t="s">
        <v>916</v>
      </c>
      <c r="Q25" s="75"/>
      <c r="R25" s="213">
        <v>2118000</v>
      </c>
      <c r="S25" s="87">
        <v>0</v>
      </c>
      <c r="T25" s="87">
        <v>0</v>
      </c>
      <c r="U25" s="87">
        <v>0</v>
      </c>
      <c r="V25" s="87">
        <v>0</v>
      </c>
      <c r="W25" s="87">
        <v>0</v>
      </c>
      <c r="X25" s="87">
        <v>0</v>
      </c>
      <c r="Y25" s="87">
        <v>0</v>
      </c>
      <c r="Z25" s="87">
        <v>0</v>
      </c>
      <c r="AA25" s="214">
        <v>156200</v>
      </c>
      <c r="AB25" s="214">
        <v>0</v>
      </c>
      <c r="AC25" s="214">
        <v>156200</v>
      </c>
      <c r="AD25" s="214">
        <v>156200</v>
      </c>
      <c r="AE25" s="214">
        <v>205000</v>
      </c>
      <c r="AF25" s="214">
        <v>156200</v>
      </c>
      <c r="AG25" s="214">
        <v>156200</v>
      </c>
      <c r="AH25" s="214">
        <v>156000</v>
      </c>
      <c r="AI25" s="87">
        <v>1962996</v>
      </c>
      <c r="AJ25" s="87">
        <v>0</v>
      </c>
      <c r="AK25" s="87">
        <v>1962996</v>
      </c>
      <c r="AL25" s="87">
        <v>1962996</v>
      </c>
      <c r="AM25" s="87">
        <v>1965600</v>
      </c>
      <c r="AN25" s="87">
        <v>1962996</v>
      </c>
      <c r="AO25" s="87">
        <v>1962996</v>
      </c>
      <c r="AP25" s="87">
        <v>1962000</v>
      </c>
      <c r="AQ25" s="88">
        <v>0</v>
      </c>
      <c r="AR25" s="88">
        <v>0</v>
      </c>
      <c r="AS25" s="88">
        <v>0</v>
      </c>
      <c r="AT25" s="88">
        <v>0</v>
      </c>
      <c r="AU25" s="88">
        <v>0</v>
      </c>
      <c r="AV25" s="88">
        <v>0</v>
      </c>
      <c r="AW25" s="88">
        <v>0</v>
      </c>
      <c r="AX25" s="88">
        <v>0</v>
      </c>
      <c r="AY25" s="87">
        <v>0</v>
      </c>
      <c r="AZ25" s="87">
        <v>0</v>
      </c>
      <c r="BA25" s="87">
        <v>0</v>
      </c>
      <c r="BB25" s="87">
        <v>0</v>
      </c>
      <c r="BC25" s="87">
        <v>0</v>
      </c>
      <c r="BD25" s="87">
        <v>0</v>
      </c>
      <c r="BE25" s="87">
        <v>0</v>
      </c>
      <c r="BF25" s="87">
        <v>0</v>
      </c>
      <c r="BG25" s="88">
        <v>0</v>
      </c>
      <c r="BH25" s="88">
        <v>0</v>
      </c>
      <c r="BI25" s="88">
        <v>0</v>
      </c>
      <c r="BJ25" s="88">
        <v>0</v>
      </c>
      <c r="BK25" s="88">
        <v>0</v>
      </c>
      <c r="BL25" s="88">
        <v>0</v>
      </c>
      <c r="BM25" s="88">
        <v>0</v>
      </c>
      <c r="BN25" s="590">
        <v>0</v>
      </c>
      <c r="BO25" s="171">
        <v>2023</v>
      </c>
      <c r="BP25" s="171">
        <v>1</v>
      </c>
      <c r="BQ25" s="171">
        <v>19</v>
      </c>
      <c r="BS25" s="76" t="str">
        <f t="shared" si="0"/>
        <v>○</v>
      </c>
    </row>
    <row r="26" spans="1:71" x14ac:dyDescent="0.2">
      <c r="A26" s="210">
        <v>1027</v>
      </c>
      <c r="B26" s="211"/>
      <c r="C26" s="212"/>
      <c r="D26" s="211"/>
      <c r="E26" s="212"/>
      <c r="F26" s="211"/>
      <c r="G26" s="211"/>
      <c r="H26" s="212"/>
      <c r="I26" s="211"/>
      <c r="J26" s="211"/>
      <c r="K26" s="211"/>
      <c r="L26" s="171"/>
      <c r="M26" s="171" t="s">
        <v>327</v>
      </c>
      <c r="N26" s="171" t="s">
        <v>269</v>
      </c>
      <c r="O26" s="171" t="s">
        <v>328</v>
      </c>
      <c r="P26" s="171" t="s">
        <v>916</v>
      </c>
      <c r="Q26" s="171"/>
      <c r="R26" s="213">
        <v>268000</v>
      </c>
      <c r="S26" s="87">
        <v>0</v>
      </c>
      <c r="T26" s="87">
        <v>0</v>
      </c>
      <c r="U26" s="87">
        <v>0</v>
      </c>
      <c r="V26" s="87">
        <v>0</v>
      </c>
      <c r="W26" s="87">
        <v>0</v>
      </c>
      <c r="X26" s="87">
        <v>0</v>
      </c>
      <c r="Y26" s="87">
        <v>0</v>
      </c>
      <c r="Z26" s="87">
        <v>0</v>
      </c>
      <c r="AA26" s="214">
        <v>0</v>
      </c>
      <c r="AB26" s="214">
        <v>0</v>
      </c>
      <c r="AC26" s="214">
        <v>0</v>
      </c>
      <c r="AD26" s="214">
        <v>0</v>
      </c>
      <c r="AE26" s="214">
        <v>0</v>
      </c>
      <c r="AF26" s="214">
        <v>0</v>
      </c>
      <c r="AG26" s="214">
        <v>0</v>
      </c>
      <c r="AH26" s="214">
        <v>0</v>
      </c>
      <c r="AI26" s="87">
        <v>182380</v>
      </c>
      <c r="AJ26" s="87">
        <v>0</v>
      </c>
      <c r="AK26" s="87">
        <v>182380</v>
      </c>
      <c r="AL26" s="87">
        <v>182380</v>
      </c>
      <c r="AM26" s="87">
        <v>1540800</v>
      </c>
      <c r="AN26" s="87">
        <v>182380</v>
      </c>
      <c r="AO26" s="87">
        <v>182380</v>
      </c>
      <c r="AP26" s="87">
        <v>182000</v>
      </c>
      <c r="AQ26" s="88">
        <v>0</v>
      </c>
      <c r="AR26" s="88">
        <v>0</v>
      </c>
      <c r="AS26" s="88">
        <v>0</v>
      </c>
      <c r="AT26" s="88">
        <v>0</v>
      </c>
      <c r="AU26" s="88">
        <v>0</v>
      </c>
      <c r="AV26" s="88">
        <v>0</v>
      </c>
      <c r="AW26" s="88">
        <v>0</v>
      </c>
      <c r="AX26" s="88">
        <v>0</v>
      </c>
      <c r="AY26" s="87">
        <v>0</v>
      </c>
      <c r="AZ26" s="87">
        <v>0</v>
      </c>
      <c r="BA26" s="87">
        <v>0</v>
      </c>
      <c r="BB26" s="87">
        <v>0</v>
      </c>
      <c r="BC26" s="87">
        <v>0</v>
      </c>
      <c r="BD26" s="87">
        <v>0</v>
      </c>
      <c r="BE26" s="87">
        <v>0</v>
      </c>
      <c r="BF26" s="87">
        <v>0</v>
      </c>
      <c r="BG26" s="88">
        <v>86608</v>
      </c>
      <c r="BH26" s="88">
        <v>0</v>
      </c>
      <c r="BI26" s="88">
        <v>86608</v>
      </c>
      <c r="BJ26" s="88">
        <v>86608</v>
      </c>
      <c r="BK26" s="88">
        <v>86608</v>
      </c>
      <c r="BL26" s="88">
        <v>86608</v>
      </c>
      <c r="BM26" s="88">
        <v>86608</v>
      </c>
      <c r="BN26" s="590">
        <v>86000</v>
      </c>
      <c r="BO26" s="171">
        <v>2023</v>
      </c>
      <c r="BP26" s="171">
        <v>1</v>
      </c>
      <c r="BQ26" s="171">
        <v>19</v>
      </c>
      <c r="BS26" s="76" t="str">
        <f t="shared" si="0"/>
        <v>○</v>
      </c>
    </row>
    <row r="27" spans="1:71" x14ac:dyDescent="0.2">
      <c r="A27" s="210">
        <v>1028</v>
      </c>
      <c r="B27" s="211"/>
      <c r="C27" s="212"/>
      <c r="D27" s="211"/>
      <c r="E27" s="212"/>
      <c r="F27" s="211"/>
      <c r="G27" s="211"/>
      <c r="H27" s="212"/>
      <c r="I27" s="211"/>
      <c r="J27" s="211"/>
      <c r="K27" s="211"/>
      <c r="L27" s="171"/>
      <c r="M27" s="171" t="s">
        <v>329</v>
      </c>
      <c r="N27" s="171" t="s">
        <v>330</v>
      </c>
      <c r="O27" s="171" t="s">
        <v>331</v>
      </c>
      <c r="P27" s="171" t="s">
        <v>916</v>
      </c>
      <c r="Q27" s="171"/>
      <c r="R27" s="213">
        <v>1420000</v>
      </c>
      <c r="S27" s="87">
        <v>0</v>
      </c>
      <c r="T27" s="87">
        <v>0</v>
      </c>
      <c r="U27" s="87">
        <v>0</v>
      </c>
      <c r="V27" s="87">
        <v>0</v>
      </c>
      <c r="W27" s="87">
        <v>0</v>
      </c>
      <c r="X27" s="87">
        <v>0</v>
      </c>
      <c r="Y27" s="87">
        <v>0</v>
      </c>
      <c r="Z27" s="87">
        <v>0</v>
      </c>
      <c r="AA27" s="214">
        <v>0</v>
      </c>
      <c r="AB27" s="214">
        <v>0</v>
      </c>
      <c r="AC27" s="214">
        <v>0</v>
      </c>
      <c r="AD27" s="214">
        <v>0</v>
      </c>
      <c r="AE27" s="214">
        <v>0</v>
      </c>
      <c r="AF27" s="214">
        <v>0</v>
      </c>
      <c r="AG27" s="214">
        <v>0</v>
      </c>
      <c r="AH27" s="214">
        <v>0</v>
      </c>
      <c r="AI27" s="87">
        <v>1420404</v>
      </c>
      <c r="AJ27" s="87">
        <v>0</v>
      </c>
      <c r="AK27" s="87">
        <v>1420404</v>
      </c>
      <c r="AL27" s="87">
        <v>1420404</v>
      </c>
      <c r="AM27" s="87">
        <v>12700800</v>
      </c>
      <c r="AN27" s="87">
        <v>1420404</v>
      </c>
      <c r="AO27" s="87">
        <v>1420404</v>
      </c>
      <c r="AP27" s="87">
        <v>1420000</v>
      </c>
      <c r="AQ27" s="88">
        <v>0</v>
      </c>
      <c r="AR27" s="88">
        <v>0</v>
      </c>
      <c r="AS27" s="88">
        <v>0</v>
      </c>
      <c r="AT27" s="88">
        <v>0</v>
      </c>
      <c r="AU27" s="88">
        <v>0</v>
      </c>
      <c r="AV27" s="88">
        <v>0</v>
      </c>
      <c r="AW27" s="88">
        <v>0</v>
      </c>
      <c r="AX27" s="88">
        <v>0</v>
      </c>
      <c r="AY27" s="87">
        <v>0</v>
      </c>
      <c r="AZ27" s="87">
        <v>0</v>
      </c>
      <c r="BA27" s="87">
        <v>0</v>
      </c>
      <c r="BB27" s="87">
        <v>0</v>
      </c>
      <c r="BC27" s="87">
        <v>0</v>
      </c>
      <c r="BD27" s="87">
        <v>0</v>
      </c>
      <c r="BE27" s="87">
        <v>0</v>
      </c>
      <c r="BF27" s="87">
        <v>0</v>
      </c>
      <c r="BG27" s="88">
        <v>0</v>
      </c>
      <c r="BH27" s="88">
        <v>0</v>
      </c>
      <c r="BI27" s="88">
        <v>0</v>
      </c>
      <c r="BJ27" s="88">
        <v>0</v>
      </c>
      <c r="BK27" s="88">
        <v>0</v>
      </c>
      <c r="BL27" s="88">
        <v>0</v>
      </c>
      <c r="BM27" s="88">
        <v>0</v>
      </c>
      <c r="BN27" s="590">
        <v>0</v>
      </c>
      <c r="BO27" s="171">
        <v>2023</v>
      </c>
      <c r="BP27" s="171">
        <v>1</v>
      </c>
      <c r="BQ27" s="171">
        <v>19</v>
      </c>
      <c r="BS27" s="76" t="str">
        <f t="shared" si="0"/>
        <v>○</v>
      </c>
    </row>
    <row r="28" spans="1:71" x14ac:dyDescent="0.2">
      <c r="A28" s="210">
        <v>1030</v>
      </c>
      <c r="B28" s="211"/>
      <c r="C28" s="212"/>
      <c r="D28" s="211"/>
      <c r="E28" s="212"/>
      <c r="F28" s="211"/>
      <c r="G28" s="211"/>
      <c r="H28" s="212"/>
      <c r="I28" s="211"/>
      <c r="J28" s="211"/>
      <c r="K28" s="211"/>
      <c r="L28" s="171"/>
      <c r="M28" s="171" t="s">
        <v>332</v>
      </c>
      <c r="N28" s="171" t="s">
        <v>275</v>
      </c>
      <c r="O28" s="171" t="s">
        <v>333</v>
      </c>
      <c r="P28" s="171" t="s">
        <v>916</v>
      </c>
      <c r="Q28" s="171"/>
      <c r="R28" s="213">
        <v>706000</v>
      </c>
      <c r="S28" s="87">
        <v>0</v>
      </c>
      <c r="T28" s="87">
        <v>0</v>
      </c>
      <c r="U28" s="87">
        <v>0</v>
      </c>
      <c r="V28" s="87">
        <v>0</v>
      </c>
      <c r="W28" s="87">
        <v>0</v>
      </c>
      <c r="X28" s="87">
        <v>0</v>
      </c>
      <c r="Y28" s="87">
        <v>0</v>
      </c>
      <c r="Z28" s="87">
        <v>0</v>
      </c>
      <c r="AA28" s="214">
        <v>203500</v>
      </c>
      <c r="AB28" s="214">
        <v>0</v>
      </c>
      <c r="AC28" s="214">
        <v>203500</v>
      </c>
      <c r="AD28" s="214">
        <v>203500</v>
      </c>
      <c r="AE28" s="214">
        <v>205000</v>
      </c>
      <c r="AF28" s="214">
        <v>203500</v>
      </c>
      <c r="AG28" s="214">
        <v>203500</v>
      </c>
      <c r="AH28" s="214">
        <v>203000</v>
      </c>
      <c r="AI28" s="87">
        <v>201520</v>
      </c>
      <c r="AJ28" s="87">
        <v>0</v>
      </c>
      <c r="AK28" s="87">
        <v>201520</v>
      </c>
      <c r="AL28" s="87">
        <v>201520</v>
      </c>
      <c r="AM28" s="87">
        <v>1771200</v>
      </c>
      <c r="AN28" s="87">
        <v>201520</v>
      </c>
      <c r="AO28" s="87">
        <v>201520</v>
      </c>
      <c r="AP28" s="87">
        <v>201000</v>
      </c>
      <c r="AQ28" s="88">
        <v>0</v>
      </c>
      <c r="AR28" s="88">
        <v>0</v>
      </c>
      <c r="AS28" s="88">
        <v>0</v>
      </c>
      <c r="AT28" s="88">
        <v>0</v>
      </c>
      <c r="AU28" s="88">
        <v>0</v>
      </c>
      <c r="AV28" s="88">
        <v>0</v>
      </c>
      <c r="AW28" s="88">
        <v>0</v>
      </c>
      <c r="AX28" s="88">
        <v>0</v>
      </c>
      <c r="AY28" s="87">
        <v>0</v>
      </c>
      <c r="AZ28" s="87">
        <v>0</v>
      </c>
      <c r="BA28" s="87">
        <v>0</v>
      </c>
      <c r="BB28" s="87">
        <v>0</v>
      </c>
      <c r="BC28" s="87">
        <v>0</v>
      </c>
      <c r="BD28" s="87">
        <v>0</v>
      </c>
      <c r="BE28" s="87">
        <v>0</v>
      </c>
      <c r="BF28" s="87">
        <v>0</v>
      </c>
      <c r="BG28" s="88">
        <v>302940</v>
      </c>
      <c r="BH28" s="88">
        <v>0</v>
      </c>
      <c r="BI28" s="88">
        <v>302940</v>
      </c>
      <c r="BJ28" s="88">
        <v>302940</v>
      </c>
      <c r="BK28" s="88">
        <v>302940</v>
      </c>
      <c r="BL28" s="88">
        <v>302940</v>
      </c>
      <c r="BM28" s="88">
        <v>302940</v>
      </c>
      <c r="BN28" s="590">
        <v>302000</v>
      </c>
      <c r="BO28" s="171">
        <v>2023</v>
      </c>
      <c r="BP28" s="171">
        <v>1</v>
      </c>
      <c r="BQ28" s="171">
        <v>19</v>
      </c>
      <c r="BS28" s="76" t="str">
        <f t="shared" si="0"/>
        <v>○</v>
      </c>
    </row>
    <row r="29" spans="1:71" x14ac:dyDescent="0.2">
      <c r="A29" s="210">
        <v>1032</v>
      </c>
      <c r="B29" s="211"/>
      <c r="C29" s="212"/>
      <c r="D29" s="211"/>
      <c r="E29" s="212"/>
      <c r="F29" s="211"/>
      <c r="G29" s="211"/>
      <c r="H29" s="212"/>
      <c r="I29" s="211"/>
      <c r="J29" s="211"/>
      <c r="K29" s="211"/>
      <c r="L29" s="171"/>
      <c r="M29" s="171" t="s">
        <v>334</v>
      </c>
      <c r="N29" s="171" t="s">
        <v>299</v>
      </c>
      <c r="O29" s="171" t="s">
        <v>335</v>
      </c>
      <c r="P29" s="171" t="s">
        <v>916</v>
      </c>
      <c r="Q29" s="171"/>
      <c r="R29" s="213">
        <v>836000</v>
      </c>
      <c r="S29" s="87">
        <v>0</v>
      </c>
      <c r="T29" s="87">
        <v>0</v>
      </c>
      <c r="U29" s="87">
        <v>0</v>
      </c>
      <c r="V29" s="87">
        <v>0</v>
      </c>
      <c r="W29" s="87">
        <v>0</v>
      </c>
      <c r="X29" s="87">
        <v>0</v>
      </c>
      <c r="Y29" s="87">
        <v>0</v>
      </c>
      <c r="Z29" s="87">
        <v>0</v>
      </c>
      <c r="AA29" s="214">
        <v>374000</v>
      </c>
      <c r="AB29" s="214">
        <v>0</v>
      </c>
      <c r="AC29" s="214">
        <v>374000</v>
      </c>
      <c r="AD29" s="214">
        <v>374000</v>
      </c>
      <c r="AE29" s="214">
        <v>410000</v>
      </c>
      <c r="AF29" s="214">
        <v>374000</v>
      </c>
      <c r="AG29" s="214">
        <v>374000</v>
      </c>
      <c r="AH29" s="214">
        <v>374000</v>
      </c>
      <c r="AI29" s="87">
        <v>462132</v>
      </c>
      <c r="AJ29" s="87">
        <v>0</v>
      </c>
      <c r="AK29" s="87">
        <v>462132</v>
      </c>
      <c r="AL29" s="87">
        <v>462132</v>
      </c>
      <c r="AM29" s="87">
        <v>12528000</v>
      </c>
      <c r="AN29" s="87">
        <v>462132</v>
      </c>
      <c r="AO29" s="87">
        <v>462132</v>
      </c>
      <c r="AP29" s="87">
        <v>462000</v>
      </c>
      <c r="AQ29" s="88">
        <v>0</v>
      </c>
      <c r="AR29" s="88">
        <v>0</v>
      </c>
      <c r="AS29" s="88">
        <v>0</v>
      </c>
      <c r="AT29" s="88">
        <v>0</v>
      </c>
      <c r="AU29" s="88">
        <v>0</v>
      </c>
      <c r="AV29" s="88">
        <v>0</v>
      </c>
      <c r="AW29" s="88">
        <v>0</v>
      </c>
      <c r="AX29" s="88">
        <v>0</v>
      </c>
      <c r="AY29" s="87">
        <v>0</v>
      </c>
      <c r="AZ29" s="87">
        <v>0</v>
      </c>
      <c r="BA29" s="87">
        <v>0</v>
      </c>
      <c r="BB29" s="87">
        <v>0</v>
      </c>
      <c r="BC29" s="87">
        <v>0</v>
      </c>
      <c r="BD29" s="87">
        <v>0</v>
      </c>
      <c r="BE29" s="87">
        <v>0</v>
      </c>
      <c r="BF29" s="87">
        <v>0</v>
      </c>
      <c r="BG29" s="88">
        <v>0</v>
      </c>
      <c r="BH29" s="88">
        <v>0</v>
      </c>
      <c r="BI29" s="88">
        <v>0</v>
      </c>
      <c r="BJ29" s="88">
        <v>0</v>
      </c>
      <c r="BK29" s="88">
        <v>0</v>
      </c>
      <c r="BL29" s="88">
        <v>0</v>
      </c>
      <c r="BM29" s="88">
        <v>0</v>
      </c>
      <c r="BN29" s="590">
        <v>0</v>
      </c>
      <c r="BO29" s="171">
        <v>2023</v>
      </c>
      <c r="BP29" s="171">
        <v>1</v>
      </c>
      <c r="BQ29" s="171">
        <v>19</v>
      </c>
      <c r="BS29" s="76" t="str">
        <f t="shared" si="0"/>
        <v>○</v>
      </c>
    </row>
    <row r="30" spans="1:71" x14ac:dyDescent="0.2">
      <c r="A30" s="210">
        <v>1033</v>
      </c>
      <c r="B30" s="211"/>
      <c r="C30" s="212"/>
      <c r="D30" s="211"/>
      <c r="E30" s="212"/>
      <c r="F30" s="211"/>
      <c r="G30" s="211"/>
      <c r="H30" s="212"/>
      <c r="I30" s="211"/>
      <c r="J30" s="211"/>
      <c r="K30" s="211"/>
      <c r="L30" s="171"/>
      <c r="M30" s="171" t="s">
        <v>336</v>
      </c>
      <c r="N30" s="171" t="s">
        <v>306</v>
      </c>
      <c r="O30" s="171" t="s">
        <v>337</v>
      </c>
      <c r="P30" s="171" t="s">
        <v>916</v>
      </c>
      <c r="Q30" s="171"/>
      <c r="R30" s="213">
        <v>1320000</v>
      </c>
      <c r="S30" s="87">
        <v>0</v>
      </c>
      <c r="T30" s="87">
        <v>0</v>
      </c>
      <c r="U30" s="87">
        <v>0</v>
      </c>
      <c r="V30" s="87">
        <v>0</v>
      </c>
      <c r="W30" s="87">
        <v>0</v>
      </c>
      <c r="X30" s="87">
        <v>0</v>
      </c>
      <c r="Y30" s="87">
        <v>0</v>
      </c>
      <c r="Z30" s="87">
        <v>0</v>
      </c>
      <c r="AA30" s="214">
        <v>0</v>
      </c>
      <c r="AB30" s="214">
        <v>0</v>
      </c>
      <c r="AC30" s="214">
        <v>0</v>
      </c>
      <c r="AD30" s="214">
        <v>0</v>
      </c>
      <c r="AE30" s="214">
        <v>0</v>
      </c>
      <c r="AF30" s="214">
        <v>0</v>
      </c>
      <c r="AG30" s="214">
        <v>0</v>
      </c>
      <c r="AH30" s="214">
        <v>0</v>
      </c>
      <c r="AI30" s="87">
        <v>0</v>
      </c>
      <c r="AJ30" s="87">
        <v>0</v>
      </c>
      <c r="AK30" s="87">
        <v>0</v>
      </c>
      <c r="AL30" s="87">
        <v>0</v>
      </c>
      <c r="AM30" s="87">
        <v>0</v>
      </c>
      <c r="AN30" s="87">
        <v>0</v>
      </c>
      <c r="AO30" s="87">
        <v>0</v>
      </c>
      <c r="AP30" s="87">
        <v>0</v>
      </c>
      <c r="AQ30" s="88">
        <v>0</v>
      </c>
      <c r="AR30" s="88">
        <v>0</v>
      </c>
      <c r="AS30" s="88">
        <v>0</v>
      </c>
      <c r="AT30" s="88">
        <v>0</v>
      </c>
      <c r="AU30" s="88">
        <v>0</v>
      </c>
      <c r="AV30" s="88">
        <v>0</v>
      </c>
      <c r="AW30" s="88">
        <v>0</v>
      </c>
      <c r="AX30" s="88">
        <v>0</v>
      </c>
      <c r="AY30" s="87">
        <v>0</v>
      </c>
      <c r="AZ30" s="87">
        <v>0</v>
      </c>
      <c r="BA30" s="87">
        <v>0</v>
      </c>
      <c r="BB30" s="87">
        <v>0</v>
      </c>
      <c r="BC30" s="87">
        <v>0</v>
      </c>
      <c r="BD30" s="87">
        <v>0</v>
      </c>
      <c r="BE30" s="87">
        <v>0</v>
      </c>
      <c r="BF30" s="87">
        <v>0</v>
      </c>
      <c r="BG30" s="88">
        <v>1320000</v>
      </c>
      <c r="BH30" s="88">
        <v>0</v>
      </c>
      <c r="BI30" s="88">
        <v>1320000</v>
      </c>
      <c r="BJ30" s="88">
        <v>1320000</v>
      </c>
      <c r="BK30" s="88">
        <v>1320000</v>
      </c>
      <c r="BL30" s="88">
        <v>1320000</v>
      </c>
      <c r="BM30" s="88">
        <v>1320000</v>
      </c>
      <c r="BN30" s="590">
        <v>1320000</v>
      </c>
      <c r="BO30" s="171">
        <v>2023</v>
      </c>
      <c r="BP30" s="171">
        <v>1</v>
      </c>
      <c r="BQ30" s="171">
        <v>19</v>
      </c>
      <c r="BS30" s="76" t="str">
        <f t="shared" si="0"/>
        <v>○</v>
      </c>
    </row>
    <row r="31" spans="1:71" x14ac:dyDescent="0.2">
      <c r="A31" s="210">
        <v>1035</v>
      </c>
      <c r="B31" s="211"/>
      <c r="C31" s="212"/>
      <c r="D31" s="211"/>
      <c r="E31" s="212"/>
      <c r="F31" s="211"/>
      <c r="G31" s="211"/>
      <c r="H31" s="212"/>
      <c r="I31" s="211"/>
      <c r="J31" s="211"/>
      <c r="K31" s="211"/>
      <c r="L31" s="171"/>
      <c r="M31" s="171" t="s">
        <v>338</v>
      </c>
      <c r="N31" s="171" t="s">
        <v>289</v>
      </c>
      <c r="O31" s="171" t="s">
        <v>339</v>
      </c>
      <c r="P31" s="171" t="s">
        <v>916</v>
      </c>
      <c r="Q31" s="171"/>
      <c r="R31" s="213">
        <v>1478000</v>
      </c>
      <c r="S31" s="87">
        <v>0</v>
      </c>
      <c r="T31" s="87">
        <v>0</v>
      </c>
      <c r="U31" s="87">
        <v>0</v>
      </c>
      <c r="V31" s="87">
        <v>0</v>
      </c>
      <c r="W31" s="87">
        <v>0</v>
      </c>
      <c r="X31" s="87">
        <v>0</v>
      </c>
      <c r="Y31" s="87">
        <v>0</v>
      </c>
      <c r="Z31" s="87">
        <v>0</v>
      </c>
      <c r="AA31" s="214">
        <v>0</v>
      </c>
      <c r="AB31" s="214">
        <v>0</v>
      </c>
      <c r="AC31" s="214">
        <v>0</v>
      </c>
      <c r="AD31" s="214">
        <v>0</v>
      </c>
      <c r="AE31" s="214">
        <v>0</v>
      </c>
      <c r="AF31" s="214">
        <v>0</v>
      </c>
      <c r="AG31" s="214">
        <v>0</v>
      </c>
      <c r="AH31" s="214">
        <v>0</v>
      </c>
      <c r="AI31" s="87">
        <v>825088</v>
      </c>
      <c r="AJ31" s="87">
        <v>0</v>
      </c>
      <c r="AK31" s="87">
        <v>825088</v>
      </c>
      <c r="AL31" s="87">
        <v>825088</v>
      </c>
      <c r="AM31" s="87">
        <v>5241600</v>
      </c>
      <c r="AN31" s="87">
        <v>825088</v>
      </c>
      <c r="AO31" s="87">
        <v>825088</v>
      </c>
      <c r="AP31" s="87">
        <v>825000</v>
      </c>
      <c r="AQ31" s="88">
        <v>0</v>
      </c>
      <c r="AR31" s="88">
        <v>0</v>
      </c>
      <c r="AS31" s="88">
        <v>0</v>
      </c>
      <c r="AT31" s="88">
        <v>0</v>
      </c>
      <c r="AU31" s="88">
        <v>0</v>
      </c>
      <c r="AV31" s="88">
        <v>0</v>
      </c>
      <c r="AW31" s="88">
        <v>0</v>
      </c>
      <c r="AX31" s="88">
        <v>0</v>
      </c>
      <c r="AY31" s="87">
        <v>0</v>
      </c>
      <c r="AZ31" s="87">
        <v>0</v>
      </c>
      <c r="BA31" s="87">
        <v>0</v>
      </c>
      <c r="BB31" s="87">
        <v>0</v>
      </c>
      <c r="BC31" s="87">
        <v>0</v>
      </c>
      <c r="BD31" s="87">
        <v>0</v>
      </c>
      <c r="BE31" s="87">
        <v>0</v>
      </c>
      <c r="BF31" s="87">
        <v>0</v>
      </c>
      <c r="BG31" s="88">
        <v>653400</v>
      </c>
      <c r="BH31" s="88">
        <v>0</v>
      </c>
      <c r="BI31" s="88">
        <v>653400</v>
      </c>
      <c r="BJ31" s="88">
        <v>653400</v>
      </c>
      <c r="BK31" s="88">
        <v>653400</v>
      </c>
      <c r="BL31" s="88">
        <v>653400</v>
      </c>
      <c r="BM31" s="88">
        <v>653400</v>
      </c>
      <c r="BN31" s="590">
        <v>653000</v>
      </c>
      <c r="BO31" s="171">
        <v>2023</v>
      </c>
      <c r="BP31" s="171">
        <v>1</v>
      </c>
      <c r="BQ31" s="171">
        <v>19</v>
      </c>
      <c r="BS31" s="76" t="str">
        <f t="shared" si="0"/>
        <v>○</v>
      </c>
    </row>
    <row r="32" spans="1:71" x14ac:dyDescent="0.2">
      <c r="A32" s="210">
        <v>1036</v>
      </c>
      <c r="B32" s="211"/>
      <c r="C32" s="212"/>
      <c r="D32" s="211"/>
      <c r="E32" s="212"/>
      <c r="F32" s="211"/>
      <c r="G32" s="211"/>
      <c r="H32" s="212"/>
      <c r="I32" s="211"/>
      <c r="J32" s="211"/>
      <c r="K32" s="211"/>
      <c r="L32" s="171"/>
      <c r="M32" s="171" t="s">
        <v>340</v>
      </c>
      <c r="N32" s="171" t="s">
        <v>313</v>
      </c>
      <c r="O32" s="171" t="s">
        <v>341</v>
      </c>
      <c r="P32" s="171" t="s">
        <v>916</v>
      </c>
      <c r="Q32" s="171"/>
      <c r="R32" s="213">
        <v>128000</v>
      </c>
      <c r="S32" s="87">
        <v>0</v>
      </c>
      <c r="T32" s="87">
        <v>0</v>
      </c>
      <c r="U32" s="87">
        <v>0</v>
      </c>
      <c r="V32" s="87">
        <v>0</v>
      </c>
      <c r="W32" s="87">
        <v>0</v>
      </c>
      <c r="X32" s="87">
        <v>0</v>
      </c>
      <c r="Y32" s="87">
        <v>0</v>
      </c>
      <c r="Z32" s="87">
        <v>0</v>
      </c>
      <c r="AA32" s="214">
        <v>0</v>
      </c>
      <c r="AB32" s="214">
        <v>0</v>
      </c>
      <c r="AC32" s="214">
        <v>0</v>
      </c>
      <c r="AD32" s="214">
        <v>0</v>
      </c>
      <c r="AE32" s="214">
        <v>0</v>
      </c>
      <c r="AF32" s="214">
        <v>0</v>
      </c>
      <c r="AG32" s="214">
        <v>0</v>
      </c>
      <c r="AH32" s="214">
        <v>0</v>
      </c>
      <c r="AI32" s="87">
        <v>79330</v>
      </c>
      <c r="AJ32" s="87">
        <v>0</v>
      </c>
      <c r="AK32" s="87">
        <v>79330</v>
      </c>
      <c r="AL32" s="87">
        <v>79330</v>
      </c>
      <c r="AM32" s="87">
        <v>856800</v>
      </c>
      <c r="AN32" s="87">
        <v>79330</v>
      </c>
      <c r="AO32" s="87">
        <v>79330</v>
      </c>
      <c r="AP32" s="87">
        <v>79000</v>
      </c>
      <c r="AQ32" s="88">
        <v>0</v>
      </c>
      <c r="AR32" s="88">
        <v>0</v>
      </c>
      <c r="AS32" s="88">
        <v>0</v>
      </c>
      <c r="AT32" s="88">
        <v>0</v>
      </c>
      <c r="AU32" s="88">
        <v>0</v>
      </c>
      <c r="AV32" s="88">
        <v>0</v>
      </c>
      <c r="AW32" s="88">
        <v>0</v>
      </c>
      <c r="AX32" s="88">
        <v>0</v>
      </c>
      <c r="AY32" s="87">
        <v>0</v>
      </c>
      <c r="AZ32" s="87">
        <v>0</v>
      </c>
      <c r="BA32" s="87">
        <v>0</v>
      </c>
      <c r="BB32" s="87">
        <v>0</v>
      </c>
      <c r="BC32" s="87">
        <v>0</v>
      </c>
      <c r="BD32" s="87">
        <v>0</v>
      </c>
      <c r="BE32" s="87">
        <v>0</v>
      </c>
      <c r="BF32" s="87">
        <v>0</v>
      </c>
      <c r="BG32" s="88">
        <v>49500</v>
      </c>
      <c r="BH32" s="88">
        <v>0</v>
      </c>
      <c r="BI32" s="88">
        <v>49500</v>
      </c>
      <c r="BJ32" s="88">
        <v>49500</v>
      </c>
      <c r="BK32" s="88">
        <v>49500</v>
      </c>
      <c r="BL32" s="88">
        <v>49500</v>
      </c>
      <c r="BM32" s="88">
        <v>49500</v>
      </c>
      <c r="BN32" s="590">
        <v>49000</v>
      </c>
      <c r="BO32" s="171">
        <v>2023</v>
      </c>
      <c r="BP32" s="171">
        <v>1</v>
      </c>
      <c r="BQ32" s="171">
        <v>19</v>
      </c>
      <c r="BS32" s="76" t="str">
        <f t="shared" si="0"/>
        <v>○</v>
      </c>
    </row>
    <row r="33" spans="1:71" x14ac:dyDescent="0.2">
      <c r="A33" s="210">
        <v>1038</v>
      </c>
      <c r="B33" s="211"/>
      <c r="C33" s="212"/>
      <c r="D33" s="211"/>
      <c r="E33" s="212"/>
      <c r="F33" s="211"/>
      <c r="G33" s="211"/>
      <c r="H33" s="212"/>
      <c r="I33" s="211"/>
      <c r="J33" s="211"/>
      <c r="K33" s="211"/>
      <c r="L33" s="171"/>
      <c r="M33" s="171" t="s">
        <v>342</v>
      </c>
      <c r="N33" s="171" t="s">
        <v>269</v>
      </c>
      <c r="O33" s="171" t="s">
        <v>339</v>
      </c>
      <c r="P33" s="171" t="s">
        <v>916</v>
      </c>
      <c r="Q33" s="171"/>
      <c r="R33" s="213">
        <v>137000</v>
      </c>
      <c r="S33" s="87">
        <v>0</v>
      </c>
      <c r="T33" s="87">
        <v>0</v>
      </c>
      <c r="U33" s="87">
        <v>0</v>
      </c>
      <c r="V33" s="87">
        <v>0</v>
      </c>
      <c r="W33" s="87">
        <v>0</v>
      </c>
      <c r="X33" s="87">
        <v>0</v>
      </c>
      <c r="Y33" s="87">
        <v>0</v>
      </c>
      <c r="Z33" s="87">
        <v>0</v>
      </c>
      <c r="AA33" s="214">
        <v>0</v>
      </c>
      <c r="AB33" s="214">
        <v>0</v>
      </c>
      <c r="AC33" s="214">
        <v>0</v>
      </c>
      <c r="AD33" s="214">
        <v>0</v>
      </c>
      <c r="AE33" s="214">
        <v>0</v>
      </c>
      <c r="AF33" s="214">
        <v>0</v>
      </c>
      <c r="AG33" s="214">
        <v>0</v>
      </c>
      <c r="AH33" s="214">
        <v>0</v>
      </c>
      <c r="AI33" s="87">
        <v>0</v>
      </c>
      <c r="AJ33" s="87">
        <v>0</v>
      </c>
      <c r="AK33" s="87">
        <v>0</v>
      </c>
      <c r="AL33" s="87">
        <v>0</v>
      </c>
      <c r="AM33" s="87">
        <v>0</v>
      </c>
      <c r="AN33" s="87">
        <v>0</v>
      </c>
      <c r="AO33" s="87">
        <v>0</v>
      </c>
      <c r="AP33" s="87">
        <v>0</v>
      </c>
      <c r="AQ33" s="88">
        <v>0</v>
      </c>
      <c r="AR33" s="88">
        <v>0</v>
      </c>
      <c r="AS33" s="88">
        <v>0</v>
      </c>
      <c r="AT33" s="88">
        <v>0</v>
      </c>
      <c r="AU33" s="88">
        <v>0</v>
      </c>
      <c r="AV33" s="88">
        <v>0</v>
      </c>
      <c r="AW33" s="88">
        <v>0</v>
      </c>
      <c r="AX33" s="88">
        <v>0</v>
      </c>
      <c r="AY33" s="87">
        <v>0</v>
      </c>
      <c r="AZ33" s="87">
        <v>0</v>
      </c>
      <c r="BA33" s="87">
        <v>0</v>
      </c>
      <c r="BB33" s="87">
        <v>0</v>
      </c>
      <c r="BC33" s="87">
        <v>0</v>
      </c>
      <c r="BD33" s="87">
        <v>0</v>
      </c>
      <c r="BE33" s="87">
        <v>0</v>
      </c>
      <c r="BF33" s="87">
        <v>0</v>
      </c>
      <c r="BG33" s="88">
        <v>137500</v>
      </c>
      <c r="BH33" s="88">
        <v>0</v>
      </c>
      <c r="BI33" s="88">
        <v>137500</v>
      </c>
      <c r="BJ33" s="88">
        <v>137500</v>
      </c>
      <c r="BK33" s="88">
        <v>137500</v>
      </c>
      <c r="BL33" s="88">
        <v>137500</v>
      </c>
      <c r="BM33" s="88">
        <v>137500</v>
      </c>
      <c r="BN33" s="590">
        <v>137000</v>
      </c>
      <c r="BO33" s="171">
        <v>2023</v>
      </c>
      <c r="BP33" s="171">
        <v>1</v>
      </c>
      <c r="BQ33" s="171">
        <v>19</v>
      </c>
      <c r="BS33" s="76" t="str">
        <f t="shared" si="0"/>
        <v>○</v>
      </c>
    </row>
    <row r="34" spans="1:71" x14ac:dyDescent="0.2">
      <c r="A34" s="210">
        <v>1039</v>
      </c>
      <c r="B34" s="211"/>
      <c r="C34" s="212"/>
      <c r="D34" s="211"/>
      <c r="E34" s="212"/>
      <c r="F34" s="211"/>
      <c r="G34" s="211"/>
      <c r="H34" s="212"/>
      <c r="I34" s="211"/>
      <c r="J34" s="211"/>
      <c r="K34" s="211"/>
      <c r="L34" s="171"/>
      <c r="M34" s="171" t="s">
        <v>343</v>
      </c>
      <c r="N34" s="171" t="s">
        <v>272</v>
      </c>
      <c r="O34" s="171" t="s">
        <v>344</v>
      </c>
      <c r="P34" s="171" t="s">
        <v>916</v>
      </c>
      <c r="Q34" s="171"/>
      <c r="R34" s="213">
        <v>433000</v>
      </c>
      <c r="S34" s="87">
        <v>0</v>
      </c>
      <c r="T34" s="87">
        <v>0</v>
      </c>
      <c r="U34" s="87">
        <v>0</v>
      </c>
      <c r="V34" s="87">
        <v>0</v>
      </c>
      <c r="W34" s="87">
        <v>0</v>
      </c>
      <c r="X34" s="87">
        <v>0</v>
      </c>
      <c r="Y34" s="87">
        <v>0</v>
      </c>
      <c r="Z34" s="87">
        <v>0</v>
      </c>
      <c r="AA34" s="214">
        <v>0</v>
      </c>
      <c r="AB34" s="214">
        <v>0</v>
      </c>
      <c r="AC34" s="214">
        <v>0</v>
      </c>
      <c r="AD34" s="214">
        <v>0</v>
      </c>
      <c r="AE34" s="214">
        <v>0</v>
      </c>
      <c r="AF34" s="214">
        <v>0</v>
      </c>
      <c r="AG34" s="214">
        <v>0</v>
      </c>
      <c r="AH34" s="214">
        <v>0</v>
      </c>
      <c r="AI34" s="87">
        <v>327970</v>
      </c>
      <c r="AJ34" s="87">
        <v>0</v>
      </c>
      <c r="AK34" s="87">
        <v>327970</v>
      </c>
      <c r="AL34" s="87">
        <v>327970</v>
      </c>
      <c r="AM34" s="87">
        <v>4860000</v>
      </c>
      <c r="AN34" s="87">
        <v>327970</v>
      </c>
      <c r="AO34" s="87">
        <v>327970</v>
      </c>
      <c r="AP34" s="87">
        <v>327000</v>
      </c>
      <c r="AQ34" s="88">
        <v>0</v>
      </c>
      <c r="AR34" s="88">
        <v>0</v>
      </c>
      <c r="AS34" s="88">
        <v>0</v>
      </c>
      <c r="AT34" s="88">
        <v>0</v>
      </c>
      <c r="AU34" s="88">
        <v>0</v>
      </c>
      <c r="AV34" s="88">
        <v>0</v>
      </c>
      <c r="AW34" s="88">
        <v>0</v>
      </c>
      <c r="AX34" s="88">
        <v>0</v>
      </c>
      <c r="AY34" s="87">
        <v>0</v>
      </c>
      <c r="AZ34" s="87">
        <v>0</v>
      </c>
      <c r="BA34" s="87">
        <v>0</v>
      </c>
      <c r="BB34" s="87">
        <v>0</v>
      </c>
      <c r="BC34" s="87">
        <v>0</v>
      </c>
      <c r="BD34" s="87">
        <v>0</v>
      </c>
      <c r="BE34" s="87">
        <v>0</v>
      </c>
      <c r="BF34" s="87">
        <v>0</v>
      </c>
      <c r="BG34" s="88">
        <v>106920</v>
      </c>
      <c r="BH34" s="88">
        <v>0</v>
      </c>
      <c r="BI34" s="88">
        <v>106920</v>
      </c>
      <c r="BJ34" s="88">
        <v>106920</v>
      </c>
      <c r="BK34" s="88">
        <v>106920</v>
      </c>
      <c r="BL34" s="88">
        <v>106920</v>
      </c>
      <c r="BM34" s="88">
        <v>106920</v>
      </c>
      <c r="BN34" s="590">
        <v>106000</v>
      </c>
      <c r="BO34" s="171">
        <v>2023</v>
      </c>
      <c r="BP34" s="171">
        <v>1</v>
      </c>
      <c r="BQ34" s="171">
        <v>19</v>
      </c>
      <c r="BS34" s="76" t="str">
        <f t="shared" si="0"/>
        <v>○</v>
      </c>
    </row>
    <row r="35" spans="1:71" x14ac:dyDescent="0.2">
      <c r="A35" s="210">
        <v>1040</v>
      </c>
      <c r="B35" s="211"/>
      <c r="C35" s="212"/>
      <c r="D35" s="211"/>
      <c r="E35" s="212"/>
      <c r="F35" s="211"/>
      <c r="G35" s="211"/>
      <c r="H35" s="212"/>
      <c r="I35" s="211"/>
      <c r="J35" s="211"/>
      <c r="K35" s="211"/>
      <c r="L35" s="171"/>
      <c r="M35" s="171" t="s">
        <v>345</v>
      </c>
      <c r="N35" s="171" t="s">
        <v>275</v>
      </c>
      <c r="O35" s="171" t="s">
        <v>346</v>
      </c>
      <c r="P35" s="171" t="s">
        <v>916</v>
      </c>
      <c r="Q35" s="171"/>
      <c r="R35" s="213">
        <v>600000</v>
      </c>
      <c r="S35" s="87">
        <v>0</v>
      </c>
      <c r="T35" s="87">
        <v>0</v>
      </c>
      <c r="U35" s="87">
        <v>0</v>
      </c>
      <c r="V35" s="87">
        <v>0</v>
      </c>
      <c r="W35" s="87">
        <v>0</v>
      </c>
      <c r="X35" s="87">
        <v>0</v>
      </c>
      <c r="Y35" s="87">
        <v>0</v>
      </c>
      <c r="Z35" s="87">
        <v>0</v>
      </c>
      <c r="AA35" s="214">
        <v>228800</v>
      </c>
      <c r="AB35" s="214">
        <v>0</v>
      </c>
      <c r="AC35" s="214">
        <v>228800</v>
      </c>
      <c r="AD35" s="214">
        <v>228800</v>
      </c>
      <c r="AE35" s="214">
        <v>205000</v>
      </c>
      <c r="AF35" s="214">
        <v>205000</v>
      </c>
      <c r="AG35" s="214">
        <v>205000</v>
      </c>
      <c r="AH35" s="214">
        <v>205000</v>
      </c>
      <c r="AI35" s="87">
        <v>395760</v>
      </c>
      <c r="AJ35" s="87">
        <v>0</v>
      </c>
      <c r="AK35" s="87">
        <v>395760</v>
      </c>
      <c r="AL35" s="87">
        <v>395760</v>
      </c>
      <c r="AM35" s="87">
        <v>6120000</v>
      </c>
      <c r="AN35" s="87">
        <v>395760</v>
      </c>
      <c r="AO35" s="87">
        <v>395760</v>
      </c>
      <c r="AP35" s="87">
        <v>395000</v>
      </c>
      <c r="AQ35" s="88">
        <v>0</v>
      </c>
      <c r="AR35" s="88">
        <v>0</v>
      </c>
      <c r="AS35" s="88">
        <v>0</v>
      </c>
      <c r="AT35" s="88">
        <v>0</v>
      </c>
      <c r="AU35" s="88">
        <v>0</v>
      </c>
      <c r="AV35" s="88">
        <v>0</v>
      </c>
      <c r="AW35" s="88">
        <v>0</v>
      </c>
      <c r="AX35" s="88">
        <v>0</v>
      </c>
      <c r="AY35" s="87">
        <v>0</v>
      </c>
      <c r="AZ35" s="87">
        <v>0</v>
      </c>
      <c r="BA35" s="87">
        <v>0</v>
      </c>
      <c r="BB35" s="87">
        <v>0</v>
      </c>
      <c r="BC35" s="87">
        <v>0</v>
      </c>
      <c r="BD35" s="87">
        <v>0</v>
      </c>
      <c r="BE35" s="87">
        <v>0</v>
      </c>
      <c r="BF35" s="87">
        <v>0</v>
      </c>
      <c r="BG35" s="88">
        <v>0</v>
      </c>
      <c r="BH35" s="88">
        <v>0</v>
      </c>
      <c r="BI35" s="88">
        <v>0</v>
      </c>
      <c r="BJ35" s="88">
        <v>0</v>
      </c>
      <c r="BK35" s="88">
        <v>0</v>
      </c>
      <c r="BL35" s="88">
        <v>0</v>
      </c>
      <c r="BM35" s="88">
        <v>0</v>
      </c>
      <c r="BN35" s="590">
        <v>0</v>
      </c>
      <c r="BO35" s="171">
        <v>2023</v>
      </c>
      <c r="BP35" s="171">
        <v>1</v>
      </c>
      <c r="BQ35" s="171">
        <v>19</v>
      </c>
      <c r="BS35" s="76" t="str">
        <f t="shared" si="0"/>
        <v>○</v>
      </c>
    </row>
    <row r="36" spans="1:71" x14ac:dyDescent="0.2">
      <c r="A36" s="210">
        <v>1041</v>
      </c>
      <c r="B36" s="211"/>
      <c r="C36" s="212"/>
      <c r="D36" s="211"/>
      <c r="E36" s="212"/>
      <c r="F36" s="211"/>
      <c r="G36" s="211"/>
      <c r="H36" s="212"/>
      <c r="I36" s="211"/>
      <c r="J36" s="211"/>
      <c r="K36" s="211"/>
      <c r="L36" s="171"/>
      <c r="M36" s="171" t="s">
        <v>347</v>
      </c>
      <c r="N36" s="171" t="s">
        <v>348</v>
      </c>
      <c r="O36" s="171" t="s">
        <v>279</v>
      </c>
      <c r="P36" s="171" t="s">
        <v>916</v>
      </c>
      <c r="Q36" s="171"/>
      <c r="R36" s="213">
        <v>1091000</v>
      </c>
      <c r="S36" s="87">
        <v>0</v>
      </c>
      <c r="T36" s="87">
        <v>0</v>
      </c>
      <c r="U36" s="87">
        <v>0</v>
      </c>
      <c r="V36" s="87">
        <v>0</v>
      </c>
      <c r="W36" s="87">
        <v>0</v>
      </c>
      <c r="X36" s="87">
        <v>0</v>
      </c>
      <c r="Y36" s="87">
        <v>0</v>
      </c>
      <c r="Z36" s="87">
        <v>0</v>
      </c>
      <c r="AA36" s="214">
        <v>0</v>
      </c>
      <c r="AB36" s="214">
        <v>0</v>
      </c>
      <c r="AC36" s="214">
        <v>0</v>
      </c>
      <c r="AD36" s="214">
        <v>0</v>
      </c>
      <c r="AE36" s="214">
        <v>0</v>
      </c>
      <c r="AF36" s="214">
        <v>0</v>
      </c>
      <c r="AG36" s="214">
        <v>0</v>
      </c>
      <c r="AH36" s="214">
        <v>0</v>
      </c>
      <c r="AI36" s="87">
        <v>976320</v>
      </c>
      <c r="AJ36" s="87">
        <v>0</v>
      </c>
      <c r="AK36" s="87">
        <v>976320</v>
      </c>
      <c r="AL36" s="87">
        <v>976320</v>
      </c>
      <c r="AM36" s="87">
        <v>7113600</v>
      </c>
      <c r="AN36" s="87">
        <v>976320</v>
      </c>
      <c r="AO36" s="87">
        <v>976320</v>
      </c>
      <c r="AP36" s="87">
        <v>976000</v>
      </c>
      <c r="AQ36" s="88">
        <v>0</v>
      </c>
      <c r="AR36" s="88">
        <v>0</v>
      </c>
      <c r="AS36" s="88">
        <v>0</v>
      </c>
      <c r="AT36" s="88">
        <v>0</v>
      </c>
      <c r="AU36" s="88">
        <v>0</v>
      </c>
      <c r="AV36" s="88">
        <v>0</v>
      </c>
      <c r="AW36" s="88">
        <v>0</v>
      </c>
      <c r="AX36" s="88">
        <v>0</v>
      </c>
      <c r="AY36" s="87">
        <v>0</v>
      </c>
      <c r="AZ36" s="87">
        <v>0</v>
      </c>
      <c r="BA36" s="87">
        <v>0</v>
      </c>
      <c r="BB36" s="87">
        <v>0</v>
      </c>
      <c r="BC36" s="87">
        <v>0</v>
      </c>
      <c r="BD36" s="87">
        <v>0</v>
      </c>
      <c r="BE36" s="87">
        <v>0</v>
      </c>
      <c r="BF36" s="87">
        <v>0</v>
      </c>
      <c r="BG36" s="88">
        <v>115847</v>
      </c>
      <c r="BH36" s="88">
        <v>0</v>
      </c>
      <c r="BI36" s="88">
        <v>115847</v>
      </c>
      <c r="BJ36" s="88">
        <v>115847</v>
      </c>
      <c r="BK36" s="88">
        <v>115847</v>
      </c>
      <c r="BL36" s="88">
        <v>115847</v>
      </c>
      <c r="BM36" s="88">
        <v>115847</v>
      </c>
      <c r="BN36" s="590">
        <v>115000</v>
      </c>
      <c r="BO36" s="171">
        <v>2023</v>
      </c>
      <c r="BP36" s="171">
        <v>1</v>
      </c>
      <c r="BQ36" s="171">
        <v>19</v>
      </c>
      <c r="BS36" s="76" t="str">
        <f t="shared" si="0"/>
        <v>○</v>
      </c>
    </row>
    <row r="37" spans="1:71" x14ac:dyDescent="0.2">
      <c r="A37" s="210">
        <v>1042</v>
      </c>
      <c r="B37" s="211"/>
      <c r="C37" s="212"/>
      <c r="D37" s="211"/>
      <c r="E37" s="212"/>
      <c r="F37" s="211"/>
      <c r="G37" s="211"/>
      <c r="H37" s="212"/>
      <c r="I37" s="211"/>
      <c r="J37" s="211"/>
      <c r="K37" s="211"/>
      <c r="L37" s="171"/>
      <c r="M37" s="171" t="s">
        <v>349</v>
      </c>
      <c r="N37" s="171" t="s">
        <v>318</v>
      </c>
      <c r="O37" s="171" t="s">
        <v>350</v>
      </c>
      <c r="P37" s="171" t="s">
        <v>916</v>
      </c>
      <c r="Q37" s="171"/>
      <c r="R37" s="213">
        <v>74000</v>
      </c>
      <c r="S37" s="87">
        <v>0</v>
      </c>
      <c r="T37" s="87">
        <v>0</v>
      </c>
      <c r="U37" s="87">
        <v>0</v>
      </c>
      <c r="V37" s="87">
        <v>0</v>
      </c>
      <c r="W37" s="87">
        <v>0</v>
      </c>
      <c r="X37" s="87">
        <v>0</v>
      </c>
      <c r="Y37" s="87">
        <v>0</v>
      </c>
      <c r="Z37" s="87">
        <v>0</v>
      </c>
      <c r="AA37" s="214">
        <v>0</v>
      </c>
      <c r="AB37" s="214">
        <v>0</v>
      </c>
      <c r="AC37" s="214">
        <v>0</v>
      </c>
      <c r="AD37" s="214">
        <v>0</v>
      </c>
      <c r="AE37" s="214">
        <v>0</v>
      </c>
      <c r="AF37" s="214">
        <v>0</v>
      </c>
      <c r="AG37" s="214">
        <v>0</v>
      </c>
      <c r="AH37" s="214">
        <v>0</v>
      </c>
      <c r="AI37" s="87">
        <v>0</v>
      </c>
      <c r="AJ37" s="87">
        <v>0</v>
      </c>
      <c r="AK37" s="87">
        <v>0</v>
      </c>
      <c r="AL37" s="87">
        <v>0</v>
      </c>
      <c r="AM37" s="87">
        <v>0</v>
      </c>
      <c r="AN37" s="87">
        <v>0</v>
      </c>
      <c r="AO37" s="87">
        <v>0</v>
      </c>
      <c r="AP37" s="87">
        <v>0</v>
      </c>
      <c r="AQ37" s="88">
        <v>0</v>
      </c>
      <c r="AR37" s="88">
        <v>0</v>
      </c>
      <c r="AS37" s="88">
        <v>0</v>
      </c>
      <c r="AT37" s="88">
        <v>0</v>
      </c>
      <c r="AU37" s="88">
        <v>0</v>
      </c>
      <c r="AV37" s="88">
        <v>0</v>
      </c>
      <c r="AW37" s="88">
        <v>0</v>
      </c>
      <c r="AX37" s="88">
        <v>0</v>
      </c>
      <c r="AY37" s="87">
        <v>0</v>
      </c>
      <c r="AZ37" s="87">
        <v>0</v>
      </c>
      <c r="BA37" s="87">
        <v>0</v>
      </c>
      <c r="BB37" s="87">
        <v>0</v>
      </c>
      <c r="BC37" s="87">
        <v>0</v>
      </c>
      <c r="BD37" s="87">
        <v>0</v>
      </c>
      <c r="BE37" s="87">
        <v>0</v>
      </c>
      <c r="BF37" s="87">
        <v>0</v>
      </c>
      <c r="BG37" s="88">
        <v>74620</v>
      </c>
      <c r="BH37" s="88">
        <v>0</v>
      </c>
      <c r="BI37" s="88">
        <v>74620</v>
      </c>
      <c r="BJ37" s="88">
        <v>74620</v>
      </c>
      <c r="BK37" s="88">
        <v>74620</v>
      </c>
      <c r="BL37" s="88">
        <v>74620</v>
      </c>
      <c r="BM37" s="88">
        <v>74620</v>
      </c>
      <c r="BN37" s="590">
        <v>74000</v>
      </c>
      <c r="BO37" s="171">
        <v>2023</v>
      </c>
      <c r="BP37" s="171">
        <v>1</v>
      </c>
      <c r="BQ37" s="171">
        <v>19</v>
      </c>
      <c r="BS37" s="76" t="str">
        <f t="shared" si="0"/>
        <v>○</v>
      </c>
    </row>
    <row r="38" spans="1:71" x14ac:dyDescent="0.2">
      <c r="A38" s="210">
        <v>1043</v>
      </c>
      <c r="B38" s="211"/>
      <c r="C38" s="212"/>
      <c r="D38" s="211"/>
      <c r="E38" s="212"/>
      <c r="F38" s="211"/>
      <c r="G38" s="211"/>
      <c r="H38" s="212"/>
      <c r="I38" s="211"/>
      <c r="J38" s="211"/>
      <c r="K38" s="211"/>
      <c r="L38" s="171"/>
      <c r="M38" s="171" t="s">
        <v>268</v>
      </c>
      <c r="N38" s="171" t="s">
        <v>269</v>
      </c>
      <c r="O38" s="171" t="s">
        <v>270</v>
      </c>
      <c r="P38" s="171" t="s">
        <v>916</v>
      </c>
      <c r="Q38" s="171"/>
      <c r="R38" s="213">
        <v>1227000</v>
      </c>
      <c r="S38" s="87">
        <v>0</v>
      </c>
      <c r="T38" s="87">
        <v>0</v>
      </c>
      <c r="U38" s="87">
        <v>0</v>
      </c>
      <c r="V38" s="87">
        <v>0</v>
      </c>
      <c r="W38" s="87">
        <v>0</v>
      </c>
      <c r="X38" s="87">
        <v>0</v>
      </c>
      <c r="Y38" s="87">
        <v>0</v>
      </c>
      <c r="Z38" s="87">
        <v>0</v>
      </c>
      <c r="AA38" s="214">
        <v>1227600</v>
      </c>
      <c r="AB38" s="214">
        <v>0</v>
      </c>
      <c r="AC38" s="214">
        <v>1227600</v>
      </c>
      <c r="AD38" s="214">
        <v>1227600</v>
      </c>
      <c r="AE38" s="214">
        <v>1230000</v>
      </c>
      <c r="AF38" s="214">
        <v>1227600</v>
      </c>
      <c r="AG38" s="214">
        <v>1227600</v>
      </c>
      <c r="AH38" s="214">
        <v>1227000</v>
      </c>
      <c r="AI38" s="87">
        <v>0</v>
      </c>
      <c r="AJ38" s="87">
        <v>0</v>
      </c>
      <c r="AK38" s="87">
        <v>0</v>
      </c>
      <c r="AL38" s="87">
        <v>0</v>
      </c>
      <c r="AM38" s="87">
        <v>0</v>
      </c>
      <c r="AN38" s="87">
        <v>0</v>
      </c>
      <c r="AO38" s="87">
        <v>0</v>
      </c>
      <c r="AP38" s="87">
        <v>0</v>
      </c>
      <c r="AQ38" s="88">
        <v>0</v>
      </c>
      <c r="AR38" s="88">
        <v>0</v>
      </c>
      <c r="AS38" s="88">
        <v>0</v>
      </c>
      <c r="AT38" s="88">
        <v>0</v>
      </c>
      <c r="AU38" s="88">
        <v>0</v>
      </c>
      <c r="AV38" s="88">
        <v>0</v>
      </c>
      <c r="AW38" s="88">
        <v>0</v>
      </c>
      <c r="AX38" s="88">
        <v>0</v>
      </c>
      <c r="AY38" s="87">
        <v>0</v>
      </c>
      <c r="AZ38" s="87">
        <v>0</v>
      </c>
      <c r="BA38" s="87">
        <v>0</v>
      </c>
      <c r="BB38" s="87">
        <v>0</v>
      </c>
      <c r="BC38" s="87">
        <v>0</v>
      </c>
      <c r="BD38" s="87">
        <v>0</v>
      </c>
      <c r="BE38" s="87">
        <v>0</v>
      </c>
      <c r="BF38" s="87">
        <v>0</v>
      </c>
      <c r="BG38" s="88">
        <v>0</v>
      </c>
      <c r="BH38" s="88">
        <v>0</v>
      </c>
      <c r="BI38" s="88">
        <v>0</v>
      </c>
      <c r="BJ38" s="88">
        <v>0</v>
      </c>
      <c r="BK38" s="88">
        <v>0</v>
      </c>
      <c r="BL38" s="88">
        <v>0</v>
      </c>
      <c r="BM38" s="88">
        <v>0</v>
      </c>
      <c r="BN38" s="590">
        <v>0</v>
      </c>
      <c r="BO38" s="171">
        <v>2023</v>
      </c>
      <c r="BP38" s="171">
        <v>1</v>
      </c>
      <c r="BQ38" s="171">
        <v>19</v>
      </c>
      <c r="BS38" s="76" t="str">
        <f t="shared" si="0"/>
        <v>○</v>
      </c>
    </row>
    <row r="39" spans="1:71" x14ac:dyDescent="0.2">
      <c r="A39" s="210">
        <v>1044</v>
      </c>
      <c r="B39" s="211"/>
      <c r="C39" s="212"/>
      <c r="D39" s="211"/>
      <c r="E39" s="212"/>
      <c r="F39" s="211"/>
      <c r="G39" s="211"/>
      <c r="H39" s="212"/>
      <c r="I39" s="211"/>
      <c r="J39" s="211"/>
      <c r="K39" s="211"/>
      <c r="L39" s="171"/>
      <c r="M39" s="171" t="s">
        <v>351</v>
      </c>
      <c r="N39" s="171" t="s">
        <v>286</v>
      </c>
      <c r="O39" s="171" t="s">
        <v>352</v>
      </c>
      <c r="P39" s="171" t="s">
        <v>916</v>
      </c>
      <c r="Q39" s="171"/>
      <c r="R39" s="213">
        <v>1184000</v>
      </c>
      <c r="S39" s="87">
        <v>0</v>
      </c>
      <c r="T39" s="87">
        <v>0</v>
      </c>
      <c r="U39" s="87">
        <v>0</v>
      </c>
      <c r="V39" s="87">
        <v>0</v>
      </c>
      <c r="W39" s="87">
        <v>0</v>
      </c>
      <c r="X39" s="87">
        <v>0</v>
      </c>
      <c r="Y39" s="87">
        <v>0</v>
      </c>
      <c r="Z39" s="87">
        <v>0</v>
      </c>
      <c r="AA39" s="214">
        <v>0</v>
      </c>
      <c r="AB39" s="214">
        <v>0</v>
      </c>
      <c r="AC39" s="214">
        <v>0</v>
      </c>
      <c r="AD39" s="214">
        <v>0</v>
      </c>
      <c r="AE39" s="214">
        <v>0</v>
      </c>
      <c r="AF39" s="214">
        <v>0</v>
      </c>
      <c r="AG39" s="214">
        <v>0</v>
      </c>
      <c r="AH39" s="214">
        <v>0</v>
      </c>
      <c r="AI39" s="87">
        <v>924150</v>
      </c>
      <c r="AJ39" s="87">
        <v>0</v>
      </c>
      <c r="AK39" s="87">
        <v>924150</v>
      </c>
      <c r="AL39" s="87">
        <v>924150</v>
      </c>
      <c r="AM39" s="87">
        <v>1576800</v>
      </c>
      <c r="AN39" s="87">
        <v>924150</v>
      </c>
      <c r="AO39" s="87">
        <v>924150</v>
      </c>
      <c r="AP39" s="87">
        <v>924000</v>
      </c>
      <c r="AQ39" s="88">
        <v>0</v>
      </c>
      <c r="AR39" s="88">
        <v>0</v>
      </c>
      <c r="AS39" s="88">
        <v>0</v>
      </c>
      <c r="AT39" s="88">
        <v>0</v>
      </c>
      <c r="AU39" s="88">
        <v>0</v>
      </c>
      <c r="AV39" s="88">
        <v>0</v>
      </c>
      <c r="AW39" s="88">
        <v>0</v>
      </c>
      <c r="AX39" s="88">
        <v>0</v>
      </c>
      <c r="AY39" s="87">
        <v>0</v>
      </c>
      <c r="AZ39" s="87">
        <v>0</v>
      </c>
      <c r="BA39" s="87">
        <v>0</v>
      </c>
      <c r="BB39" s="87">
        <v>0</v>
      </c>
      <c r="BC39" s="87">
        <v>0</v>
      </c>
      <c r="BD39" s="87">
        <v>0</v>
      </c>
      <c r="BE39" s="87">
        <v>0</v>
      </c>
      <c r="BF39" s="87">
        <v>0</v>
      </c>
      <c r="BG39" s="88">
        <v>260260</v>
      </c>
      <c r="BH39" s="88">
        <v>0</v>
      </c>
      <c r="BI39" s="88">
        <v>260260</v>
      </c>
      <c r="BJ39" s="88">
        <v>260260</v>
      </c>
      <c r="BK39" s="88">
        <v>260260</v>
      </c>
      <c r="BL39" s="88">
        <v>260260</v>
      </c>
      <c r="BM39" s="88">
        <v>260260</v>
      </c>
      <c r="BN39" s="590">
        <v>260000</v>
      </c>
      <c r="BO39" s="171">
        <v>2023</v>
      </c>
      <c r="BP39" s="171">
        <v>1</v>
      </c>
      <c r="BQ39" s="171">
        <v>19</v>
      </c>
      <c r="BS39" s="76" t="str">
        <f t="shared" si="0"/>
        <v>○</v>
      </c>
    </row>
    <row r="40" spans="1:71" x14ac:dyDescent="0.2">
      <c r="A40" s="210">
        <v>1045</v>
      </c>
      <c r="B40" s="211"/>
      <c r="C40" s="212"/>
      <c r="D40" s="211"/>
      <c r="E40" s="212"/>
      <c r="F40" s="211"/>
      <c r="G40" s="211"/>
      <c r="H40" s="212"/>
      <c r="I40" s="211"/>
      <c r="J40" s="211"/>
      <c r="K40" s="211"/>
      <c r="L40" s="171"/>
      <c r="M40" s="171" t="s">
        <v>353</v>
      </c>
      <c r="N40" s="171" t="s">
        <v>354</v>
      </c>
      <c r="O40" s="171" t="s">
        <v>355</v>
      </c>
      <c r="P40" s="171" t="s">
        <v>916</v>
      </c>
      <c r="Q40" s="171"/>
      <c r="R40" s="213">
        <v>866000</v>
      </c>
      <c r="S40" s="87">
        <v>0</v>
      </c>
      <c r="T40" s="87">
        <v>0</v>
      </c>
      <c r="U40" s="87">
        <v>0</v>
      </c>
      <c r="V40" s="87">
        <v>0</v>
      </c>
      <c r="W40" s="87">
        <v>0</v>
      </c>
      <c r="X40" s="87">
        <v>0</v>
      </c>
      <c r="Y40" s="87">
        <v>0</v>
      </c>
      <c r="Z40" s="87">
        <v>0</v>
      </c>
      <c r="AA40" s="214">
        <v>375100</v>
      </c>
      <c r="AB40" s="214">
        <v>0</v>
      </c>
      <c r="AC40" s="214">
        <v>375100</v>
      </c>
      <c r="AD40" s="214">
        <v>375100</v>
      </c>
      <c r="AE40" s="214">
        <v>410000</v>
      </c>
      <c r="AF40" s="214">
        <v>375100</v>
      </c>
      <c r="AG40" s="214">
        <v>375100</v>
      </c>
      <c r="AH40" s="214">
        <v>375000</v>
      </c>
      <c r="AI40" s="87">
        <v>491106</v>
      </c>
      <c r="AJ40" s="87">
        <v>0</v>
      </c>
      <c r="AK40" s="87">
        <v>491106</v>
      </c>
      <c r="AL40" s="87">
        <v>491106</v>
      </c>
      <c r="AM40" s="87">
        <v>1008000</v>
      </c>
      <c r="AN40" s="87">
        <v>491106</v>
      </c>
      <c r="AO40" s="87">
        <v>491106</v>
      </c>
      <c r="AP40" s="87">
        <v>491000</v>
      </c>
      <c r="AQ40" s="88">
        <v>0</v>
      </c>
      <c r="AR40" s="88">
        <v>0</v>
      </c>
      <c r="AS40" s="88">
        <v>0</v>
      </c>
      <c r="AT40" s="88">
        <v>0</v>
      </c>
      <c r="AU40" s="88">
        <v>0</v>
      </c>
      <c r="AV40" s="88">
        <v>0</v>
      </c>
      <c r="AW40" s="88">
        <v>0</v>
      </c>
      <c r="AX40" s="88">
        <v>0</v>
      </c>
      <c r="AY40" s="87">
        <v>0</v>
      </c>
      <c r="AZ40" s="87">
        <v>0</v>
      </c>
      <c r="BA40" s="87">
        <v>0</v>
      </c>
      <c r="BB40" s="87">
        <v>0</v>
      </c>
      <c r="BC40" s="87">
        <v>0</v>
      </c>
      <c r="BD40" s="87">
        <v>0</v>
      </c>
      <c r="BE40" s="87">
        <v>0</v>
      </c>
      <c r="BF40" s="87">
        <v>0</v>
      </c>
      <c r="BG40" s="88">
        <v>0</v>
      </c>
      <c r="BH40" s="88">
        <v>0</v>
      </c>
      <c r="BI40" s="88">
        <v>0</v>
      </c>
      <c r="BJ40" s="88">
        <v>0</v>
      </c>
      <c r="BK40" s="88">
        <v>0</v>
      </c>
      <c r="BL40" s="88">
        <v>0</v>
      </c>
      <c r="BM40" s="88">
        <v>0</v>
      </c>
      <c r="BN40" s="590">
        <v>0</v>
      </c>
      <c r="BO40" s="171">
        <v>2023</v>
      </c>
      <c r="BP40" s="171">
        <v>1</v>
      </c>
      <c r="BQ40" s="171">
        <v>19</v>
      </c>
      <c r="BS40" s="76" t="str">
        <f t="shared" si="0"/>
        <v>○</v>
      </c>
    </row>
    <row r="41" spans="1:71" x14ac:dyDescent="0.2">
      <c r="A41" s="210">
        <v>1046</v>
      </c>
      <c r="B41" s="211"/>
      <c r="C41" s="212"/>
      <c r="D41" s="211"/>
      <c r="E41" s="212"/>
      <c r="F41" s="211"/>
      <c r="G41" s="211"/>
      <c r="H41" s="212"/>
      <c r="I41" s="211"/>
      <c r="J41" s="211"/>
      <c r="K41" s="211"/>
      <c r="L41" s="171"/>
      <c r="M41" s="171" t="s">
        <v>356</v>
      </c>
      <c r="N41" s="171" t="s">
        <v>357</v>
      </c>
      <c r="O41" s="171" t="s">
        <v>358</v>
      </c>
      <c r="P41" s="171" t="s">
        <v>916</v>
      </c>
      <c r="Q41" s="171"/>
      <c r="R41" s="213">
        <v>3359000</v>
      </c>
      <c r="S41" s="87">
        <v>0</v>
      </c>
      <c r="T41" s="87">
        <v>0</v>
      </c>
      <c r="U41" s="87">
        <v>0</v>
      </c>
      <c r="V41" s="87">
        <v>0</v>
      </c>
      <c r="W41" s="87">
        <v>0</v>
      </c>
      <c r="X41" s="87">
        <v>0</v>
      </c>
      <c r="Y41" s="87">
        <v>0</v>
      </c>
      <c r="Z41" s="87">
        <v>0</v>
      </c>
      <c r="AA41" s="214">
        <v>1228590</v>
      </c>
      <c r="AB41" s="214">
        <v>0</v>
      </c>
      <c r="AC41" s="214">
        <v>1228590</v>
      </c>
      <c r="AD41" s="214">
        <v>1228590</v>
      </c>
      <c r="AE41" s="214">
        <v>1230000</v>
      </c>
      <c r="AF41" s="214">
        <v>1228590</v>
      </c>
      <c r="AG41" s="214">
        <v>1228590</v>
      </c>
      <c r="AH41" s="214">
        <v>1228000</v>
      </c>
      <c r="AI41" s="87">
        <v>2288467</v>
      </c>
      <c r="AJ41" s="87">
        <v>0</v>
      </c>
      <c r="AK41" s="87">
        <v>2288467</v>
      </c>
      <c r="AL41" s="87">
        <v>2288467</v>
      </c>
      <c r="AM41" s="87">
        <v>2131200</v>
      </c>
      <c r="AN41" s="87">
        <v>2131200</v>
      </c>
      <c r="AO41" s="87">
        <v>2131200</v>
      </c>
      <c r="AP41" s="87">
        <v>2131000</v>
      </c>
      <c r="AQ41" s="88">
        <v>0</v>
      </c>
      <c r="AR41" s="88">
        <v>0</v>
      </c>
      <c r="AS41" s="88">
        <v>0</v>
      </c>
      <c r="AT41" s="88">
        <v>0</v>
      </c>
      <c r="AU41" s="88">
        <v>0</v>
      </c>
      <c r="AV41" s="88">
        <v>0</v>
      </c>
      <c r="AW41" s="88">
        <v>0</v>
      </c>
      <c r="AX41" s="88">
        <v>0</v>
      </c>
      <c r="AY41" s="87">
        <v>0</v>
      </c>
      <c r="AZ41" s="87">
        <v>0</v>
      </c>
      <c r="BA41" s="87">
        <v>0</v>
      </c>
      <c r="BB41" s="87">
        <v>0</v>
      </c>
      <c r="BC41" s="87">
        <v>0</v>
      </c>
      <c r="BD41" s="87">
        <v>0</v>
      </c>
      <c r="BE41" s="87">
        <v>0</v>
      </c>
      <c r="BF41" s="87">
        <v>0</v>
      </c>
      <c r="BG41" s="88">
        <v>0</v>
      </c>
      <c r="BH41" s="88">
        <v>0</v>
      </c>
      <c r="BI41" s="88">
        <v>0</v>
      </c>
      <c r="BJ41" s="88">
        <v>0</v>
      </c>
      <c r="BK41" s="88">
        <v>0</v>
      </c>
      <c r="BL41" s="88">
        <v>0</v>
      </c>
      <c r="BM41" s="88">
        <v>0</v>
      </c>
      <c r="BN41" s="590">
        <v>0</v>
      </c>
      <c r="BO41" s="171">
        <v>2023</v>
      </c>
      <c r="BP41" s="171">
        <v>1</v>
      </c>
      <c r="BQ41" s="171">
        <v>19</v>
      </c>
      <c r="BS41" s="76" t="str">
        <f t="shared" si="0"/>
        <v>○</v>
      </c>
    </row>
    <row r="42" spans="1:71" x14ac:dyDescent="0.2">
      <c r="A42" s="210">
        <v>1047</v>
      </c>
      <c r="B42" s="211"/>
      <c r="C42" s="212"/>
      <c r="D42" s="211"/>
      <c r="E42" s="212"/>
      <c r="F42" s="211"/>
      <c r="G42" s="211"/>
      <c r="H42" s="212"/>
      <c r="I42" s="211"/>
      <c r="J42" s="211"/>
      <c r="K42" s="211"/>
      <c r="L42" s="171"/>
      <c r="M42" s="171" t="s">
        <v>359</v>
      </c>
      <c r="N42" s="171" t="s">
        <v>269</v>
      </c>
      <c r="O42" s="171" t="s">
        <v>360</v>
      </c>
      <c r="P42" s="171" t="s">
        <v>916</v>
      </c>
      <c r="Q42" s="171"/>
      <c r="R42" s="213">
        <v>3806000</v>
      </c>
      <c r="S42" s="87">
        <v>5247000</v>
      </c>
      <c r="T42" s="87">
        <v>0</v>
      </c>
      <c r="U42" s="87">
        <v>5247000</v>
      </c>
      <c r="V42" s="87">
        <v>5247000</v>
      </c>
      <c r="W42" s="87">
        <v>905000</v>
      </c>
      <c r="X42" s="87">
        <v>905000</v>
      </c>
      <c r="Y42" s="87">
        <v>905000</v>
      </c>
      <c r="Z42" s="87">
        <v>905000</v>
      </c>
      <c r="AA42" s="214">
        <v>0</v>
      </c>
      <c r="AB42" s="214">
        <v>0</v>
      </c>
      <c r="AC42" s="214">
        <v>0</v>
      </c>
      <c r="AD42" s="214">
        <v>0</v>
      </c>
      <c r="AE42" s="214">
        <v>0</v>
      </c>
      <c r="AF42" s="214">
        <v>0</v>
      </c>
      <c r="AG42" s="214">
        <v>0</v>
      </c>
      <c r="AH42" s="214">
        <v>0</v>
      </c>
      <c r="AI42" s="87">
        <v>2901565</v>
      </c>
      <c r="AJ42" s="87">
        <v>0</v>
      </c>
      <c r="AK42" s="87">
        <v>2901565</v>
      </c>
      <c r="AL42" s="87">
        <v>2901565</v>
      </c>
      <c r="AM42" s="87">
        <v>4586400</v>
      </c>
      <c r="AN42" s="87">
        <v>2901565</v>
      </c>
      <c r="AO42" s="87">
        <v>2901565</v>
      </c>
      <c r="AP42" s="87">
        <v>2901000</v>
      </c>
      <c r="AQ42" s="88">
        <v>5247000</v>
      </c>
      <c r="AR42" s="88">
        <v>0</v>
      </c>
      <c r="AS42" s="88">
        <v>5247000</v>
      </c>
      <c r="AT42" s="88">
        <v>5247000</v>
      </c>
      <c r="AU42" s="88">
        <v>905000</v>
      </c>
      <c r="AV42" s="88">
        <v>905000</v>
      </c>
      <c r="AW42" s="88">
        <v>905000</v>
      </c>
      <c r="AX42" s="88">
        <v>905000</v>
      </c>
      <c r="AY42" s="87">
        <v>0</v>
      </c>
      <c r="AZ42" s="87">
        <v>0</v>
      </c>
      <c r="BA42" s="87">
        <v>0</v>
      </c>
      <c r="BB42" s="87">
        <v>0</v>
      </c>
      <c r="BC42" s="87">
        <v>0</v>
      </c>
      <c r="BD42" s="87">
        <v>0</v>
      </c>
      <c r="BE42" s="87">
        <v>0</v>
      </c>
      <c r="BF42" s="87">
        <v>0</v>
      </c>
      <c r="BG42" s="88">
        <v>0</v>
      </c>
      <c r="BH42" s="88">
        <v>0</v>
      </c>
      <c r="BI42" s="88">
        <v>0</v>
      </c>
      <c r="BJ42" s="88">
        <v>0</v>
      </c>
      <c r="BK42" s="88">
        <v>0</v>
      </c>
      <c r="BL42" s="88">
        <v>0</v>
      </c>
      <c r="BM42" s="88">
        <v>0</v>
      </c>
      <c r="BN42" s="590">
        <v>0</v>
      </c>
      <c r="BO42" s="171">
        <v>2023</v>
      </c>
      <c r="BP42" s="171">
        <v>1</v>
      </c>
      <c r="BQ42" s="171">
        <v>19</v>
      </c>
      <c r="BS42" s="76" t="str">
        <f t="shared" si="0"/>
        <v>○</v>
      </c>
    </row>
    <row r="43" spans="1:71" s="222" customFormat="1" x14ac:dyDescent="0.2">
      <c r="A43" s="216">
        <v>1048</v>
      </c>
      <c r="B43" s="217"/>
      <c r="C43" s="218"/>
      <c r="D43" s="217"/>
      <c r="E43" s="218"/>
      <c r="F43" s="217"/>
      <c r="G43" s="217"/>
      <c r="H43" s="218"/>
      <c r="I43" s="217"/>
      <c r="J43" s="217"/>
      <c r="K43" s="217"/>
      <c r="L43" s="219"/>
      <c r="M43" s="219" t="s">
        <v>361</v>
      </c>
      <c r="N43" s="219" t="s">
        <v>275</v>
      </c>
      <c r="O43" s="219" t="s">
        <v>362</v>
      </c>
      <c r="P43" s="219" t="s">
        <v>916</v>
      </c>
      <c r="Q43" s="220"/>
      <c r="R43" s="86">
        <v>440000</v>
      </c>
      <c r="S43" s="221">
        <v>0</v>
      </c>
      <c r="T43" s="221">
        <v>0</v>
      </c>
      <c r="U43" s="221">
        <v>0</v>
      </c>
      <c r="V43" s="221">
        <v>0</v>
      </c>
      <c r="W43" s="221">
        <v>0</v>
      </c>
      <c r="X43" s="221">
        <v>0</v>
      </c>
      <c r="Y43" s="221">
        <v>0</v>
      </c>
      <c r="Z43" s="221">
        <v>0</v>
      </c>
      <c r="AA43" s="86">
        <v>0</v>
      </c>
      <c r="AB43" s="86">
        <v>0</v>
      </c>
      <c r="AC43" s="86">
        <v>0</v>
      </c>
      <c r="AD43" s="86">
        <v>0</v>
      </c>
      <c r="AE43" s="86">
        <v>0</v>
      </c>
      <c r="AF43" s="86">
        <v>0</v>
      </c>
      <c r="AG43" s="86">
        <v>0</v>
      </c>
      <c r="AH43" s="86">
        <v>0</v>
      </c>
      <c r="AI43" s="221">
        <v>230180</v>
      </c>
      <c r="AJ43" s="221">
        <v>0</v>
      </c>
      <c r="AK43" s="221">
        <v>230180</v>
      </c>
      <c r="AL43" s="221">
        <v>230180</v>
      </c>
      <c r="AM43" s="221">
        <v>2592000</v>
      </c>
      <c r="AN43" s="221">
        <v>230180</v>
      </c>
      <c r="AO43" s="221">
        <v>230180</v>
      </c>
      <c r="AP43" s="221">
        <v>230000</v>
      </c>
      <c r="AQ43" s="86">
        <v>0</v>
      </c>
      <c r="AR43" s="86">
        <v>0</v>
      </c>
      <c r="AS43" s="86">
        <v>0</v>
      </c>
      <c r="AT43" s="86">
        <v>0</v>
      </c>
      <c r="AU43" s="86">
        <v>0</v>
      </c>
      <c r="AV43" s="86">
        <v>0</v>
      </c>
      <c r="AW43" s="86">
        <v>0</v>
      </c>
      <c r="AX43" s="86">
        <v>0</v>
      </c>
      <c r="AY43" s="221">
        <v>0</v>
      </c>
      <c r="AZ43" s="221">
        <v>0</v>
      </c>
      <c r="BA43" s="221">
        <v>0</v>
      </c>
      <c r="BB43" s="221">
        <v>0</v>
      </c>
      <c r="BC43" s="221">
        <v>0</v>
      </c>
      <c r="BD43" s="221">
        <v>0</v>
      </c>
      <c r="BE43" s="221">
        <v>0</v>
      </c>
      <c r="BF43" s="221">
        <v>0</v>
      </c>
      <c r="BG43" s="86">
        <v>210347</v>
      </c>
      <c r="BH43" s="86">
        <v>0</v>
      </c>
      <c r="BI43" s="86">
        <v>210347</v>
      </c>
      <c r="BJ43" s="86">
        <v>210347</v>
      </c>
      <c r="BK43" s="86">
        <v>210347</v>
      </c>
      <c r="BL43" s="86">
        <v>210347</v>
      </c>
      <c r="BM43" s="86">
        <v>210347</v>
      </c>
      <c r="BN43" s="591">
        <v>210000</v>
      </c>
      <c r="BO43" s="219">
        <v>2023</v>
      </c>
      <c r="BP43" s="219">
        <v>3</v>
      </c>
      <c r="BQ43" s="219">
        <v>30</v>
      </c>
    </row>
    <row r="44" spans="1:71" x14ac:dyDescent="0.2">
      <c r="A44" s="210">
        <v>1049</v>
      </c>
      <c r="B44" s="211"/>
      <c r="C44" s="212"/>
      <c r="D44" s="211"/>
      <c r="E44" s="212"/>
      <c r="F44" s="211"/>
      <c r="G44" s="211"/>
      <c r="H44" s="212"/>
      <c r="I44" s="211"/>
      <c r="J44" s="211"/>
      <c r="K44" s="211"/>
      <c r="L44" s="171"/>
      <c r="M44" s="171" t="s">
        <v>363</v>
      </c>
      <c r="N44" s="171" t="s">
        <v>313</v>
      </c>
      <c r="O44" s="171" t="s">
        <v>364</v>
      </c>
      <c r="P44" s="171" t="s">
        <v>916</v>
      </c>
      <c r="Q44" s="171"/>
      <c r="R44" s="213">
        <v>417000</v>
      </c>
      <c r="S44" s="87">
        <v>0</v>
      </c>
      <c r="T44" s="87">
        <v>0</v>
      </c>
      <c r="U44" s="87">
        <v>0</v>
      </c>
      <c r="V44" s="87">
        <v>0</v>
      </c>
      <c r="W44" s="87">
        <v>0</v>
      </c>
      <c r="X44" s="87">
        <v>0</v>
      </c>
      <c r="Y44" s="87">
        <v>0</v>
      </c>
      <c r="Z44" s="87">
        <v>0</v>
      </c>
      <c r="AA44" s="214">
        <v>0</v>
      </c>
      <c r="AB44" s="214">
        <v>0</v>
      </c>
      <c r="AC44" s="214">
        <v>0</v>
      </c>
      <c r="AD44" s="214">
        <v>0</v>
      </c>
      <c r="AE44" s="214">
        <v>0</v>
      </c>
      <c r="AF44" s="214">
        <v>0</v>
      </c>
      <c r="AG44" s="214">
        <v>0</v>
      </c>
      <c r="AH44" s="214">
        <v>0</v>
      </c>
      <c r="AI44" s="87">
        <v>417400</v>
      </c>
      <c r="AJ44" s="87">
        <v>0</v>
      </c>
      <c r="AK44" s="87">
        <v>417400</v>
      </c>
      <c r="AL44" s="87">
        <v>417400</v>
      </c>
      <c r="AM44" s="87">
        <v>3628800</v>
      </c>
      <c r="AN44" s="87">
        <v>417400</v>
      </c>
      <c r="AO44" s="87">
        <v>417400</v>
      </c>
      <c r="AP44" s="87">
        <v>417000</v>
      </c>
      <c r="AQ44" s="88">
        <v>0</v>
      </c>
      <c r="AR44" s="88">
        <v>0</v>
      </c>
      <c r="AS44" s="88">
        <v>0</v>
      </c>
      <c r="AT44" s="88">
        <v>0</v>
      </c>
      <c r="AU44" s="88">
        <v>0</v>
      </c>
      <c r="AV44" s="88">
        <v>0</v>
      </c>
      <c r="AW44" s="88">
        <v>0</v>
      </c>
      <c r="AX44" s="88">
        <v>0</v>
      </c>
      <c r="AY44" s="87">
        <v>0</v>
      </c>
      <c r="AZ44" s="87">
        <v>0</v>
      </c>
      <c r="BA44" s="87">
        <v>0</v>
      </c>
      <c r="BB44" s="87">
        <v>0</v>
      </c>
      <c r="BC44" s="87">
        <v>0</v>
      </c>
      <c r="BD44" s="87">
        <v>0</v>
      </c>
      <c r="BE44" s="87">
        <v>0</v>
      </c>
      <c r="BF44" s="87">
        <v>0</v>
      </c>
      <c r="BG44" s="88">
        <v>0</v>
      </c>
      <c r="BH44" s="88">
        <v>0</v>
      </c>
      <c r="BI44" s="88">
        <v>0</v>
      </c>
      <c r="BJ44" s="88">
        <v>0</v>
      </c>
      <c r="BK44" s="88">
        <v>0</v>
      </c>
      <c r="BL44" s="88">
        <v>0</v>
      </c>
      <c r="BM44" s="88">
        <v>0</v>
      </c>
      <c r="BN44" s="590">
        <v>0</v>
      </c>
      <c r="BO44" s="171">
        <v>2023</v>
      </c>
      <c r="BP44" s="171">
        <v>1</v>
      </c>
      <c r="BQ44" s="171">
        <v>19</v>
      </c>
      <c r="BS44" s="76" t="str">
        <f t="shared" ref="BS44:BS75" si="1">IF(R44=SUM(Z44,AH44,AP44,BF44,BN44),"○","×")</f>
        <v>○</v>
      </c>
    </row>
    <row r="45" spans="1:71" x14ac:dyDescent="0.2">
      <c r="A45" s="210">
        <v>1051</v>
      </c>
      <c r="B45" s="211"/>
      <c r="C45" s="212"/>
      <c r="D45" s="211"/>
      <c r="E45" s="212"/>
      <c r="F45" s="211"/>
      <c r="G45" s="211"/>
      <c r="H45" s="212"/>
      <c r="I45" s="211"/>
      <c r="J45" s="211"/>
      <c r="K45" s="211"/>
      <c r="L45" s="171"/>
      <c r="M45" s="171" t="s">
        <v>305</v>
      </c>
      <c r="N45" s="171" t="s">
        <v>306</v>
      </c>
      <c r="O45" s="171" t="s">
        <v>307</v>
      </c>
      <c r="P45" s="171" t="s">
        <v>916</v>
      </c>
      <c r="Q45" s="171"/>
      <c r="R45" s="213">
        <v>765000</v>
      </c>
      <c r="S45" s="87">
        <v>0</v>
      </c>
      <c r="T45" s="87">
        <v>0</v>
      </c>
      <c r="U45" s="87">
        <v>0</v>
      </c>
      <c r="V45" s="87">
        <v>0</v>
      </c>
      <c r="W45" s="87">
        <v>0</v>
      </c>
      <c r="X45" s="87">
        <v>0</v>
      </c>
      <c r="Y45" s="87">
        <v>0</v>
      </c>
      <c r="Z45" s="87">
        <v>0</v>
      </c>
      <c r="AA45" s="214">
        <v>0</v>
      </c>
      <c r="AB45" s="214">
        <v>0</v>
      </c>
      <c r="AC45" s="214">
        <v>0</v>
      </c>
      <c r="AD45" s="214">
        <v>0</v>
      </c>
      <c r="AE45" s="214">
        <v>0</v>
      </c>
      <c r="AF45" s="214">
        <v>0</v>
      </c>
      <c r="AG45" s="214">
        <v>0</v>
      </c>
      <c r="AH45" s="214">
        <v>0</v>
      </c>
      <c r="AI45" s="87">
        <v>485820</v>
      </c>
      <c r="AJ45" s="87">
        <v>0</v>
      </c>
      <c r="AK45" s="87">
        <v>485820</v>
      </c>
      <c r="AL45" s="87">
        <v>485820</v>
      </c>
      <c r="AM45" s="87">
        <v>13230000</v>
      </c>
      <c r="AN45" s="87">
        <v>485820</v>
      </c>
      <c r="AO45" s="87">
        <v>485820</v>
      </c>
      <c r="AP45" s="87">
        <v>485000</v>
      </c>
      <c r="AQ45" s="88">
        <v>0</v>
      </c>
      <c r="AR45" s="88">
        <v>0</v>
      </c>
      <c r="AS45" s="88">
        <v>0</v>
      </c>
      <c r="AT45" s="88">
        <v>0</v>
      </c>
      <c r="AU45" s="88">
        <v>0</v>
      </c>
      <c r="AV45" s="88">
        <v>0</v>
      </c>
      <c r="AW45" s="88">
        <v>0</v>
      </c>
      <c r="AX45" s="88">
        <v>0</v>
      </c>
      <c r="AY45" s="87">
        <v>0</v>
      </c>
      <c r="AZ45" s="87">
        <v>0</v>
      </c>
      <c r="BA45" s="87">
        <v>0</v>
      </c>
      <c r="BB45" s="87">
        <v>0</v>
      </c>
      <c r="BC45" s="87">
        <v>0</v>
      </c>
      <c r="BD45" s="87">
        <v>0</v>
      </c>
      <c r="BE45" s="87">
        <v>0</v>
      </c>
      <c r="BF45" s="87">
        <v>0</v>
      </c>
      <c r="BG45" s="88">
        <v>280830</v>
      </c>
      <c r="BH45" s="88">
        <v>0</v>
      </c>
      <c r="BI45" s="88">
        <v>280830</v>
      </c>
      <c r="BJ45" s="88">
        <v>280830</v>
      </c>
      <c r="BK45" s="88">
        <v>280830</v>
      </c>
      <c r="BL45" s="88">
        <v>280830</v>
      </c>
      <c r="BM45" s="88">
        <v>280830</v>
      </c>
      <c r="BN45" s="590">
        <v>280000</v>
      </c>
      <c r="BO45" s="171">
        <v>2023</v>
      </c>
      <c r="BP45" s="171">
        <v>1</v>
      </c>
      <c r="BQ45" s="171">
        <v>19</v>
      </c>
      <c r="BS45" s="76" t="str">
        <f t="shared" si="1"/>
        <v>○</v>
      </c>
    </row>
    <row r="46" spans="1:71" x14ac:dyDescent="0.2">
      <c r="A46" s="210">
        <v>1052</v>
      </c>
      <c r="B46" s="211"/>
      <c r="C46" s="212"/>
      <c r="D46" s="211"/>
      <c r="E46" s="212"/>
      <c r="F46" s="211"/>
      <c r="G46" s="211"/>
      <c r="H46" s="212"/>
      <c r="I46" s="211"/>
      <c r="J46" s="211"/>
      <c r="K46" s="211"/>
      <c r="L46" s="171"/>
      <c r="M46" s="171" t="s">
        <v>365</v>
      </c>
      <c r="N46" s="171" t="s">
        <v>289</v>
      </c>
      <c r="O46" s="171" t="s">
        <v>303</v>
      </c>
      <c r="P46" s="171" t="s">
        <v>916</v>
      </c>
      <c r="Q46" s="171"/>
      <c r="R46" s="213">
        <v>937000</v>
      </c>
      <c r="S46" s="87">
        <v>0</v>
      </c>
      <c r="T46" s="87">
        <v>0</v>
      </c>
      <c r="U46" s="87">
        <v>0</v>
      </c>
      <c r="V46" s="87">
        <v>0</v>
      </c>
      <c r="W46" s="87">
        <v>0</v>
      </c>
      <c r="X46" s="87">
        <v>0</v>
      </c>
      <c r="Y46" s="87">
        <v>0</v>
      </c>
      <c r="Z46" s="87">
        <v>0</v>
      </c>
      <c r="AA46" s="214">
        <v>600600</v>
      </c>
      <c r="AB46" s="214">
        <v>0</v>
      </c>
      <c r="AC46" s="214">
        <v>600600</v>
      </c>
      <c r="AD46" s="214">
        <v>600600</v>
      </c>
      <c r="AE46" s="214">
        <v>615000</v>
      </c>
      <c r="AF46" s="214">
        <v>600600</v>
      </c>
      <c r="AG46" s="214">
        <v>600600</v>
      </c>
      <c r="AH46" s="214">
        <v>600000</v>
      </c>
      <c r="AI46" s="87">
        <v>337847</v>
      </c>
      <c r="AJ46" s="87">
        <v>0</v>
      </c>
      <c r="AK46" s="87">
        <v>337847</v>
      </c>
      <c r="AL46" s="87">
        <v>337847</v>
      </c>
      <c r="AM46" s="87">
        <v>2008800</v>
      </c>
      <c r="AN46" s="87">
        <v>337847</v>
      </c>
      <c r="AO46" s="87">
        <v>337847</v>
      </c>
      <c r="AP46" s="87">
        <v>337000</v>
      </c>
      <c r="AQ46" s="88">
        <v>0</v>
      </c>
      <c r="AR46" s="88">
        <v>0</v>
      </c>
      <c r="AS46" s="88">
        <v>0</v>
      </c>
      <c r="AT46" s="88">
        <v>0</v>
      </c>
      <c r="AU46" s="88">
        <v>0</v>
      </c>
      <c r="AV46" s="88">
        <v>0</v>
      </c>
      <c r="AW46" s="88">
        <v>0</v>
      </c>
      <c r="AX46" s="88">
        <v>0</v>
      </c>
      <c r="AY46" s="87">
        <v>0</v>
      </c>
      <c r="AZ46" s="87">
        <v>0</v>
      </c>
      <c r="BA46" s="87">
        <v>0</v>
      </c>
      <c r="BB46" s="87">
        <v>0</v>
      </c>
      <c r="BC46" s="87">
        <v>0</v>
      </c>
      <c r="BD46" s="87">
        <v>0</v>
      </c>
      <c r="BE46" s="87">
        <v>0</v>
      </c>
      <c r="BF46" s="87">
        <v>0</v>
      </c>
      <c r="BG46" s="88">
        <v>0</v>
      </c>
      <c r="BH46" s="88">
        <v>0</v>
      </c>
      <c r="BI46" s="88">
        <v>0</v>
      </c>
      <c r="BJ46" s="88">
        <v>0</v>
      </c>
      <c r="BK46" s="88">
        <v>0</v>
      </c>
      <c r="BL46" s="88">
        <v>0</v>
      </c>
      <c r="BM46" s="88">
        <v>0</v>
      </c>
      <c r="BN46" s="590">
        <v>0</v>
      </c>
      <c r="BO46" s="171">
        <v>2023</v>
      </c>
      <c r="BP46" s="171">
        <v>1</v>
      </c>
      <c r="BQ46" s="171">
        <v>19</v>
      </c>
      <c r="BS46" s="76" t="str">
        <f t="shared" si="1"/>
        <v>○</v>
      </c>
    </row>
    <row r="47" spans="1:71" x14ac:dyDescent="0.2">
      <c r="A47" s="210">
        <v>1054</v>
      </c>
      <c r="B47" s="211"/>
      <c r="C47" s="212"/>
      <c r="D47" s="211"/>
      <c r="E47" s="212"/>
      <c r="F47" s="211"/>
      <c r="G47" s="211"/>
      <c r="H47" s="212"/>
      <c r="I47" s="211"/>
      <c r="J47" s="211"/>
      <c r="K47" s="211"/>
      <c r="L47" s="171"/>
      <c r="M47" s="171" t="s">
        <v>366</v>
      </c>
      <c r="N47" s="171" t="s">
        <v>272</v>
      </c>
      <c r="O47" s="171" t="s">
        <v>367</v>
      </c>
      <c r="P47" s="171" t="s">
        <v>916</v>
      </c>
      <c r="Q47" s="171"/>
      <c r="R47" s="213">
        <v>365000</v>
      </c>
      <c r="S47" s="87">
        <v>365970</v>
      </c>
      <c r="T47" s="87">
        <v>0</v>
      </c>
      <c r="U47" s="87">
        <v>365970</v>
      </c>
      <c r="V47" s="87">
        <v>365970</v>
      </c>
      <c r="W47" s="87">
        <v>905000</v>
      </c>
      <c r="X47" s="87">
        <v>365970</v>
      </c>
      <c r="Y47" s="87">
        <v>365970</v>
      </c>
      <c r="Z47" s="87">
        <v>365000</v>
      </c>
      <c r="AA47" s="214">
        <v>0</v>
      </c>
      <c r="AB47" s="214">
        <v>0</v>
      </c>
      <c r="AC47" s="214">
        <v>0</v>
      </c>
      <c r="AD47" s="214">
        <v>0</v>
      </c>
      <c r="AE47" s="214">
        <v>0</v>
      </c>
      <c r="AF47" s="214">
        <v>0</v>
      </c>
      <c r="AG47" s="214">
        <v>0</v>
      </c>
      <c r="AH47" s="214">
        <v>0</v>
      </c>
      <c r="AI47" s="87">
        <v>0</v>
      </c>
      <c r="AJ47" s="87">
        <v>0</v>
      </c>
      <c r="AK47" s="87">
        <v>0</v>
      </c>
      <c r="AL47" s="87">
        <v>0</v>
      </c>
      <c r="AM47" s="87">
        <v>0</v>
      </c>
      <c r="AN47" s="87">
        <v>0</v>
      </c>
      <c r="AO47" s="87">
        <v>0</v>
      </c>
      <c r="AP47" s="87">
        <v>0</v>
      </c>
      <c r="AQ47" s="88">
        <v>365970</v>
      </c>
      <c r="AR47" s="88">
        <v>0</v>
      </c>
      <c r="AS47" s="88">
        <v>365970</v>
      </c>
      <c r="AT47" s="88">
        <v>365970</v>
      </c>
      <c r="AU47" s="88">
        <v>905000</v>
      </c>
      <c r="AV47" s="88">
        <v>365970</v>
      </c>
      <c r="AW47" s="88">
        <v>365970</v>
      </c>
      <c r="AX47" s="88">
        <v>365000</v>
      </c>
      <c r="AY47" s="87">
        <v>0</v>
      </c>
      <c r="AZ47" s="87">
        <v>0</v>
      </c>
      <c r="BA47" s="87">
        <v>0</v>
      </c>
      <c r="BB47" s="87">
        <v>0</v>
      </c>
      <c r="BC47" s="87">
        <v>0</v>
      </c>
      <c r="BD47" s="87">
        <v>0</v>
      </c>
      <c r="BE47" s="87">
        <v>0</v>
      </c>
      <c r="BF47" s="87">
        <v>0</v>
      </c>
      <c r="BG47" s="88">
        <v>0</v>
      </c>
      <c r="BH47" s="88">
        <v>0</v>
      </c>
      <c r="BI47" s="88">
        <v>0</v>
      </c>
      <c r="BJ47" s="88">
        <v>0</v>
      </c>
      <c r="BK47" s="88">
        <v>0</v>
      </c>
      <c r="BL47" s="88">
        <v>0</v>
      </c>
      <c r="BM47" s="88">
        <v>0</v>
      </c>
      <c r="BN47" s="590">
        <v>0</v>
      </c>
      <c r="BO47" s="171">
        <v>2023</v>
      </c>
      <c r="BP47" s="171">
        <v>1</v>
      </c>
      <c r="BQ47" s="171">
        <v>19</v>
      </c>
      <c r="BS47" s="76" t="str">
        <f t="shared" si="1"/>
        <v>○</v>
      </c>
    </row>
    <row r="48" spans="1:71" x14ac:dyDescent="0.2">
      <c r="A48" s="210">
        <v>1055</v>
      </c>
      <c r="B48" s="211"/>
      <c r="C48" s="212"/>
      <c r="D48" s="211"/>
      <c r="E48" s="212"/>
      <c r="F48" s="211"/>
      <c r="G48" s="211"/>
      <c r="H48" s="212"/>
      <c r="I48" s="211"/>
      <c r="J48" s="211"/>
      <c r="K48" s="211"/>
      <c r="L48" s="171"/>
      <c r="M48" s="171" t="s">
        <v>368</v>
      </c>
      <c r="N48" s="171" t="s">
        <v>269</v>
      </c>
      <c r="O48" s="171" t="s">
        <v>369</v>
      </c>
      <c r="P48" s="171" t="s">
        <v>916</v>
      </c>
      <c r="Q48" s="171"/>
      <c r="R48" s="213">
        <v>888000</v>
      </c>
      <c r="S48" s="87">
        <v>0</v>
      </c>
      <c r="T48" s="87">
        <v>0</v>
      </c>
      <c r="U48" s="87">
        <v>0</v>
      </c>
      <c r="V48" s="87">
        <v>0</v>
      </c>
      <c r="W48" s="87">
        <v>0</v>
      </c>
      <c r="X48" s="87">
        <v>0</v>
      </c>
      <c r="Y48" s="87">
        <v>0</v>
      </c>
      <c r="Z48" s="87">
        <v>0</v>
      </c>
      <c r="AA48" s="214">
        <v>770000</v>
      </c>
      <c r="AB48" s="214">
        <v>0</v>
      </c>
      <c r="AC48" s="214">
        <v>770000</v>
      </c>
      <c r="AD48" s="214">
        <v>770000</v>
      </c>
      <c r="AE48" s="214">
        <v>820000</v>
      </c>
      <c r="AF48" s="214">
        <v>770000</v>
      </c>
      <c r="AG48" s="214">
        <v>770000</v>
      </c>
      <c r="AH48" s="214">
        <v>770000</v>
      </c>
      <c r="AI48" s="87">
        <v>118239</v>
      </c>
      <c r="AJ48" s="87">
        <v>0</v>
      </c>
      <c r="AK48" s="87">
        <v>118239</v>
      </c>
      <c r="AL48" s="87">
        <v>118239</v>
      </c>
      <c r="AM48" s="87">
        <v>3132000</v>
      </c>
      <c r="AN48" s="87">
        <v>118239</v>
      </c>
      <c r="AO48" s="87">
        <v>118239</v>
      </c>
      <c r="AP48" s="87">
        <v>118000</v>
      </c>
      <c r="AQ48" s="88">
        <v>0</v>
      </c>
      <c r="AR48" s="88">
        <v>0</v>
      </c>
      <c r="AS48" s="88">
        <v>0</v>
      </c>
      <c r="AT48" s="88">
        <v>0</v>
      </c>
      <c r="AU48" s="88">
        <v>0</v>
      </c>
      <c r="AV48" s="88">
        <v>0</v>
      </c>
      <c r="AW48" s="88">
        <v>0</v>
      </c>
      <c r="AX48" s="88">
        <v>0</v>
      </c>
      <c r="AY48" s="87">
        <v>0</v>
      </c>
      <c r="AZ48" s="87">
        <v>0</v>
      </c>
      <c r="BA48" s="87">
        <v>0</v>
      </c>
      <c r="BB48" s="87">
        <v>0</v>
      </c>
      <c r="BC48" s="87">
        <v>0</v>
      </c>
      <c r="BD48" s="87">
        <v>0</v>
      </c>
      <c r="BE48" s="87">
        <v>0</v>
      </c>
      <c r="BF48" s="87">
        <v>0</v>
      </c>
      <c r="BG48" s="88">
        <v>0</v>
      </c>
      <c r="BH48" s="88">
        <v>0</v>
      </c>
      <c r="BI48" s="88">
        <v>0</v>
      </c>
      <c r="BJ48" s="88">
        <v>0</v>
      </c>
      <c r="BK48" s="88">
        <v>0</v>
      </c>
      <c r="BL48" s="88">
        <v>0</v>
      </c>
      <c r="BM48" s="88">
        <v>0</v>
      </c>
      <c r="BN48" s="590">
        <v>0</v>
      </c>
      <c r="BO48" s="171">
        <v>2023</v>
      </c>
      <c r="BP48" s="171">
        <v>1</v>
      </c>
      <c r="BQ48" s="171">
        <v>19</v>
      </c>
      <c r="BS48" s="76" t="str">
        <f t="shared" si="1"/>
        <v>○</v>
      </c>
    </row>
    <row r="49" spans="1:71" x14ac:dyDescent="0.2">
      <c r="A49" s="210">
        <v>1056</v>
      </c>
      <c r="B49" s="211"/>
      <c r="C49" s="212"/>
      <c r="D49" s="211"/>
      <c r="E49" s="212"/>
      <c r="F49" s="211"/>
      <c r="G49" s="211"/>
      <c r="H49" s="212"/>
      <c r="I49" s="211"/>
      <c r="J49" s="211"/>
      <c r="K49" s="211"/>
      <c r="L49" s="171"/>
      <c r="M49" s="171" t="s">
        <v>370</v>
      </c>
      <c r="N49" s="171" t="s">
        <v>302</v>
      </c>
      <c r="O49" s="171" t="s">
        <v>371</v>
      </c>
      <c r="P49" s="171" t="s">
        <v>916</v>
      </c>
      <c r="Q49" s="171"/>
      <c r="R49" s="213">
        <v>1604000</v>
      </c>
      <c r="S49" s="87">
        <v>0</v>
      </c>
      <c r="T49" s="87">
        <v>0</v>
      </c>
      <c r="U49" s="87">
        <v>0</v>
      </c>
      <c r="V49" s="87">
        <v>0</v>
      </c>
      <c r="W49" s="87">
        <v>0</v>
      </c>
      <c r="X49" s="87">
        <v>0</v>
      </c>
      <c r="Y49" s="87">
        <v>0</v>
      </c>
      <c r="Z49" s="87">
        <v>0</v>
      </c>
      <c r="AA49" s="214">
        <v>451000</v>
      </c>
      <c r="AB49" s="214">
        <v>0</v>
      </c>
      <c r="AC49" s="214">
        <v>451000</v>
      </c>
      <c r="AD49" s="214">
        <v>451000</v>
      </c>
      <c r="AE49" s="214">
        <v>410000</v>
      </c>
      <c r="AF49" s="214">
        <v>410000</v>
      </c>
      <c r="AG49" s="214">
        <v>410000</v>
      </c>
      <c r="AH49" s="214">
        <v>410000</v>
      </c>
      <c r="AI49" s="87">
        <v>1194330</v>
      </c>
      <c r="AJ49" s="87">
        <v>0</v>
      </c>
      <c r="AK49" s="87">
        <v>1194330</v>
      </c>
      <c r="AL49" s="87">
        <v>1194330</v>
      </c>
      <c r="AM49" s="87">
        <v>1620000</v>
      </c>
      <c r="AN49" s="87">
        <v>1194330</v>
      </c>
      <c r="AO49" s="87">
        <v>1194330</v>
      </c>
      <c r="AP49" s="87">
        <v>1194000</v>
      </c>
      <c r="AQ49" s="88">
        <v>0</v>
      </c>
      <c r="AR49" s="88">
        <v>0</v>
      </c>
      <c r="AS49" s="88">
        <v>0</v>
      </c>
      <c r="AT49" s="88">
        <v>0</v>
      </c>
      <c r="AU49" s="88">
        <v>0</v>
      </c>
      <c r="AV49" s="88">
        <v>0</v>
      </c>
      <c r="AW49" s="88">
        <v>0</v>
      </c>
      <c r="AX49" s="88">
        <v>0</v>
      </c>
      <c r="AY49" s="87">
        <v>0</v>
      </c>
      <c r="AZ49" s="87">
        <v>0</v>
      </c>
      <c r="BA49" s="87">
        <v>0</v>
      </c>
      <c r="BB49" s="87">
        <v>0</v>
      </c>
      <c r="BC49" s="87">
        <v>0</v>
      </c>
      <c r="BD49" s="87">
        <v>0</v>
      </c>
      <c r="BE49" s="87">
        <v>0</v>
      </c>
      <c r="BF49" s="87">
        <v>0</v>
      </c>
      <c r="BG49" s="88">
        <v>0</v>
      </c>
      <c r="BH49" s="88">
        <v>0</v>
      </c>
      <c r="BI49" s="88">
        <v>0</v>
      </c>
      <c r="BJ49" s="88">
        <v>0</v>
      </c>
      <c r="BK49" s="88">
        <v>0</v>
      </c>
      <c r="BL49" s="88">
        <v>0</v>
      </c>
      <c r="BM49" s="88">
        <v>0</v>
      </c>
      <c r="BN49" s="590">
        <v>0</v>
      </c>
      <c r="BO49" s="171">
        <v>2023</v>
      </c>
      <c r="BP49" s="171">
        <v>1</v>
      </c>
      <c r="BQ49" s="171">
        <v>19</v>
      </c>
      <c r="BS49" s="76" t="str">
        <f t="shared" si="1"/>
        <v>○</v>
      </c>
    </row>
    <row r="50" spans="1:71" x14ac:dyDescent="0.2">
      <c r="A50" s="210">
        <v>1057</v>
      </c>
      <c r="B50" s="211"/>
      <c r="C50" s="212"/>
      <c r="D50" s="211"/>
      <c r="E50" s="212"/>
      <c r="F50" s="211"/>
      <c r="G50" s="211"/>
      <c r="H50" s="212"/>
      <c r="I50" s="211"/>
      <c r="J50" s="211"/>
      <c r="K50" s="211"/>
      <c r="L50" s="171"/>
      <c r="M50" s="171" t="s">
        <v>372</v>
      </c>
      <c r="N50" s="171" t="s">
        <v>373</v>
      </c>
      <c r="O50" s="171" t="s">
        <v>374</v>
      </c>
      <c r="P50" s="171" t="s">
        <v>916</v>
      </c>
      <c r="Q50" s="171"/>
      <c r="R50" s="213">
        <v>293000</v>
      </c>
      <c r="S50" s="87">
        <v>0</v>
      </c>
      <c r="T50" s="87">
        <v>0</v>
      </c>
      <c r="U50" s="87">
        <v>0</v>
      </c>
      <c r="V50" s="87">
        <v>0</v>
      </c>
      <c r="W50" s="87">
        <v>0</v>
      </c>
      <c r="X50" s="87">
        <v>0</v>
      </c>
      <c r="Y50" s="87">
        <v>0</v>
      </c>
      <c r="Z50" s="87">
        <v>0</v>
      </c>
      <c r="AA50" s="214">
        <v>0</v>
      </c>
      <c r="AB50" s="214">
        <v>0</v>
      </c>
      <c r="AC50" s="214">
        <v>0</v>
      </c>
      <c r="AD50" s="214">
        <v>0</v>
      </c>
      <c r="AE50" s="214">
        <v>0</v>
      </c>
      <c r="AF50" s="214">
        <v>0</v>
      </c>
      <c r="AG50" s="214">
        <v>0</v>
      </c>
      <c r="AH50" s="214">
        <v>0</v>
      </c>
      <c r="AI50" s="87">
        <v>70652</v>
      </c>
      <c r="AJ50" s="87">
        <v>0</v>
      </c>
      <c r="AK50" s="87">
        <v>70652</v>
      </c>
      <c r="AL50" s="87">
        <v>70652</v>
      </c>
      <c r="AM50" s="87">
        <v>424800</v>
      </c>
      <c r="AN50" s="87">
        <v>70652</v>
      </c>
      <c r="AO50" s="87">
        <v>70652</v>
      </c>
      <c r="AP50" s="87">
        <v>70000</v>
      </c>
      <c r="AQ50" s="88">
        <v>0</v>
      </c>
      <c r="AR50" s="88">
        <v>0</v>
      </c>
      <c r="AS50" s="88">
        <v>0</v>
      </c>
      <c r="AT50" s="88">
        <v>0</v>
      </c>
      <c r="AU50" s="88">
        <v>0</v>
      </c>
      <c r="AV50" s="88">
        <v>0</v>
      </c>
      <c r="AW50" s="88">
        <v>0</v>
      </c>
      <c r="AX50" s="88">
        <v>0</v>
      </c>
      <c r="AY50" s="87">
        <v>0</v>
      </c>
      <c r="AZ50" s="87">
        <v>0</v>
      </c>
      <c r="BA50" s="87">
        <v>0</v>
      </c>
      <c r="BB50" s="87">
        <v>0</v>
      </c>
      <c r="BC50" s="87">
        <v>0</v>
      </c>
      <c r="BD50" s="87">
        <v>0</v>
      </c>
      <c r="BE50" s="87">
        <v>0</v>
      </c>
      <c r="BF50" s="87">
        <v>0</v>
      </c>
      <c r="BG50" s="88">
        <v>223760</v>
      </c>
      <c r="BH50" s="88">
        <v>0</v>
      </c>
      <c r="BI50" s="88">
        <v>223760</v>
      </c>
      <c r="BJ50" s="88">
        <v>223760</v>
      </c>
      <c r="BK50" s="88">
        <v>223760</v>
      </c>
      <c r="BL50" s="88">
        <v>223760</v>
      </c>
      <c r="BM50" s="88">
        <v>223760</v>
      </c>
      <c r="BN50" s="590">
        <v>223000</v>
      </c>
      <c r="BO50" s="171">
        <v>2023</v>
      </c>
      <c r="BP50" s="171">
        <v>1</v>
      </c>
      <c r="BQ50" s="171">
        <v>19</v>
      </c>
      <c r="BS50" s="76" t="str">
        <f t="shared" si="1"/>
        <v>○</v>
      </c>
    </row>
    <row r="51" spans="1:71" x14ac:dyDescent="0.2">
      <c r="A51" s="210">
        <v>1058</v>
      </c>
      <c r="B51" s="211"/>
      <c r="C51" s="212"/>
      <c r="D51" s="211"/>
      <c r="E51" s="212"/>
      <c r="F51" s="211"/>
      <c r="G51" s="211"/>
      <c r="H51" s="212"/>
      <c r="I51" s="211"/>
      <c r="J51" s="211"/>
      <c r="K51" s="211"/>
      <c r="L51" s="171"/>
      <c r="M51" s="171" t="s">
        <v>308</v>
      </c>
      <c r="N51" s="171" t="s">
        <v>272</v>
      </c>
      <c r="O51" s="171" t="s">
        <v>309</v>
      </c>
      <c r="P51" s="171" t="s">
        <v>916</v>
      </c>
      <c r="Q51" s="171"/>
      <c r="R51" s="213">
        <v>2629000</v>
      </c>
      <c r="S51" s="87">
        <v>0</v>
      </c>
      <c r="T51" s="87">
        <v>0</v>
      </c>
      <c r="U51" s="87">
        <v>0</v>
      </c>
      <c r="V51" s="87">
        <v>0</v>
      </c>
      <c r="W51" s="87">
        <v>0</v>
      </c>
      <c r="X51" s="87">
        <v>0</v>
      </c>
      <c r="Y51" s="87">
        <v>0</v>
      </c>
      <c r="Z51" s="87">
        <v>0</v>
      </c>
      <c r="AA51" s="214">
        <v>0</v>
      </c>
      <c r="AB51" s="214">
        <v>0</v>
      </c>
      <c r="AC51" s="214">
        <v>0</v>
      </c>
      <c r="AD51" s="214">
        <v>0</v>
      </c>
      <c r="AE51" s="214">
        <v>0</v>
      </c>
      <c r="AF51" s="214">
        <v>0</v>
      </c>
      <c r="AG51" s="214">
        <v>0</v>
      </c>
      <c r="AH51" s="214">
        <v>0</v>
      </c>
      <c r="AI51" s="87">
        <v>1600940</v>
      </c>
      <c r="AJ51" s="87">
        <v>0</v>
      </c>
      <c r="AK51" s="87">
        <v>1600940</v>
      </c>
      <c r="AL51" s="87">
        <v>1600940</v>
      </c>
      <c r="AM51" s="87">
        <v>1598400</v>
      </c>
      <c r="AN51" s="87">
        <v>1598400</v>
      </c>
      <c r="AO51" s="87">
        <v>1598400</v>
      </c>
      <c r="AP51" s="87">
        <v>1598000</v>
      </c>
      <c r="AQ51" s="88">
        <v>0</v>
      </c>
      <c r="AR51" s="88">
        <v>0</v>
      </c>
      <c r="AS51" s="88">
        <v>0</v>
      </c>
      <c r="AT51" s="88">
        <v>0</v>
      </c>
      <c r="AU51" s="88">
        <v>0</v>
      </c>
      <c r="AV51" s="88">
        <v>0</v>
      </c>
      <c r="AW51" s="88">
        <v>0</v>
      </c>
      <c r="AX51" s="88">
        <v>0</v>
      </c>
      <c r="AY51" s="87">
        <v>0</v>
      </c>
      <c r="AZ51" s="87">
        <v>0</v>
      </c>
      <c r="BA51" s="87">
        <v>0</v>
      </c>
      <c r="BB51" s="87">
        <v>0</v>
      </c>
      <c r="BC51" s="87">
        <v>0</v>
      </c>
      <c r="BD51" s="87">
        <v>0</v>
      </c>
      <c r="BE51" s="87">
        <v>0</v>
      </c>
      <c r="BF51" s="87">
        <v>0</v>
      </c>
      <c r="BG51" s="88">
        <v>1031234</v>
      </c>
      <c r="BH51" s="88">
        <v>0</v>
      </c>
      <c r="BI51" s="88">
        <v>1031234</v>
      </c>
      <c r="BJ51" s="88">
        <v>1031234</v>
      </c>
      <c r="BK51" s="88">
        <v>1031234</v>
      </c>
      <c r="BL51" s="88">
        <v>1031234</v>
      </c>
      <c r="BM51" s="88">
        <v>1031234</v>
      </c>
      <c r="BN51" s="590">
        <v>1031000</v>
      </c>
      <c r="BO51" s="171">
        <v>2023</v>
      </c>
      <c r="BP51" s="171">
        <v>1</v>
      </c>
      <c r="BQ51" s="171">
        <v>19</v>
      </c>
      <c r="BS51" s="76" t="str">
        <f t="shared" si="1"/>
        <v>○</v>
      </c>
    </row>
    <row r="52" spans="1:71" x14ac:dyDescent="0.2">
      <c r="A52" s="210">
        <v>1060</v>
      </c>
      <c r="B52" s="211"/>
      <c r="C52" s="212"/>
      <c r="D52" s="211"/>
      <c r="E52" s="212"/>
      <c r="F52" s="211"/>
      <c r="G52" s="211"/>
      <c r="H52" s="212"/>
      <c r="I52" s="211"/>
      <c r="J52" s="211"/>
      <c r="K52" s="211"/>
      <c r="L52" s="171"/>
      <c r="M52" s="171" t="s">
        <v>375</v>
      </c>
      <c r="N52" s="171" t="s">
        <v>313</v>
      </c>
      <c r="O52" s="171" t="s">
        <v>376</v>
      </c>
      <c r="P52" s="171" t="s">
        <v>916</v>
      </c>
      <c r="Q52" s="171"/>
      <c r="R52" s="213">
        <v>269000</v>
      </c>
      <c r="S52" s="87">
        <v>0</v>
      </c>
      <c r="T52" s="87">
        <v>0</v>
      </c>
      <c r="U52" s="87">
        <v>0</v>
      </c>
      <c r="V52" s="87">
        <v>0</v>
      </c>
      <c r="W52" s="87">
        <v>0</v>
      </c>
      <c r="X52" s="87">
        <v>0</v>
      </c>
      <c r="Y52" s="87">
        <v>0</v>
      </c>
      <c r="Z52" s="87">
        <v>0</v>
      </c>
      <c r="AA52" s="214">
        <v>0</v>
      </c>
      <c r="AB52" s="214">
        <v>0</v>
      </c>
      <c r="AC52" s="214">
        <v>0</v>
      </c>
      <c r="AD52" s="214">
        <v>0</v>
      </c>
      <c r="AE52" s="214">
        <v>0</v>
      </c>
      <c r="AF52" s="214">
        <v>0</v>
      </c>
      <c r="AG52" s="214">
        <v>0</v>
      </c>
      <c r="AH52" s="214">
        <v>0</v>
      </c>
      <c r="AI52" s="87">
        <v>0</v>
      </c>
      <c r="AJ52" s="87">
        <v>0</v>
      </c>
      <c r="AK52" s="87">
        <v>0</v>
      </c>
      <c r="AL52" s="87">
        <v>0</v>
      </c>
      <c r="AM52" s="87">
        <v>0</v>
      </c>
      <c r="AN52" s="87">
        <v>0</v>
      </c>
      <c r="AO52" s="87">
        <v>0</v>
      </c>
      <c r="AP52" s="87">
        <v>0</v>
      </c>
      <c r="AQ52" s="88">
        <v>0</v>
      </c>
      <c r="AR52" s="88">
        <v>0</v>
      </c>
      <c r="AS52" s="88">
        <v>0</v>
      </c>
      <c r="AT52" s="88">
        <v>0</v>
      </c>
      <c r="AU52" s="88">
        <v>0</v>
      </c>
      <c r="AV52" s="88">
        <v>0</v>
      </c>
      <c r="AW52" s="88">
        <v>0</v>
      </c>
      <c r="AX52" s="88">
        <v>0</v>
      </c>
      <c r="AY52" s="87">
        <v>0</v>
      </c>
      <c r="AZ52" s="87">
        <v>0</v>
      </c>
      <c r="BA52" s="87">
        <v>0</v>
      </c>
      <c r="BB52" s="87">
        <v>0</v>
      </c>
      <c r="BC52" s="87">
        <v>0</v>
      </c>
      <c r="BD52" s="87">
        <v>0</v>
      </c>
      <c r="BE52" s="87">
        <v>0</v>
      </c>
      <c r="BF52" s="87">
        <v>0</v>
      </c>
      <c r="BG52" s="88">
        <v>269300</v>
      </c>
      <c r="BH52" s="88">
        <v>0</v>
      </c>
      <c r="BI52" s="88">
        <v>269300</v>
      </c>
      <c r="BJ52" s="88">
        <v>269300</v>
      </c>
      <c r="BK52" s="88">
        <v>269300</v>
      </c>
      <c r="BL52" s="88">
        <v>269300</v>
      </c>
      <c r="BM52" s="88">
        <v>269300</v>
      </c>
      <c r="BN52" s="590">
        <v>269000</v>
      </c>
      <c r="BO52" s="171">
        <v>2023</v>
      </c>
      <c r="BP52" s="171">
        <v>1</v>
      </c>
      <c r="BQ52" s="171">
        <v>19</v>
      </c>
      <c r="BS52" s="76" t="str">
        <f t="shared" si="1"/>
        <v>○</v>
      </c>
    </row>
    <row r="53" spans="1:71" x14ac:dyDescent="0.2">
      <c r="A53" s="210">
        <v>1061</v>
      </c>
      <c r="B53" s="211"/>
      <c r="C53" s="212"/>
      <c r="D53" s="211"/>
      <c r="E53" s="212"/>
      <c r="F53" s="211"/>
      <c r="G53" s="211"/>
      <c r="H53" s="212"/>
      <c r="I53" s="211"/>
      <c r="J53" s="211"/>
      <c r="K53" s="211"/>
      <c r="L53" s="171"/>
      <c r="M53" s="171" t="s">
        <v>377</v>
      </c>
      <c r="N53" s="171" t="s">
        <v>286</v>
      </c>
      <c r="O53" s="171" t="s">
        <v>378</v>
      </c>
      <c r="P53" s="171" t="s">
        <v>916</v>
      </c>
      <c r="Q53" s="171"/>
      <c r="R53" s="213">
        <v>552000</v>
      </c>
      <c r="S53" s="87">
        <v>0</v>
      </c>
      <c r="T53" s="87">
        <v>0</v>
      </c>
      <c r="U53" s="87">
        <v>0</v>
      </c>
      <c r="V53" s="87">
        <v>0</v>
      </c>
      <c r="W53" s="87">
        <v>0</v>
      </c>
      <c r="X53" s="87">
        <v>0</v>
      </c>
      <c r="Y53" s="87">
        <v>0</v>
      </c>
      <c r="Z53" s="87">
        <v>0</v>
      </c>
      <c r="AA53" s="214">
        <v>409860</v>
      </c>
      <c r="AB53" s="214">
        <v>0</v>
      </c>
      <c r="AC53" s="214">
        <v>409860</v>
      </c>
      <c r="AD53" s="214">
        <v>409860</v>
      </c>
      <c r="AE53" s="214">
        <v>410000</v>
      </c>
      <c r="AF53" s="214">
        <v>409860</v>
      </c>
      <c r="AG53" s="214">
        <v>409860</v>
      </c>
      <c r="AH53" s="214">
        <v>409000</v>
      </c>
      <c r="AI53" s="87">
        <v>143110</v>
      </c>
      <c r="AJ53" s="87">
        <v>0</v>
      </c>
      <c r="AK53" s="87">
        <v>143110</v>
      </c>
      <c r="AL53" s="87">
        <v>143110</v>
      </c>
      <c r="AM53" s="87">
        <v>2592000</v>
      </c>
      <c r="AN53" s="87">
        <v>143110</v>
      </c>
      <c r="AO53" s="87">
        <v>143110</v>
      </c>
      <c r="AP53" s="87">
        <v>143000</v>
      </c>
      <c r="AQ53" s="88">
        <v>0</v>
      </c>
      <c r="AR53" s="88">
        <v>0</v>
      </c>
      <c r="AS53" s="88">
        <v>0</v>
      </c>
      <c r="AT53" s="88">
        <v>0</v>
      </c>
      <c r="AU53" s="88">
        <v>0</v>
      </c>
      <c r="AV53" s="88">
        <v>0</v>
      </c>
      <c r="AW53" s="88">
        <v>0</v>
      </c>
      <c r="AX53" s="88">
        <v>0</v>
      </c>
      <c r="AY53" s="87">
        <v>0</v>
      </c>
      <c r="AZ53" s="87">
        <v>0</v>
      </c>
      <c r="BA53" s="87">
        <v>0</v>
      </c>
      <c r="BB53" s="87">
        <v>0</v>
      </c>
      <c r="BC53" s="87">
        <v>0</v>
      </c>
      <c r="BD53" s="87">
        <v>0</v>
      </c>
      <c r="BE53" s="87">
        <v>0</v>
      </c>
      <c r="BF53" s="87">
        <v>0</v>
      </c>
      <c r="BG53" s="88">
        <v>0</v>
      </c>
      <c r="BH53" s="88">
        <v>0</v>
      </c>
      <c r="BI53" s="88">
        <v>0</v>
      </c>
      <c r="BJ53" s="88">
        <v>0</v>
      </c>
      <c r="BK53" s="88">
        <v>0</v>
      </c>
      <c r="BL53" s="88">
        <v>0</v>
      </c>
      <c r="BM53" s="88">
        <v>0</v>
      </c>
      <c r="BN53" s="590">
        <v>0</v>
      </c>
      <c r="BO53" s="171">
        <v>2023</v>
      </c>
      <c r="BP53" s="171">
        <v>1</v>
      </c>
      <c r="BQ53" s="171">
        <v>19</v>
      </c>
      <c r="BS53" s="76" t="str">
        <f t="shared" si="1"/>
        <v>○</v>
      </c>
    </row>
    <row r="54" spans="1:71" x14ac:dyDescent="0.2">
      <c r="A54" s="210">
        <v>1062</v>
      </c>
      <c r="B54" s="211"/>
      <c r="C54" s="212"/>
      <c r="D54" s="211"/>
      <c r="E54" s="212"/>
      <c r="F54" s="211"/>
      <c r="G54" s="211"/>
      <c r="H54" s="212"/>
      <c r="I54" s="211"/>
      <c r="J54" s="211"/>
      <c r="K54" s="211"/>
      <c r="L54" s="171"/>
      <c r="M54" s="171" t="s">
        <v>379</v>
      </c>
      <c r="N54" s="171" t="s">
        <v>272</v>
      </c>
      <c r="O54" s="171" t="s">
        <v>380</v>
      </c>
      <c r="P54" s="171" t="s">
        <v>916</v>
      </c>
      <c r="Q54" s="171"/>
      <c r="R54" s="213">
        <v>530000</v>
      </c>
      <c r="S54" s="87">
        <v>0</v>
      </c>
      <c r="T54" s="87">
        <v>0</v>
      </c>
      <c r="U54" s="87">
        <v>0</v>
      </c>
      <c r="V54" s="87">
        <v>0</v>
      </c>
      <c r="W54" s="87">
        <v>0</v>
      </c>
      <c r="X54" s="87">
        <v>0</v>
      </c>
      <c r="Y54" s="87">
        <v>0</v>
      </c>
      <c r="Z54" s="87">
        <v>0</v>
      </c>
      <c r="AA54" s="214">
        <v>0</v>
      </c>
      <c r="AB54" s="214">
        <v>0</v>
      </c>
      <c r="AC54" s="214">
        <v>0</v>
      </c>
      <c r="AD54" s="214">
        <v>0</v>
      </c>
      <c r="AE54" s="214">
        <v>0</v>
      </c>
      <c r="AF54" s="214">
        <v>0</v>
      </c>
      <c r="AG54" s="214">
        <v>0</v>
      </c>
      <c r="AH54" s="214">
        <v>0</v>
      </c>
      <c r="AI54" s="87">
        <v>0</v>
      </c>
      <c r="AJ54" s="87">
        <v>0</v>
      </c>
      <c r="AK54" s="87">
        <v>0</v>
      </c>
      <c r="AL54" s="87">
        <v>0</v>
      </c>
      <c r="AM54" s="87">
        <v>0</v>
      </c>
      <c r="AN54" s="87">
        <v>0</v>
      </c>
      <c r="AO54" s="87">
        <v>0</v>
      </c>
      <c r="AP54" s="87">
        <v>0</v>
      </c>
      <c r="AQ54" s="88">
        <v>0</v>
      </c>
      <c r="AR54" s="88">
        <v>0</v>
      </c>
      <c r="AS54" s="88">
        <v>0</v>
      </c>
      <c r="AT54" s="88">
        <v>0</v>
      </c>
      <c r="AU54" s="88">
        <v>0</v>
      </c>
      <c r="AV54" s="88">
        <v>0</v>
      </c>
      <c r="AW54" s="88">
        <v>0</v>
      </c>
      <c r="AX54" s="88">
        <v>0</v>
      </c>
      <c r="AY54" s="87">
        <v>0</v>
      </c>
      <c r="AZ54" s="87">
        <v>0</v>
      </c>
      <c r="BA54" s="87">
        <v>0</v>
      </c>
      <c r="BB54" s="87">
        <v>0</v>
      </c>
      <c r="BC54" s="87">
        <v>0</v>
      </c>
      <c r="BD54" s="87">
        <v>0</v>
      </c>
      <c r="BE54" s="87">
        <v>0</v>
      </c>
      <c r="BF54" s="87">
        <v>0</v>
      </c>
      <c r="BG54" s="88">
        <v>530783</v>
      </c>
      <c r="BH54" s="88">
        <v>0</v>
      </c>
      <c r="BI54" s="88">
        <v>530783</v>
      </c>
      <c r="BJ54" s="88">
        <v>530783</v>
      </c>
      <c r="BK54" s="88">
        <v>530783</v>
      </c>
      <c r="BL54" s="88">
        <v>530783</v>
      </c>
      <c r="BM54" s="88">
        <v>530783</v>
      </c>
      <c r="BN54" s="590">
        <v>530000</v>
      </c>
      <c r="BO54" s="171">
        <v>2023</v>
      </c>
      <c r="BP54" s="171">
        <v>1</v>
      </c>
      <c r="BQ54" s="171">
        <v>19</v>
      </c>
      <c r="BS54" s="76" t="str">
        <f t="shared" si="1"/>
        <v>○</v>
      </c>
    </row>
    <row r="55" spans="1:71" x14ac:dyDescent="0.2">
      <c r="A55" s="210">
        <v>1063</v>
      </c>
      <c r="B55" s="211"/>
      <c r="C55" s="212"/>
      <c r="D55" s="211"/>
      <c r="E55" s="212"/>
      <c r="F55" s="211"/>
      <c r="G55" s="211"/>
      <c r="H55" s="212"/>
      <c r="I55" s="211"/>
      <c r="J55" s="211"/>
      <c r="K55" s="211"/>
      <c r="L55" s="171"/>
      <c r="M55" s="171" t="s">
        <v>381</v>
      </c>
      <c r="N55" s="171" t="s">
        <v>269</v>
      </c>
      <c r="O55" s="171" t="s">
        <v>282</v>
      </c>
      <c r="P55" s="171" t="s">
        <v>916</v>
      </c>
      <c r="Q55" s="171"/>
      <c r="R55" s="213">
        <v>356000</v>
      </c>
      <c r="S55" s="87">
        <v>0</v>
      </c>
      <c r="T55" s="87">
        <v>0</v>
      </c>
      <c r="U55" s="87">
        <v>0</v>
      </c>
      <c r="V55" s="87">
        <v>0</v>
      </c>
      <c r="W55" s="87">
        <v>0</v>
      </c>
      <c r="X55" s="87">
        <v>0</v>
      </c>
      <c r="Y55" s="87">
        <v>0</v>
      </c>
      <c r="Z55" s="87">
        <v>0</v>
      </c>
      <c r="AA55" s="214">
        <v>341000</v>
      </c>
      <c r="AB55" s="214">
        <v>0</v>
      </c>
      <c r="AC55" s="214">
        <v>341000</v>
      </c>
      <c r="AD55" s="214">
        <v>341000</v>
      </c>
      <c r="AE55" s="214">
        <v>205000</v>
      </c>
      <c r="AF55" s="214">
        <v>205000</v>
      </c>
      <c r="AG55" s="214">
        <v>205000</v>
      </c>
      <c r="AH55" s="214">
        <v>205000</v>
      </c>
      <c r="AI55" s="87">
        <v>151100</v>
      </c>
      <c r="AJ55" s="87">
        <v>0</v>
      </c>
      <c r="AK55" s="87">
        <v>151100</v>
      </c>
      <c r="AL55" s="87">
        <v>151100</v>
      </c>
      <c r="AM55" s="87">
        <v>2484000</v>
      </c>
      <c r="AN55" s="87">
        <v>151100</v>
      </c>
      <c r="AO55" s="87">
        <v>151100</v>
      </c>
      <c r="AP55" s="87">
        <v>151000</v>
      </c>
      <c r="AQ55" s="88">
        <v>0</v>
      </c>
      <c r="AR55" s="88">
        <v>0</v>
      </c>
      <c r="AS55" s="88">
        <v>0</v>
      </c>
      <c r="AT55" s="88">
        <v>0</v>
      </c>
      <c r="AU55" s="88">
        <v>0</v>
      </c>
      <c r="AV55" s="88">
        <v>0</v>
      </c>
      <c r="AW55" s="88">
        <v>0</v>
      </c>
      <c r="AX55" s="88">
        <v>0</v>
      </c>
      <c r="AY55" s="87">
        <v>0</v>
      </c>
      <c r="AZ55" s="87">
        <v>0</v>
      </c>
      <c r="BA55" s="87">
        <v>0</v>
      </c>
      <c r="BB55" s="87">
        <v>0</v>
      </c>
      <c r="BC55" s="87">
        <v>0</v>
      </c>
      <c r="BD55" s="87">
        <v>0</v>
      </c>
      <c r="BE55" s="87">
        <v>0</v>
      </c>
      <c r="BF55" s="87">
        <v>0</v>
      </c>
      <c r="BG55" s="88">
        <v>0</v>
      </c>
      <c r="BH55" s="88">
        <v>0</v>
      </c>
      <c r="BI55" s="88">
        <v>0</v>
      </c>
      <c r="BJ55" s="88">
        <v>0</v>
      </c>
      <c r="BK55" s="88">
        <v>0</v>
      </c>
      <c r="BL55" s="88">
        <v>0</v>
      </c>
      <c r="BM55" s="88">
        <v>0</v>
      </c>
      <c r="BN55" s="590">
        <v>0</v>
      </c>
      <c r="BO55" s="171">
        <v>2023</v>
      </c>
      <c r="BP55" s="171">
        <v>1</v>
      </c>
      <c r="BQ55" s="171">
        <v>19</v>
      </c>
      <c r="BS55" s="76" t="str">
        <f t="shared" si="1"/>
        <v>○</v>
      </c>
    </row>
    <row r="56" spans="1:71" x14ac:dyDescent="0.2">
      <c r="A56" s="210">
        <v>1064</v>
      </c>
      <c r="B56" s="211"/>
      <c r="C56" s="212"/>
      <c r="D56" s="211"/>
      <c r="E56" s="212"/>
      <c r="F56" s="211"/>
      <c r="G56" s="211"/>
      <c r="H56" s="212"/>
      <c r="I56" s="211"/>
      <c r="J56" s="211"/>
      <c r="K56" s="211"/>
      <c r="L56" s="171"/>
      <c r="M56" s="171" t="s">
        <v>382</v>
      </c>
      <c r="N56" s="171" t="s">
        <v>286</v>
      </c>
      <c r="O56" s="171" t="s">
        <v>383</v>
      </c>
      <c r="P56" s="171" t="s">
        <v>916</v>
      </c>
      <c r="Q56" s="171"/>
      <c r="R56" s="213">
        <v>1426000</v>
      </c>
      <c r="S56" s="87">
        <v>0</v>
      </c>
      <c r="T56" s="87">
        <v>0</v>
      </c>
      <c r="U56" s="87">
        <v>0</v>
      </c>
      <c r="V56" s="87">
        <v>0</v>
      </c>
      <c r="W56" s="87">
        <v>0</v>
      </c>
      <c r="X56" s="87">
        <v>0</v>
      </c>
      <c r="Y56" s="87">
        <v>0</v>
      </c>
      <c r="Z56" s="87">
        <v>0</v>
      </c>
      <c r="AA56" s="214">
        <v>0</v>
      </c>
      <c r="AB56" s="214">
        <v>0</v>
      </c>
      <c r="AC56" s="214">
        <v>0</v>
      </c>
      <c r="AD56" s="214">
        <v>0</v>
      </c>
      <c r="AE56" s="214">
        <v>0</v>
      </c>
      <c r="AF56" s="214">
        <v>0</v>
      </c>
      <c r="AG56" s="214">
        <v>0</v>
      </c>
      <c r="AH56" s="214">
        <v>0</v>
      </c>
      <c r="AI56" s="87">
        <v>926750</v>
      </c>
      <c r="AJ56" s="87">
        <v>0</v>
      </c>
      <c r="AK56" s="87">
        <v>926750</v>
      </c>
      <c r="AL56" s="87">
        <v>926750</v>
      </c>
      <c r="AM56" s="87">
        <v>4320000</v>
      </c>
      <c r="AN56" s="87">
        <v>926750</v>
      </c>
      <c r="AO56" s="87">
        <v>926750</v>
      </c>
      <c r="AP56" s="87">
        <v>926000</v>
      </c>
      <c r="AQ56" s="88">
        <v>0</v>
      </c>
      <c r="AR56" s="88">
        <v>0</v>
      </c>
      <c r="AS56" s="88">
        <v>0</v>
      </c>
      <c r="AT56" s="88">
        <v>0</v>
      </c>
      <c r="AU56" s="88">
        <v>0</v>
      </c>
      <c r="AV56" s="88">
        <v>0</v>
      </c>
      <c r="AW56" s="88">
        <v>0</v>
      </c>
      <c r="AX56" s="88">
        <v>0</v>
      </c>
      <c r="AY56" s="87">
        <v>0</v>
      </c>
      <c r="AZ56" s="87">
        <v>0</v>
      </c>
      <c r="BA56" s="87">
        <v>0</v>
      </c>
      <c r="BB56" s="87">
        <v>0</v>
      </c>
      <c r="BC56" s="87">
        <v>0</v>
      </c>
      <c r="BD56" s="87">
        <v>0</v>
      </c>
      <c r="BE56" s="87">
        <v>0</v>
      </c>
      <c r="BF56" s="87">
        <v>0</v>
      </c>
      <c r="BG56" s="88">
        <v>500500</v>
      </c>
      <c r="BH56" s="88">
        <v>0</v>
      </c>
      <c r="BI56" s="88">
        <v>500500</v>
      </c>
      <c r="BJ56" s="88">
        <v>500500</v>
      </c>
      <c r="BK56" s="88">
        <v>500500</v>
      </c>
      <c r="BL56" s="88">
        <v>500500</v>
      </c>
      <c r="BM56" s="88">
        <v>500500</v>
      </c>
      <c r="BN56" s="590">
        <v>500000</v>
      </c>
      <c r="BO56" s="171">
        <v>2023</v>
      </c>
      <c r="BP56" s="171">
        <v>1</v>
      </c>
      <c r="BQ56" s="171">
        <v>19</v>
      </c>
      <c r="BS56" s="76" t="str">
        <f t="shared" si="1"/>
        <v>○</v>
      </c>
    </row>
    <row r="57" spans="1:71" x14ac:dyDescent="0.2">
      <c r="A57" s="210">
        <v>1065</v>
      </c>
      <c r="B57" s="211"/>
      <c r="C57" s="212"/>
      <c r="D57" s="211"/>
      <c r="E57" s="212"/>
      <c r="F57" s="211"/>
      <c r="G57" s="211"/>
      <c r="H57" s="212"/>
      <c r="I57" s="211"/>
      <c r="J57" s="211"/>
      <c r="K57" s="211"/>
      <c r="L57" s="171"/>
      <c r="M57" s="171" t="s">
        <v>384</v>
      </c>
      <c r="N57" s="171" t="s">
        <v>275</v>
      </c>
      <c r="O57" s="171" t="s">
        <v>385</v>
      </c>
      <c r="P57" s="171" t="s">
        <v>916</v>
      </c>
      <c r="Q57" s="171"/>
      <c r="R57" s="213">
        <v>1690000</v>
      </c>
      <c r="S57" s="87">
        <v>0</v>
      </c>
      <c r="T57" s="87">
        <v>0</v>
      </c>
      <c r="U57" s="87">
        <v>0</v>
      </c>
      <c r="V57" s="87">
        <v>0</v>
      </c>
      <c r="W57" s="87">
        <v>0</v>
      </c>
      <c r="X57" s="87">
        <v>0</v>
      </c>
      <c r="Y57" s="87">
        <v>0</v>
      </c>
      <c r="Z57" s="87">
        <v>0</v>
      </c>
      <c r="AA57" s="214">
        <v>561000</v>
      </c>
      <c r="AB57" s="214">
        <v>0</v>
      </c>
      <c r="AC57" s="214">
        <v>561000</v>
      </c>
      <c r="AD57" s="214">
        <v>561000</v>
      </c>
      <c r="AE57" s="214">
        <v>615000</v>
      </c>
      <c r="AF57" s="214">
        <v>561000</v>
      </c>
      <c r="AG57" s="214">
        <v>561000</v>
      </c>
      <c r="AH57" s="214">
        <v>561000</v>
      </c>
      <c r="AI57" s="87">
        <v>1129232</v>
      </c>
      <c r="AJ57" s="87">
        <v>0</v>
      </c>
      <c r="AK57" s="87">
        <v>1129232</v>
      </c>
      <c r="AL57" s="87">
        <v>1129232</v>
      </c>
      <c r="AM57" s="87">
        <v>3542400</v>
      </c>
      <c r="AN57" s="87">
        <v>1129232</v>
      </c>
      <c r="AO57" s="87">
        <v>1129232</v>
      </c>
      <c r="AP57" s="87">
        <v>1129000</v>
      </c>
      <c r="AQ57" s="88">
        <v>0</v>
      </c>
      <c r="AR57" s="88">
        <v>0</v>
      </c>
      <c r="AS57" s="88">
        <v>0</v>
      </c>
      <c r="AT57" s="88">
        <v>0</v>
      </c>
      <c r="AU57" s="88">
        <v>0</v>
      </c>
      <c r="AV57" s="88">
        <v>0</v>
      </c>
      <c r="AW57" s="88">
        <v>0</v>
      </c>
      <c r="AX57" s="88">
        <v>0</v>
      </c>
      <c r="AY57" s="87">
        <v>0</v>
      </c>
      <c r="AZ57" s="87">
        <v>0</v>
      </c>
      <c r="BA57" s="87">
        <v>0</v>
      </c>
      <c r="BB57" s="87">
        <v>0</v>
      </c>
      <c r="BC57" s="87">
        <v>0</v>
      </c>
      <c r="BD57" s="87">
        <v>0</v>
      </c>
      <c r="BE57" s="87">
        <v>0</v>
      </c>
      <c r="BF57" s="87">
        <v>0</v>
      </c>
      <c r="BG57" s="88">
        <v>0</v>
      </c>
      <c r="BH57" s="88">
        <v>0</v>
      </c>
      <c r="BI57" s="88">
        <v>0</v>
      </c>
      <c r="BJ57" s="88">
        <v>0</v>
      </c>
      <c r="BK57" s="88">
        <v>0</v>
      </c>
      <c r="BL57" s="88">
        <v>0</v>
      </c>
      <c r="BM57" s="88">
        <v>0</v>
      </c>
      <c r="BN57" s="590">
        <v>0</v>
      </c>
      <c r="BO57" s="171">
        <v>2023</v>
      </c>
      <c r="BP57" s="171">
        <v>1</v>
      </c>
      <c r="BQ57" s="171">
        <v>19</v>
      </c>
      <c r="BS57" s="76" t="str">
        <f t="shared" si="1"/>
        <v>○</v>
      </c>
    </row>
    <row r="58" spans="1:71" x14ac:dyDescent="0.2">
      <c r="A58" s="210">
        <v>1067</v>
      </c>
      <c r="B58" s="211"/>
      <c r="C58" s="212"/>
      <c r="D58" s="211"/>
      <c r="E58" s="212"/>
      <c r="F58" s="211"/>
      <c r="G58" s="211"/>
      <c r="H58" s="212"/>
      <c r="I58" s="211"/>
      <c r="J58" s="211"/>
      <c r="K58" s="211"/>
      <c r="L58" s="171"/>
      <c r="M58" s="171" t="s">
        <v>386</v>
      </c>
      <c r="N58" s="171" t="s">
        <v>269</v>
      </c>
      <c r="O58" s="171" t="s">
        <v>387</v>
      </c>
      <c r="P58" s="171" t="s">
        <v>916</v>
      </c>
      <c r="Q58" s="171"/>
      <c r="R58" s="213">
        <v>1755000</v>
      </c>
      <c r="S58" s="87">
        <v>0</v>
      </c>
      <c r="T58" s="87">
        <v>0</v>
      </c>
      <c r="U58" s="87">
        <v>0</v>
      </c>
      <c r="V58" s="87">
        <v>0</v>
      </c>
      <c r="W58" s="87">
        <v>0</v>
      </c>
      <c r="X58" s="87">
        <v>0</v>
      </c>
      <c r="Y58" s="87">
        <v>0</v>
      </c>
      <c r="Z58" s="87">
        <v>0</v>
      </c>
      <c r="AA58" s="214">
        <v>0</v>
      </c>
      <c r="AB58" s="214">
        <v>0</v>
      </c>
      <c r="AC58" s="214">
        <v>0</v>
      </c>
      <c r="AD58" s="214">
        <v>0</v>
      </c>
      <c r="AE58" s="214">
        <v>0</v>
      </c>
      <c r="AF58" s="214">
        <v>0</v>
      </c>
      <c r="AG58" s="214">
        <v>0</v>
      </c>
      <c r="AH58" s="214">
        <v>0</v>
      </c>
      <c r="AI58" s="87">
        <v>1549221</v>
      </c>
      <c r="AJ58" s="87">
        <v>0</v>
      </c>
      <c r="AK58" s="87">
        <v>1549221</v>
      </c>
      <c r="AL58" s="87">
        <v>1549221</v>
      </c>
      <c r="AM58" s="87">
        <v>3931200</v>
      </c>
      <c r="AN58" s="87">
        <v>1549221</v>
      </c>
      <c r="AO58" s="87">
        <v>1549221</v>
      </c>
      <c r="AP58" s="87">
        <v>1549000</v>
      </c>
      <c r="AQ58" s="88">
        <v>0</v>
      </c>
      <c r="AR58" s="88">
        <v>0</v>
      </c>
      <c r="AS58" s="88">
        <v>0</v>
      </c>
      <c r="AT58" s="88">
        <v>0</v>
      </c>
      <c r="AU58" s="88">
        <v>0</v>
      </c>
      <c r="AV58" s="88">
        <v>0</v>
      </c>
      <c r="AW58" s="88">
        <v>0</v>
      </c>
      <c r="AX58" s="88">
        <v>0</v>
      </c>
      <c r="AY58" s="87">
        <v>0</v>
      </c>
      <c r="AZ58" s="87">
        <v>0</v>
      </c>
      <c r="BA58" s="87">
        <v>0</v>
      </c>
      <c r="BB58" s="87">
        <v>0</v>
      </c>
      <c r="BC58" s="87">
        <v>0</v>
      </c>
      <c r="BD58" s="87">
        <v>0</v>
      </c>
      <c r="BE58" s="87">
        <v>0</v>
      </c>
      <c r="BF58" s="87">
        <v>0</v>
      </c>
      <c r="BG58" s="88">
        <v>206800</v>
      </c>
      <c r="BH58" s="88">
        <v>0</v>
      </c>
      <c r="BI58" s="88">
        <v>206800</v>
      </c>
      <c r="BJ58" s="88">
        <v>206800</v>
      </c>
      <c r="BK58" s="88">
        <v>206800</v>
      </c>
      <c r="BL58" s="88">
        <v>206800</v>
      </c>
      <c r="BM58" s="88">
        <v>206800</v>
      </c>
      <c r="BN58" s="590">
        <v>206000</v>
      </c>
      <c r="BO58" s="171">
        <v>2023</v>
      </c>
      <c r="BP58" s="171">
        <v>1</v>
      </c>
      <c r="BQ58" s="171">
        <v>19</v>
      </c>
      <c r="BS58" s="76" t="str">
        <f t="shared" si="1"/>
        <v>○</v>
      </c>
    </row>
    <row r="59" spans="1:71" x14ac:dyDescent="0.2">
      <c r="A59" s="210">
        <v>1069</v>
      </c>
      <c r="B59" s="211"/>
      <c r="C59" s="212"/>
      <c r="D59" s="211"/>
      <c r="E59" s="212"/>
      <c r="F59" s="211"/>
      <c r="G59" s="211"/>
      <c r="H59" s="212"/>
      <c r="I59" s="211"/>
      <c r="J59" s="211"/>
      <c r="K59" s="211"/>
      <c r="L59" s="171"/>
      <c r="M59" s="171" t="s">
        <v>388</v>
      </c>
      <c r="N59" s="171" t="s">
        <v>269</v>
      </c>
      <c r="O59" s="171" t="s">
        <v>389</v>
      </c>
      <c r="P59" s="171" t="s">
        <v>916</v>
      </c>
      <c r="Q59" s="171"/>
      <c r="R59" s="213">
        <v>198000</v>
      </c>
      <c r="S59" s="87">
        <v>0</v>
      </c>
      <c r="T59" s="87">
        <v>0</v>
      </c>
      <c r="U59" s="87">
        <v>0</v>
      </c>
      <c r="V59" s="87">
        <v>0</v>
      </c>
      <c r="W59" s="87">
        <v>0</v>
      </c>
      <c r="X59" s="87">
        <v>0</v>
      </c>
      <c r="Y59" s="87">
        <v>0</v>
      </c>
      <c r="Z59" s="87">
        <v>0</v>
      </c>
      <c r="AA59" s="214">
        <v>198000</v>
      </c>
      <c r="AB59" s="214">
        <v>0</v>
      </c>
      <c r="AC59" s="214">
        <v>198000</v>
      </c>
      <c r="AD59" s="214">
        <v>198000</v>
      </c>
      <c r="AE59" s="214">
        <v>205000</v>
      </c>
      <c r="AF59" s="214">
        <v>198000</v>
      </c>
      <c r="AG59" s="214">
        <v>198000</v>
      </c>
      <c r="AH59" s="214">
        <v>198000</v>
      </c>
      <c r="AI59" s="87">
        <v>0</v>
      </c>
      <c r="AJ59" s="87">
        <v>0</v>
      </c>
      <c r="AK59" s="87">
        <v>0</v>
      </c>
      <c r="AL59" s="87">
        <v>0</v>
      </c>
      <c r="AM59" s="87">
        <v>0</v>
      </c>
      <c r="AN59" s="87">
        <v>0</v>
      </c>
      <c r="AO59" s="87">
        <v>0</v>
      </c>
      <c r="AP59" s="87">
        <v>0</v>
      </c>
      <c r="AQ59" s="88">
        <v>0</v>
      </c>
      <c r="AR59" s="88">
        <v>0</v>
      </c>
      <c r="AS59" s="88">
        <v>0</v>
      </c>
      <c r="AT59" s="88">
        <v>0</v>
      </c>
      <c r="AU59" s="88">
        <v>0</v>
      </c>
      <c r="AV59" s="88">
        <v>0</v>
      </c>
      <c r="AW59" s="88">
        <v>0</v>
      </c>
      <c r="AX59" s="88">
        <v>0</v>
      </c>
      <c r="AY59" s="87">
        <v>0</v>
      </c>
      <c r="AZ59" s="87">
        <v>0</v>
      </c>
      <c r="BA59" s="87">
        <v>0</v>
      </c>
      <c r="BB59" s="87">
        <v>0</v>
      </c>
      <c r="BC59" s="87">
        <v>0</v>
      </c>
      <c r="BD59" s="87">
        <v>0</v>
      </c>
      <c r="BE59" s="87">
        <v>0</v>
      </c>
      <c r="BF59" s="87">
        <v>0</v>
      </c>
      <c r="BG59" s="88">
        <v>0</v>
      </c>
      <c r="BH59" s="88">
        <v>0</v>
      </c>
      <c r="BI59" s="88">
        <v>0</v>
      </c>
      <c r="BJ59" s="88">
        <v>0</v>
      </c>
      <c r="BK59" s="88">
        <v>0</v>
      </c>
      <c r="BL59" s="88">
        <v>0</v>
      </c>
      <c r="BM59" s="88">
        <v>0</v>
      </c>
      <c r="BN59" s="590">
        <v>0</v>
      </c>
      <c r="BO59" s="171">
        <v>2023</v>
      </c>
      <c r="BP59" s="171">
        <v>1</v>
      </c>
      <c r="BQ59" s="171">
        <v>19</v>
      </c>
      <c r="BS59" s="76" t="str">
        <f t="shared" si="1"/>
        <v>○</v>
      </c>
    </row>
    <row r="60" spans="1:71" x14ac:dyDescent="0.2">
      <c r="A60" s="210">
        <v>1070</v>
      </c>
      <c r="B60" s="211"/>
      <c r="C60" s="212"/>
      <c r="D60" s="211"/>
      <c r="E60" s="212"/>
      <c r="F60" s="211"/>
      <c r="G60" s="211"/>
      <c r="H60" s="212"/>
      <c r="I60" s="211"/>
      <c r="J60" s="211"/>
      <c r="K60" s="211"/>
      <c r="L60" s="171"/>
      <c r="M60" s="171" t="s">
        <v>268</v>
      </c>
      <c r="N60" s="171" t="s">
        <v>269</v>
      </c>
      <c r="O60" s="171" t="s">
        <v>270</v>
      </c>
      <c r="P60" s="171" t="s">
        <v>916</v>
      </c>
      <c r="Q60" s="171"/>
      <c r="R60" s="213">
        <v>33000</v>
      </c>
      <c r="S60" s="87">
        <v>0</v>
      </c>
      <c r="T60" s="87">
        <v>0</v>
      </c>
      <c r="U60" s="87">
        <v>0</v>
      </c>
      <c r="V60" s="87">
        <v>0</v>
      </c>
      <c r="W60" s="87">
        <v>0</v>
      </c>
      <c r="X60" s="87">
        <v>0</v>
      </c>
      <c r="Y60" s="87">
        <v>0</v>
      </c>
      <c r="Z60" s="87">
        <v>0</v>
      </c>
      <c r="AA60" s="214">
        <v>0</v>
      </c>
      <c r="AB60" s="214">
        <v>0</v>
      </c>
      <c r="AC60" s="214">
        <v>0</v>
      </c>
      <c r="AD60" s="214">
        <v>0</v>
      </c>
      <c r="AE60" s="214">
        <v>0</v>
      </c>
      <c r="AF60" s="214">
        <v>0</v>
      </c>
      <c r="AG60" s="214">
        <v>0</v>
      </c>
      <c r="AH60" s="214">
        <v>0</v>
      </c>
      <c r="AI60" s="87">
        <v>33513</v>
      </c>
      <c r="AJ60" s="87">
        <v>0</v>
      </c>
      <c r="AK60" s="87">
        <v>33513</v>
      </c>
      <c r="AL60" s="87">
        <v>33513</v>
      </c>
      <c r="AM60" s="87">
        <v>1022400</v>
      </c>
      <c r="AN60" s="87">
        <v>33513</v>
      </c>
      <c r="AO60" s="87">
        <v>33513</v>
      </c>
      <c r="AP60" s="87">
        <v>33000</v>
      </c>
      <c r="AQ60" s="88">
        <v>0</v>
      </c>
      <c r="AR60" s="88">
        <v>0</v>
      </c>
      <c r="AS60" s="88">
        <v>0</v>
      </c>
      <c r="AT60" s="88">
        <v>0</v>
      </c>
      <c r="AU60" s="88">
        <v>0</v>
      </c>
      <c r="AV60" s="88">
        <v>0</v>
      </c>
      <c r="AW60" s="88">
        <v>0</v>
      </c>
      <c r="AX60" s="88">
        <v>0</v>
      </c>
      <c r="AY60" s="87">
        <v>0</v>
      </c>
      <c r="AZ60" s="87">
        <v>0</v>
      </c>
      <c r="BA60" s="87">
        <v>0</v>
      </c>
      <c r="BB60" s="87">
        <v>0</v>
      </c>
      <c r="BC60" s="87">
        <v>0</v>
      </c>
      <c r="BD60" s="87">
        <v>0</v>
      </c>
      <c r="BE60" s="87">
        <v>0</v>
      </c>
      <c r="BF60" s="87">
        <v>0</v>
      </c>
      <c r="BG60" s="88">
        <v>0</v>
      </c>
      <c r="BH60" s="88">
        <v>0</v>
      </c>
      <c r="BI60" s="88">
        <v>0</v>
      </c>
      <c r="BJ60" s="88">
        <v>0</v>
      </c>
      <c r="BK60" s="88">
        <v>0</v>
      </c>
      <c r="BL60" s="88">
        <v>0</v>
      </c>
      <c r="BM60" s="88">
        <v>0</v>
      </c>
      <c r="BN60" s="590">
        <v>0</v>
      </c>
      <c r="BO60" s="171">
        <v>2023</v>
      </c>
      <c r="BP60" s="171">
        <v>1</v>
      </c>
      <c r="BQ60" s="171">
        <v>19</v>
      </c>
      <c r="BS60" s="76" t="str">
        <f t="shared" si="1"/>
        <v>○</v>
      </c>
    </row>
    <row r="61" spans="1:71" x14ac:dyDescent="0.2">
      <c r="A61" s="210">
        <v>1071</v>
      </c>
      <c r="B61" s="211"/>
      <c r="C61" s="212"/>
      <c r="D61" s="211"/>
      <c r="E61" s="212"/>
      <c r="F61" s="211"/>
      <c r="G61" s="211"/>
      <c r="H61" s="212"/>
      <c r="I61" s="211"/>
      <c r="J61" s="211"/>
      <c r="K61" s="211"/>
      <c r="L61" s="171"/>
      <c r="M61" s="171" t="s">
        <v>390</v>
      </c>
      <c r="N61" s="171" t="s">
        <v>269</v>
      </c>
      <c r="O61" s="171" t="s">
        <v>391</v>
      </c>
      <c r="P61" s="171" t="s">
        <v>916</v>
      </c>
      <c r="Q61" s="171"/>
      <c r="R61" s="213">
        <v>142000</v>
      </c>
      <c r="S61" s="87">
        <v>0</v>
      </c>
      <c r="T61" s="87">
        <v>0</v>
      </c>
      <c r="U61" s="87">
        <v>0</v>
      </c>
      <c r="V61" s="87">
        <v>0</v>
      </c>
      <c r="W61" s="87">
        <v>0</v>
      </c>
      <c r="X61" s="87">
        <v>0</v>
      </c>
      <c r="Y61" s="87">
        <v>0</v>
      </c>
      <c r="Z61" s="87">
        <v>0</v>
      </c>
      <c r="AA61" s="214">
        <v>0</v>
      </c>
      <c r="AB61" s="214">
        <v>0</v>
      </c>
      <c r="AC61" s="214">
        <v>0</v>
      </c>
      <c r="AD61" s="214">
        <v>0</v>
      </c>
      <c r="AE61" s="214">
        <v>0</v>
      </c>
      <c r="AF61" s="214">
        <v>0</v>
      </c>
      <c r="AG61" s="214">
        <v>0</v>
      </c>
      <c r="AH61" s="214">
        <v>0</v>
      </c>
      <c r="AI61" s="87">
        <v>43191</v>
      </c>
      <c r="AJ61" s="87">
        <v>0</v>
      </c>
      <c r="AK61" s="87">
        <v>43191</v>
      </c>
      <c r="AL61" s="87">
        <v>43191</v>
      </c>
      <c r="AM61" s="87">
        <v>6480000</v>
      </c>
      <c r="AN61" s="87">
        <v>43191</v>
      </c>
      <c r="AO61" s="87">
        <v>43191</v>
      </c>
      <c r="AP61" s="87">
        <v>43000</v>
      </c>
      <c r="AQ61" s="88">
        <v>0</v>
      </c>
      <c r="AR61" s="88">
        <v>0</v>
      </c>
      <c r="AS61" s="88">
        <v>0</v>
      </c>
      <c r="AT61" s="88">
        <v>0</v>
      </c>
      <c r="AU61" s="88">
        <v>0</v>
      </c>
      <c r="AV61" s="88">
        <v>0</v>
      </c>
      <c r="AW61" s="88">
        <v>0</v>
      </c>
      <c r="AX61" s="88">
        <v>0</v>
      </c>
      <c r="AY61" s="87">
        <v>99440</v>
      </c>
      <c r="AZ61" s="87">
        <v>0</v>
      </c>
      <c r="BA61" s="87">
        <v>99440</v>
      </c>
      <c r="BB61" s="87">
        <v>99440</v>
      </c>
      <c r="BC61" s="87">
        <v>102800</v>
      </c>
      <c r="BD61" s="87">
        <v>99440</v>
      </c>
      <c r="BE61" s="87">
        <v>99440</v>
      </c>
      <c r="BF61" s="87">
        <v>99000</v>
      </c>
      <c r="BG61" s="88">
        <v>0</v>
      </c>
      <c r="BH61" s="88">
        <v>0</v>
      </c>
      <c r="BI61" s="88">
        <v>0</v>
      </c>
      <c r="BJ61" s="88">
        <v>0</v>
      </c>
      <c r="BK61" s="88">
        <v>0</v>
      </c>
      <c r="BL61" s="88">
        <v>0</v>
      </c>
      <c r="BM61" s="88">
        <v>0</v>
      </c>
      <c r="BN61" s="590">
        <v>0</v>
      </c>
      <c r="BO61" s="171">
        <v>2023</v>
      </c>
      <c r="BP61" s="171">
        <v>1</v>
      </c>
      <c r="BQ61" s="171">
        <v>19</v>
      </c>
      <c r="BS61" s="76" t="str">
        <f t="shared" si="1"/>
        <v>○</v>
      </c>
    </row>
    <row r="62" spans="1:71" x14ac:dyDescent="0.2">
      <c r="A62" s="210">
        <v>1073</v>
      </c>
      <c r="B62" s="211"/>
      <c r="C62" s="212"/>
      <c r="D62" s="211"/>
      <c r="E62" s="212"/>
      <c r="F62" s="211"/>
      <c r="G62" s="211"/>
      <c r="H62" s="212"/>
      <c r="I62" s="211"/>
      <c r="J62" s="211"/>
      <c r="K62" s="211"/>
      <c r="L62" s="171"/>
      <c r="M62" s="171" t="s">
        <v>392</v>
      </c>
      <c r="N62" s="171" t="s">
        <v>393</v>
      </c>
      <c r="O62" s="171" t="s">
        <v>394</v>
      </c>
      <c r="P62" s="171" t="s">
        <v>916</v>
      </c>
      <c r="Q62" s="171"/>
      <c r="R62" s="213">
        <v>825000</v>
      </c>
      <c r="S62" s="87">
        <v>0</v>
      </c>
      <c r="T62" s="87">
        <v>0</v>
      </c>
      <c r="U62" s="87">
        <v>0</v>
      </c>
      <c r="V62" s="87">
        <v>0</v>
      </c>
      <c r="W62" s="87">
        <v>0</v>
      </c>
      <c r="X62" s="87">
        <v>0</v>
      </c>
      <c r="Y62" s="87">
        <v>0</v>
      </c>
      <c r="Z62" s="87">
        <v>0</v>
      </c>
      <c r="AA62" s="214">
        <v>431200</v>
      </c>
      <c r="AB62" s="214">
        <v>0</v>
      </c>
      <c r="AC62" s="214">
        <v>431200</v>
      </c>
      <c r="AD62" s="214">
        <v>431200</v>
      </c>
      <c r="AE62" s="214">
        <v>410000</v>
      </c>
      <c r="AF62" s="214">
        <v>410000</v>
      </c>
      <c r="AG62" s="214">
        <v>410000</v>
      </c>
      <c r="AH62" s="214">
        <v>410000</v>
      </c>
      <c r="AI62" s="87">
        <v>415580</v>
      </c>
      <c r="AJ62" s="87">
        <v>0</v>
      </c>
      <c r="AK62" s="87">
        <v>415580</v>
      </c>
      <c r="AL62" s="87">
        <v>415580</v>
      </c>
      <c r="AM62" s="87">
        <v>1029600</v>
      </c>
      <c r="AN62" s="87">
        <v>415580</v>
      </c>
      <c r="AO62" s="87">
        <v>415580</v>
      </c>
      <c r="AP62" s="87">
        <v>415000</v>
      </c>
      <c r="AQ62" s="88">
        <v>0</v>
      </c>
      <c r="AR62" s="88">
        <v>0</v>
      </c>
      <c r="AS62" s="88">
        <v>0</v>
      </c>
      <c r="AT62" s="88">
        <v>0</v>
      </c>
      <c r="AU62" s="88">
        <v>0</v>
      </c>
      <c r="AV62" s="88">
        <v>0</v>
      </c>
      <c r="AW62" s="88">
        <v>0</v>
      </c>
      <c r="AX62" s="88">
        <v>0</v>
      </c>
      <c r="AY62" s="87">
        <v>0</v>
      </c>
      <c r="AZ62" s="87">
        <v>0</v>
      </c>
      <c r="BA62" s="87">
        <v>0</v>
      </c>
      <c r="BB62" s="87">
        <v>0</v>
      </c>
      <c r="BC62" s="87">
        <v>0</v>
      </c>
      <c r="BD62" s="87">
        <v>0</v>
      </c>
      <c r="BE62" s="87">
        <v>0</v>
      </c>
      <c r="BF62" s="87">
        <v>0</v>
      </c>
      <c r="BG62" s="88">
        <v>0</v>
      </c>
      <c r="BH62" s="88">
        <v>0</v>
      </c>
      <c r="BI62" s="88">
        <v>0</v>
      </c>
      <c r="BJ62" s="88">
        <v>0</v>
      </c>
      <c r="BK62" s="88">
        <v>0</v>
      </c>
      <c r="BL62" s="88">
        <v>0</v>
      </c>
      <c r="BM62" s="88">
        <v>0</v>
      </c>
      <c r="BN62" s="590">
        <v>0</v>
      </c>
      <c r="BO62" s="171">
        <v>2023</v>
      </c>
      <c r="BP62" s="171">
        <v>1</v>
      </c>
      <c r="BQ62" s="171">
        <v>19</v>
      </c>
      <c r="BS62" s="76" t="str">
        <f t="shared" si="1"/>
        <v>○</v>
      </c>
    </row>
    <row r="63" spans="1:71" x14ac:dyDescent="0.2">
      <c r="A63" s="210">
        <v>1074</v>
      </c>
      <c r="B63" s="211"/>
      <c r="C63" s="212"/>
      <c r="D63" s="211"/>
      <c r="E63" s="212"/>
      <c r="F63" s="211"/>
      <c r="G63" s="211"/>
      <c r="H63" s="212"/>
      <c r="I63" s="211"/>
      <c r="J63" s="211"/>
      <c r="K63" s="211"/>
      <c r="L63" s="171"/>
      <c r="M63" s="171" t="s">
        <v>395</v>
      </c>
      <c r="N63" s="171" t="s">
        <v>286</v>
      </c>
      <c r="O63" s="171" t="s">
        <v>396</v>
      </c>
      <c r="P63" s="171" t="s">
        <v>916</v>
      </c>
      <c r="Q63" s="171"/>
      <c r="R63" s="213">
        <v>564000</v>
      </c>
      <c r="S63" s="87">
        <v>0</v>
      </c>
      <c r="T63" s="87">
        <v>0</v>
      </c>
      <c r="U63" s="87">
        <v>0</v>
      </c>
      <c r="V63" s="87">
        <v>0</v>
      </c>
      <c r="W63" s="87">
        <v>0</v>
      </c>
      <c r="X63" s="87">
        <v>0</v>
      </c>
      <c r="Y63" s="87">
        <v>0</v>
      </c>
      <c r="Z63" s="87">
        <v>0</v>
      </c>
      <c r="AA63" s="214">
        <v>0</v>
      </c>
      <c r="AB63" s="214">
        <v>0</v>
      </c>
      <c r="AC63" s="214">
        <v>0</v>
      </c>
      <c r="AD63" s="214">
        <v>0</v>
      </c>
      <c r="AE63" s="214">
        <v>0</v>
      </c>
      <c r="AF63" s="214">
        <v>0</v>
      </c>
      <c r="AG63" s="214">
        <v>0</v>
      </c>
      <c r="AH63" s="214">
        <v>0</v>
      </c>
      <c r="AI63" s="87">
        <v>388270</v>
      </c>
      <c r="AJ63" s="87">
        <v>0</v>
      </c>
      <c r="AK63" s="87">
        <v>388270</v>
      </c>
      <c r="AL63" s="87">
        <v>388270</v>
      </c>
      <c r="AM63" s="87">
        <v>2610000</v>
      </c>
      <c r="AN63" s="87">
        <v>388270</v>
      </c>
      <c r="AO63" s="87">
        <v>388270</v>
      </c>
      <c r="AP63" s="87">
        <v>388000</v>
      </c>
      <c r="AQ63" s="88">
        <v>0</v>
      </c>
      <c r="AR63" s="88">
        <v>0</v>
      </c>
      <c r="AS63" s="88">
        <v>0</v>
      </c>
      <c r="AT63" s="88">
        <v>0</v>
      </c>
      <c r="AU63" s="88">
        <v>0</v>
      </c>
      <c r="AV63" s="88">
        <v>0</v>
      </c>
      <c r="AW63" s="88">
        <v>0</v>
      </c>
      <c r="AX63" s="88">
        <v>0</v>
      </c>
      <c r="AY63" s="87">
        <v>0</v>
      </c>
      <c r="AZ63" s="87">
        <v>0</v>
      </c>
      <c r="BA63" s="87">
        <v>0</v>
      </c>
      <c r="BB63" s="87">
        <v>0</v>
      </c>
      <c r="BC63" s="87">
        <v>0</v>
      </c>
      <c r="BD63" s="87">
        <v>0</v>
      </c>
      <c r="BE63" s="87">
        <v>0</v>
      </c>
      <c r="BF63" s="87">
        <v>0</v>
      </c>
      <c r="BG63" s="88">
        <v>176605</v>
      </c>
      <c r="BH63" s="88">
        <v>0</v>
      </c>
      <c r="BI63" s="88">
        <v>176605</v>
      </c>
      <c r="BJ63" s="88">
        <v>176605</v>
      </c>
      <c r="BK63" s="88">
        <v>176605</v>
      </c>
      <c r="BL63" s="88">
        <v>176605</v>
      </c>
      <c r="BM63" s="88">
        <v>176605</v>
      </c>
      <c r="BN63" s="590">
        <v>176000</v>
      </c>
      <c r="BO63" s="171">
        <v>2023</v>
      </c>
      <c r="BP63" s="171">
        <v>1</v>
      </c>
      <c r="BQ63" s="171">
        <v>19</v>
      </c>
      <c r="BS63" s="76" t="str">
        <f t="shared" si="1"/>
        <v>○</v>
      </c>
    </row>
    <row r="64" spans="1:71" x14ac:dyDescent="0.2">
      <c r="A64" s="210">
        <v>1075</v>
      </c>
      <c r="B64" s="211"/>
      <c r="C64" s="212"/>
      <c r="D64" s="211"/>
      <c r="E64" s="212"/>
      <c r="F64" s="211"/>
      <c r="G64" s="211"/>
      <c r="H64" s="212"/>
      <c r="I64" s="211"/>
      <c r="J64" s="211"/>
      <c r="K64" s="211"/>
      <c r="L64" s="171"/>
      <c r="M64" s="171" t="s">
        <v>397</v>
      </c>
      <c r="N64" s="171" t="s">
        <v>313</v>
      </c>
      <c r="O64" s="171" t="s">
        <v>321</v>
      </c>
      <c r="P64" s="171" t="s">
        <v>916</v>
      </c>
      <c r="Q64" s="171"/>
      <c r="R64" s="213">
        <v>410000</v>
      </c>
      <c r="S64" s="87">
        <v>0</v>
      </c>
      <c r="T64" s="87">
        <v>0</v>
      </c>
      <c r="U64" s="87">
        <v>0</v>
      </c>
      <c r="V64" s="87">
        <v>0</v>
      </c>
      <c r="W64" s="87">
        <v>0</v>
      </c>
      <c r="X64" s="87">
        <v>0</v>
      </c>
      <c r="Y64" s="87">
        <v>0</v>
      </c>
      <c r="Z64" s="87">
        <v>0</v>
      </c>
      <c r="AA64" s="214">
        <v>463292</v>
      </c>
      <c r="AB64" s="214">
        <v>0</v>
      </c>
      <c r="AC64" s="214">
        <v>463292</v>
      </c>
      <c r="AD64" s="214">
        <v>463292</v>
      </c>
      <c r="AE64" s="214">
        <v>410000</v>
      </c>
      <c r="AF64" s="214">
        <v>410000</v>
      </c>
      <c r="AG64" s="214">
        <v>410000</v>
      </c>
      <c r="AH64" s="214">
        <v>410000</v>
      </c>
      <c r="AI64" s="87">
        <v>0</v>
      </c>
      <c r="AJ64" s="87">
        <v>0</v>
      </c>
      <c r="AK64" s="87">
        <v>0</v>
      </c>
      <c r="AL64" s="87">
        <v>0</v>
      </c>
      <c r="AM64" s="87">
        <v>0</v>
      </c>
      <c r="AN64" s="87">
        <v>0</v>
      </c>
      <c r="AO64" s="87">
        <v>0</v>
      </c>
      <c r="AP64" s="87">
        <v>0</v>
      </c>
      <c r="AQ64" s="88">
        <v>0</v>
      </c>
      <c r="AR64" s="88">
        <v>0</v>
      </c>
      <c r="AS64" s="88">
        <v>0</v>
      </c>
      <c r="AT64" s="88">
        <v>0</v>
      </c>
      <c r="AU64" s="88">
        <v>0</v>
      </c>
      <c r="AV64" s="88">
        <v>0</v>
      </c>
      <c r="AW64" s="88">
        <v>0</v>
      </c>
      <c r="AX64" s="88">
        <v>0</v>
      </c>
      <c r="AY64" s="87">
        <v>0</v>
      </c>
      <c r="AZ64" s="87">
        <v>0</v>
      </c>
      <c r="BA64" s="87">
        <v>0</v>
      </c>
      <c r="BB64" s="87">
        <v>0</v>
      </c>
      <c r="BC64" s="87">
        <v>0</v>
      </c>
      <c r="BD64" s="87">
        <v>0</v>
      </c>
      <c r="BE64" s="87">
        <v>0</v>
      </c>
      <c r="BF64" s="87">
        <v>0</v>
      </c>
      <c r="BG64" s="88">
        <v>0</v>
      </c>
      <c r="BH64" s="88">
        <v>0</v>
      </c>
      <c r="BI64" s="88">
        <v>0</v>
      </c>
      <c r="BJ64" s="88">
        <v>0</v>
      </c>
      <c r="BK64" s="88">
        <v>0</v>
      </c>
      <c r="BL64" s="88">
        <v>0</v>
      </c>
      <c r="BM64" s="88">
        <v>0</v>
      </c>
      <c r="BN64" s="590">
        <v>0</v>
      </c>
      <c r="BO64" s="171">
        <v>2023</v>
      </c>
      <c r="BP64" s="171">
        <v>1</v>
      </c>
      <c r="BQ64" s="171">
        <v>19</v>
      </c>
      <c r="BS64" s="76" t="str">
        <f t="shared" si="1"/>
        <v>○</v>
      </c>
    </row>
    <row r="65" spans="1:71" x14ac:dyDescent="0.2">
      <c r="A65" s="210">
        <v>1076</v>
      </c>
      <c r="B65" s="211"/>
      <c r="C65" s="212"/>
      <c r="D65" s="211"/>
      <c r="E65" s="212"/>
      <c r="F65" s="211"/>
      <c r="G65" s="211"/>
      <c r="H65" s="212"/>
      <c r="I65" s="211"/>
      <c r="J65" s="211"/>
      <c r="K65" s="211"/>
      <c r="L65" s="171"/>
      <c r="M65" s="171" t="s">
        <v>398</v>
      </c>
      <c r="N65" s="171" t="s">
        <v>275</v>
      </c>
      <c r="O65" s="171" t="s">
        <v>324</v>
      </c>
      <c r="P65" s="171" t="s">
        <v>916</v>
      </c>
      <c r="Q65" s="171"/>
      <c r="R65" s="213">
        <v>4185000</v>
      </c>
      <c r="S65" s="87">
        <v>0</v>
      </c>
      <c r="T65" s="87">
        <v>0</v>
      </c>
      <c r="U65" s="87">
        <v>0</v>
      </c>
      <c r="V65" s="87">
        <v>0</v>
      </c>
      <c r="W65" s="87">
        <v>0</v>
      </c>
      <c r="X65" s="87">
        <v>0</v>
      </c>
      <c r="Y65" s="87">
        <v>0</v>
      </c>
      <c r="Z65" s="87">
        <v>0</v>
      </c>
      <c r="AA65" s="214">
        <v>0</v>
      </c>
      <c r="AB65" s="214">
        <v>0</v>
      </c>
      <c r="AC65" s="214">
        <v>0</v>
      </c>
      <c r="AD65" s="214">
        <v>0</v>
      </c>
      <c r="AE65" s="214">
        <v>0</v>
      </c>
      <c r="AF65" s="214">
        <v>0</v>
      </c>
      <c r="AG65" s="214">
        <v>0</v>
      </c>
      <c r="AH65" s="214">
        <v>0</v>
      </c>
      <c r="AI65" s="87">
        <v>1041810</v>
      </c>
      <c r="AJ65" s="87">
        <v>0</v>
      </c>
      <c r="AK65" s="87">
        <v>1041810</v>
      </c>
      <c r="AL65" s="87">
        <v>1041810</v>
      </c>
      <c r="AM65" s="87">
        <v>1296000</v>
      </c>
      <c r="AN65" s="87">
        <v>1041810</v>
      </c>
      <c r="AO65" s="87">
        <v>1041810</v>
      </c>
      <c r="AP65" s="87">
        <v>1041000</v>
      </c>
      <c r="AQ65" s="88">
        <v>0</v>
      </c>
      <c r="AR65" s="88">
        <v>0</v>
      </c>
      <c r="AS65" s="88">
        <v>0</v>
      </c>
      <c r="AT65" s="88">
        <v>0</v>
      </c>
      <c r="AU65" s="88">
        <v>0</v>
      </c>
      <c r="AV65" s="88">
        <v>0</v>
      </c>
      <c r="AW65" s="88">
        <v>0</v>
      </c>
      <c r="AX65" s="88">
        <v>0</v>
      </c>
      <c r="AY65" s="87">
        <v>0</v>
      </c>
      <c r="AZ65" s="87">
        <v>0</v>
      </c>
      <c r="BA65" s="87">
        <v>0</v>
      </c>
      <c r="BB65" s="87">
        <v>0</v>
      </c>
      <c r="BC65" s="87">
        <v>0</v>
      </c>
      <c r="BD65" s="87">
        <v>0</v>
      </c>
      <c r="BE65" s="87">
        <v>0</v>
      </c>
      <c r="BF65" s="87">
        <v>0</v>
      </c>
      <c r="BG65" s="88">
        <v>3144900</v>
      </c>
      <c r="BH65" s="88">
        <v>0</v>
      </c>
      <c r="BI65" s="88">
        <v>3144900</v>
      </c>
      <c r="BJ65" s="88">
        <v>3144900</v>
      </c>
      <c r="BK65" s="88">
        <v>3144900</v>
      </c>
      <c r="BL65" s="88">
        <v>3144900</v>
      </c>
      <c r="BM65" s="88">
        <v>3144900</v>
      </c>
      <c r="BN65" s="590">
        <v>3144000</v>
      </c>
      <c r="BO65" s="171">
        <v>2023</v>
      </c>
      <c r="BP65" s="171">
        <v>1</v>
      </c>
      <c r="BQ65" s="171">
        <v>19</v>
      </c>
      <c r="BS65" s="76" t="str">
        <f t="shared" si="1"/>
        <v>○</v>
      </c>
    </row>
    <row r="66" spans="1:71" x14ac:dyDescent="0.2">
      <c r="A66" s="210">
        <v>1077</v>
      </c>
      <c r="B66" s="211"/>
      <c r="C66" s="212"/>
      <c r="D66" s="211"/>
      <c r="E66" s="212"/>
      <c r="F66" s="211"/>
      <c r="G66" s="211"/>
      <c r="H66" s="212"/>
      <c r="I66" s="211"/>
      <c r="J66" s="211"/>
      <c r="K66" s="211"/>
      <c r="L66" s="171"/>
      <c r="M66" s="171" t="s">
        <v>399</v>
      </c>
      <c r="N66" s="171" t="s">
        <v>393</v>
      </c>
      <c r="O66" s="171" t="s">
        <v>400</v>
      </c>
      <c r="P66" s="171" t="s">
        <v>916</v>
      </c>
      <c r="Q66" s="171"/>
      <c r="R66" s="213">
        <v>1012000</v>
      </c>
      <c r="S66" s="87">
        <v>0</v>
      </c>
      <c r="T66" s="87">
        <v>0</v>
      </c>
      <c r="U66" s="87">
        <v>0</v>
      </c>
      <c r="V66" s="87">
        <v>0</v>
      </c>
      <c r="W66" s="87">
        <v>0</v>
      </c>
      <c r="X66" s="87">
        <v>0</v>
      </c>
      <c r="Y66" s="87">
        <v>0</v>
      </c>
      <c r="Z66" s="87">
        <v>0</v>
      </c>
      <c r="AA66" s="214">
        <v>0</v>
      </c>
      <c r="AB66" s="214">
        <v>0</v>
      </c>
      <c r="AC66" s="214">
        <v>0</v>
      </c>
      <c r="AD66" s="214">
        <v>0</v>
      </c>
      <c r="AE66" s="214">
        <v>0</v>
      </c>
      <c r="AF66" s="214">
        <v>0</v>
      </c>
      <c r="AG66" s="214">
        <v>0</v>
      </c>
      <c r="AH66" s="214">
        <v>0</v>
      </c>
      <c r="AI66" s="87">
        <v>330890</v>
      </c>
      <c r="AJ66" s="87">
        <v>0</v>
      </c>
      <c r="AK66" s="87">
        <v>330890</v>
      </c>
      <c r="AL66" s="87">
        <v>330890</v>
      </c>
      <c r="AM66" s="87">
        <v>1209600</v>
      </c>
      <c r="AN66" s="87">
        <v>330890</v>
      </c>
      <c r="AO66" s="87">
        <v>330890</v>
      </c>
      <c r="AP66" s="87">
        <v>330000</v>
      </c>
      <c r="AQ66" s="88">
        <v>0</v>
      </c>
      <c r="AR66" s="88">
        <v>0</v>
      </c>
      <c r="AS66" s="88">
        <v>0</v>
      </c>
      <c r="AT66" s="88">
        <v>0</v>
      </c>
      <c r="AU66" s="88">
        <v>0</v>
      </c>
      <c r="AV66" s="88">
        <v>0</v>
      </c>
      <c r="AW66" s="88">
        <v>0</v>
      </c>
      <c r="AX66" s="88">
        <v>0</v>
      </c>
      <c r="AY66" s="87">
        <v>0</v>
      </c>
      <c r="AZ66" s="87">
        <v>0</v>
      </c>
      <c r="BA66" s="87">
        <v>0</v>
      </c>
      <c r="BB66" s="87">
        <v>0</v>
      </c>
      <c r="BC66" s="87">
        <v>0</v>
      </c>
      <c r="BD66" s="87">
        <v>0</v>
      </c>
      <c r="BE66" s="87">
        <v>0</v>
      </c>
      <c r="BF66" s="87">
        <v>0</v>
      </c>
      <c r="BG66" s="88">
        <v>682000</v>
      </c>
      <c r="BH66" s="88">
        <v>0</v>
      </c>
      <c r="BI66" s="88">
        <v>682000</v>
      </c>
      <c r="BJ66" s="88">
        <v>682000</v>
      </c>
      <c r="BK66" s="88">
        <v>682000</v>
      </c>
      <c r="BL66" s="88">
        <v>682000</v>
      </c>
      <c r="BM66" s="88">
        <v>682000</v>
      </c>
      <c r="BN66" s="590">
        <v>682000</v>
      </c>
      <c r="BO66" s="171">
        <v>2023</v>
      </c>
      <c r="BP66" s="171">
        <v>1</v>
      </c>
      <c r="BQ66" s="171">
        <v>19</v>
      </c>
      <c r="BS66" s="76" t="str">
        <f t="shared" si="1"/>
        <v>○</v>
      </c>
    </row>
    <row r="67" spans="1:71" x14ac:dyDescent="0.2">
      <c r="A67" s="210">
        <v>1078</v>
      </c>
      <c r="B67" s="211"/>
      <c r="C67" s="212"/>
      <c r="D67" s="211"/>
      <c r="E67" s="212"/>
      <c r="F67" s="211"/>
      <c r="G67" s="211"/>
      <c r="H67" s="212"/>
      <c r="I67" s="211"/>
      <c r="J67" s="211"/>
      <c r="K67" s="211"/>
      <c r="L67" s="171"/>
      <c r="M67" s="171" t="s">
        <v>401</v>
      </c>
      <c r="N67" s="171" t="s">
        <v>269</v>
      </c>
      <c r="O67" s="171" t="s">
        <v>385</v>
      </c>
      <c r="P67" s="171" t="s">
        <v>916</v>
      </c>
      <c r="Q67" s="171"/>
      <c r="R67" s="213">
        <v>777000</v>
      </c>
      <c r="S67" s="87">
        <v>0</v>
      </c>
      <c r="T67" s="87">
        <v>0</v>
      </c>
      <c r="U67" s="87">
        <v>0</v>
      </c>
      <c r="V67" s="87">
        <v>0</v>
      </c>
      <c r="W67" s="87">
        <v>0</v>
      </c>
      <c r="X67" s="87">
        <v>0</v>
      </c>
      <c r="Y67" s="87">
        <v>0</v>
      </c>
      <c r="Z67" s="87">
        <v>0</v>
      </c>
      <c r="AA67" s="214">
        <v>0</v>
      </c>
      <c r="AB67" s="214">
        <v>0</v>
      </c>
      <c r="AC67" s="214">
        <v>0</v>
      </c>
      <c r="AD67" s="214">
        <v>0</v>
      </c>
      <c r="AE67" s="214">
        <v>0</v>
      </c>
      <c r="AF67" s="214">
        <v>0</v>
      </c>
      <c r="AG67" s="214">
        <v>0</v>
      </c>
      <c r="AH67" s="214">
        <v>0</v>
      </c>
      <c r="AI67" s="87">
        <v>517176</v>
      </c>
      <c r="AJ67" s="87">
        <v>0</v>
      </c>
      <c r="AK67" s="87">
        <v>517176</v>
      </c>
      <c r="AL67" s="87">
        <v>517176</v>
      </c>
      <c r="AM67" s="87">
        <v>1296000</v>
      </c>
      <c r="AN67" s="87">
        <v>517176</v>
      </c>
      <c r="AO67" s="87">
        <v>517176</v>
      </c>
      <c r="AP67" s="87">
        <v>517000</v>
      </c>
      <c r="AQ67" s="88">
        <v>0</v>
      </c>
      <c r="AR67" s="88">
        <v>0</v>
      </c>
      <c r="AS67" s="88">
        <v>0</v>
      </c>
      <c r="AT67" s="88">
        <v>0</v>
      </c>
      <c r="AU67" s="88">
        <v>0</v>
      </c>
      <c r="AV67" s="88">
        <v>0</v>
      </c>
      <c r="AW67" s="88">
        <v>0</v>
      </c>
      <c r="AX67" s="88">
        <v>0</v>
      </c>
      <c r="AY67" s="87">
        <v>0</v>
      </c>
      <c r="AZ67" s="87">
        <v>0</v>
      </c>
      <c r="BA67" s="87">
        <v>0</v>
      </c>
      <c r="BB67" s="87">
        <v>0</v>
      </c>
      <c r="BC67" s="87">
        <v>0</v>
      </c>
      <c r="BD67" s="87">
        <v>0</v>
      </c>
      <c r="BE67" s="87">
        <v>0</v>
      </c>
      <c r="BF67" s="87">
        <v>0</v>
      </c>
      <c r="BG67" s="88">
        <v>260260</v>
      </c>
      <c r="BH67" s="88">
        <v>0</v>
      </c>
      <c r="BI67" s="88">
        <v>260260</v>
      </c>
      <c r="BJ67" s="88">
        <v>260260</v>
      </c>
      <c r="BK67" s="88">
        <v>260260</v>
      </c>
      <c r="BL67" s="88">
        <v>260260</v>
      </c>
      <c r="BM67" s="88">
        <v>260260</v>
      </c>
      <c r="BN67" s="590">
        <v>260000</v>
      </c>
      <c r="BO67" s="171">
        <v>2023</v>
      </c>
      <c r="BP67" s="171">
        <v>1</v>
      </c>
      <c r="BQ67" s="171">
        <v>19</v>
      </c>
      <c r="BS67" s="76" t="str">
        <f t="shared" si="1"/>
        <v>○</v>
      </c>
    </row>
    <row r="68" spans="1:71" x14ac:dyDescent="0.2">
      <c r="A68" s="210">
        <v>1079</v>
      </c>
      <c r="B68" s="211"/>
      <c r="C68" s="212"/>
      <c r="D68" s="211"/>
      <c r="E68" s="212"/>
      <c r="F68" s="211"/>
      <c r="G68" s="211"/>
      <c r="H68" s="212"/>
      <c r="I68" s="211"/>
      <c r="J68" s="211"/>
      <c r="K68" s="211"/>
      <c r="L68" s="171"/>
      <c r="M68" s="171" t="s">
        <v>402</v>
      </c>
      <c r="N68" s="171" t="s">
        <v>354</v>
      </c>
      <c r="O68" s="171" t="s">
        <v>270</v>
      </c>
      <c r="P68" s="171" t="s">
        <v>916</v>
      </c>
      <c r="Q68" s="171"/>
      <c r="R68" s="213">
        <v>485000</v>
      </c>
      <c r="S68" s="87">
        <v>0</v>
      </c>
      <c r="T68" s="87">
        <v>0</v>
      </c>
      <c r="U68" s="87">
        <v>0</v>
      </c>
      <c r="V68" s="87">
        <v>0</v>
      </c>
      <c r="W68" s="87">
        <v>0</v>
      </c>
      <c r="X68" s="87">
        <v>0</v>
      </c>
      <c r="Y68" s="87">
        <v>0</v>
      </c>
      <c r="Z68" s="87">
        <v>0</v>
      </c>
      <c r="AA68" s="214">
        <v>407000</v>
      </c>
      <c r="AB68" s="214">
        <v>0</v>
      </c>
      <c r="AC68" s="214">
        <v>407000</v>
      </c>
      <c r="AD68" s="214">
        <v>407000</v>
      </c>
      <c r="AE68" s="214">
        <v>410000</v>
      </c>
      <c r="AF68" s="214">
        <v>407000</v>
      </c>
      <c r="AG68" s="214">
        <v>407000</v>
      </c>
      <c r="AH68" s="214">
        <v>407000</v>
      </c>
      <c r="AI68" s="87">
        <v>78560</v>
      </c>
      <c r="AJ68" s="87">
        <v>0</v>
      </c>
      <c r="AK68" s="87">
        <v>78560</v>
      </c>
      <c r="AL68" s="87">
        <v>78560</v>
      </c>
      <c r="AM68" s="87">
        <v>1029600</v>
      </c>
      <c r="AN68" s="87">
        <v>78560</v>
      </c>
      <c r="AO68" s="87">
        <v>78560</v>
      </c>
      <c r="AP68" s="87">
        <v>78000</v>
      </c>
      <c r="AQ68" s="88">
        <v>0</v>
      </c>
      <c r="AR68" s="88">
        <v>0</v>
      </c>
      <c r="AS68" s="88">
        <v>0</v>
      </c>
      <c r="AT68" s="88">
        <v>0</v>
      </c>
      <c r="AU68" s="88">
        <v>0</v>
      </c>
      <c r="AV68" s="88">
        <v>0</v>
      </c>
      <c r="AW68" s="88">
        <v>0</v>
      </c>
      <c r="AX68" s="88">
        <v>0</v>
      </c>
      <c r="AY68" s="87">
        <v>0</v>
      </c>
      <c r="AZ68" s="87">
        <v>0</v>
      </c>
      <c r="BA68" s="87">
        <v>0</v>
      </c>
      <c r="BB68" s="87">
        <v>0</v>
      </c>
      <c r="BC68" s="87">
        <v>0</v>
      </c>
      <c r="BD68" s="87">
        <v>0</v>
      </c>
      <c r="BE68" s="87">
        <v>0</v>
      </c>
      <c r="BF68" s="87">
        <v>0</v>
      </c>
      <c r="BG68" s="88">
        <v>0</v>
      </c>
      <c r="BH68" s="88">
        <v>0</v>
      </c>
      <c r="BI68" s="88">
        <v>0</v>
      </c>
      <c r="BJ68" s="88">
        <v>0</v>
      </c>
      <c r="BK68" s="88">
        <v>0</v>
      </c>
      <c r="BL68" s="88">
        <v>0</v>
      </c>
      <c r="BM68" s="88">
        <v>0</v>
      </c>
      <c r="BN68" s="590">
        <v>0</v>
      </c>
      <c r="BO68" s="171">
        <v>2023</v>
      </c>
      <c r="BP68" s="171">
        <v>1</v>
      </c>
      <c r="BQ68" s="171">
        <v>19</v>
      </c>
      <c r="BS68" s="76" t="str">
        <f t="shared" si="1"/>
        <v>○</v>
      </c>
    </row>
    <row r="69" spans="1:71" x14ac:dyDescent="0.2">
      <c r="A69" s="210">
        <v>1080</v>
      </c>
      <c r="B69" s="211"/>
      <c r="C69" s="212"/>
      <c r="D69" s="211"/>
      <c r="E69" s="212"/>
      <c r="F69" s="211"/>
      <c r="G69" s="211"/>
      <c r="H69" s="212"/>
      <c r="I69" s="211"/>
      <c r="J69" s="211"/>
      <c r="K69" s="211"/>
      <c r="L69" s="171"/>
      <c r="M69" s="171" t="s">
        <v>403</v>
      </c>
      <c r="N69" s="171" t="s">
        <v>302</v>
      </c>
      <c r="O69" s="171" t="s">
        <v>404</v>
      </c>
      <c r="P69" s="171" t="s">
        <v>916</v>
      </c>
      <c r="Q69" s="171"/>
      <c r="R69" s="213">
        <v>487000</v>
      </c>
      <c r="S69" s="87">
        <v>0</v>
      </c>
      <c r="T69" s="87">
        <v>0</v>
      </c>
      <c r="U69" s="87">
        <v>0</v>
      </c>
      <c r="V69" s="87">
        <v>0</v>
      </c>
      <c r="W69" s="87">
        <v>0</v>
      </c>
      <c r="X69" s="87">
        <v>0</v>
      </c>
      <c r="Y69" s="87">
        <v>0</v>
      </c>
      <c r="Z69" s="87">
        <v>0</v>
      </c>
      <c r="AA69" s="214">
        <v>410080</v>
      </c>
      <c r="AB69" s="214">
        <v>0</v>
      </c>
      <c r="AC69" s="214">
        <v>410080</v>
      </c>
      <c r="AD69" s="214">
        <v>410080</v>
      </c>
      <c r="AE69" s="214">
        <v>410000</v>
      </c>
      <c r="AF69" s="214">
        <v>410000</v>
      </c>
      <c r="AG69" s="214">
        <v>410000</v>
      </c>
      <c r="AH69" s="214">
        <v>410000</v>
      </c>
      <c r="AI69" s="87">
        <v>77440</v>
      </c>
      <c r="AJ69" s="87">
        <v>0</v>
      </c>
      <c r="AK69" s="87">
        <v>77440</v>
      </c>
      <c r="AL69" s="87">
        <v>77440</v>
      </c>
      <c r="AM69" s="87">
        <v>1728000</v>
      </c>
      <c r="AN69" s="87">
        <v>77440</v>
      </c>
      <c r="AO69" s="87">
        <v>77440</v>
      </c>
      <c r="AP69" s="87">
        <v>77000</v>
      </c>
      <c r="AQ69" s="88">
        <v>0</v>
      </c>
      <c r="AR69" s="88">
        <v>0</v>
      </c>
      <c r="AS69" s="88">
        <v>0</v>
      </c>
      <c r="AT69" s="88">
        <v>0</v>
      </c>
      <c r="AU69" s="88">
        <v>0</v>
      </c>
      <c r="AV69" s="88">
        <v>0</v>
      </c>
      <c r="AW69" s="88">
        <v>0</v>
      </c>
      <c r="AX69" s="88">
        <v>0</v>
      </c>
      <c r="AY69" s="87">
        <v>0</v>
      </c>
      <c r="AZ69" s="87">
        <v>0</v>
      </c>
      <c r="BA69" s="87">
        <v>0</v>
      </c>
      <c r="BB69" s="87">
        <v>0</v>
      </c>
      <c r="BC69" s="87">
        <v>0</v>
      </c>
      <c r="BD69" s="87">
        <v>0</v>
      </c>
      <c r="BE69" s="87">
        <v>0</v>
      </c>
      <c r="BF69" s="87">
        <v>0</v>
      </c>
      <c r="BG69" s="88">
        <v>0</v>
      </c>
      <c r="BH69" s="88">
        <v>0</v>
      </c>
      <c r="BI69" s="88">
        <v>0</v>
      </c>
      <c r="BJ69" s="88">
        <v>0</v>
      </c>
      <c r="BK69" s="88">
        <v>0</v>
      </c>
      <c r="BL69" s="88">
        <v>0</v>
      </c>
      <c r="BM69" s="88">
        <v>0</v>
      </c>
      <c r="BN69" s="590">
        <v>0</v>
      </c>
      <c r="BO69" s="171">
        <v>2023</v>
      </c>
      <c r="BP69" s="171">
        <v>1</v>
      </c>
      <c r="BQ69" s="171">
        <v>19</v>
      </c>
      <c r="BS69" s="76" t="str">
        <f t="shared" si="1"/>
        <v>○</v>
      </c>
    </row>
    <row r="70" spans="1:71" x14ac:dyDescent="0.2">
      <c r="A70" s="210">
        <v>1082</v>
      </c>
      <c r="B70" s="211"/>
      <c r="C70" s="212"/>
      <c r="D70" s="211"/>
      <c r="E70" s="212"/>
      <c r="F70" s="211"/>
      <c r="G70" s="211"/>
      <c r="H70" s="212"/>
      <c r="I70" s="211"/>
      <c r="J70" s="211"/>
      <c r="K70" s="211"/>
      <c r="L70" s="171"/>
      <c r="M70" s="171" t="s">
        <v>405</v>
      </c>
      <c r="N70" s="171" t="s">
        <v>313</v>
      </c>
      <c r="O70" s="171" t="s">
        <v>406</v>
      </c>
      <c r="P70" s="171" t="s">
        <v>916</v>
      </c>
      <c r="Q70" s="171"/>
      <c r="R70" s="213">
        <v>2203000</v>
      </c>
      <c r="S70" s="87">
        <v>0</v>
      </c>
      <c r="T70" s="87">
        <v>0</v>
      </c>
      <c r="U70" s="87">
        <v>0</v>
      </c>
      <c r="V70" s="87">
        <v>0</v>
      </c>
      <c r="W70" s="87">
        <v>0</v>
      </c>
      <c r="X70" s="87">
        <v>0</v>
      </c>
      <c r="Y70" s="87">
        <v>0</v>
      </c>
      <c r="Z70" s="87">
        <v>0</v>
      </c>
      <c r="AA70" s="214">
        <v>0</v>
      </c>
      <c r="AB70" s="214">
        <v>0</v>
      </c>
      <c r="AC70" s="214">
        <v>0</v>
      </c>
      <c r="AD70" s="214">
        <v>0</v>
      </c>
      <c r="AE70" s="214">
        <v>0</v>
      </c>
      <c r="AF70" s="214">
        <v>0</v>
      </c>
      <c r="AG70" s="214">
        <v>0</v>
      </c>
      <c r="AH70" s="214">
        <v>0</v>
      </c>
      <c r="AI70" s="87">
        <v>2078904</v>
      </c>
      <c r="AJ70" s="87">
        <v>0</v>
      </c>
      <c r="AK70" s="87">
        <v>2078904</v>
      </c>
      <c r="AL70" s="87">
        <v>2078904</v>
      </c>
      <c r="AM70" s="87">
        <v>2073600</v>
      </c>
      <c r="AN70" s="87">
        <v>2073600</v>
      </c>
      <c r="AO70" s="87">
        <v>2073600</v>
      </c>
      <c r="AP70" s="87">
        <v>2073000</v>
      </c>
      <c r="AQ70" s="88">
        <v>0</v>
      </c>
      <c r="AR70" s="88">
        <v>0</v>
      </c>
      <c r="AS70" s="88">
        <v>0</v>
      </c>
      <c r="AT70" s="88">
        <v>0</v>
      </c>
      <c r="AU70" s="88">
        <v>0</v>
      </c>
      <c r="AV70" s="88">
        <v>0</v>
      </c>
      <c r="AW70" s="88">
        <v>0</v>
      </c>
      <c r="AX70" s="88">
        <v>0</v>
      </c>
      <c r="AY70" s="87">
        <v>0</v>
      </c>
      <c r="AZ70" s="87">
        <v>0</v>
      </c>
      <c r="BA70" s="87">
        <v>0</v>
      </c>
      <c r="BB70" s="87">
        <v>0</v>
      </c>
      <c r="BC70" s="87">
        <v>0</v>
      </c>
      <c r="BD70" s="87">
        <v>0</v>
      </c>
      <c r="BE70" s="87">
        <v>0</v>
      </c>
      <c r="BF70" s="87">
        <v>0</v>
      </c>
      <c r="BG70" s="88">
        <v>130790</v>
      </c>
      <c r="BH70" s="88">
        <v>0</v>
      </c>
      <c r="BI70" s="88">
        <v>130790</v>
      </c>
      <c r="BJ70" s="88">
        <v>130790</v>
      </c>
      <c r="BK70" s="88">
        <v>130790</v>
      </c>
      <c r="BL70" s="88">
        <v>130790</v>
      </c>
      <c r="BM70" s="88">
        <v>130790</v>
      </c>
      <c r="BN70" s="590">
        <v>130000</v>
      </c>
      <c r="BO70" s="171">
        <v>2023</v>
      </c>
      <c r="BP70" s="171">
        <v>1</v>
      </c>
      <c r="BQ70" s="171">
        <v>19</v>
      </c>
      <c r="BS70" s="76" t="str">
        <f t="shared" si="1"/>
        <v>○</v>
      </c>
    </row>
    <row r="71" spans="1:71" x14ac:dyDescent="0.2">
      <c r="A71" s="210">
        <v>1084</v>
      </c>
      <c r="B71" s="211"/>
      <c r="C71" s="212"/>
      <c r="D71" s="211"/>
      <c r="E71" s="212"/>
      <c r="F71" s="211"/>
      <c r="G71" s="211"/>
      <c r="H71" s="212"/>
      <c r="I71" s="211"/>
      <c r="J71" s="211"/>
      <c r="K71" s="211"/>
      <c r="L71" s="171"/>
      <c r="M71" s="171" t="s">
        <v>407</v>
      </c>
      <c r="N71" s="171" t="s">
        <v>269</v>
      </c>
      <c r="O71" s="171" t="s">
        <v>408</v>
      </c>
      <c r="P71" s="171" t="s">
        <v>916</v>
      </c>
      <c r="Q71" s="171"/>
      <c r="R71" s="213">
        <v>1608000</v>
      </c>
      <c r="S71" s="87">
        <v>806850</v>
      </c>
      <c r="T71" s="87">
        <v>0</v>
      </c>
      <c r="U71" s="87">
        <v>806850</v>
      </c>
      <c r="V71" s="87">
        <v>806850</v>
      </c>
      <c r="W71" s="87">
        <v>905000</v>
      </c>
      <c r="X71" s="87">
        <v>806850</v>
      </c>
      <c r="Y71" s="87">
        <v>806850</v>
      </c>
      <c r="Z71" s="87">
        <v>806000</v>
      </c>
      <c r="AA71" s="214">
        <v>0</v>
      </c>
      <c r="AB71" s="214">
        <v>0</v>
      </c>
      <c r="AC71" s="214">
        <v>0</v>
      </c>
      <c r="AD71" s="214">
        <v>0</v>
      </c>
      <c r="AE71" s="214">
        <v>0</v>
      </c>
      <c r="AF71" s="214">
        <v>0</v>
      </c>
      <c r="AG71" s="214">
        <v>0</v>
      </c>
      <c r="AH71" s="214">
        <v>0</v>
      </c>
      <c r="AI71" s="87">
        <v>802400</v>
      </c>
      <c r="AJ71" s="87">
        <v>0</v>
      </c>
      <c r="AK71" s="87">
        <v>802400</v>
      </c>
      <c r="AL71" s="87">
        <v>802400</v>
      </c>
      <c r="AM71" s="87">
        <v>3175200</v>
      </c>
      <c r="AN71" s="87">
        <v>802400</v>
      </c>
      <c r="AO71" s="87">
        <v>802400</v>
      </c>
      <c r="AP71" s="87">
        <v>802000</v>
      </c>
      <c r="AQ71" s="88">
        <v>806850</v>
      </c>
      <c r="AR71" s="88">
        <v>0</v>
      </c>
      <c r="AS71" s="88">
        <v>806850</v>
      </c>
      <c r="AT71" s="88">
        <v>806850</v>
      </c>
      <c r="AU71" s="88">
        <v>905000</v>
      </c>
      <c r="AV71" s="88">
        <v>806850</v>
      </c>
      <c r="AW71" s="88">
        <v>806850</v>
      </c>
      <c r="AX71" s="88">
        <v>806000</v>
      </c>
      <c r="AY71" s="87">
        <v>0</v>
      </c>
      <c r="AZ71" s="87">
        <v>0</v>
      </c>
      <c r="BA71" s="87">
        <v>0</v>
      </c>
      <c r="BB71" s="87">
        <v>0</v>
      </c>
      <c r="BC71" s="87">
        <v>0</v>
      </c>
      <c r="BD71" s="87">
        <v>0</v>
      </c>
      <c r="BE71" s="87">
        <v>0</v>
      </c>
      <c r="BF71" s="87">
        <v>0</v>
      </c>
      <c r="BG71" s="88">
        <v>0</v>
      </c>
      <c r="BH71" s="88">
        <v>0</v>
      </c>
      <c r="BI71" s="88">
        <v>0</v>
      </c>
      <c r="BJ71" s="88">
        <v>0</v>
      </c>
      <c r="BK71" s="88">
        <v>0</v>
      </c>
      <c r="BL71" s="88">
        <v>0</v>
      </c>
      <c r="BM71" s="88">
        <v>0</v>
      </c>
      <c r="BN71" s="590">
        <v>0</v>
      </c>
      <c r="BO71" s="171">
        <v>2023</v>
      </c>
      <c r="BP71" s="171">
        <v>1</v>
      </c>
      <c r="BQ71" s="171">
        <v>19</v>
      </c>
      <c r="BS71" s="76" t="str">
        <f t="shared" si="1"/>
        <v>○</v>
      </c>
    </row>
    <row r="72" spans="1:71" x14ac:dyDescent="0.2">
      <c r="A72" s="210">
        <v>1085</v>
      </c>
      <c r="B72" s="211"/>
      <c r="C72" s="212"/>
      <c r="D72" s="211"/>
      <c r="E72" s="212"/>
      <c r="F72" s="211"/>
      <c r="G72" s="211"/>
      <c r="H72" s="212"/>
      <c r="I72" s="211"/>
      <c r="J72" s="211"/>
      <c r="K72" s="211"/>
      <c r="L72" s="171"/>
      <c r="M72" s="171" t="s">
        <v>409</v>
      </c>
      <c r="N72" s="171" t="s">
        <v>393</v>
      </c>
      <c r="O72" s="171" t="s">
        <v>410</v>
      </c>
      <c r="P72" s="171" t="s">
        <v>916</v>
      </c>
      <c r="Q72" s="171"/>
      <c r="R72" s="213">
        <v>4033000</v>
      </c>
      <c r="S72" s="87">
        <v>0</v>
      </c>
      <c r="T72" s="87">
        <v>0</v>
      </c>
      <c r="U72" s="87">
        <v>0</v>
      </c>
      <c r="V72" s="87">
        <v>0</v>
      </c>
      <c r="W72" s="87">
        <v>0</v>
      </c>
      <c r="X72" s="87">
        <v>0</v>
      </c>
      <c r="Y72" s="87">
        <v>0</v>
      </c>
      <c r="Z72" s="87">
        <v>0</v>
      </c>
      <c r="AA72" s="214">
        <v>995940</v>
      </c>
      <c r="AB72" s="214">
        <v>0</v>
      </c>
      <c r="AC72" s="214">
        <v>995940</v>
      </c>
      <c r="AD72" s="214">
        <v>995940</v>
      </c>
      <c r="AE72" s="214">
        <v>1845000</v>
      </c>
      <c r="AF72" s="214">
        <v>995940</v>
      </c>
      <c r="AG72" s="214">
        <v>995940</v>
      </c>
      <c r="AH72" s="214">
        <v>995000</v>
      </c>
      <c r="AI72" s="87">
        <v>3038780</v>
      </c>
      <c r="AJ72" s="87">
        <v>0</v>
      </c>
      <c r="AK72" s="87">
        <v>3038780</v>
      </c>
      <c r="AL72" s="87">
        <v>3038780</v>
      </c>
      <c r="AM72" s="87">
        <v>7862400</v>
      </c>
      <c r="AN72" s="87">
        <v>3038780</v>
      </c>
      <c r="AO72" s="87">
        <v>3038780</v>
      </c>
      <c r="AP72" s="87">
        <v>3038000</v>
      </c>
      <c r="AQ72" s="88">
        <v>0</v>
      </c>
      <c r="AR72" s="88">
        <v>0</v>
      </c>
      <c r="AS72" s="88">
        <v>0</v>
      </c>
      <c r="AT72" s="88">
        <v>0</v>
      </c>
      <c r="AU72" s="88">
        <v>0</v>
      </c>
      <c r="AV72" s="88">
        <v>0</v>
      </c>
      <c r="AW72" s="88">
        <v>0</v>
      </c>
      <c r="AX72" s="88">
        <v>0</v>
      </c>
      <c r="AY72" s="87">
        <v>0</v>
      </c>
      <c r="AZ72" s="87">
        <v>0</v>
      </c>
      <c r="BA72" s="87">
        <v>0</v>
      </c>
      <c r="BB72" s="87">
        <v>0</v>
      </c>
      <c r="BC72" s="87">
        <v>0</v>
      </c>
      <c r="BD72" s="87">
        <v>0</v>
      </c>
      <c r="BE72" s="87">
        <v>0</v>
      </c>
      <c r="BF72" s="87">
        <v>0</v>
      </c>
      <c r="BG72" s="88">
        <v>0</v>
      </c>
      <c r="BH72" s="88">
        <v>0</v>
      </c>
      <c r="BI72" s="88">
        <v>0</v>
      </c>
      <c r="BJ72" s="88">
        <v>0</v>
      </c>
      <c r="BK72" s="88">
        <v>0</v>
      </c>
      <c r="BL72" s="88">
        <v>0</v>
      </c>
      <c r="BM72" s="88">
        <v>0</v>
      </c>
      <c r="BN72" s="590">
        <v>0</v>
      </c>
      <c r="BO72" s="171">
        <v>2023</v>
      </c>
      <c r="BP72" s="171">
        <v>1</v>
      </c>
      <c r="BQ72" s="171">
        <v>19</v>
      </c>
      <c r="BS72" s="76" t="str">
        <f t="shared" si="1"/>
        <v>○</v>
      </c>
    </row>
    <row r="73" spans="1:71" x14ac:dyDescent="0.2">
      <c r="A73" s="210">
        <v>1086</v>
      </c>
      <c r="B73" s="211"/>
      <c r="C73" s="212"/>
      <c r="D73" s="211"/>
      <c r="E73" s="212"/>
      <c r="F73" s="211"/>
      <c r="G73" s="211"/>
      <c r="H73" s="212"/>
      <c r="I73" s="211"/>
      <c r="J73" s="211"/>
      <c r="K73" s="211"/>
      <c r="L73" s="171"/>
      <c r="M73" s="171" t="s">
        <v>411</v>
      </c>
      <c r="N73" s="171" t="s">
        <v>289</v>
      </c>
      <c r="O73" s="171" t="s">
        <v>412</v>
      </c>
      <c r="P73" s="171" t="s">
        <v>916</v>
      </c>
      <c r="Q73" s="171"/>
      <c r="R73" s="213">
        <v>1132000</v>
      </c>
      <c r="S73" s="87">
        <v>905000</v>
      </c>
      <c r="T73" s="87">
        <v>0</v>
      </c>
      <c r="U73" s="87">
        <v>905000</v>
      </c>
      <c r="V73" s="87">
        <v>905000</v>
      </c>
      <c r="W73" s="87">
        <v>905000</v>
      </c>
      <c r="X73" s="87">
        <v>905000</v>
      </c>
      <c r="Y73" s="87">
        <v>905000</v>
      </c>
      <c r="Z73" s="87">
        <v>905000</v>
      </c>
      <c r="AA73" s="214">
        <v>0</v>
      </c>
      <c r="AB73" s="214">
        <v>0</v>
      </c>
      <c r="AC73" s="214">
        <v>0</v>
      </c>
      <c r="AD73" s="214">
        <v>0</v>
      </c>
      <c r="AE73" s="214">
        <v>0</v>
      </c>
      <c r="AF73" s="214">
        <v>0</v>
      </c>
      <c r="AG73" s="214">
        <v>0</v>
      </c>
      <c r="AH73" s="214">
        <v>0</v>
      </c>
      <c r="AI73" s="87">
        <v>227700</v>
      </c>
      <c r="AJ73" s="87">
        <v>0</v>
      </c>
      <c r="AK73" s="87">
        <v>227700</v>
      </c>
      <c r="AL73" s="87">
        <v>227700</v>
      </c>
      <c r="AM73" s="87">
        <v>2160000</v>
      </c>
      <c r="AN73" s="87">
        <v>227700</v>
      </c>
      <c r="AO73" s="87">
        <v>227700</v>
      </c>
      <c r="AP73" s="87">
        <v>227000</v>
      </c>
      <c r="AQ73" s="88">
        <v>905000</v>
      </c>
      <c r="AR73" s="88">
        <v>0</v>
      </c>
      <c r="AS73" s="88">
        <v>905000</v>
      </c>
      <c r="AT73" s="88">
        <v>905000</v>
      </c>
      <c r="AU73" s="88">
        <v>905000</v>
      </c>
      <c r="AV73" s="88">
        <v>905000</v>
      </c>
      <c r="AW73" s="88">
        <v>905000</v>
      </c>
      <c r="AX73" s="88">
        <v>905000</v>
      </c>
      <c r="AY73" s="87">
        <v>0</v>
      </c>
      <c r="AZ73" s="87">
        <v>0</v>
      </c>
      <c r="BA73" s="87">
        <v>0</v>
      </c>
      <c r="BB73" s="87">
        <v>0</v>
      </c>
      <c r="BC73" s="87">
        <v>0</v>
      </c>
      <c r="BD73" s="87">
        <v>0</v>
      </c>
      <c r="BE73" s="87">
        <v>0</v>
      </c>
      <c r="BF73" s="87">
        <v>0</v>
      </c>
      <c r="BG73" s="88">
        <v>0</v>
      </c>
      <c r="BH73" s="88">
        <v>0</v>
      </c>
      <c r="BI73" s="88">
        <v>0</v>
      </c>
      <c r="BJ73" s="88">
        <v>0</v>
      </c>
      <c r="BK73" s="88">
        <v>0</v>
      </c>
      <c r="BL73" s="88">
        <v>0</v>
      </c>
      <c r="BM73" s="88">
        <v>0</v>
      </c>
      <c r="BN73" s="590">
        <v>0</v>
      </c>
      <c r="BO73" s="171">
        <v>2023</v>
      </c>
      <c r="BP73" s="171">
        <v>1</v>
      </c>
      <c r="BQ73" s="171">
        <v>19</v>
      </c>
      <c r="BS73" s="76" t="str">
        <f t="shared" si="1"/>
        <v>○</v>
      </c>
    </row>
    <row r="74" spans="1:71" x14ac:dyDescent="0.2">
      <c r="A74" s="210">
        <v>1087</v>
      </c>
      <c r="B74" s="211"/>
      <c r="C74" s="212"/>
      <c r="D74" s="211"/>
      <c r="E74" s="212"/>
      <c r="F74" s="211"/>
      <c r="G74" s="211"/>
      <c r="H74" s="212"/>
      <c r="I74" s="211"/>
      <c r="J74" s="211"/>
      <c r="K74" s="211"/>
      <c r="L74" s="171"/>
      <c r="M74" s="171" t="s">
        <v>413</v>
      </c>
      <c r="N74" s="171" t="s">
        <v>373</v>
      </c>
      <c r="O74" s="171" t="s">
        <v>414</v>
      </c>
      <c r="P74" s="171" t="s">
        <v>916</v>
      </c>
      <c r="Q74" s="171"/>
      <c r="R74" s="213">
        <v>77000</v>
      </c>
      <c r="S74" s="87">
        <v>0</v>
      </c>
      <c r="T74" s="87">
        <v>0</v>
      </c>
      <c r="U74" s="87">
        <v>0</v>
      </c>
      <c r="V74" s="87">
        <v>0</v>
      </c>
      <c r="W74" s="87">
        <v>0</v>
      </c>
      <c r="X74" s="87">
        <v>0</v>
      </c>
      <c r="Y74" s="87">
        <v>0</v>
      </c>
      <c r="Z74" s="87">
        <v>0</v>
      </c>
      <c r="AA74" s="214">
        <v>0</v>
      </c>
      <c r="AB74" s="214">
        <v>0</v>
      </c>
      <c r="AC74" s="214">
        <v>0</v>
      </c>
      <c r="AD74" s="214">
        <v>0</v>
      </c>
      <c r="AE74" s="214">
        <v>0</v>
      </c>
      <c r="AF74" s="214">
        <v>0</v>
      </c>
      <c r="AG74" s="214">
        <v>0</v>
      </c>
      <c r="AH74" s="214">
        <v>0</v>
      </c>
      <c r="AI74" s="87">
        <v>0</v>
      </c>
      <c r="AJ74" s="87">
        <v>0</v>
      </c>
      <c r="AK74" s="87">
        <v>0</v>
      </c>
      <c r="AL74" s="87">
        <v>0</v>
      </c>
      <c r="AM74" s="87">
        <v>0</v>
      </c>
      <c r="AN74" s="87">
        <v>0</v>
      </c>
      <c r="AO74" s="87">
        <v>0</v>
      </c>
      <c r="AP74" s="87">
        <v>0</v>
      </c>
      <c r="AQ74" s="88">
        <v>0</v>
      </c>
      <c r="AR74" s="88">
        <v>0</v>
      </c>
      <c r="AS74" s="88">
        <v>0</v>
      </c>
      <c r="AT74" s="88">
        <v>0</v>
      </c>
      <c r="AU74" s="88">
        <v>0</v>
      </c>
      <c r="AV74" s="88">
        <v>0</v>
      </c>
      <c r="AW74" s="88">
        <v>0</v>
      </c>
      <c r="AX74" s="88">
        <v>0</v>
      </c>
      <c r="AY74" s="87">
        <v>0</v>
      </c>
      <c r="AZ74" s="87">
        <v>0</v>
      </c>
      <c r="BA74" s="87">
        <v>0</v>
      </c>
      <c r="BB74" s="87">
        <v>0</v>
      </c>
      <c r="BC74" s="87">
        <v>0</v>
      </c>
      <c r="BD74" s="87">
        <v>0</v>
      </c>
      <c r="BE74" s="87">
        <v>0</v>
      </c>
      <c r="BF74" s="87">
        <v>0</v>
      </c>
      <c r="BG74" s="88">
        <v>77999</v>
      </c>
      <c r="BH74" s="88">
        <v>0</v>
      </c>
      <c r="BI74" s="88">
        <v>77999</v>
      </c>
      <c r="BJ74" s="88">
        <v>77999</v>
      </c>
      <c r="BK74" s="88">
        <v>77999</v>
      </c>
      <c r="BL74" s="88">
        <v>77999</v>
      </c>
      <c r="BM74" s="88">
        <v>77999</v>
      </c>
      <c r="BN74" s="590">
        <v>77000</v>
      </c>
      <c r="BO74" s="171">
        <v>2023</v>
      </c>
      <c r="BP74" s="171">
        <v>1</v>
      </c>
      <c r="BQ74" s="171">
        <v>19</v>
      </c>
      <c r="BS74" s="76" t="str">
        <f t="shared" si="1"/>
        <v>○</v>
      </c>
    </row>
    <row r="75" spans="1:71" x14ac:dyDescent="0.2">
      <c r="A75" s="210">
        <v>1089</v>
      </c>
      <c r="B75" s="211"/>
      <c r="C75" s="212"/>
      <c r="D75" s="211"/>
      <c r="E75" s="212"/>
      <c r="F75" s="211"/>
      <c r="G75" s="211"/>
      <c r="H75" s="212"/>
      <c r="I75" s="211"/>
      <c r="J75" s="211"/>
      <c r="K75" s="211"/>
      <c r="L75" s="171"/>
      <c r="M75" s="171" t="s">
        <v>415</v>
      </c>
      <c r="N75" s="171" t="s">
        <v>416</v>
      </c>
      <c r="O75" s="171" t="s">
        <v>279</v>
      </c>
      <c r="P75" s="171" t="s">
        <v>916</v>
      </c>
      <c r="Q75" s="171"/>
      <c r="R75" s="213">
        <v>223000</v>
      </c>
      <c r="S75" s="87">
        <v>0</v>
      </c>
      <c r="T75" s="87">
        <v>0</v>
      </c>
      <c r="U75" s="87">
        <v>0</v>
      </c>
      <c r="V75" s="87">
        <v>0</v>
      </c>
      <c r="W75" s="87">
        <v>0</v>
      </c>
      <c r="X75" s="87">
        <v>0</v>
      </c>
      <c r="Y75" s="87">
        <v>0</v>
      </c>
      <c r="Z75" s="87">
        <v>0</v>
      </c>
      <c r="AA75" s="214">
        <v>0</v>
      </c>
      <c r="AB75" s="214">
        <v>0</v>
      </c>
      <c r="AC75" s="214">
        <v>0</v>
      </c>
      <c r="AD75" s="214">
        <v>0</v>
      </c>
      <c r="AE75" s="214">
        <v>0</v>
      </c>
      <c r="AF75" s="214">
        <v>0</v>
      </c>
      <c r="AG75" s="214">
        <v>0</v>
      </c>
      <c r="AH75" s="214">
        <v>0</v>
      </c>
      <c r="AI75" s="87">
        <v>145204</v>
      </c>
      <c r="AJ75" s="87">
        <v>0</v>
      </c>
      <c r="AK75" s="87">
        <v>145204</v>
      </c>
      <c r="AL75" s="87">
        <v>145204</v>
      </c>
      <c r="AM75" s="87">
        <v>5148000</v>
      </c>
      <c r="AN75" s="87">
        <v>145204</v>
      </c>
      <c r="AO75" s="87">
        <v>145204</v>
      </c>
      <c r="AP75" s="87">
        <v>145000</v>
      </c>
      <c r="AQ75" s="88">
        <v>0</v>
      </c>
      <c r="AR75" s="88">
        <v>0</v>
      </c>
      <c r="AS75" s="88">
        <v>0</v>
      </c>
      <c r="AT75" s="88">
        <v>0</v>
      </c>
      <c r="AU75" s="88">
        <v>0</v>
      </c>
      <c r="AV75" s="88">
        <v>0</v>
      </c>
      <c r="AW75" s="88">
        <v>0</v>
      </c>
      <c r="AX75" s="88">
        <v>0</v>
      </c>
      <c r="AY75" s="87">
        <v>0</v>
      </c>
      <c r="AZ75" s="87">
        <v>0</v>
      </c>
      <c r="BA75" s="87">
        <v>0</v>
      </c>
      <c r="BB75" s="87">
        <v>0</v>
      </c>
      <c r="BC75" s="87">
        <v>0</v>
      </c>
      <c r="BD75" s="87">
        <v>0</v>
      </c>
      <c r="BE75" s="87">
        <v>0</v>
      </c>
      <c r="BF75" s="87">
        <v>0</v>
      </c>
      <c r="BG75" s="88">
        <v>78016</v>
      </c>
      <c r="BH75" s="88">
        <v>0</v>
      </c>
      <c r="BI75" s="88">
        <v>78016</v>
      </c>
      <c r="BJ75" s="88">
        <v>78016</v>
      </c>
      <c r="BK75" s="88">
        <v>78016</v>
      </c>
      <c r="BL75" s="88">
        <v>78016</v>
      </c>
      <c r="BM75" s="88">
        <v>78016</v>
      </c>
      <c r="BN75" s="590">
        <v>78000</v>
      </c>
      <c r="BO75" s="171">
        <v>2023</v>
      </c>
      <c r="BP75" s="171">
        <v>1</v>
      </c>
      <c r="BQ75" s="171">
        <v>19</v>
      </c>
      <c r="BS75" s="76" t="str">
        <f t="shared" si="1"/>
        <v>○</v>
      </c>
    </row>
    <row r="76" spans="1:71" x14ac:dyDescent="0.2">
      <c r="A76" s="210">
        <v>1090</v>
      </c>
      <c r="B76" s="211"/>
      <c r="C76" s="212"/>
      <c r="D76" s="211"/>
      <c r="E76" s="212"/>
      <c r="F76" s="211"/>
      <c r="G76" s="211"/>
      <c r="H76" s="212"/>
      <c r="I76" s="211"/>
      <c r="J76" s="211"/>
      <c r="K76" s="211"/>
      <c r="L76" s="171"/>
      <c r="M76" s="171" t="s">
        <v>417</v>
      </c>
      <c r="N76" s="171" t="s">
        <v>393</v>
      </c>
      <c r="O76" s="171" t="s">
        <v>418</v>
      </c>
      <c r="P76" s="171" t="s">
        <v>916</v>
      </c>
      <c r="Q76" s="171"/>
      <c r="R76" s="213">
        <v>487000</v>
      </c>
      <c r="S76" s="87">
        <v>0</v>
      </c>
      <c r="T76" s="87">
        <v>0</v>
      </c>
      <c r="U76" s="87">
        <v>0</v>
      </c>
      <c r="V76" s="87">
        <v>0</v>
      </c>
      <c r="W76" s="87">
        <v>0</v>
      </c>
      <c r="X76" s="87">
        <v>0</v>
      </c>
      <c r="Y76" s="87">
        <v>0</v>
      </c>
      <c r="Z76" s="87">
        <v>0</v>
      </c>
      <c r="AA76" s="214">
        <v>341000</v>
      </c>
      <c r="AB76" s="214">
        <v>0</v>
      </c>
      <c r="AC76" s="214">
        <v>341000</v>
      </c>
      <c r="AD76" s="214">
        <v>341000</v>
      </c>
      <c r="AE76" s="214">
        <v>410000</v>
      </c>
      <c r="AF76" s="214">
        <v>341000</v>
      </c>
      <c r="AG76" s="214">
        <v>341000</v>
      </c>
      <c r="AH76" s="214">
        <v>341000</v>
      </c>
      <c r="AI76" s="87">
        <v>146340</v>
      </c>
      <c r="AJ76" s="87">
        <v>0</v>
      </c>
      <c r="AK76" s="87">
        <v>146340</v>
      </c>
      <c r="AL76" s="87">
        <v>146340</v>
      </c>
      <c r="AM76" s="87">
        <v>3456000</v>
      </c>
      <c r="AN76" s="87">
        <v>146340</v>
      </c>
      <c r="AO76" s="87">
        <v>146340</v>
      </c>
      <c r="AP76" s="87">
        <v>146000</v>
      </c>
      <c r="AQ76" s="88">
        <v>0</v>
      </c>
      <c r="AR76" s="88">
        <v>0</v>
      </c>
      <c r="AS76" s="88">
        <v>0</v>
      </c>
      <c r="AT76" s="88">
        <v>0</v>
      </c>
      <c r="AU76" s="88">
        <v>0</v>
      </c>
      <c r="AV76" s="88">
        <v>0</v>
      </c>
      <c r="AW76" s="88">
        <v>0</v>
      </c>
      <c r="AX76" s="88">
        <v>0</v>
      </c>
      <c r="AY76" s="87">
        <v>0</v>
      </c>
      <c r="AZ76" s="87">
        <v>0</v>
      </c>
      <c r="BA76" s="87">
        <v>0</v>
      </c>
      <c r="BB76" s="87">
        <v>0</v>
      </c>
      <c r="BC76" s="87">
        <v>0</v>
      </c>
      <c r="BD76" s="87">
        <v>0</v>
      </c>
      <c r="BE76" s="87">
        <v>0</v>
      </c>
      <c r="BF76" s="87">
        <v>0</v>
      </c>
      <c r="BG76" s="88">
        <v>0</v>
      </c>
      <c r="BH76" s="88">
        <v>0</v>
      </c>
      <c r="BI76" s="88">
        <v>0</v>
      </c>
      <c r="BJ76" s="88">
        <v>0</v>
      </c>
      <c r="BK76" s="88">
        <v>0</v>
      </c>
      <c r="BL76" s="88">
        <v>0</v>
      </c>
      <c r="BM76" s="88">
        <v>0</v>
      </c>
      <c r="BN76" s="590">
        <v>0</v>
      </c>
      <c r="BO76" s="171">
        <v>2023</v>
      </c>
      <c r="BP76" s="171">
        <v>1</v>
      </c>
      <c r="BQ76" s="171">
        <v>19</v>
      </c>
      <c r="BS76" s="76" t="str">
        <f t="shared" ref="BS76:BS107" si="2">IF(R76=SUM(Z76,AH76,AP76,BF76,BN76),"○","×")</f>
        <v>○</v>
      </c>
    </row>
    <row r="77" spans="1:71" x14ac:dyDescent="0.2">
      <c r="A77" s="210">
        <v>1091</v>
      </c>
      <c r="B77" s="211"/>
      <c r="C77" s="212"/>
      <c r="D77" s="211"/>
      <c r="E77" s="212"/>
      <c r="F77" s="211"/>
      <c r="G77" s="211"/>
      <c r="H77" s="212"/>
      <c r="I77" s="211"/>
      <c r="J77" s="211"/>
      <c r="K77" s="211"/>
      <c r="L77" s="171"/>
      <c r="M77" s="171" t="s">
        <v>419</v>
      </c>
      <c r="N77" s="171" t="s">
        <v>289</v>
      </c>
      <c r="O77" s="171" t="s">
        <v>420</v>
      </c>
      <c r="P77" s="171" t="s">
        <v>916</v>
      </c>
      <c r="Q77" s="171"/>
      <c r="R77" s="213">
        <v>351000</v>
      </c>
      <c r="S77" s="87">
        <v>0</v>
      </c>
      <c r="T77" s="87">
        <v>0</v>
      </c>
      <c r="U77" s="87">
        <v>0</v>
      </c>
      <c r="V77" s="87">
        <v>0</v>
      </c>
      <c r="W77" s="87">
        <v>0</v>
      </c>
      <c r="X77" s="87">
        <v>0</v>
      </c>
      <c r="Y77" s="87">
        <v>0</v>
      </c>
      <c r="Z77" s="87">
        <v>0</v>
      </c>
      <c r="AA77" s="214">
        <v>0</v>
      </c>
      <c r="AB77" s="214">
        <v>0</v>
      </c>
      <c r="AC77" s="214">
        <v>0</v>
      </c>
      <c r="AD77" s="214">
        <v>0</v>
      </c>
      <c r="AE77" s="214">
        <v>0</v>
      </c>
      <c r="AF77" s="214">
        <v>0</v>
      </c>
      <c r="AG77" s="214">
        <v>0</v>
      </c>
      <c r="AH77" s="214">
        <v>0</v>
      </c>
      <c r="AI77" s="87">
        <v>351644</v>
      </c>
      <c r="AJ77" s="87">
        <v>0</v>
      </c>
      <c r="AK77" s="87">
        <v>351644</v>
      </c>
      <c r="AL77" s="87">
        <v>351644</v>
      </c>
      <c r="AM77" s="87">
        <v>3920400</v>
      </c>
      <c r="AN77" s="87">
        <v>351644</v>
      </c>
      <c r="AO77" s="87">
        <v>351644</v>
      </c>
      <c r="AP77" s="87">
        <v>351000</v>
      </c>
      <c r="AQ77" s="88">
        <v>0</v>
      </c>
      <c r="AR77" s="88">
        <v>0</v>
      </c>
      <c r="AS77" s="88">
        <v>0</v>
      </c>
      <c r="AT77" s="88">
        <v>0</v>
      </c>
      <c r="AU77" s="88">
        <v>0</v>
      </c>
      <c r="AV77" s="88">
        <v>0</v>
      </c>
      <c r="AW77" s="88">
        <v>0</v>
      </c>
      <c r="AX77" s="88">
        <v>0</v>
      </c>
      <c r="AY77" s="87">
        <v>0</v>
      </c>
      <c r="AZ77" s="87">
        <v>0</v>
      </c>
      <c r="BA77" s="87">
        <v>0</v>
      </c>
      <c r="BB77" s="87">
        <v>0</v>
      </c>
      <c r="BC77" s="87">
        <v>0</v>
      </c>
      <c r="BD77" s="87">
        <v>0</v>
      </c>
      <c r="BE77" s="87">
        <v>0</v>
      </c>
      <c r="BF77" s="87">
        <v>0</v>
      </c>
      <c r="BG77" s="88">
        <v>0</v>
      </c>
      <c r="BH77" s="88">
        <v>0</v>
      </c>
      <c r="BI77" s="88">
        <v>0</v>
      </c>
      <c r="BJ77" s="88">
        <v>0</v>
      </c>
      <c r="BK77" s="88">
        <v>0</v>
      </c>
      <c r="BL77" s="88">
        <v>0</v>
      </c>
      <c r="BM77" s="88">
        <v>0</v>
      </c>
      <c r="BN77" s="590">
        <v>0</v>
      </c>
      <c r="BO77" s="171">
        <v>2023</v>
      </c>
      <c r="BP77" s="171">
        <v>1</v>
      </c>
      <c r="BQ77" s="171">
        <v>19</v>
      </c>
      <c r="BS77" s="76" t="str">
        <f t="shared" si="2"/>
        <v>○</v>
      </c>
    </row>
    <row r="78" spans="1:71" x14ac:dyDescent="0.2">
      <c r="A78" s="210">
        <v>1092</v>
      </c>
      <c r="B78" s="211"/>
      <c r="C78" s="212"/>
      <c r="D78" s="211"/>
      <c r="E78" s="212"/>
      <c r="F78" s="211"/>
      <c r="G78" s="211"/>
      <c r="H78" s="212"/>
      <c r="I78" s="211"/>
      <c r="J78" s="211"/>
      <c r="K78" s="211"/>
      <c r="L78" s="171"/>
      <c r="M78" s="171" t="s">
        <v>421</v>
      </c>
      <c r="N78" s="171" t="s">
        <v>313</v>
      </c>
      <c r="O78" s="171" t="s">
        <v>422</v>
      </c>
      <c r="P78" s="171" t="s">
        <v>916</v>
      </c>
      <c r="Q78" s="171"/>
      <c r="R78" s="213">
        <v>912000</v>
      </c>
      <c r="S78" s="87">
        <v>0</v>
      </c>
      <c r="T78" s="87">
        <v>0</v>
      </c>
      <c r="U78" s="87">
        <v>0</v>
      </c>
      <c r="V78" s="87">
        <v>0</v>
      </c>
      <c r="W78" s="87">
        <v>0</v>
      </c>
      <c r="X78" s="87">
        <v>0</v>
      </c>
      <c r="Y78" s="87">
        <v>0</v>
      </c>
      <c r="Z78" s="87">
        <v>0</v>
      </c>
      <c r="AA78" s="214">
        <v>387200</v>
      </c>
      <c r="AB78" s="214">
        <v>0</v>
      </c>
      <c r="AC78" s="214">
        <v>387200</v>
      </c>
      <c r="AD78" s="214">
        <v>387200</v>
      </c>
      <c r="AE78" s="214">
        <v>410000</v>
      </c>
      <c r="AF78" s="214">
        <v>387200</v>
      </c>
      <c r="AG78" s="214">
        <v>387200</v>
      </c>
      <c r="AH78" s="214">
        <v>387000</v>
      </c>
      <c r="AI78" s="87">
        <v>525420</v>
      </c>
      <c r="AJ78" s="87">
        <v>0</v>
      </c>
      <c r="AK78" s="87">
        <v>525420</v>
      </c>
      <c r="AL78" s="87">
        <v>525420</v>
      </c>
      <c r="AM78" s="87">
        <v>4752000</v>
      </c>
      <c r="AN78" s="87">
        <v>525420</v>
      </c>
      <c r="AO78" s="87">
        <v>525420</v>
      </c>
      <c r="AP78" s="87">
        <v>525000</v>
      </c>
      <c r="AQ78" s="88">
        <v>0</v>
      </c>
      <c r="AR78" s="88">
        <v>0</v>
      </c>
      <c r="AS78" s="88">
        <v>0</v>
      </c>
      <c r="AT78" s="88">
        <v>0</v>
      </c>
      <c r="AU78" s="88">
        <v>0</v>
      </c>
      <c r="AV78" s="88">
        <v>0</v>
      </c>
      <c r="AW78" s="88">
        <v>0</v>
      </c>
      <c r="AX78" s="88">
        <v>0</v>
      </c>
      <c r="AY78" s="87">
        <v>0</v>
      </c>
      <c r="AZ78" s="87">
        <v>0</v>
      </c>
      <c r="BA78" s="87">
        <v>0</v>
      </c>
      <c r="BB78" s="87">
        <v>0</v>
      </c>
      <c r="BC78" s="87">
        <v>0</v>
      </c>
      <c r="BD78" s="87">
        <v>0</v>
      </c>
      <c r="BE78" s="87">
        <v>0</v>
      </c>
      <c r="BF78" s="87">
        <v>0</v>
      </c>
      <c r="BG78" s="88">
        <v>0</v>
      </c>
      <c r="BH78" s="88">
        <v>0</v>
      </c>
      <c r="BI78" s="88">
        <v>0</v>
      </c>
      <c r="BJ78" s="88">
        <v>0</v>
      </c>
      <c r="BK78" s="88">
        <v>0</v>
      </c>
      <c r="BL78" s="88">
        <v>0</v>
      </c>
      <c r="BM78" s="88">
        <v>0</v>
      </c>
      <c r="BN78" s="590">
        <v>0</v>
      </c>
      <c r="BO78" s="171">
        <v>2023</v>
      </c>
      <c r="BP78" s="171">
        <v>1</v>
      </c>
      <c r="BQ78" s="171">
        <v>19</v>
      </c>
      <c r="BS78" s="76" t="str">
        <f t="shared" si="2"/>
        <v>○</v>
      </c>
    </row>
    <row r="79" spans="1:71" x14ac:dyDescent="0.2">
      <c r="A79" s="210">
        <v>1093</v>
      </c>
      <c r="B79" s="211"/>
      <c r="C79" s="212"/>
      <c r="D79" s="211"/>
      <c r="E79" s="212"/>
      <c r="F79" s="211"/>
      <c r="G79" s="211"/>
      <c r="H79" s="212"/>
      <c r="I79" s="211"/>
      <c r="J79" s="211"/>
      <c r="K79" s="211"/>
      <c r="L79" s="171"/>
      <c r="M79" s="171" t="s">
        <v>423</v>
      </c>
      <c r="N79" s="171" t="s">
        <v>299</v>
      </c>
      <c r="O79" s="171" t="s">
        <v>324</v>
      </c>
      <c r="P79" s="171" t="s">
        <v>916</v>
      </c>
      <c r="Q79" s="171"/>
      <c r="R79" s="213">
        <v>1260000</v>
      </c>
      <c r="S79" s="87">
        <v>0</v>
      </c>
      <c r="T79" s="87">
        <v>0</v>
      </c>
      <c r="U79" s="87">
        <v>0</v>
      </c>
      <c r="V79" s="87">
        <v>0</v>
      </c>
      <c r="W79" s="87">
        <v>0</v>
      </c>
      <c r="X79" s="87">
        <v>0</v>
      </c>
      <c r="Y79" s="87">
        <v>0</v>
      </c>
      <c r="Z79" s="87">
        <v>0</v>
      </c>
      <c r="AA79" s="214">
        <v>0</v>
      </c>
      <c r="AB79" s="214">
        <v>0</v>
      </c>
      <c r="AC79" s="214">
        <v>0</v>
      </c>
      <c r="AD79" s="214">
        <v>0</v>
      </c>
      <c r="AE79" s="214">
        <v>0</v>
      </c>
      <c r="AF79" s="214">
        <v>0</v>
      </c>
      <c r="AG79" s="214">
        <v>0</v>
      </c>
      <c r="AH79" s="214">
        <v>0</v>
      </c>
      <c r="AI79" s="87">
        <v>1158450</v>
      </c>
      <c r="AJ79" s="87">
        <v>0</v>
      </c>
      <c r="AK79" s="87">
        <v>1158450</v>
      </c>
      <c r="AL79" s="87">
        <v>1158450</v>
      </c>
      <c r="AM79" s="87">
        <v>5148000</v>
      </c>
      <c r="AN79" s="87">
        <v>1158450</v>
      </c>
      <c r="AO79" s="87">
        <v>1158450</v>
      </c>
      <c r="AP79" s="87">
        <v>1158000</v>
      </c>
      <c r="AQ79" s="88">
        <v>0</v>
      </c>
      <c r="AR79" s="88">
        <v>0</v>
      </c>
      <c r="AS79" s="88">
        <v>0</v>
      </c>
      <c r="AT79" s="88">
        <v>0</v>
      </c>
      <c r="AU79" s="88">
        <v>0</v>
      </c>
      <c r="AV79" s="88">
        <v>0</v>
      </c>
      <c r="AW79" s="88">
        <v>0</v>
      </c>
      <c r="AX79" s="88">
        <v>0</v>
      </c>
      <c r="AY79" s="87">
        <v>0</v>
      </c>
      <c r="AZ79" s="87">
        <v>0</v>
      </c>
      <c r="BA79" s="87">
        <v>0</v>
      </c>
      <c r="BB79" s="87">
        <v>0</v>
      </c>
      <c r="BC79" s="87">
        <v>0</v>
      </c>
      <c r="BD79" s="87">
        <v>0</v>
      </c>
      <c r="BE79" s="87">
        <v>0</v>
      </c>
      <c r="BF79" s="87">
        <v>0</v>
      </c>
      <c r="BG79" s="88">
        <v>102102</v>
      </c>
      <c r="BH79" s="88">
        <v>0</v>
      </c>
      <c r="BI79" s="88">
        <v>102102</v>
      </c>
      <c r="BJ79" s="88">
        <v>102102</v>
      </c>
      <c r="BK79" s="88">
        <v>102102</v>
      </c>
      <c r="BL79" s="88">
        <v>102102</v>
      </c>
      <c r="BM79" s="88">
        <v>102102</v>
      </c>
      <c r="BN79" s="590">
        <v>102000</v>
      </c>
      <c r="BO79" s="171">
        <v>2023</v>
      </c>
      <c r="BP79" s="171">
        <v>1</v>
      </c>
      <c r="BQ79" s="171">
        <v>19</v>
      </c>
      <c r="BS79" s="76" t="str">
        <f t="shared" si="2"/>
        <v>○</v>
      </c>
    </row>
    <row r="80" spans="1:71" x14ac:dyDescent="0.2">
      <c r="A80" s="210">
        <v>1094</v>
      </c>
      <c r="B80" s="211"/>
      <c r="C80" s="212"/>
      <c r="D80" s="211"/>
      <c r="E80" s="212"/>
      <c r="F80" s="211"/>
      <c r="G80" s="211"/>
      <c r="H80" s="212"/>
      <c r="I80" s="211"/>
      <c r="J80" s="211"/>
      <c r="K80" s="211"/>
      <c r="L80" s="171"/>
      <c r="M80" s="171" t="s">
        <v>274</v>
      </c>
      <c r="N80" s="171" t="s">
        <v>275</v>
      </c>
      <c r="O80" s="171" t="s">
        <v>276</v>
      </c>
      <c r="P80" s="171" t="s">
        <v>916</v>
      </c>
      <c r="Q80" s="171"/>
      <c r="R80" s="213">
        <v>97000</v>
      </c>
      <c r="S80" s="87">
        <v>0</v>
      </c>
      <c r="T80" s="87">
        <v>0</v>
      </c>
      <c r="U80" s="87">
        <v>0</v>
      </c>
      <c r="V80" s="87">
        <v>0</v>
      </c>
      <c r="W80" s="87">
        <v>0</v>
      </c>
      <c r="X80" s="87">
        <v>0</v>
      </c>
      <c r="Y80" s="87">
        <v>0</v>
      </c>
      <c r="Z80" s="87">
        <v>0</v>
      </c>
      <c r="AA80" s="214">
        <v>0</v>
      </c>
      <c r="AB80" s="214">
        <v>0</v>
      </c>
      <c r="AC80" s="214">
        <v>0</v>
      </c>
      <c r="AD80" s="214">
        <v>0</v>
      </c>
      <c r="AE80" s="214">
        <v>0</v>
      </c>
      <c r="AF80" s="214">
        <v>0</v>
      </c>
      <c r="AG80" s="214">
        <v>0</v>
      </c>
      <c r="AH80" s="214">
        <v>0</v>
      </c>
      <c r="AI80" s="87">
        <v>0</v>
      </c>
      <c r="AJ80" s="87">
        <v>0</v>
      </c>
      <c r="AK80" s="87">
        <v>0</v>
      </c>
      <c r="AL80" s="87">
        <v>0</v>
      </c>
      <c r="AM80" s="87">
        <v>0</v>
      </c>
      <c r="AN80" s="87">
        <v>0</v>
      </c>
      <c r="AO80" s="87">
        <v>0</v>
      </c>
      <c r="AP80" s="87">
        <v>0</v>
      </c>
      <c r="AQ80" s="88">
        <v>0</v>
      </c>
      <c r="AR80" s="88">
        <v>0</v>
      </c>
      <c r="AS80" s="88">
        <v>0</v>
      </c>
      <c r="AT80" s="88">
        <v>0</v>
      </c>
      <c r="AU80" s="88">
        <v>0</v>
      </c>
      <c r="AV80" s="88">
        <v>0</v>
      </c>
      <c r="AW80" s="88">
        <v>0</v>
      </c>
      <c r="AX80" s="88">
        <v>0</v>
      </c>
      <c r="AY80" s="87">
        <v>97240</v>
      </c>
      <c r="AZ80" s="87">
        <v>0</v>
      </c>
      <c r="BA80" s="87">
        <v>97240</v>
      </c>
      <c r="BB80" s="87">
        <v>97240</v>
      </c>
      <c r="BC80" s="87">
        <v>102800</v>
      </c>
      <c r="BD80" s="87">
        <v>97240</v>
      </c>
      <c r="BE80" s="87">
        <v>97240</v>
      </c>
      <c r="BF80" s="87">
        <v>97000</v>
      </c>
      <c r="BG80" s="88">
        <v>0</v>
      </c>
      <c r="BH80" s="88">
        <v>0</v>
      </c>
      <c r="BI80" s="88">
        <v>0</v>
      </c>
      <c r="BJ80" s="88">
        <v>0</v>
      </c>
      <c r="BK80" s="88">
        <v>0</v>
      </c>
      <c r="BL80" s="88">
        <v>0</v>
      </c>
      <c r="BM80" s="88">
        <v>0</v>
      </c>
      <c r="BN80" s="590">
        <v>0</v>
      </c>
      <c r="BO80" s="171">
        <v>2023</v>
      </c>
      <c r="BP80" s="171">
        <v>1</v>
      </c>
      <c r="BQ80" s="171">
        <v>19</v>
      </c>
      <c r="BS80" s="76" t="str">
        <f t="shared" si="2"/>
        <v>○</v>
      </c>
    </row>
    <row r="81" spans="1:71" x14ac:dyDescent="0.2">
      <c r="A81" s="210">
        <v>1095</v>
      </c>
      <c r="B81" s="211"/>
      <c r="C81" s="212"/>
      <c r="D81" s="211"/>
      <c r="E81" s="212"/>
      <c r="F81" s="211"/>
      <c r="G81" s="211"/>
      <c r="H81" s="212"/>
      <c r="I81" s="211"/>
      <c r="J81" s="211"/>
      <c r="K81" s="211"/>
      <c r="L81" s="171"/>
      <c r="M81" s="171" t="s">
        <v>424</v>
      </c>
      <c r="N81" s="171" t="s">
        <v>278</v>
      </c>
      <c r="O81" s="171" t="s">
        <v>425</v>
      </c>
      <c r="P81" s="171" t="s">
        <v>916</v>
      </c>
      <c r="Q81" s="171"/>
      <c r="R81" s="213">
        <v>628000</v>
      </c>
      <c r="S81" s="87">
        <v>0</v>
      </c>
      <c r="T81" s="87">
        <v>0</v>
      </c>
      <c r="U81" s="87">
        <v>0</v>
      </c>
      <c r="V81" s="87">
        <v>0</v>
      </c>
      <c r="W81" s="87">
        <v>0</v>
      </c>
      <c r="X81" s="87">
        <v>0</v>
      </c>
      <c r="Y81" s="87">
        <v>0</v>
      </c>
      <c r="Z81" s="87">
        <v>0</v>
      </c>
      <c r="AA81" s="214">
        <v>315964</v>
      </c>
      <c r="AB81" s="214">
        <v>0</v>
      </c>
      <c r="AC81" s="214">
        <v>315964</v>
      </c>
      <c r="AD81" s="214">
        <v>315964</v>
      </c>
      <c r="AE81" s="214">
        <v>410000</v>
      </c>
      <c r="AF81" s="214">
        <v>315964</v>
      </c>
      <c r="AG81" s="214">
        <v>315964</v>
      </c>
      <c r="AH81" s="214">
        <v>315000</v>
      </c>
      <c r="AI81" s="87">
        <v>313900</v>
      </c>
      <c r="AJ81" s="87">
        <v>0</v>
      </c>
      <c r="AK81" s="87">
        <v>313900</v>
      </c>
      <c r="AL81" s="87">
        <v>313900</v>
      </c>
      <c r="AM81" s="87">
        <v>4118400</v>
      </c>
      <c r="AN81" s="87">
        <v>313900</v>
      </c>
      <c r="AO81" s="87">
        <v>313900</v>
      </c>
      <c r="AP81" s="87">
        <v>313000</v>
      </c>
      <c r="AQ81" s="88">
        <v>0</v>
      </c>
      <c r="AR81" s="88">
        <v>0</v>
      </c>
      <c r="AS81" s="88">
        <v>0</v>
      </c>
      <c r="AT81" s="88">
        <v>0</v>
      </c>
      <c r="AU81" s="88">
        <v>0</v>
      </c>
      <c r="AV81" s="88">
        <v>0</v>
      </c>
      <c r="AW81" s="88">
        <v>0</v>
      </c>
      <c r="AX81" s="88">
        <v>0</v>
      </c>
      <c r="AY81" s="87">
        <v>0</v>
      </c>
      <c r="AZ81" s="87">
        <v>0</v>
      </c>
      <c r="BA81" s="87">
        <v>0</v>
      </c>
      <c r="BB81" s="87">
        <v>0</v>
      </c>
      <c r="BC81" s="87">
        <v>0</v>
      </c>
      <c r="BD81" s="87">
        <v>0</v>
      </c>
      <c r="BE81" s="87">
        <v>0</v>
      </c>
      <c r="BF81" s="87">
        <v>0</v>
      </c>
      <c r="BG81" s="88">
        <v>0</v>
      </c>
      <c r="BH81" s="88">
        <v>0</v>
      </c>
      <c r="BI81" s="88">
        <v>0</v>
      </c>
      <c r="BJ81" s="88">
        <v>0</v>
      </c>
      <c r="BK81" s="88">
        <v>0</v>
      </c>
      <c r="BL81" s="88">
        <v>0</v>
      </c>
      <c r="BM81" s="88">
        <v>0</v>
      </c>
      <c r="BN81" s="590">
        <v>0</v>
      </c>
      <c r="BO81" s="171">
        <v>2023</v>
      </c>
      <c r="BP81" s="171">
        <v>1</v>
      </c>
      <c r="BQ81" s="171">
        <v>19</v>
      </c>
      <c r="BS81" s="76" t="str">
        <f t="shared" si="2"/>
        <v>○</v>
      </c>
    </row>
    <row r="82" spans="1:71" x14ac:dyDescent="0.2">
      <c r="A82" s="210">
        <v>1096</v>
      </c>
      <c r="B82" s="211"/>
      <c r="C82" s="212"/>
      <c r="D82" s="211"/>
      <c r="E82" s="212"/>
      <c r="F82" s="211"/>
      <c r="G82" s="211"/>
      <c r="H82" s="212"/>
      <c r="I82" s="211"/>
      <c r="J82" s="211"/>
      <c r="K82" s="211"/>
      <c r="L82" s="171"/>
      <c r="M82" s="171" t="s">
        <v>340</v>
      </c>
      <c r="N82" s="171" t="s">
        <v>313</v>
      </c>
      <c r="O82" s="171" t="s">
        <v>341</v>
      </c>
      <c r="P82" s="171" t="s">
        <v>916</v>
      </c>
      <c r="Q82" s="171"/>
      <c r="R82" s="213">
        <v>882000</v>
      </c>
      <c r="S82" s="87">
        <v>0</v>
      </c>
      <c r="T82" s="87">
        <v>0</v>
      </c>
      <c r="U82" s="87">
        <v>0</v>
      </c>
      <c r="V82" s="87">
        <v>0</v>
      </c>
      <c r="W82" s="87">
        <v>0</v>
      </c>
      <c r="X82" s="87">
        <v>0</v>
      </c>
      <c r="Y82" s="87">
        <v>0</v>
      </c>
      <c r="Z82" s="87">
        <v>0</v>
      </c>
      <c r="AA82" s="214">
        <v>820160</v>
      </c>
      <c r="AB82" s="214">
        <v>0</v>
      </c>
      <c r="AC82" s="214">
        <v>820160</v>
      </c>
      <c r="AD82" s="214">
        <v>820160</v>
      </c>
      <c r="AE82" s="214">
        <v>820000</v>
      </c>
      <c r="AF82" s="214">
        <v>820000</v>
      </c>
      <c r="AG82" s="214">
        <v>820000</v>
      </c>
      <c r="AH82" s="214">
        <v>820000</v>
      </c>
      <c r="AI82" s="87">
        <v>62680</v>
      </c>
      <c r="AJ82" s="87">
        <v>0</v>
      </c>
      <c r="AK82" s="87">
        <v>62680</v>
      </c>
      <c r="AL82" s="87">
        <v>62680</v>
      </c>
      <c r="AM82" s="87">
        <v>2001600</v>
      </c>
      <c r="AN82" s="87">
        <v>62680</v>
      </c>
      <c r="AO82" s="87">
        <v>62680</v>
      </c>
      <c r="AP82" s="87">
        <v>62000</v>
      </c>
      <c r="AQ82" s="88">
        <v>0</v>
      </c>
      <c r="AR82" s="88">
        <v>0</v>
      </c>
      <c r="AS82" s="88">
        <v>0</v>
      </c>
      <c r="AT82" s="88">
        <v>0</v>
      </c>
      <c r="AU82" s="88">
        <v>0</v>
      </c>
      <c r="AV82" s="88">
        <v>0</v>
      </c>
      <c r="AW82" s="88">
        <v>0</v>
      </c>
      <c r="AX82" s="88">
        <v>0</v>
      </c>
      <c r="AY82" s="87">
        <v>0</v>
      </c>
      <c r="AZ82" s="87">
        <v>0</v>
      </c>
      <c r="BA82" s="87">
        <v>0</v>
      </c>
      <c r="BB82" s="87">
        <v>0</v>
      </c>
      <c r="BC82" s="87">
        <v>0</v>
      </c>
      <c r="BD82" s="87">
        <v>0</v>
      </c>
      <c r="BE82" s="87">
        <v>0</v>
      </c>
      <c r="BF82" s="87">
        <v>0</v>
      </c>
      <c r="BG82" s="88">
        <v>0</v>
      </c>
      <c r="BH82" s="88">
        <v>0</v>
      </c>
      <c r="BI82" s="88">
        <v>0</v>
      </c>
      <c r="BJ82" s="88">
        <v>0</v>
      </c>
      <c r="BK82" s="88">
        <v>0</v>
      </c>
      <c r="BL82" s="88">
        <v>0</v>
      </c>
      <c r="BM82" s="88">
        <v>0</v>
      </c>
      <c r="BN82" s="590">
        <v>0</v>
      </c>
      <c r="BO82" s="171">
        <v>2023</v>
      </c>
      <c r="BP82" s="171">
        <v>1</v>
      </c>
      <c r="BQ82" s="171">
        <v>19</v>
      </c>
      <c r="BS82" s="76" t="str">
        <f t="shared" si="2"/>
        <v>○</v>
      </c>
    </row>
    <row r="83" spans="1:71" x14ac:dyDescent="0.2">
      <c r="A83" s="210">
        <v>1097</v>
      </c>
      <c r="B83" s="211"/>
      <c r="C83" s="212"/>
      <c r="D83" s="211"/>
      <c r="E83" s="212"/>
      <c r="F83" s="211"/>
      <c r="G83" s="211"/>
      <c r="H83" s="212"/>
      <c r="I83" s="211"/>
      <c r="J83" s="211"/>
      <c r="K83" s="211"/>
      <c r="L83" s="171"/>
      <c r="M83" s="171" t="s">
        <v>397</v>
      </c>
      <c r="N83" s="171" t="s">
        <v>313</v>
      </c>
      <c r="O83" s="171" t="s">
        <v>321</v>
      </c>
      <c r="P83" s="171" t="s">
        <v>916</v>
      </c>
      <c r="Q83" s="171"/>
      <c r="R83" s="213">
        <v>432000</v>
      </c>
      <c r="S83" s="87">
        <v>0</v>
      </c>
      <c r="T83" s="87">
        <v>0</v>
      </c>
      <c r="U83" s="87">
        <v>0</v>
      </c>
      <c r="V83" s="87">
        <v>0</v>
      </c>
      <c r="W83" s="87">
        <v>0</v>
      </c>
      <c r="X83" s="87">
        <v>0</v>
      </c>
      <c r="Y83" s="87">
        <v>0</v>
      </c>
      <c r="Z83" s="87">
        <v>0</v>
      </c>
      <c r="AA83" s="214">
        <v>506000</v>
      </c>
      <c r="AB83" s="214">
        <v>0</v>
      </c>
      <c r="AC83" s="214">
        <v>506000</v>
      </c>
      <c r="AD83" s="214">
        <v>506000</v>
      </c>
      <c r="AE83" s="214">
        <v>410000</v>
      </c>
      <c r="AF83" s="214">
        <v>410000</v>
      </c>
      <c r="AG83" s="214">
        <v>410000</v>
      </c>
      <c r="AH83" s="214">
        <v>410000</v>
      </c>
      <c r="AI83" s="87">
        <v>0</v>
      </c>
      <c r="AJ83" s="87">
        <v>0</v>
      </c>
      <c r="AK83" s="87">
        <v>0</v>
      </c>
      <c r="AL83" s="87">
        <v>0</v>
      </c>
      <c r="AM83" s="87">
        <v>0</v>
      </c>
      <c r="AN83" s="87">
        <v>0</v>
      </c>
      <c r="AO83" s="87">
        <v>0</v>
      </c>
      <c r="AP83" s="87">
        <v>0</v>
      </c>
      <c r="AQ83" s="88">
        <v>0</v>
      </c>
      <c r="AR83" s="88">
        <v>0</v>
      </c>
      <c r="AS83" s="88">
        <v>0</v>
      </c>
      <c r="AT83" s="88">
        <v>0</v>
      </c>
      <c r="AU83" s="88">
        <v>0</v>
      </c>
      <c r="AV83" s="88">
        <v>0</v>
      </c>
      <c r="AW83" s="88">
        <v>0</v>
      </c>
      <c r="AX83" s="88">
        <v>0</v>
      </c>
      <c r="AY83" s="87">
        <v>22000</v>
      </c>
      <c r="AZ83" s="87">
        <v>0</v>
      </c>
      <c r="BA83" s="87">
        <v>22000</v>
      </c>
      <c r="BB83" s="87">
        <v>22000</v>
      </c>
      <c r="BC83" s="87">
        <v>51400</v>
      </c>
      <c r="BD83" s="87">
        <v>22000</v>
      </c>
      <c r="BE83" s="87">
        <v>22000</v>
      </c>
      <c r="BF83" s="87">
        <v>22000</v>
      </c>
      <c r="BG83" s="88">
        <v>0</v>
      </c>
      <c r="BH83" s="88">
        <v>0</v>
      </c>
      <c r="BI83" s="88">
        <v>0</v>
      </c>
      <c r="BJ83" s="88">
        <v>0</v>
      </c>
      <c r="BK83" s="88">
        <v>0</v>
      </c>
      <c r="BL83" s="88">
        <v>0</v>
      </c>
      <c r="BM83" s="88">
        <v>0</v>
      </c>
      <c r="BN83" s="590">
        <v>0</v>
      </c>
      <c r="BO83" s="171">
        <v>2023</v>
      </c>
      <c r="BP83" s="171">
        <v>1</v>
      </c>
      <c r="BQ83" s="171">
        <v>19</v>
      </c>
      <c r="BS83" s="76" t="str">
        <f t="shared" si="2"/>
        <v>○</v>
      </c>
    </row>
    <row r="84" spans="1:71" x14ac:dyDescent="0.2">
      <c r="A84" s="210">
        <v>1098</v>
      </c>
      <c r="B84" s="211"/>
      <c r="C84" s="212"/>
      <c r="D84" s="211"/>
      <c r="E84" s="212"/>
      <c r="F84" s="211"/>
      <c r="G84" s="211"/>
      <c r="H84" s="212"/>
      <c r="I84" s="211"/>
      <c r="J84" s="211"/>
      <c r="K84" s="211"/>
      <c r="L84" s="171"/>
      <c r="M84" s="171" t="s">
        <v>277</v>
      </c>
      <c r="N84" s="171" t="s">
        <v>278</v>
      </c>
      <c r="O84" s="171" t="s">
        <v>279</v>
      </c>
      <c r="P84" s="171" t="s">
        <v>916</v>
      </c>
      <c r="Q84" s="171"/>
      <c r="R84" s="213">
        <v>349000</v>
      </c>
      <c r="S84" s="87">
        <v>0</v>
      </c>
      <c r="T84" s="87">
        <v>0</v>
      </c>
      <c r="U84" s="87">
        <v>0</v>
      </c>
      <c r="V84" s="87">
        <v>0</v>
      </c>
      <c r="W84" s="87">
        <v>0</v>
      </c>
      <c r="X84" s="87">
        <v>0</v>
      </c>
      <c r="Y84" s="87">
        <v>0</v>
      </c>
      <c r="Z84" s="87">
        <v>0</v>
      </c>
      <c r="AA84" s="214">
        <v>0</v>
      </c>
      <c r="AB84" s="214">
        <v>0</v>
      </c>
      <c r="AC84" s="214">
        <v>0</v>
      </c>
      <c r="AD84" s="214">
        <v>0</v>
      </c>
      <c r="AE84" s="214">
        <v>0</v>
      </c>
      <c r="AF84" s="214">
        <v>0</v>
      </c>
      <c r="AG84" s="214">
        <v>0</v>
      </c>
      <c r="AH84" s="214">
        <v>0</v>
      </c>
      <c r="AI84" s="87">
        <v>349580</v>
      </c>
      <c r="AJ84" s="87">
        <v>0</v>
      </c>
      <c r="AK84" s="87">
        <v>349580</v>
      </c>
      <c r="AL84" s="87">
        <v>349580</v>
      </c>
      <c r="AM84" s="87">
        <v>6480000</v>
      </c>
      <c r="AN84" s="87">
        <v>349580</v>
      </c>
      <c r="AO84" s="87">
        <v>349580</v>
      </c>
      <c r="AP84" s="87">
        <v>349000</v>
      </c>
      <c r="AQ84" s="88">
        <v>0</v>
      </c>
      <c r="AR84" s="88">
        <v>0</v>
      </c>
      <c r="AS84" s="88">
        <v>0</v>
      </c>
      <c r="AT84" s="88">
        <v>0</v>
      </c>
      <c r="AU84" s="88">
        <v>0</v>
      </c>
      <c r="AV84" s="88">
        <v>0</v>
      </c>
      <c r="AW84" s="88">
        <v>0</v>
      </c>
      <c r="AX84" s="88">
        <v>0</v>
      </c>
      <c r="AY84" s="87">
        <v>0</v>
      </c>
      <c r="AZ84" s="87">
        <v>0</v>
      </c>
      <c r="BA84" s="87">
        <v>0</v>
      </c>
      <c r="BB84" s="87">
        <v>0</v>
      </c>
      <c r="BC84" s="87">
        <v>0</v>
      </c>
      <c r="BD84" s="87">
        <v>0</v>
      </c>
      <c r="BE84" s="87">
        <v>0</v>
      </c>
      <c r="BF84" s="87">
        <v>0</v>
      </c>
      <c r="BG84" s="88">
        <v>0</v>
      </c>
      <c r="BH84" s="88">
        <v>0</v>
      </c>
      <c r="BI84" s="88">
        <v>0</v>
      </c>
      <c r="BJ84" s="88">
        <v>0</v>
      </c>
      <c r="BK84" s="88">
        <v>0</v>
      </c>
      <c r="BL84" s="88">
        <v>0</v>
      </c>
      <c r="BM84" s="88">
        <v>0</v>
      </c>
      <c r="BN84" s="590">
        <v>0</v>
      </c>
      <c r="BO84" s="171">
        <v>2023</v>
      </c>
      <c r="BP84" s="171">
        <v>1</v>
      </c>
      <c r="BQ84" s="171">
        <v>19</v>
      </c>
      <c r="BS84" s="76" t="str">
        <f t="shared" si="2"/>
        <v>○</v>
      </c>
    </row>
    <row r="85" spans="1:71" x14ac:dyDescent="0.2">
      <c r="A85" s="210">
        <v>1100</v>
      </c>
      <c r="B85" s="211"/>
      <c r="C85" s="212"/>
      <c r="D85" s="211"/>
      <c r="E85" s="212"/>
      <c r="F85" s="211"/>
      <c r="G85" s="211"/>
      <c r="H85" s="212"/>
      <c r="I85" s="211"/>
      <c r="J85" s="211"/>
      <c r="K85" s="211"/>
      <c r="L85" s="171"/>
      <c r="M85" s="171" t="s">
        <v>426</v>
      </c>
      <c r="N85" s="171" t="s">
        <v>313</v>
      </c>
      <c r="O85" s="171" t="s">
        <v>427</v>
      </c>
      <c r="P85" s="171" t="s">
        <v>916</v>
      </c>
      <c r="Q85" s="171"/>
      <c r="R85" s="213">
        <v>904000</v>
      </c>
      <c r="S85" s="87">
        <v>904200</v>
      </c>
      <c r="T85" s="87">
        <v>0</v>
      </c>
      <c r="U85" s="87">
        <v>904200</v>
      </c>
      <c r="V85" s="87">
        <v>904200</v>
      </c>
      <c r="W85" s="87">
        <v>905000</v>
      </c>
      <c r="X85" s="87">
        <v>904200</v>
      </c>
      <c r="Y85" s="87">
        <v>904200</v>
      </c>
      <c r="Z85" s="87">
        <v>904000</v>
      </c>
      <c r="AA85" s="214">
        <v>0</v>
      </c>
      <c r="AB85" s="214">
        <v>0</v>
      </c>
      <c r="AC85" s="214">
        <v>0</v>
      </c>
      <c r="AD85" s="214">
        <v>0</v>
      </c>
      <c r="AE85" s="214">
        <v>0</v>
      </c>
      <c r="AF85" s="214">
        <v>0</v>
      </c>
      <c r="AG85" s="214">
        <v>0</v>
      </c>
      <c r="AH85" s="214">
        <v>0</v>
      </c>
      <c r="AI85" s="87">
        <v>0</v>
      </c>
      <c r="AJ85" s="87">
        <v>0</v>
      </c>
      <c r="AK85" s="87">
        <v>0</v>
      </c>
      <c r="AL85" s="87">
        <v>0</v>
      </c>
      <c r="AM85" s="87">
        <v>0</v>
      </c>
      <c r="AN85" s="87">
        <v>0</v>
      </c>
      <c r="AO85" s="87">
        <v>0</v>
      </c>
      <c r="AP85" s="87">
        <v>0</v>
      </c>
      <c r="AQ85" s="88">
        <v>904200</v>
      </c>
      <c r="AR85" s="88">
        <v>0</v>
      </c>
      <c r="AS85" s="88">
        <v>904200</v>
      </c>
      <c r="AT85" s="88">
        <v>904200</v>
      </c>
      <c r="AU85" s="88">
        <v>905000</v>
      </c>
      <c r="AV85" s="88">
        <v>904200</v>
      </c>
      <c r="AW85" s="88">
        <v>904200</v>
      </c>
      <c r="AX85" s="88">
        <v>904000</v>
      </c>
      <c r="AY85" s="87">
        <v>0</v>
      </c>
      <c r="AZ85" s="87">
        <v>0</v>
      </c>
      <c r="BA85" s="87">
        <v>0</v>
      </c>
      <c r="BB85" s="87">
        <v>0</v>
      </c>
      <c r="BC85" s="87">
        <v>0</v>
      </c>
      <c r="BD85" s="87">
        <v>0</v>
      </c>
      <c r="BE85" s="87">
        <v>0</v>
      </c>
      <c r="BF85" s="87">
        <v>0</v>
      </c>
      <c r="BG85" s="88">
        <v>0</v>
      </c>
      <c r="BH85" s="88">
        <v>0</v>
      </c>
      <c r="BI85" s="88">
        <v>0</v>
      </c>
      <c r="BJ85" s="88">
        <v>0</v>
      </c>
      <c r="BK85" s="88">
        <v>0</v>
      </c>
      <c r="BL85" s="88">
        <v>0</v>
      </c>
      <c r="BM85" s="88">
        <v>0</v>
      </c>
      <c r="BN85" s="590">
        <v>0</v>
      </c>
      <c r="BO85" s="171">
        <v>2023</v>
      </c>
      <c r="BP85" s="171">
        <v>1</v>
      </c>
      <c r="BQ85" s="171">
        <v>19</v>
      </c>
      <c r="BS85" s="76" t="str">
        <f t="shared" si="2"/>
        <v>○</v>
      </c>
    </row>
    <row r="86" spans="1:71" x14ac:dyDescent="0.2">
      <c r="A86" s="210">
        <v>1103</v>
      </c>
      <c r="B86" s="211"/>
      <c r="C86" s="212"/>
      <c r="D86" s="211"/>
      <c r="E86" s="212"/>
      <c r="F86" s="211"/>
      <c r="G86" s="211"/>
      <c r="H86" s="212"/>
      <c r="I86" s="211"/>
      <c r="J86" s="211"/>
      <c r="K86" s="211"/>
      <c r="L86" s="171"/>
      <c r="M86" s="171" t="s">
        <v>428</v>
      </c>
      <c r="N86" s="171" t="s">
        <v>429</v>
      </c>
      <c r="O86" s="171" t="s">
        <v>430</v>
      </c>
      <c r="P86" s="171" t="s">
        <v>916</v>
      </c>
      <c r="Q86" s="171"/>
      <c r="R86" s="213">
        <v>673000</v>
      </c>
      <c r="S86" s="87">
        <v>0</v>
      </c>
      <c r="T86" s="87">
        <v>0</v>
      </c>
      <c r="U86" s="87">
        <v>0</v>
      </c>
      <c r="V86" s="87">
        <v>0</v>
      </c>
      <c r="W86" s="87">
        <v>0</v>
      </c>
      <c r="X86" s="87">
        <v>0</v>
      </c>
      <c r="Y86" s="87">
        <v>0</v>
      </c>
      <c r="Z86" s="87">
        <v>0</v>
      </c>
      <c r="AA86" s="214">
        <v>0</v>
      </c>
      <c r="AB86" s="214">
        <v>0</v>
      </c>
      <c r="AC86" s="214">
        <v>0</v>
      </c>
      <c r="AD86" s="214">
        <v>0</v>
      </c>
      <c r="AE86" s="214">
        <v>0</v>
      </c>
      <c r="AF86" s="214">
        <v>0</v>
      </c>
      <c r="AG86" s="214">
        <v>0</v>
      </c>
      <c r="AH86" s="214">
        <v>0</v>
      </c>
      <c r="AI86" s="87">
        <v>673200</v>
      </c>
      <c r="AJ86" s="87">
        <v>0</v>
      </c>
      <c r="AK86" s="87">
        <v>673200</v>
      </c>
      <c r="AL86" s="87">
        <v>673200</v>
      </c>
      <c r="AM86" s="87">
        <v>8517600</v>
      </c>
      <c r="AN86" s="87">
        <v>673200</v>
      </c>
      <c r="AO86" s="87">
        <v>673200</v>
      </c>
      <c r="AP86" s="87">
        <v>673000</v>
      </c>
      <c r="AQ86" s="88">
        <v>0</v>
      </c>
      <c r="AR86" s="88">
        <v>0</v>
      </c>
      <c r="AS86" s="88">
        <v>0</v>
      </c>
      <c r="AT86" s="88">
        <v>0</v>
      </c>
      <c r="AU86" s="88">
        <v>0</v>
      </c>
      <c r="AV86" s="88">
        <v>0</v>
      </c>
      <c r="AW86" s="88">
        <v>0</v>
      </c>
      <c r="AX86" s="88">
        <v>0</v>
      </c>
      <c r="AY86" s="87">
        <v>0</v>
      </c>
      <c r="AZ86" s="87">
        <v>0</v>
      </c>
      <c r="BA86" s="87">
        <v>0</v>
      </c>
      <c r="BB86" s="87">
        <v>0</v>
      </c>
      <c r="BC86" s="87">
        <v>0</v>
      </c>
      <c r="BD86" s="87">
        <v>0</v>
      </c>
      <c r="BE86" s="87">
        <v>0</v>
      </c>
      <c r="BF86" s="87">
        <v>0</v>
      </c>
      <c r="BG86" s="88">
        <v>0</v>
      </c>
      <c r="BH86" s="88">
        <v>0</v>
      </c>
      <c r="BI86" s="88">
        <v>0</v>
      </c>
      <c r="BJ86" s="88">
        <v>0</v>
      </c>
      <c r="BK86" s="88">
        <v>0</v>
      </c>
      <c r="BL86" s="88">
        <v>0</v>
      </c>
      <c r="BM86" s="88">
        <v>0</v>
      </c>
      <c r="BN86" s="590">
        <v>0</v>
      </c>
      <c r="BO86" s="171">
        <v>2023</v>
      </c>
      <c r="BP86" s="171">
        <v>3</v>
      </c>
      <c r="BQ86" s="171">
        <v>9</v>
      </c>
      <c r="BS86" s="76" t="str">
        <f t="shared" si="2"/>
        <v>○</v>
      </c>
    </row>
    <row r="87" spans="1:71" x14ac:dyDescent="0.2">
      <c r="A87" s="210">
        <v>1104</v>
      </c>
      <c r="B87" s="211"/>
      <c r="C87" s="212"/>
      <c r="D87" s="211"/>
      <c r="E87" s="212"/>
      <c r="F87" s="211"/>
      <c r="G87" s="211"/>
      <c r="H87" s="212"/>
      <c r="I87" s="211"/>
      <c r="J87" s="211"/>
      <c r="K87" s="211"/>
      <c r="L87" s="171"/>
      <c r="M87" s="171" t="s">
        <v>431</v>
      </c>
      <c r="N87" s="171" t="s">
        <v>429</v>
      </c>
      <c r="O87" s="171" t="s">
        <v>432</v>
      </c>
      <c r="P87" s="171" t="s">
        <v>916</v>
      </c>
      <c r="Q87" s="171"/>
      <c r="R87" s="213">
        <v>436000</v>
      </c>
      <c r="S87" s="87">
        <v>0</v>
      </c>
      <c r="T87" s="87">
        <v>0</v>
      </c>
      <c r="U87" s="87">
        <v>0</v>
      </c>
      <c r="V87" s="87">
        <v>0</v>
      </c>
      <c r="W87" s="87">
        <v>0</v>
      </c>
      <c r="X87" s="87">
        <v>0</v>
      </c>
      <c r="Y87" s="87">
        <v>0</v>
      </c>
      <c r="Z87" s="87">
        <v>0</v>
      </c>
      <c r="AA87" s="214">
        <v>164780</v>
      </c>
      <c r="AB87" s="214">
        <v>0</v>
      </c>
      <c r="AC87" s="214">
        <v>164780</v>
      </c>
      <c r="AD87" s="214">
        <v>164780</v>
      </c>
      <c r="AE87" s="214">
        <v>205000</v>
      </c>
      <c r="AF87" s="214">
        <v>164780</v>
      </c>
      <c r="AG87" s="214">
        <v>164780</v>
      </c>
      <c r="AH87" s="214">
        <v>164000</v>
      </c>
      <c r="AI87" s="87">
        <v>272250</v>
      </c>
      <c r="AJ87" s="87">
        <v>0</v>
      </c>
      <c r="AK87" s="87">
        <v>272250</v>
      </c>
      <c r="AL87" s="87">
        <v>272250</v>
      </c>
      <c r="AM87" s="87">
        <v>748800</v>
      </c>
      <c r="AN87" s="87">
        <v>272250</v>
      </c>
      <c r="AO87" s="87">
        <v>272250</v>
      </c>
      <c r="AP87" s="87">
        <v>272000</v>
      </c>
      <c r="AQ87" s="88">
        <v>0</v>
      </c>
      <c r="AR87" s="88">
        <v>0</v>
      </c>
      <c r="AS87" s="88">
        <v>0</v>
      </c>
      <c r="AT87" s="88">
        <v>0</v>
      </c>
      <c r="AU87" s="88">
        <v>0</v>
      </c>
      <c r="AV87" s="88">
        <v>0</v>
      </c>
      <c r="AW87" s="88">
        <v>0</v>
      </c>
      <c r="AX87" s="88">
        <v>0</v>
      </c>
      <c r="AY87" s="87">
        <v>0</v>
      </c>
      <c r="AZ87" s="87">
        <v>0</v>
      </c>
      <c r="BA87" s="87">
        <v>0</v>
      </c>
      <c r="BB87" s="87">
        <v>0</v>
      </c>
      <c r="BC87" s="87">
        <v>0</v>
      </c>
      <c r="BD87" s="87">
        <v>0</v>
      </c>
      <c r="BE87" s="87">
        <v>0</v>
      </c>
      <c r="BF87" s="87">
        <v>0</v>
      </c>
      <c r="BG87" s="88">
        <v>0</v>
      </c>
      <c r="BH87" s="88">
        <v>0</v>
      </c>
      <c r="BI87" s="88">
        <v>0</v>
      </c>
      <c r="BJ87" s="88">
        <v>0</v>
      </c>
      <c r="BK87" s="88">
        <v>0</v>
      </c>
      <c r="BL87" s="88">
        <v>0</v>
      </c>
      <c r="BM87" s="88">
        <v>0</v>
      </c>
      <c r="BN87" s="590">
        <v>0</v>
      </c>
      <c r="BO87" s="171">
        <v>2023</v>
      </c>
      <c r="BP87" s="171">
        <v>3</v>
      </c>
      <c r="BQ87" s="171">
        <v>9</v>
      </c>
      <c r="BS87" s="76" t="str">
        <f t="shared" si="2"/>
        <v>○</v>
      </c>
    </row>
    <row r="88" spans="1:71" x14ac:dyDescent="0.2">
      <c r="A88" s="210">
        <v>1105</v>
      </c>
      <c r="B88" s="211"/>
      <c r="C88" s="212"/>
      <c r="D88" s="211"/>
      <c r="E88" s="212"/>
      <c r="F88" s="211"/>
      <c r="G88" s="211"/>
      <c r="H88" s="212"/>
      <c r="I88" s="211"/>
      <c r="J88" s="211"/>
      <c r="K88" s="211"/>
      <c r="L88" s="171"/>
      <c r="M88" s="171" t="s">
        <v>283</v>
      </c>
      <c r="N88" s="171" t="s">
        <v>269</v>
      </c>
      <c r="O88" s="171" t="s">
        <v>284</v>
      </c>
      <c r="P88" s="171" t="s">
        <v>916</v>
      </c>
      <c r="Q88" s="171"/>
      <c r="R88" s="213">
        <v>392000</v>
      </c>
      <c r="S88" s="87">
        <v>0</v>
      </c>
      <c r="T88" s="87">
        <v>0</v>
      </c>
      <c r="U88" s="87">
        <v>0</v>
      </c>
      <c r="V88" s="87">
        <v>0</v>
      </c>
      <c r="W88" s="87">
        <v>0</v>
      </c>
      <c r="X88" s="87">
        <v>0</v>
      </c>
      <c r="Y88" s="87">
        <v>0</v>
      </c>
      <c r="Z88" s="87">
        <v>0</v>
      </c>
      <c r="AA88" s="214">
        <v>0</v>
      </c>
      <c r="AB88" s="214">
        <v>0</v>
      </c>
      <c r="AC88" s="214">
        <v>0</v>
      </c>
      <c r="AD88" s="214">
        <v>0</v>
      </c>
      <c r="AE88" s="214">
        <v>0</v>
      </c>
      <c r="AF88" s="214">
        <v>0</v>
      </c>
      <c r="AG88" s="214">
        <v>0</v>
      </c>
      <c r="AH88" s="214">
        <v>0</v>
      </c>
      <c r="AI88" s="87">
        <v>164951</v>
      </c>
      <c r="AJ88" s="87">
        <v>0</v>
      </c>
      <c r="AK88" s="87">
        <v>164951</v>
      </c>
      <c r="AL88" s="87">
        <v>164951</v>
      </c>
      <c r="AM88" s="87">
        <v>1771200</v>
      </c>
      <c r="AN88" s="87">
        <v>164951</v>
      </c>
      <c r="AO88" s="87">
        <v>164951</v>
      </c>
      <c r="AP88" s="87">
        <v>164000</v>
      </c>
      <c r="AQ88" s="88">
        <v>0</v>
      </c>
      <c r="AR88" s="88">
        <v>0</v>
      </c>
      <c r="AS88" s="88">
        <v>0</v>
      </c>
      <c r="AT88" s="88">
        <v>0</v>
      </c>
      <c r="AU88" s="88">
        <v>0</v>
      </c>
      <c r="AV88" s="88">
        <v>0</v>
      </c>
      <c r="AW88" s="88">
        <v>0</v>
      </c>
      <c r="AX88" s="88">
        <v>0</v>
      </c>
      <c r="AY88" s="87">
        <v>0</v>
      </c>
      <c r="AZ88" s="87">
        <v>0</v>
      </c>
      <c r="BA88" s="87">
        <v>0</v>
      </c>
      <c r="BB88" s="87">
        <v>0</v>
      </c>
      <c r="BC88" s="87">
        <v>0</v>
      </c>
      <c r="BD88" s="87">
        <v>0</v>
      </c>
      <c r="BE88" s="87">
        <v>0</v>
      </c>
      <c r="BF88" s="87">
        <v>0</v>
      </c>
      <c r="BG88" s="88">
        <v>228800</v>
      </c>
      <c r="BH88" s="88">
        <v>0</v>
      </c>
      <c r="BI88" s="88">
        <v>228800</v>
      </c>
      <c r="BJ88" s="88">
        <v>228800</v>
      </c>
      <c r="BK88" s="88">
        <v>228800</v>
      </c>
      <c r="BL88" s="88">
        <v>228800</v>
      </c>
      <c r="BM88" s="88">
        <v>228800</v>
      </c>
      <c r="BN88" s="590">
        <v>228000</v>
      </c>
      <c r="BO88" s="171">
        <v>2023</v>
      </c>
      <c r="BP88" s="171">
        <v>3</v>
      </c>
      <c r="BQ88" s="171">
        <v>9</v>
      </c>
      <c r="BS88" s="76" t="str">
        <f t="shared" si="2"/>
        <v>○</v>
      </c>
    </row>
    <row r="89" spans="1:71" x14ac:dyDescent="0.2">
      <c r="A89" s="210">
        <v>1106</v>
      </c>
      <c r="B89" s="211"/>
      <c r="C89" s="212"/>
      <c r="D89" s="211"/>
      <c r="E89" s="212"/>
      <c r="F89" s="211"/>
      <c r="G89" s="211"/>
      <c r="H89" s="212"/>
      <c r="I89" s="211"/>
      <c r="J89" s="211"/>
      <c r="K89" s="211"/>
      <c r="L89" s="171"/>
      <c r="M89" s="171" t="s">
        <v>433</v>
      </c>
      <c r="N89" s="171" t="s">
        <v>318</v>
      </c>
      <c r="O89" s="171" t="s">
        <v>279</v>
      </c>
      <c r="P89" s="171" t="s">
        <v>916</v>
      </c>
      <c r="Q89" s="171"/>
      <c r="R89" s="213">
        <v>3985000</v>
      </c>
      <c r="S89" s="87">
        <v>935000</v>
      </c>
      <c r="T89" s="87">
        <v>0</v>
      </c>
      <c r="U89" s="87">
        <v>935000</v>
      </c>
      <c r="V89" s="87">
        <v>935000</v>
      </c>
      <c r="W89" s="87">
        <v>905000</v>
      </c>
      <c r="X89" s="87">
        <v>935000</v>
      </c>
      <c r="Y89" s="87">
        <v>935000</v>
      </c>
      <c r="Z89" s="87">
        <v>905000</v>
      </c>
      <c r="AA89" s="214">
        <v>3080000</v>
      </c>
      <c r="AB89" s="214">
        <v>0</v>
      </c>
      <c r="AC89" s="214">
        <v>3080000</v>
      </c>
      <c r="AD89" s="214">
        <v>3080000</v>
      </c>
      <c r="AE89" s="214">
        <v>3280000</v>
      </c>
      <c r="AF89" s="214">
        <v>3080000</v>
      </c>
      <c r="AG89" s="214">
        <v>3080000</v>
      </c>
      <c r="AH89" s="214">
        <v>3080000</v>
      </c>
      <c r="AI89" s="87">
        <v>0</v>
      </c>
      <c r="AJ89" s="87">
        <v>0</v>
      </c>
      <c r="AK89" s="87">
        <v>0</v>
      </c>
      <c r="AL89" s="87">
        <v>0</v>
      </c>
      <c r="AM89" s="87">
        <v>0</v>
      </c>
      <c r="AN89" s="87">
        <v>0</v>
      </c>
      <c r="AO89" s="87">
        <v>0</v>
      </c>
      <c r="AP89" s="87">
        <v>0</v>
      </c>
      <c r="AQ89" s="88">
        <v>935000</v>
      </c>
      <c r="AR89" s="88">
        <v>0</v>
      </c>
      <c r="AS89" s="88">
        <v>935000</v>
      </c>
      <c r="AT89" s="88">
        <v>935000</v>
      </c>
      <c r="AU89" s="88">
        <v>905000</v>
      </c>
      <c r="AV89" s="88">
        <v>935000</v>
      </c>
      <c r="AW89" s="88">
        <v>935000</v>
      </c>
      <c r="AX89" s="88">
        <v>905000</v>
      </c>
      <c r="AY89" s="87">
        <v>0</v>
      </c>
      <c r="AZ89" s="87">
        <v>0</v>
      </c>
      <c r="BA89" s="87">
        <v>0</v>
      </c>
      <c r="BB89" s="87">
        <v>0</v>
      </c>
      <c r="BC89" s="87">
        <v>0</v>
      </c>
      <c r="BD89" s="87">
        <v>0</v>
      </c>
      <c r="BE89" s="87">
        <v>0</v>
      </c>
      <c r="BF89" s="87">
        <v>0</v>
      </c>
      <c r="BG89" s="88">
        <v>0</v>
      </c>
      <c r="BH89" s="88">
        <v>0</v>
      </c>
      <c r="BI89" s="88">
        <v>0</v>
      </c>
      <c r="BJ89" s="88">
        <v>0</v>
      </c>
      <c r="BK89" s="88">
        <v>0</v>
      </c>
      <c r="BL89" s="88">
        <v>0</v>
      </c>
      <c r="BM89" s="88">
        <v>0</v>
      </c>
      <c r="BN89" s="590">
        <v>0</v>
      </c>
      <c r="BO89" s="171">
        <v>2023</v>
      </c>
      <c r="BP89" s="171">
        <v>3</v>
      </c>
      <c r="BQ89" s="171">
        <v>9</v>
      </c>
      <c r="BS89" s="76" t="str">
        <f t="shared" si="2"/>
        <v>○</v>
      </c>
    </row>
    <row r="90" spans="1:71" x14ac:dyDescent="0.2">
      <c r="A90" s="210">
        <v>1107</v>
      </c>
      <c r="B90" s="211"/>
      <c r="C90" s="212"/>
      <c r="D90" s="211"/>
      <c r="E90" s="212"/>
      <c r="F90" s="211"/>
      <c r="G90" s="211"/>
      <c r="H90" s="212"/>
      <c r="I90" s="211"/>
      <c r="J90" s="211"/>
      <c r="K90" s="211"/>
      <c r="L90" s="171"/>
      <c r="M90" s="171" t="s">
        <v>431</v>
      </c>
      <c r="N90" s="171" t="s">
        <v>429</v>
      </c>
      <c r="O90" s="171" t="s">
        <v>432</v>
      </c>
      <c r="P90" s="171" t="s">
        <v>916</v>
      </c>
      <c r="Q90" s="171"/>
      <c r="R90" s="213">
        <v>435000</v>
      </c>
      <c r="S90" s="87">
        <v>0</v>
      </c>
      <c r="T90" s="87">
        <v>0</v>
      </c>
      <c r="U90" s="87">
        <v>0</v>
      </c>
      <c r="V90" s="87">
        <v>0</v>
      </c>
      <c r="W90" s="87">
        <v>0</v>
      </c>
      <c r="X90" s="87">
        <v>0</v>
      </c>
      <c r="Y90" s="87">
        <v>0</v>
      </c>
      <c r="Z90" s="87">
        <v>0</v>
      </c>
      <c r="AA90" s="214">
        <v>164780</v>
      </c>
      <c r="AB90" s="214">
        <v>0</v>
      </c>
      <c r="AC90" s="214">
        <v>164780</v>
      </c>
      <c r="AD90" s="214">
        <v>164780</v>
      </c>
      <c r="AE90" s="214">
        <v>205000</v>
      </c>
      <c r="AF90" s="214">
        <v>164780</v>
      </c>
      <c r="AG90" s="214">
        <v>164780</v>
      </c>
      <c r="AH90" s="214">
        <v>164000</v>
      </c>
      <c r="AI90" s="87">
        <v>271122</v>
      </c>
      <c r="AJ90" s="87">
        <v>0</v>
      </c>
      <c r="AK90" s="87">
        <v>271122</v>
      </c>
      <c r="AL90" s="87">
        <v>271122</v>
      </c>
      <c r="AM90" s="87">
        <v>748800</v>
      </c>
      <c r="AN90" s="87">
        <v>271122</v>
      </c>
      <c r="AO90" s="87">
        <v>271122</v>
      </c>
      <c r="AP90" s="87">
        <v>271000</v>
      </c>
      <c r="AQ90" s="88">
        <v>0</v>
      </c>
      <c r="AR90" s="88">
        <v>0</v>
      </c>
      <c r="AS90" s="88">
        <v>0</v>
      </c>
      <c r="AT90" s="88">
        <v>0</v>
      </c>
      <c r="AU90" s="88">
        <v>0</v>
      </c>
      <c r="AV90" s="88">
        <v>0</v>
      </c>
      <c r="AW90" s="88">
        <v>0</v>
      </c>
      <c r="AX90" s="88">
        <v>0</v>
      </c>
      <c r="AY90" s="87">
        <v>0</v>
      </c>
      <c r="AZ90" s="87">
        <v>0</v>
      </c>
      <c r="BA90" s="87">
        <v>0</v>
      </c>
      <c r="BB90" s="87">
        <v>0</v>
      </c>
      <c r="BC90" s="87">
        <v>0</v>
      </c>
      <c r="BD90" s="87">
        <v>0</v>
      </c>
      <c r="BE90" s="87">
        <v>0</v>
      </c>
      <c r="BF90" s="87">
        <v>0</v>
      </c>
      <c r="BG90" s="88">
        <v>0</v>
      </c>
      <c r="BH90" s="88">
        <v>0</v>
      </c>
      <c r="BI90" s="88">
        <v>0</v>
      </c>
      <c r="BJ90" s="88">
        <v>0</v>
      </c>
      <c r="BK90" s="88">
        <v>0</v>
      </c>
      <c r="BL90" s="88">
        <v>0</v>
      </c>
      <c r="BM90" s="88">
        <v>0</v>
      </c>
      <c r="BN90" s="590">
        <v>0</v>
      </c>
      <c r="BO90" s="171">
        <v>2023</v>
      </c>
      <c r="BP90" s="171">
        <v>3</v>
      </c>
      <c r="BQ90" s="171">
        <v>9</v>
      </c>
      <c r="BS90" s="76" t="str">
        <f t="shared" si="2"/>
        <v>○</v>
      </c>
    </row>
    <row r="91" spans="1:71" x14ac:dyDescent="0.2">
      <c r="A91" s="210">
        <v>1108</v>
      </c>
      <c r="B91" s="211"/>
      <c r="C91" s="212"/>
      <c r="D91" s="211"/>
      <c r="E91" s="212"/>
      <c r="F91" s="211"/>
      <c r="G91" s="211"/>
      <c r="H91" s="212"/>
      <c r="I91" s="211"/>
      <c r="J91" s="211"/>
      <c r="K91" s="211"/>
      <c r="L91" s="171"/>
      <c r="M91" s="171" t="s">
        <v>434</v>
      </c>
      <c r="N91" s="171" t="s">
        <v>286</v>
      </c>
      <c r="O91" s="171" t="s">
        <v>435</v>
      </c>
      <c r="P91" s="171" t="s">
        <v>916</v>
      </c>
      <c r="Q91" s="171"/>
      <c r="R91" s="213">
        <v>228000</v>
      </c>
      <c r="S91" s="87">
        <v>0</v>
      </c>
      <c r="T91" s="87">
        <v>0</v>
      </c>
      <c r="U91" s="87">
        <v>0</v>
      </c>
      <c r="V91" s="87">
        <v>0</v>
      </c>
      <c r="W91" s="87">
        <v>0</v>
      </c>
      <c r="X91" s="87">
        <v>0</v>
      </c>
      <c r="Y91" s="87">
        <v>0</v>
      </c>
      <c r="Z91" s="87">
        <v>0</v>
      </c>
      <c r="AA91" s="214">
        <v>0</v>
      </c>
      <c r="AB91" s="214">
        <v>0</v>
      </c>
      <c r="AC91" s="214">
        <v>0</v>
      </c>
      <c r="AD91" s="214">
        <v>0</v>
      </c>
      <c r="AE91" s="214">
        <v>0</v>
      </c>
      <c r="AF91" s="214">
        <v>0</v>
      </c>
      <c r="AG91" s="214">
        <v>0</v>
      </c>
      <c r="AH91" s="214">
        <v>0</v>
      </c>
      <c r="AI91" s="87">
        <v>193540</v>
      </c>
      <c r="AJ91" s="87">
        <v>0</v>
      </c>
      <c r="AK91" s="87">
        <v>193540</v>
      </c>
      <c r="AL91" s="87">
        <v>193540</v>
      </c>
      <c r="AM91" s="87">
        <v>4233600</v>
      </c>
      <c r="AN91" s="87">
        <v>193540</v>
      </c>
      <c r="AO91" s="87">
        <v>193540</v>
      </c>
      <c r="AP91" s="87">
        <v>193000</v>
      </c>
      <c r="AQ91" s="88">
        <v>0</v>
      </c>
      <c r="AR91" s="88">
        <v>0</v>
      </c>
      <c r="AS91" s="88">
        <v>0</v>
      </c>
      <c r="AT91" s="88">
        <v>0</v>
      </c>
      <c r="AU91" s="88">
        <v>0</v>
      </c>
      <c r="AV91" s="88">
        <v>0</v>
      </c>
      <c r="AW91" s="88">
        <v>0</v>
      </c>
      <c r="AX91" s="88">
        <v>0</v>
      </c>
      <c r="AY91" s="87">
        <v>35200</v>
      </c>
      <c r="AZ91" s="87">
        <v>0</v>
      </c>
      <c r="BA91" s="87">
        <v>35200</v>
      </c>
      <c r="BB91" s="87">
        <v>35200</v>
      </c>
      <c r="BC91" s="87">
        <v>51400</v>
      </c>
      <c r="BD91" s="87">
        <v>35200</v>
      </c>
      <c r="BE91" s="87">
        <v>35200</v>
      </c>
      <c r="BF91" s="87">
        <v>35000</v>
      </c>
      <c r="BG91" s="88">
        <v>0</v>
      </c>
      <c r="BH91" s="88">
        <v>0</v>
      </c>
      <c r="BI91" s="88">
        <v>0</v>
      </c>
      <c r="BJ91" s="88">
        <v>0</v>
      </c>
      <c r="BK91" s="88">
        <v>0</v>
      </c>
      <c r="BL91" s="88">
        <v>0</v>
      </c>
      <c r="BM91" s="88">
        <v>0</v>
      </c>
      <c r="BN91" s="590">
        <v>0</v>
      </c>
      <c r="BO91" s="171">
        <v>2023</v>
      </c>
      <c r="BP91" s="171">
        <v>3</v>
      </c>
      <c r="BQ91" s="171">
        <v>9</v>
      </c>
      <c r="BS91" s="76" t="str">
        <f t="shared" si="2"/>
        <v>○</v>
      </c>
    </row>
    <row r="92" spans="1:71" x14ac:dyDescent="0.2">
      <c r="A92" s="210">
        <v>1109</v>
      </c>
      <c r="B92" s="211"/>
      <c r="C92" s="212"/>
      <c r="D92" s="211"/>
      <c r="E92" s="212"/>
      <c r="F92" s="211"/>
      <c r="G92" s="211"/>
      <c r="H92" s="212"/>
      <c r="I92" s="211"/>
      <c r="J92" s="211"/>
      <c r="K92" s="211"/>
      <c r="L92" s="171"/>
      <c r="M92" s="171" t="s">
        <v>436</v>
      </c>
      <c r="N92" s="171" t="s">
        <v>278</v>
      </c>
      <c r="O92" s="171" t="s">
        <v>437</v>
      </c>
      <c r="P92" s="171" t="s">
        <v>916</v>
      </c>
      <c r="Q92" s="171"/>
      <c r="R92" s="213">
        <v>1040000</v>
      </c>
      <c r="S92" s="87">
        <v>0</v>
      </c>
      <c r="T92" s="87">
        <v>0</v>
      </c>
      <c r="U92" s="87">
        <v>0</v>
      </c>
      <c r="V92" s="87">
        <v>0</v>
      </c>
      <c r="W92" s="87">
        <v>0</v>
      </c>
      <c r="X92" s="87">
        <v>0</v>
      </c>
      <c r="Y92" s="87">
        <v>0</v>
      </c>
      <c r="Z92" s="87">
        <v>0</v>
      </c>
      <c r="AA92" s="214">
        <v>0</v>
      </c>
      <c r="AB92" s="214">
        <v>0</v>
      </c>
      <c r="AC92" s="214">
        <v>0</v>
      </c>
      <c r="AD92" s="214">
        <v>0</v>
      </c>
      <c r="AE92" s="214">
        <v>0</v>
      </c>
      <c r="AF92" s="214">
        <v>0</v>
      </c>
      <c r="AG92" s="214">
        <v>0</v>
      </c>
      <c r="AH92" s="214">
        <v>0</v>
      </c>
      <c r="AI92" s="87">
        <v>882420</v>
      </c>
      <c r="AJ92" s="87">
        <v>0</v>
      </c>
      <c r="AK92" s="87">
        <v>882420</v>
      </c>
      <c r="AL92" s="87">
        <v>882420</v>
      </c>
      <c r="AM92" s="87">
        <v>2656800</v>
      </c>
      <c r="AN92" s="87">
        <v>882420</v>
      </c>
      <c r="AO92" s="87">
        <v>882420</v>
      </c>
      <c r="AP92" s="87">
        <v>882000</v>
      </c>
      <c r="AQ92" s="88">
        <v>0</v>
      </c>
      <c r="AR92" s="88">
        <v>0</v>
      </c>
      <c r="AS92" s="88">
        <v>0</v>
      </c>
      <c r="AT92" s="88">
        <v>0</v>
      </c>
      <c r="AU92" s="88">
        <v>0</v>
      </c>
      <c r="AV92" s="88">
        <v>0</v>
      </c>
      <c r="AW92" s="88">
        <v>0</v>
      </c>
      <c r="AX92" s="88">
        <v>0</v>
      </c>
      <c r="AY92" s="87">
        <v>0</v>
      </c>
      <c r="AZ92" s="87">
        <v>0</v>
      </c>
      <c r="BA92" s="87">
        <v>0</v>
      </c>
      <c r="BB92" s="87">
        <v>0</v>
      </c>
      <c r="BC92" s="87">
        <v>0</v>
      </c>
      <c r="BD92" s="87">
        <v>0</v>
      </c>
      <c r="BE92" s="87">
        <v>0</v>
      </c>
      <c r="BF92" s="87">
        <v>0</v>
      </c>
      <c r="BG92" s="88">
        <v>158400</v>
      </c>
      <c r="BH92" s="88">
        <v>0</v>
      </c>
      <c r="BI92" s="88">
        <v>158400</v>
      </c>
      <c r="BJ92" s="88">
        <v>158400</v>
      </c>
      <c r="BK92" s="88">
        <v>158400</v>
      </c>
      <c r="BL92" s="88">
        <v>158400</v>
      </c>
      <c r="BM92" s="88">
        <v>158400</v>
      </c>
      <c r="BN92" s="590">
        <v>158000</v>
      </c>
      <c r="BO92" s="171">
        <v>2023</v>
      </c>
      <c r="BP92" s="171">
        <v>3</v>
      </c>
      <c r="BQ92" s="171">
        <v>9</v>
      </c>
      <c r="BS92" s="76" t="str">
        <f t="shared" si="2"/>
        <v>○</v>
      </c>
    </row>
    <row r="93" spans="1:71" x14ac:dyDescent="0.2">
      <c r="A93" s="210">
        <v>1110</v>
      </c>
      <c r="B93" s="211"/>
      <c r="C93" s="212"/>
      <c r="D93" s="211"/>
      <c r="E93" s="212"/>
      <c r="F93" s="211"/>
      <c r="G93" s="211"/>
      <c r="H93" s="212"/>
      <c r="I93" s="211"/>
      <c r="J93" s="211"/>
      <c r="K93" s="211"/>
      <c r="L93" s="171"/>
      <c r="M93" s="171" t="s">
        <v>438</v>
      </c>
      <c r="N93" s="171" t="s">
        <v>439</v>
      </c>
      <c r="O93" s="171" t="s">
        <v>440</v>
      </c>
      <c r="P93" s="171" t="s">
        <v>916</v>
      </c>
      <c r="Q93" s="171"/>
      <c r="R93" s="213">
        <v>1178000</v>
      </c>
      <c r="S93" s="87">
        <v>0</v>
      </c>
      <c r="T93" s="87">
        <v>0</v>
      </c>
      <c r="U93" s="87">
        <v>0</v>
      </c>
      <c r="V93" s="87">
        <v>0</v>
      </c>
      <c r="W93" s="87">
        <v>0</v>
      </c>
      <c r="X93" s="87">
        <v>0</v>
      </c>
      <c r="Y93" s="87">
        <v>0</v>
      </c>
      <c r="Z93" s="87">
        <v>0</v>
      </c>
      <c r="AA93" s="214">
        <v>0</v>
      </c>
      <c r="AB93" s="214">
        <v>0</v>
      </c>
      <c r="AC93" s="214">
        <v>0</v>
      </c>
      <c r="AD93" s="214">
        <v>0</v>
      </c>
      <c r="AE93" s="214">
        <v>0</v>
      </c>
      <c r="AF93" s="214">
        <v>0</v>
      </c>
      <c r="AG93" s="214">
        <v>0</v>
      </c>
      <c r="AH93" s="214">
        <v>0</v>
      </c>
      <c r="AI93" s="87">
        <v>1086940</v>
      </c>
      <c r="AJ93" s="87">
        <v>0</v>
      </c>
      <c r="AK93" s="87">
        <v>1086940</v>
      </c>
      <c r="AL93" s="87">
        <v>1086940</v>
      </c>
      <c r="AM93" s="87">
        <v>1728000</v>
      </c>
      <c r="AN93" s="87">
        <v>1086940</v>
      </c>
      <c r="AO93" s="87">
        <v>1086940</v>
      </c>
      <c r="AP93" s="87">
        <v>1086000</v>
      </c>
      <c r="AQ93" s="88">
        <v>0</v>
      </c>
      <c r="AR93" s="88">
        <v>0</v>
      </c>
      <c r="AS93" s="88">
        <v>0</v>
      </c>
      <c r="AT93" s="88">
        <v>0</v>
      </c>
      <c r="AU93" s="88">
        <v>0</v>
      </c>
      <c r="AV93" s="88">
        <v>0</v>
      </c>
      <c r="AW93" s="88">
        <v>0</v>
      </c>
      <c r="AX93" s="88">
        <v>0</v>
      </c>
      <c r="AY93" s="87">
        <v>0</v>
      </c>
      <c r="AZ93" s="87">
        <v>0</v>
      </c>
      <c r="BA93" s="87">
        <v>0</v>
      </c>
      <c r="BB93" s="87">
        <v>0</v>
      </c>
      <c r="BC93" s="87">
        <v>0</v>
      </c>
      <c r="BD93" s="87">
        <v>0</v>
      </c>
      <c r="BE93" s="87">
        <v>0</v>
      </c>
      <c r="BF93" s="87">
        <v>0</v>
      </c>
      <c r="BG93" s="88">
        <v>92400</v>
      </c>
      <c r="BH93" s="88">
        <v>0</v>
      </c>
      <c r="BI93" s="88">
        <v>92400</v>
      </c>
      <c r="BJ93" s="88">
        <v>92400</v>
      </c>
      <c r="BK93" s="88">
        <v>92400</v>
      </c>
      <c r="BL93" s="88">
        <v>92400</v>
      </c>
      <c r="BM93" s="88">
        <v>92400</v>
      </c>
      <c r="BN93" s="590">
        <v>92000</v>
      </c>
      <c r="BO93" s="171">
        <v>2023</v>
      </c>
      <c r="BP93" s="171">
        <v>3</v>
      </c>
      <c r="BQ93" s="171">
        <v>9</v>
      </c>
      <c r="BS93" s="76" t="str">
        <f t="shared" si="2"/>
        <v>○</v>
      </c>
    </row>
    <row r="94" spans="1:71" x14ac:dyDescent="0.2">
      <c r="A94" s="210">
        <v>1112</v>
      </c>
      <c r="B94" s="211"/>
      <c r="C94" s="212"/>
      <c r="D94" s="211"/>
      <c r="E94" s="212"/>
      <c r="F94" s="211"/>
      <c r="G94" s="211"/>
      <c r="H94" s="212"/>
      <c r="I94" s="211"/>
      <c r="J94" s="211"/>
      <c r="K94" s="211"/>
      <c r="L94" s="171"/>
      <c r="M94" s="171" t="s">
        <v>441</v>
      </c>
      <c r="N94" s="171" t="s">
        <v>269</v>
      </c>
      <c r="O94" s="171" t="s">
        <v>412</v>
      </c>
      <c r="P94" s="171" t="s">
        <v>916</v>
      </c>
      <c r="Q94" s="171"/>
      <c r="R94" s="213">
        <v>999000</v>
      </c>
      <c r="S94" s="87">
        <v>1383800</v>
      </c>
      <c r="T94" s="87">
        <v>0</v>
      </c>
      <c r="U94" s="87">
        <v>1383800</v>
      </c>
      <c r="V94" s="87">
        <v>1383800</v>
      </c>
      <c r="W94" s="87">
        <v>905000</v>
      </c>
      <c r="X94" s="87">
        <v>905000</v>
      </c>
      <c r="Y94" s="87">
        <v>905000</v>
      </c>
      <c r="Z94" s="87">
        <v>905000</v>
      </c>
      <c r="AA94" s="214">
        <v>0</v>
      </c>
      <c r="AB94" s="214">
        <v>0</v>
      </c>
      <c r="AC94" s="214">
        <v>0</v>
      </c>
      <c r="AD94" s="214">
        <v>0</v>
      </c>
      <c r="AE94" s="214">
        <v>0</v>
      </c>
      <c r="AF94" s="214">
        <v>0</v>
      </c>
      <c r="AG94" s="214">
        <v>0</v>
      </c>
      <c r="AH94" s="214">
        <v>0</v>
      </c>
      <c r="AI94" s="87">
        <v>94206</v>
      </c>
      <c r="AJ94" s="87">
        <v>0</v>
      </c>
      <c r="AK94" s="87">
        <v>94206</v>
      </c>
      <c r="AL94" s="87">
        <v>94206</v>
      </c>
      <c r="AM94" s="87">
        <v>1382400</v>
      </c>
      <c r="AN94" s="87">
        <v>94206</v>
      </c>
      <c r="AO94" s="87">
        <v>94000</v>
      </c>
      <c r="AP94" s="87">
        <v>94000</v>
      </c>
      <c r="AQ94" s="88">
        <v>1383800</v>
      </c>
      <c r="AR94" s="88">
        <v>0</v>
      </c>
      <c r="AS94" s="88">
        <v>1383800</v>
      </c>
      <c r="AT94" s="88">
        <v>1383800</v>
      </c>
      <c r="AU94" s="88">
        <v>905000</v>
      </c>
      <c r="AV94" s="88">
        <v>905000</v>
      </c>
      <c r="AW94" s="88">
        <v>905000</v>
      </c>
      <c r="AX94" s="88">
        <v>905000</v>
      </c>
      <c r="AY94" s="87">
        <v>0</v>
      </c>
      <c r="AZ94" s="87">
        <v>0</v>
      </c>
      <c r="BA94" s="87">
        <v>0</v>
      </c>
      <c r="BB94" s="87">
        <v>0</v>
      </c>
      <c r="BC94" s="87">
        <v>0</v>
      </c>
      <c r="BD94" s="87">
        <v>0</v>
      </c>
      <c r="BE94" s="87">
        <v>0</v>
      </c>
      <c r="BF94" s="87">
        <v>0</v>
      </c>
      <c r="BG94" s="88">
        <v>0</v>
      </c>
      <c r="BH94" s="88">
        <v>0</v>
      </c>
      <c r="BI94" s="88">
        <v>0</v>
      </c>
      <c r="BJ94" s="88">
        <v>0</v>
      </c>
      <c r="BK94" s="88">
        <v>0</v>
      </c>
      <c r="BL94" s="88">
        <v>0</v>
      </c>
      <c r="BM94" s="88">
        <v>0</v>
      </c>
      <c r="BN94" s="590">
        <v>0</v>
      </c>
      <c r="BO94" s="171">
        <v>2023</v>
      </c>
      <c r="BP94" s="171">
        <v>3</v>
      </c>
      <c r="BQ94" s="171">
        <v>9</v>
      </c>
      <c r="BS94" s="76" t="str">
        <f t="shared" si="2"/>
        <v>○</v>
      </c>
    </row>
    <row r="95" spans="1:71" x14ac:dyDescent="0.2">
      <c r="A95" s="210">
        <v>1114</v>
      </c>
      <c r="B95" s="211"/>
      <c r="C95" s="212"/>
      <c r="D95" s="211"/>
      <c r="E95" s="212"/>
      <c r="F95" s="211"/>
      <c r="G95" s="211"/>
      <c r="H95" s="212"/>
      <c r="I95" s="211"/>
      <c r="J95" s="211"/>
      <c r="K95" s="211"/>
      <c r="L95" s="171"/>
      <c r="M95" s="171" t="s">
        <v>443</v>
      </c>
      <c r="N95" s="171" t="s">
        <v>269</v>
      </c>
      <c r="O95" s="171" t="s">
        <v>444</v>
      </c>
      <c r="P95" s="171" t="s">
        <v>916</v>
      </c>
      <c r="Q95" s="171"/>
      <c r="R95" s="213">
        <v>515000</v>
      </c>
      <c r="S95" s="87">
        <v>0</v>
      </c>
      <c r="T95" s="87">
        <v>0</v>
      </c>
      <c r="U95" s="87">
        <v>0</v>
      </c>
      <c r="V95" s="87">
        <v>0</v>
      </c>
      <c r="W95" s="87">
        <v>0</v>
      </c>
      <c r="X95" s="87">
        <v>0</v>
      </c>
      <c r="Y95" s="87">
        <v>0</v>
      </c>
      <c r="Z95" s="87">
        <v>0</v>
      </c>
      <c r="AA95" s="214">
        <v>0</v>
      </c>
      <c r="AB95" s="214">
        <v>0</v>
      </c>
      <c r="AC95" s="214">
        <v>0</v>
      </c>
      <c r="AD95" s="214">
        <v>0</v>
      </c>
      <c r="AE95" s="214">
        <v>0</v>
      </c>
      <c r="AF95" s="214">
        <v>0</v>
      </c>
      <c r="AG95" s="214">
        <v>0</v>
      </c>
      <c r="AH95" s="214">
        <v>0</v>
      </c>
      <c r="AI95" s="87">
        <v>479008</v>
      </c>
      <c r="AJ95" s="87">
        <v>0</v>
      </c>
      <c r="AK95" s="87">
        <v>479008</v>
      </c>
      <c r="AL95" s="87">
        <v>479008</v>
      </c>
      <c r="AM95" s="87">
        <v>3600000</v>
      </c>
      <c r="AN95" s="87">
        <v>479008</v>
      </c>
      <c r="AO95" s="87">
        <v>479008</v>
      </c>
      <c r="AP95" s="87">
        <v>479000</v>
      </c>
      <c r="AQ95" s="88">
        <v>0</v>
      </c>
      <c r="AR95" s="88">
        <v>0</v>
      </c>
      <c r="AS95" s="88">
        <v>0</v>
      </c>
      <c r="AT95" s="88">
        <v>0</v>
      </c>
      <c r="AU95" s="88">
        <v>0</v>
      </c>
      <c r="AV95" s="88">
        <v>0</v>
      </c>
      <c r="AW95" s="88">
        <v>0</v>
      </c>
      <c r="AX95" s="88">
        <v>0</v>
      </c>
      <c r="AY95" s="87">
        <v>36300</v>
      </c>
      <c r="AZ95" s="87">
        <v>0</v>
      </c>
      <c r="BA95" s="87">
        <v>36300</v>
      </c>
      <c r="BB95" s="87">
        <v>36300</v>
      </c>
      <c r="BC95" s="87">
        <v>51400</v>
      </c>
      <c r="BD95" s="87">
        <v>36300</v>
      </c>
      <c r="BE95" s="87">
        <v>36300</v>
      </c>
      <c r="BF95" s="87">
        <v>36000</v>
      </c>
      <c r="BG95" s="88">
        <v>0</v>
      </c>
      <c r="BH95" s="88">
        <v>0</v>
      </c>
      <c r="BI95" s="88">
        <v>0</v>
      </c>
      <c r="BJ95" s="88">
        <v>0</v>
      </c>
      <c r="BK95" s="88">
        <v>0</v>
      </c>
      <c r="BL95" s="88">
        <v>0</v>
      </c>
      <c r="BM95" s="88">
        <v>0</v>
      </c>
      <c r="BN95" s="590">
        <v>0</v>
      </c>
      <c r="BO95" s="171">
        <v>2023</v>
      </c>
      <c r="BP95" s="171">
        <v>3</v>
      </c>
      <c r="BQ95" s="171">
        <v>9</v>
      </c>
      <c r="BS95" s="76" t="str">
        <f t="shared" si="2"/>
        <v>○</v>
      </c>
    </row>
    <row r="96" spans="1:71" x14ac:dyDescent="0.2">
      <c r="A96" s="210">
        <v>1115</v>
      </c>
      <c r="B96" s="211"/>
      <c r="C96" s="212"/>
      <c r="D96" s="211"/>
      <c r="E96" s="212"/>
      <c r="F96" s="211"/>
      <c r="G96" s="211"/>
      <c r="H96" s="212"/>
      <c r="I96" s="211"/>
      <c r="J96" s="211"/>
      <c r="K96" s="211"/>
      <c r="L96" s="171"/>
      <c r="M96" s="171" t="s">
        <v>325</v>
      </c>
      <c r="N96" s="171" t="s">
        <v>269</v>
      </c>
      <c r="O96" s="171" t="s">
        <v>326</v>
      </c>
      <c r="P96" s="171" t="s">
        <v>916</v>
      </c>
      <c r="Q96" s="171"/>
      <c r="R96" s="213">
        <v>180000</v>
      </c>
      <c r="S96" s="87">
        <v>0</v>
      </c>
      <c r="T96" s="87">
        <v>0</v>
      </c>
      <c r="U96" s="87">
        <v>0</v>
      </c>
      <c r="V96" s="87">
        <v>0</v>
      </c>
      <c r="W96" s="87">
        <v>0</v>
      </c>
      <c r="X96" s="87">
        <v>0</v>
      </c>
      <c r="Y96" s="87">
        <v>0</v>
      </c>
      <c r="Z96" s="87">
        <v>0</v>
      </c>
      <c r="AA96" s="214">
        <v>0</v>
      </c>
      <c r="AB96" s="214">
        <v>0</v>
      </c>
      <c r="AC96" s="214">
        <v>0</v>
      </c>
      <c r="AD96" s="214">
        <v>0</v>
      </c>
      <c r="AE96" s="214">
        <v>0</v>
      </c>
      <c r="AF96" s="214">
        <v>0</v>
      </c>
      <c r="AG96" s="214">
        <v>0</v>
      </c>
      <c r="AH96" s="214">
        <v>0</v>
      </c>
      <c r="AI96" s="87">
        <v>0</v>
      </c>
      <c r="AJ96" s="87">
        <v>0</v>
      </c>
      <c r="AK96" s="87">
        <v>0</v>
      </c>
      <c r="AL96" s="87">
        <v>0</v>
      </c>
      <c r="AM96" s="87">
        <v>0</v>
      </c>
      <c r="AN96" s="87">
        <v>0</v>
      </c>
      <c r="AO96" s="87">
        <v>0</v>
      </c>
      <c r="AP96" s="87">
        <v>0</v>
      </c>
      <c r="AQ96" s="88">
        <v>0</v>
      </c>
      <c r="AR96" s="88">
        <v>0</v>
      </c>
      <c r="AS96" s="88">
        <v>0</v>
      </c>
      <c r="AT96" s="88">
        <v>0</v>
      </c>
      <c r="AU96" s="88">
        <v>0</v>
      </c>
      <c r="AV96" s="88">
        <v>0</v>
      </c>
      <c r="AW96" s="88">
        <v>0</v>
      </c>
      <c r="AX96" s="88">
        <v>0</v>
      </c>
      <c r="AY96" s="87">
        <v>0</v>
      </c>
      <c r="AZ96" s="87">
        <v>0</v>
      </c>
      <c r="BA96" s="87">
        <v>0</v>
      </c>
      <c r="BB96" s="87">
        <v>0</v>
      </c>
      <c r="BC96" s="87">
        <v>0</v>
      </c>
      <c r="BD96" s="87">
        <v>0</v>
      </c>
      <c r="BE96" s="87">
        <v>0</v>
      </c>
      <c r="BF96" s="87">
        <v>0</v>
      </c>
      <c r="BG96" s="88">
        <v>180180</v>
      </c>
      <c r="BH96" s="88">
        <v>0</v>
      </c>
      <c r="BI96" s="88">
        <v>180180</v>
      </c>
      <c r="BJ96" s="88">
        <v>180180</v>
      </c>
      <c r="BK96" s="88">
        <v>180180</v>
      </c>
      <c r="BL96" s="88">
        <v>180180</v>
      </c>
      <c r="BM96" s="88">
        <v>180180</v>
      </c>
      <c r="BN96" s="590">
        <v>180000</v>
      </c>
      <c r="BO96" s="171">
        <v>2023</v>
      </c>
      <c r="BP96" s="171">
        <v>3</v>
      </c>
      <c r="BQ96" s="171">
        <v>9</v>
      </c>
      <c r="BS96" s="76" t="str">
        <f t="shared" si="2"/>
        <v>○</v>
      </c>
    </row>
    <row r="97" spans="1:71" x14ac:dyDescent="0.2">
      <c r="A97" s="210">
        <v>1116</v>
      </c>
      <c r="B97" s="211"/>
      <c r="C97" s="212"/>
      <c r="D97" s="211"/>
      <c r="E97" s="212"/>
      <c r="F97" s="211"/>
      <c r="G97" s="211"/>
      <c r="H97" s="212"/>
      <c r="I97" s="211"/>
      <c r="J97" s="211"/>
      <c r="K97" s="211"/>
      <c r="L97" s="171"/>
      <c r="M97" s="171" t="s">
        <v>445</v>
      </c>
      <c r="N97" s="171" t="s">
        <v>269</v>
      </c>
      <c r="O97" s="171" t="s">
        <v>446</v>
      </c>
      <c r="P97" s="171" t="s">
        <v>916</v>
      </c>
      <c r="Q97" s="171"/>
      <c r="R97" s="213">
        <v>543000</v>
      </c>
      <c r="S97" s="87">
        <v>0</v>
      </c>
      <c r="T97" s="87">
        <v>0</v>
      </c>
      <c r="U97" s="87">
        <v>0</v>
      </c>
      <c r="V97" s="87">
        <v>0</v>
      </c>
      <c r="W97" s="87">
        <v>0</v>
      </c>
      <c r="X97" s="87">
        <v>0</v>
      </c>
      <c r="Y97" s="87">
        <v>0</v>
      </c>
      <c r="Z97" s="87">
        <v>0</v>
      </c>
      <c r="AA97" s="214">
        <v>448346</v>
      </c>
      <c r="AB97" s="214">
        <v>0</v>
      </c>
      <c r="AC97" s="214">
        <v>448346</v>
      </c>
      <c r="AD97" s="214">
        <v>448346</v>
      </c>
      <c r="AE97" s="214">
        <v>410000</v>
      </c>
      <c r="AF97" s="214">
        <v>410000</v>
      </c>
      <c r="AG97" s="214">
        <v>410000</v>
      </c>
      <c r="AH97" s="214">
        <v>410000</v>
      </c>
      <c r="AI97" s="87">
        <v>133637</v>
      </c>
      <c r="AJ97" s="87">
        <v>0</v>
      </c>
      <c r="AK97" s="87">
        <v>133637</v>
      </c>
      <c r="AL97" s="87">
        <v>133637</v>
      </c>
      <c r="AM97" s="87">
        <v>2394000</v>
      </c>
      <c r="AN97" s="87">
        <v>133637</v>
      </c>
      <c r="AO97" s="87">
        <v>133637</v>
      </c>
      <c r="AP97" s="87">
        <v>133000</v>
      </c>
      <c r="AQ97" s="88">
        <v>0</v>
      </c>
      <c r="AR97" s="88">
        <v>0</v>
      </c>
      <c r="AS97" s="88">
        <v>0</v>
      </c>
      <c r="AT97" s="88">
        <v>0</v>
      </c>
      <c r="AU97" s="88">
        <v>0</v>
      </c>
      <c r="AV97" s="88">
        <v>0</v>
      </c>
      <c r="AW97" s="88">
        <v>0</v>
      </c>
      <c r="AX97" s="88">
        <v>0</v>
      </c>
      <c r="AY97" s="87">
        <v>0</v>
      </c>
      <c r="AZ97" s="87">
        <v>0</v>
      </c>
      <c r="BA97" s="87">
        <v>0</v>
      </c>
      <c r="BB97" s="87">
        <v>0</v>
      </c>
      <c r="BC97" s="87">
        <v>0</v>
      </c>
      <c r="BD97" s="87">
        <v>0</v>
      </c>
      <c r="BE97" s="87">
        <v>0</v>
      </c>
      <c r="BF97" s="87">
        <v>0</v>
      </c>
      <c r="BG97" s="88">
        <v>0</v>
      </c>
      <c r="BH97" s="88">
        <v>0</v>
      </c>
      <c r="BI97" s="88">
        <v>0</v>
      </c>
      <c r="BJ97" s="88">
        <v>0</v>
      </c>
      <c r="BK97" s="88">
        <v>0</v>
      </c>
      <c r="BL97" s="88">
        <v>0</v>
      </c>
      <c r="BM97" s="88">
        <v>0</v>
      </c>
      <c r="BN97" s="590">
        <v>0</v>
      </c>
      <c r="BO97" s="171">
        <v>2023</v>
      </c>
      <c r="BP97" s="171">
        <v>3</v>
      </c>
      <c r="BQ97" s="171">
        <v>9</v>
      </c>
      <c r="BS97" s="76" t="str">
        <f t="shared" si="2"/>
        <v>○</v>
      </c>
    </row>
    <row r="98" spans="1:71" x14ac:dyDescent="0.2">
      <c r="A98" s="210">
        <v>1117</v>
      </c>
      <c r="B98" s="211"/>
      <c r="C98" s="212"/>
      <c r="D98" s="211"/>
      <c r="E98" s="212"/>
      <c r="F98" s="211"/>
      <c r="G98" s="211"/>
      <c r="H98" s="212"/>
      <c r="I98" s="211"/>
      <c r="J98" s="211"/>
      <c r="K98" s="211"/>
      <c r="L98" s="171"/>
      <c r="M98" s="171" t="s">
        <v>447</v>
      </c>
      <c r="N98" s="171" t="s">
        <v>299</v>
      </c>
      <c r="O98" s="171" t="s">
        <v>448</v>
      </c>
      <c r="P98" s="171" t="s">
        <v>916</v>
      </c>
      <c r="Q98" s="171"/>
      <c r="R98" s="213">
        <v>656000</v>
      </c>
      <c r="S98" s="87">
        <v>0</v>
      </c>
      <c r="T98" s="87">
        <v>0</v>
      </c>
      <c r="U98" s="87">
        <v>0</v>
      </c>
      <c r="V98" s="87">
        <v>0</v>
      </c>
      <c r="W98" s="87">
        <v>0</v>
      </c>
      <c r="X98" s="87">
        <v>0</v>
      </c>
      <c r="Y98" s="87">
        <v>0</v>
      </c>
      <c r="Z98" s="87">
        <v>0</v>
      </c>
      <c r="AA98" s="214">
        <v>0</v>
      </c>
      <c r="AB98" s="214">
        <v>0</v>
      </c>
      <c r="AC98" s="214">
        <v>0</v>
      </c>
      <c r="AD98" s="214">
        <v>0</v>
      </c>
      <c r="AE98" s="214">
        <v>0</v>
      </c>
      <c r="AF98" s="214">
        <v>0</v>
      </c>
      <c r="AG98" s="214">
        <v>0</v>
      </c>
      <c r="AH98" s="214">
        <v>0</v>
      </c>
      <c r="AI98" s="87">
        <v>480164</v>
      </c>
      <c r="AJ98" s="87">
        <v>0</v>
      </c>
      <c r="AK98" s="87">
        <v>480164</v>
      </c>
      <c r="AL98" s="87">
        <v>480164</v>
      </c>
      <c r="AM98" s="87">
        <v>2610000</v>
      </c>
      <c r="AN98" s="87">
        <v>480164</v>
      </c>
      <c r="AO98" s="87">
        <v>480164</v>
      </c>
      <c r="AP98" s="87">
        <v>480000</v>
      </c>
      <c r="AQ98" s="88">
        <v>0</v>
      </c>
      <c r="AR98" s="88">
        <v>0</v>
      </c>
      <c r="AS98" s="88">
        <v>0</v>
      </c>
      <c r="AT98" s="88">
        <v>0</v>
      </c>
      <c r="AU98" s="88">
        <v>0</v>
      </c>
      <c r="AV98" s="88">
        <v>0</v>
      </c>
      <c r="AW98" s="88">
        <v>0</v>
      </c>
      <c r="AX98" s="88">
        <v>0</v>
      </c>
      <c r="AY98" s="87">
        <v>0</v>
      </c>
      <c r="AZ98" s="87">
        <v>0</v>
      </c>
      <c r="BA98" s="87">
        <v>0</v>
      </c>
      <c r="BB98" s="87">
        <v>0</v>
      </c>
      <c r="BC98" s="87">
        <v>0</v>
      </c>
      <c r="BD98" s="87">
        <v>0</v>
      </c>
      <c r="BE98" s="87">
        <v>0</v>
      </c>
      <c r="BF98" s="87">
        <v>0</v>
      </c>
      <c r="BG98" s="88">
        <v>176176</v>
      </c>
      <c r="BH98" s="88">
        <v>0</v>
      </c>
      <c r="BI98" s="88">
        <v>176176</v>
      </c>
      <c r="BJ98" s="88">
        <v>176176</v>
      </c>
      <c r="BK98" s="88">
        <v>176176</v>
      </c>
      <c r="BL98" s="88">
        <v>176176</v>
      </c>
      <c r="BM98" s="88">
        <v>176176</v>
      </c>
      <c r="BN98" s="590">
        <v>176000</v>
      </c>
      <c r="BO98" s="171">
        <v>2023</v>
      </c>
      <c r="BP98" s="171">
        <v>3</v>
      </c>
      <c r="BQ98" s="171">
        <v>9</v>
      </c>
      <c r="BS98" s="76" t="str">
        <f t="shared" si="2"/>
        <v>○</v>
      </c>
    </row>
    <row r="99" spans="1:71" x14ac:dyDescent="0.2">
      <c r="A99" s="210">
        <v>1118</v>
      </c>
      <c r="B99" s="211"/>
      <c r="C99" s="212"/>
      <c r="D99" s="211"/>
      <c r="E99" s="212"/>
      <c r="F99" s="211"/>
      <c r="G99" s="211"/>
      <c r="H99" s="212"/>
      <c r="I99" s="211"/>
      <c r="J99" s="211"/>
      <c r="K99" s="211"/>
      <c r="L99" s="171"/>
      <c r="M99" s="171" t="s">
        <v>449</v>
      </c>
      <c r="N99" s="171" t="s">
        <v>275</v>
      </c>
      <c r="O99" s="171" t="s">
        <v>918</v>
      </c>
      <c r="P99" s="171" t="s">
        <v>916</v>
      </c>
      <c r="Q99" s="171"/>
      <c r="R99" s="213">
        <v>1166000</v>
      </c>
      <c r="S99" s="87">
        <v>0</v>
      </c>
      <c r="T99" s="87">
        <v>0</v>
      </c>
      <c r="U99" s="87">
        <v>0</v>
      </c>
      <c r="V99" s="87">
        <v>0</v>
      </c>
      <c r="W99" s="87">
        <v>0</v>
      </c>
      <c r="X99" s="87">
        <v>0</v>
      </c>
      <c r="Y99" s="87">
        <v>0</v>
      </c>
      <c r="Z99" s="87">
        <v>0</v>
      </c>
      <c r="AA99" s="214">
        <v>476666</v>
      </c>
      <c r="AB99" s="214">
        <v>0</v>
      </c>
      <c r="AC99" s="214">
        <v>476666</v>
      </c>
      <c r="AD99" s="214">
        <v>476666</v>
      </c>
      <c r="AE99" s="214">
        <v>410000</v>
      </c>
      <c r="AF99" s="214">
        <v>410000</v>
      </c>
      <c r="AG99" s="214">
        <v>410000</v>
      </c>
      <c r="AH99" s="214">
        <v>410000</v>
      </c>
      <c r="AI99" s="87">
        <v>756510</v>
      </c>
      <c r="AJ99" s="87">
        <v>0</v>
      </c>
      <c r="AK99" s="87">
        <v>756510</v>
      </c>
      <c r="AL99" s="87">
        <v>756510</v>
      </c>
      <c r="AM99" s="87">
        <v>4032000</v>
      </c>
      <c r="AN99" s="87">
        <v>756510</v>
      </c>
      <c r="AO99" s="87">
        <v>756510</v>
      </c>
      <c r="AP99" s="87">
        <v>756000</v>
      </c>
      <c r="AQ99" s="88">
        <v>0</v>
      </c>
      <c r="AR99" s="88">
        <v>0</v>
      </c>
      <c r="AS99" s="88">
        <v>0</v>
      </c>
      <c r="AT99" s="88">
        <v>0</v>
      </c>
      <c r="AU99" s="88">
        <v>0</v>
      </c>
      <c r="AV99" s="88">
        <v>0</v>
      </c>
      <c r="AW99" s="88">
        <v>0</v>
      </c>
      <c r="AX99" s="88">
        <v>0</v>
      </c>
      <c r="AY99" s="87">
        <v>0</v>
      </c>
      <c r="AZ99" s="87">
        <v>0</v>
      </c>
      <c r="BA99" s="87">
        <v>0</v>
      </c>
      <c r="BB99" s="87">
        <v>0</v>
      </c>
      <c r="BC99" s="87">
        <v>0</v>
      </c>
      <c r="BD99" s="87">
        <v>0</v>
      </c>
      <c r="BE99" s="87">
        <v>0</v>
      </c>
      <c r="BF99" s="87">
        <v>0</v>
      </c>
      <c r="BG99" s="88">
        <v>0</v>
      </c>
      <c r="BH99" s="88">
        <v>0</v>
      </c>
      <c r="BI99" s="88">
        <v>0</v>
      </c>
      <c r="BJ99" s="88">
        <v>0</v>
      </c>
      <c r="BK99" s="88">
        <v>0</v>
      </c>
      <c r="BL99" s="88">
        <v>0</v>
      </c>
      <c r="BM99" s="88">
        <v>0</v>
      </c>
      <c r="BN99" s="590">
        <v>0</v>
      </c>
      <c r="BO99" s="171">
        <v>2023</v>
      </c>
      <c r="BP99" s="171">
        <v>3</v>
      </c>
      <c r="BQ99" s="171">
        <v>9</v>
      </c>
      <c r="BS99" s="76" t="str">
        <f t="shared" si="2"/>
        <v>○</v>
      </c>
    </row>
    <row r="100" spans="1:71" x14ac:dyDescent="0.2">
      <c r="A100" s="210">
        <v>1119</v>
      </c>
      <c r="B100" s="211"/>
      <c r="C100" s="212"/>
      <c r="D100" s="211"/>
      <c r="E100" s="212"/>
      <c r="F100" s="211"/>
      <c r="G100" s="211"/>
      <c r="H100" s="212"/>
      <c r="I100" s="211"/>
      <c r="J100" s="211"/>
      <c r="K100" s="211"/>
      <c r="L100" s="171"/>
      <c r="M100" s="171" t="s">
        <v>451</v>
      </c>
      <c r="N100" s="171" t="s">
        <v>269</v>
      </c>
      <c r="O100" s="171" t="s">
        <v>452</v>
      </c>
      <c r="P100" s="171" t="s">
        <v>916</v>
      </c>
      <c r="Q100" s="171"/>
      <c r="R100" s="213">
        <v>13000</v>
      </c>
      <c r="S100" s="87">
        <v>0</v>
      </c>
      <c r="T100" s="87">
        <v>0</v>
      </c>
      <c r="U100" s="87">
        <v>0</v>
      </c>
      <c r="V100" s="87">
        <v>0</v>
      </c>
      <c r="W100" s="87">
        <v>0</v>
      </c>
      <c r="X100" s="87">
        <v>0</v>
      </c>
      <c r="Y100" s="87">
        <v>0</v>
      </c>
      <c r="Z100" s="87">
        <v>0</v>
      </c>
      <c r="AA100" s="214">
        <v>0</v>
      </c>
      <c r="AB100" s="214">
        <v>0</v>
      </c>
      <c r="AC100" s="214">
        <v>0</v>
      </c>
      <c r="AD100" s="214">
        <v>0</v>
      </c>
      <c r="AE100" s="214">
        <v>0</v>
      </c>
      <c r="AF100" s="214">
        <v>0</v>
      </c>
      <c r="AG100" s="214">
        <v>0</v>
      </c>
      <c r="AH100" s="214">
        <v>0</v>
      </c>
      <c r="AI100" s="87">
        <v>13998</v>
      </c>
      <c r="AJ100" s="87">
        <v>0</v>
      </c>
      <c r="AK100" s="87">
        <v>13998</v>
      </c>
      <c r="AL100" s="87">
        <v>13998</v>
      </c>
      <c r="AM100" s="87">
        <v>3484800</v>
      </c>
      <c r="AN100" s="87">
        <v>13998</v>
      </c>
      <c r="AO100" s="87">
        <v>13998</v>
      </c>
      <c r="AP100" s="87">
        <v>13000</v>
      </c>
      <c r="AQ100" s="88">
        <v>0</v>
      </c>
      <c r="AR100" s="88">
        <v>0</v>
      </c>
      <c r="AS100" s="88">
        <v>0</v>
      </c>
      <c r="AT100" s="88">
        <v>0</v>
      </c>
      <c r="AU100" s="88">
        <v>0</v>
      </c>
      <c r="AV100" s="88">
        <v>0</v>
      </c>
      <c r="AW100" s="88">
        <v>0</v>
      </c>
      <c r="AX100" s="88">
        <v>0</v>
      </c>
      <c r="AY100" s="87">
        <v>0</v>
      </c>
      <c r="AZ100" s="87">
        <v>0</v>
      </c>
      <c r="BA100" s="87">
        <v>0</v>
      </c>
      <c r="BB100" s="87">
        <v>0</v>
      </c>
      <c r="BC100" s="87">
        <v>0</v>
      </c>
      <c r="BD100" s="87">
        <v>0</v>
      </c>
      <c r="BE100" s="87">
        <v>0</v>
      </c>
      <c r="BF100" s="87">
        <v>0</v>
      </c>
      <c r="BG100" s="88">
        <v>0</v>
      </c>
      <c r="BH100" s="88">
        <v>0</v>
      </c>
      <c r="BI100" s="88">
        <v>0</v>
      </c>
      <c r="BJ100" s="88">
        <v>0</v>
      </c>
      <c r="BK100" s="88">
        <v>0</v>
      </c>
      <c r="BL100" s="88">
        <v>0</v>
      </c>
      <c r="BM100" s="88">
        <v>0</v>
      </c>
      <c r="BN100" s="590">
        <v>0</v>
      </c>
      <c r="BO100" s="171">
        <v>2023</v>
      </c>
      <c r="BP100" s="171">
        <v>3</v>
      </c>
      <c r="BQ100" s="171">
        <v>9</v>
      </c>
      <c r="BS100" s="76" t="str">
        <f t="shared" si="2"/>
        <v>○</v>
      </c>
    </row>
    <row r="101" spans="1:71" x14ac:dyDescent="0.2">
      <c r="A101" s="210">
        <v>1120</v>
      </c>
      <c r="B101" s="211"/>
      <c r="C101" s="212"/>
      <c r="D101" s="211"/>
      <c r="E101" s="212"/>
      <c r="F101" s="211"/>
      <c r="G101" s="211"/>
      <c r="H101" s="212"/>
      <c r="I101" s="211"/>
      <c r="J101" s="211"/>
      <c r="K101" s="211"/>
      <c r="L101" s="171"/>
      <c r="M101" s="171" t="s">
        <v>453</v>
      </c>
      <c r="N101" s="171" t="s">
        <v>354</v>
      </c>
      <c r="O101" s="171" t="s">
        <v>341</v>
      </c>
      <c r="P101" s="171" t="s">
        <v>916</v>
      </c>
      <c r="Q101" s="171"/>
      <c r="R101" s="213">
        <v>381000</v>
      </c>
      <c r="S101" s="87">
        <v>0</v>
      </c>
      <c r="T101" s="87">
        <v>0</v>
      </c>
      <c r="U101" s="87">
        <v>0</v>
      </c>
      <c r="V101" s="87">
        <v>0</v>
      </c>
      <c r="W101" s="87">
        <v>0</v>
      </c>
      <c r="X101" s="87">
        <v>0</v>
      </c>
      <c r="Y101" s="87">
        <v>0</v>
      </c>
      <c r="Z101" s="87">
        <v>0</v>
      </c>
      <c r="AA101" s="214">
        <v>0</v>
      </c>
      <c r="AB101" s="214">
        <v>0</v>
      </c>
      <c r="AC101" s="214">
        <v>0</v>
      </c>
      <c r="AD101" s="214">
        <v>0</v>
      </c>
      <c r="AE101" s="214">
        <v>0</v>
      </c>
      <c r="AF101" s="214">
        <v>0</v>
      </c>
      <c r="AG101" s="214">
        <v>0</v>
      </c>
      <c r="AH101" s="214">
        <v>0</v>
      </c>
      <c r="AI101" s="87">
        <v>55546</v>
      </c>
      <c r="AJ101" s="87">
        <v>0</v>
      </c>
      <c r="AK101" s="87">
        <v>55546</v>
      </c>
      <c r="AL101" s="87">
        <v>55546</v>
      </c>
      <c r="AM101" s="87">
        <v>2160000</v>
      </c>
      <c r="AN101" s="87">
        <v>55546</v>
      </c>
      <c r="AO101" s="87">
        <v>55546</v>
      </c>
      <c r="AP101" s="87">
        <v>55000</v>
      </c>
      <c r="AQ101" s="88">
        <v>0</v>
      </c>
      <c r="AR101" s="88">
        <v>0</v>
      </c>
      <c r="AS101" s="88">
        <v>0</v>
      </c>
      <c r="AT101" s="88">
        <v>0</v>
      </c>
      <c r="AU101" s="88">
        <v>0</v>
      </c>
      <c r="AV101" s="88">
        <v>0</v>
      </c>
      <c r="AW101" s="88">
        <v>0</v>
      </c>
      <c r="AX101" s="88">
        <v>0</v>
      </c>
      <c r="AY101" s="87">
        <v>0</v>
      </c>
      <c r="AZ101" s="87">
        <v>0</v>
      </c>
      <c r="BA101" s="87">
        <v>0</v>
      </c>
      <c r="BB101" s="87">
        <v>0</v>
      </c>
      <c r="BC101" s="87">
        <v>0</v>
      </c>
      <c r="BD101" s="87">
        <v>0</v>
      </c>
      <c r="BE101" s="87">
        <v>0</v>
      </c>
      <c r="BF101" s="87">
        <v>0</v>
      </c>
      <c r="BG101" s="88">
        <v>326447</v>
      </c>
      <c r="BH101" s="88">
        <v>0</v>
      </c>
      <c r="BI101" s="88">
        <v>326447</v>
      </c>
      <c r="BJ101" s="88">
        <v>326447</v>
      </c>
      <c r="BK101" s="88">
        <v>326447</v>
      </c>
      <c r="BL101" s="88">
        <v>326447</v>
      </c>
      <c r="BM101" s="88">
        <v>326447</v>
      </c>
      <c r="BN101" s="590">
        <v>326000</v>
      </c>
      <c r="BO101" s="171">
        <v>2023</v>
      </c>
      <c r="BP101" s="171">
        <v>3</v>
      </c>
      <c r="BQ101" s="171">
        <v>9</v>
      </c>
      <c r="BS101" s="76" t="str">
        <f t="shared" si="2"/>
        <v>○</v>
      </c>
    </row>
    <row r="102" spans="1:71" x14ac:dyDescent="0.2">
      <c r="A102" s="210">
        <v>1124</v>
      </c>
      <c r="B102" s="211"/>
      <c r="C102" s="212"/>
      <c r="D102" s="211"/>
      <c r="E102" s="212"/>
      <c r="F102" s="211"/>
      <c r="G102" s="211"/>
      <c r="H102" s="212"/>
      <c r="I102" s="211"/>
      <c r="J102" s="211"/>
      <c r="K102" s="211"/>
      <c r="L102" s="171"/>
      <c r="M102" s="171" t="s">
        <v>457</v>
      </c>
      <c r="N102" s="171" t="s">
        <v>269</v>
      </c>
      <c r="O102" s="171" t="s">
        <v>410</v>
      </c>
      <c r="P102" s="171" t="s">
        <v>916</v>
      </c>
      <c r="Q102" s="75"/>
      <c r="R102" s="213">
        <v>1062000</v>
      </c>
      <c r="S102" s="87">
        <v>0</v>
      </c>
      <c r="T102" s="87">
        <v>0</v>
      </c>
      <c r="U102" s="87">
        <v>0</v>
      </c>
      <c r="V102" s="87">
        <v>0</v>
      </c>
      <c r="W102" s="87">
        <v>0</v>
      </c>
      <c r="X102" s="87">
        <v>0</v>
      </c>
      <c r="Y102" s="87">
        <v>0</v>
      </c>
      <c r="Z102" s="87">
        <v>0</v>
      </c>
      <c r="AA102" s="214">
        <v>0</v>
      </c>
      <c r="AB102" s="214">
        <v>0</v>
      </c>
      <c r="AC102" s="214">
        <v>0</v>
      </c>
      <c r="AD102" s="214">
        <v>0</v>
      </c>
      <c r="AE102" s="214">
        <v>0</v>
      </c>
      <c r="AF102" s="214">
        <v>0</v>
      </c>
      <c r="AG102" s="214">
        <v>0</v>
      </c>
      <c r="AH102" s="214">
        <v>0</v>
      </c>
      <c r="AI102" s="87">
        <v>0</v>
      </c>
      <c r="AJ102" s="87">
        <v>0</v>
      </c>
      <c r="AK102" s="87">
        <v>0</v>
      </c>
      <c r="AL102" s="87">
        <v>0</v>
      </c>
      <c r="AM102" s="87">
        <v>0</v>
      </c>
      <c r="AN102" s="87">
        <v>0</v>
      </c>
      <c r="AO102" s="87">
        <v>0</v>
      </c>
      <c r="AP102" s="87">
        <v>0</v>
      </c>
      <c r="AQ102" s="88">
        <v>0</v>
      </c>
      <c r="AR102" s="88">
        <v>0</v>
      </c>
      <c r="AS102" s="88">
        <v>0</v>
      </c>
      <c r="AT102" s="88">
        <v>0</v>
      </c>
      <c r="AU102" s="88">
        <v>0</v>
      </c>
      <c r="AV102" s="88">
        <v>0</v>
      </c>
      <c r="AW102" s="88">
        <v>0</v>
      </c>
      <c r="AX102" s="88">
        <v>0</v>
      </c>
      <c r="AY102" s="87">
        <v>0</v>
      </c>
      <c r="AZ102" s="87">
        <v>0</v>
      </c>
      <c r="BA102" s="87">
        <v>0</v>
      </c>
      <c r="BB102" s="87">
        <v>0</v>
      </c>
      <c r="BC102" s="87">
        <v>0</v>
      </c>
      <c r="BD102" s="87">
        <v>0</v>
      </c>
      <c r="BE102" s="87">
        <v>0</v>
      </c>
      <c r="BF102" s="87">
        <v>0</v>
      </c>
      <c r="BG102" s="88">
        <v>1062215</v>
      </c>
      <c r="BH102" s="88">
        <v>0</v>
      </c>
      <c r="BI102" s="88">
        <v>1062215</v>
      </c>
      <c r="BJ102" s="88">
        <v>1062215</v>
      </c>
      <c r="BK102" s="88">
        <v>1062215</v>
      </c>
      <c r="BL102" s="88">
        <v>1062215</v>
      </c>
      <c r="BM102" s="88">
        <v>1062215</v>
      </c>
      <c r="BN102" s="590">
        <v>1062000</v>
      </c>
      <c r="BO102" s="171">
        <v>2023</v>
      </c>
      <c r="BP102" s="171">
        <v>3</v>
      </c>
      <c r="BQ102" s="171">
        <v>9</v>
      </c>
      <c r="BS102" s="76" t="str">
        <f t="shared" si="2"/>
        <v>○</v>
      </c>
    </row>
    <row r="103" spans="1:71" x14ac:dyDescent="0.2">
      <c r="A103" s="210">
        <v>1125</v>
      </c>
      <c r="B103" s="211"/>
      <c r="C103" s="212"/>
      <c r="D103" s="211"/>
      <c r="E103" s="212"/>
      <c r="F103" s="211"/>
      <c r="G103" s="211"/>
      <c r="H103" s="212"/>
      <c r="I103" s="211"/>
      <c r="J103" s="211"/>
      <c r="K103" s="211"/>
      <c r="L103" s="171"/>
      <c r="M103" s="171" t="s">
        <v>458</v>
      </c>
      <c r="N103" s="171" t="s">
        <v>269</v>
      </c>
      <c r="O103" s="171" t="s">
        <v>459</v>
      </c>
      <c r="P103" s="171" t="s">
        <v>916</v>
      </c>
      <c r="Q103" s="171"/>
      <c r="R103" s="213">
        <v>1915000</v>
      </c>
      <c r="S103" s="87">
        <v>0</v>
      </c>
      <c r="T103" s="87">
        <v>0</v>
      </c>
      <c r="U103" s="87">
        <v>0</v>
      </c>
      <c r="V103" s="87">
        <v>0</v>
      </c>
      <c r="W103" s="87">
        <v>0</v>
      </c>
      <c r="X103" s="87">
        <v>0</v>
      </c>
      <c r="Y103" s="87">
        <v>0</v>
      </c>
      <c r="Z103" s="87">
        <v>0</v>
      </c>
      <c r="AA103" s="214">
        <v>0</v>
      </c>
      <c r="AB103" s="214">
        <v>0</v>
      </c>
      <c r="AC103" s="214">
        <v>0</v>
      </c>
      <c r="AD103" s="214">
        <v>0</v>
      </c>
      <c r="AE103" s="214">
        <v>0</v>
      </c>
      <c r="AF103" s="214">
        <v>0</v>
      </c>
      <c r="AG103" s="214">
        <v>0</v>
      </c>
      <c r="AH103" s="214">
        <v>0</v>
      </c>
      <c r="AI103" s="87">
        <v>1915292</v>
      </c>
      <c r="AJ103" s="87">
        <v>0</v>
      </c>
      <c r="AK103" s="87">
        <v>1915292</v>
      </c>
      <c r="AL103" s="87">
        <v>1915292</v>
      </c>
      <c r="AM103" s="87">
        <v>2088000</v>
      </c>
      <c r="AN103" s="87">
        <v>1915292</v>
      </c>
      <c r="AO103" s="87">
        <v>1915292</v>
      </c>
      <c r="AP103" s="87">
        <v>1915000</v>
      </c>
      <c r="AQ103" s="88">
        <v>0</v>
      </c>
      <c r="AR103" s="88">
        <v>0</v>
      </c>
      <c r="AS103" s="88">
        <v>0</v>
      </c>
      <c r="AT103" s="88">
        <v>0</v>
      </c>
      <c r="AU103" s="88">
        <v>0</v>
      </c>
      <c r="AV103" s="88">
        <v>0</v>
      </c>
      <c r="AW103" s="88">
        <v>0</v>
      </c>
      <c r="AX103" s="88">
        <v>0</v>
      </c>
      <c r="AY103" s="87">
        <v>0</v>
      </c>
      <c r="AZ103" s="87">
        <v>0</v>
      </c>
      <c r="BA103" s="87">
        <v>0</v>
      </c>
      <c r="BB103" s="87">
        <v>0</v>
      </c>
      <c r="BC103" s="87">
        <v>0</v>
      </c>
      <c r="BD103" s="87">
        <v>0</v>
      </c>
      <c r="BE103" s="87">
        <v>0</v>
      </c>
      <c r="BF103" s="87">
        <v>0</v>
      </c>
      <c r="BG103" s="88">
        <v>0</v>
      </c>
      <c r="BH103" s="88">
        <v>0</v>
      </c>
      <c r="BI103" s="88">
        <v>0</v>
      </c>
      <c r="BJ103" s="88">
        <v>0</v>
      </c>
      <c r="BK103" s="88">
        <v>0</v>
      </c>
      <c r="BL103" s="88">
        <v>0</v>
      </c>
      <c r="BM103" s="88">
        <v>0</v>
      </c>
      <c r="BN103" s="590">
        <v>0</v>
      </c>
      <c r="BO103" s="171">
        <v>2023</v>
      </c>
      <c r="BP103" s="171">
        <v>3</v>
      </c>
      <c r="BQ103" s="171">
        <v>9</v>
      </c>
      <c r="BS103" s="76" t="str">
        <f t="shared" si="2"/>
        <v>○</v>
      </c>
    </row>
    <row r="104" spans="1:71" x14ac:dyDescent="0.2">
      <c r="A104" s="210">
        <v>1126</v>
      </c>
      <c r="B104" s="211"/>
      <c r="C104" s="212"/>
      <c r="D104" s="211"/>
      <c r="E104" s="212"/>
      <c r="F104" s="211"/>
      <c r="G104" s="211"/>
      <c r="H104" s="212"/>
      <c r="I104" s="211"/>
      <c r="J104" s="211"/>
      <c r="K104" s="211"/>
      <c r="L104" s="171"/>
      <c r="M104" s="171" t="s">
        <v>460</v>
      </c>
      <c r="N104" s="171" t="s">
        <v>289</v>
      </c>
      <c r="O104" s="171" t="s">
        <v>461</v>
      </c>
      <c r="P104" s="171" t="s">
        <v>916</v>
      </c>
      <c r="Q104" s="171"/>
      <c r="R104" s="213">
        <v>3041000</v>
      </c>
      <c r="S104" s="87">
        <v>0</v>
      </c>
      <c r="T104" s="87">
        <v>0</v>
      </c>
      <c r="U104" s="87">
        <v>0</v>
      </c>
      <c r="V104" s="87">
        <v>0</v>
      </c>
      <c r="W104" s="87">
        <v>0</v>
      </c>
      <c r="X104" s="87">
        <v>0</v>
      </c>
      <c r="Y104" s="87">
        <v>0</v>
      </c>
      <c r="Z104" s="87">
        <v>0</v>
      </c>
      <c r="AA104" s="214">
        <v>0</v>
      </c>
      <c r="AB104" s="214">
        <v>0</v>
      </c>
      <c r="AC104" s="214">
        <v>0</v>
      </c>
      <c r="AD104" s="214">
        <v>0</v>
      </c>
      <c r="AE104" s="214">
        <v>0</v>
      </c>
      <c r="AF104" s="214">
        <v>0</v>
      </c>
      <c r="AG104" s="214">
        <v>0</v>
      </c>
      <c r="AH104" s="214">
        <v>0</v>
      </c>
      <c r="AI104" s="87">
        <v>1837750</v>
      </c>
      <c r="AJ104" s="87">
        <v>0</v>
      </c>
      <c r="AK104" s="87">
        <v>1837750</v>
      </c>
      <c r="AL104" s="87">
        <v>1837750</v>
      </c>
      <c r="AM104" s="87">
        <v>6480000</v>
      </c>
      <c r="AN104" s="87">
        <v>1837750</v>
      </c>
      <c r="AO104" s="87">
        <v>1837000</v>
      </c>
      <c r="AP104" s="87">
        <v>1837000</v>
      </c>
      <c r="AQ104" s="88">
        <v>0</v>
      </c>
      <c r="AR104" s="88">
        <v>0</v>
      </c>
      <c r="AS104" s="88">
        <v>0</v>
      </c>
      <c r="AT104" s="88">
        <v>0</v>
      </c>
      <c r="AU104" s="88">
        <v>0</v>
      </c>
      <c r="AV104" s="88">
        <v>0</v>
      </c>
      <c r="AW104" s="88">
        <v>0</v>
      </c>
      <c r="AX104" s="88">
        <v>0</v>
      </c>
      <c r="AY104" s="87">
        <v>32257</v>
      </c>
      <c r="AZ104" s="87">
        <v>0</v>
      </c>
      <c r="BA104" s="87">
        <v>32257</v>
      </c>
      <c r="BB104" s="87">
        <v>32257</v>
      </c>
      <c r="BC104" s="87">
        <v>51400</v>
      </c>
      <c r="BD104" s="87">
        <v>32257</v>
      </c>
      <c r="BE104" s="87">
        <v>32000</v>
      </c>
      <c r="BF104" s="87">
        <v>32000</v>
      </c>
      <c r="BG104" s="88">
        <v>1172344</v>
      </c>
      <c r="BH104" s="88">
        <v>0</v>
      </c>
      <c r="BI104" s="88">
        <v>1172344</v>
      </c>
      <c r="BJ104" s="88">
        <v>1172344</v>
      </c>
      <c r="BK104" s="88">
        <v>1172344</v>
      </c>
      <c r="BL104" s="88">
        <v>1172344</v>
      </c>
      <c r="BM104" s="88">
        <v>1172000</v>
      </c>
      <c r="BN104" s="590">
        <v>1172000</v>
      </c>
      <c r="BO104" s="171">
        <v>2023</v>
      </c>
      <c r="BP104" s="171">
        <v>3</v>
      </c>
      <c r="BQ104" s="171">
        <v>9</v>
      </c>
      <c r="BS104" s="76" t="str">
        <f t="shared" si="2"/>
        <v>○</v>
      </c>
    </row>
    <row r="105" spans="1:71" x14ac:dyDescent="0.2">
      <c r="A105" s="210">
        <v>1128</v>
      </c>
      <c r="B105" s="211"/>
      <c r="C105" s="212"/>
      <c r="D105" s="211"/>
      <c r="E105" s="212"/>
      <c r="F105" s="211"/>
      <c r="G105" s="211"/>
      <c r="H105" s="212"/>
      <c r="I105" s="211"/>
      <c r="J105" s="211"/>
      <c r="K105" s="211"/>
      <c r="L105" s="171"/>
      <c r="M105" s="171" t="s">
        <v>464</v>
      </c>
      <c r="N105" s="171" t="s">
        <v>281</v>
      </c>
      <c r="O105" s="171" t="s">
        <v>461</v>
      </c>
      <c r="P105" s="171" t="s">
        <v>916</v>
      </c>
      <c r="Q105" s="171"/>
      <c r="R105" s="213">
        <v>4644000</v>
      </c>
      <c r="S105" s="87">
        <v>0</v>
      </c>
      <c r="T105" s="87">
        <v>0</v>
      </c>
      <c r="U105" s="87">
        <v>0</v>
      </c>
      <c r="V105" s="87">
        <v>0</v>
      </c>
      <c r="W105" s="87">
        <v>0</v>
      </c>
      <c r="X105" s="87">
        <v>0</v>
      </c>
      <c r="Y105" s="87">
        <v>0</v>
      </c>
      <c r="Z105" s="87">
        <v>0</v>
      </c>
      <c r="AA105" s="214">
        <v>0</v>
      </c>
      <c r="AB105" s="214">
        <v>0</v>
      </c>
      <c r="AC105" s="214">
        <v>0</v>
      </c>
      <c r="AD105" s="214">
        <v>0</v>
      </c>
      <c r="AE105" s="214">
        <v>0</v>
      </c>
      <c r="AF105" s="214">
        <v>0</v>
      </c>
      <c r="AG105" s="214">
        <v>0</v>
      </c>
      <c r="AH105" s="214">
        <v>0</v>
      </c>
      <c r="AI105" s="87">
        <v>3393048</v>
      </c>
      <c r="AJ105" s="87">
        <v>0</v>
      </c>
      <c r="AK105" s="87">
        <v>3393048</v>
      </c>
      <c r="AL105" s="87">
        <v>3393048</v>
      </c>
      <c r="AM105" s="87">
        <v>28173600</v>
      </c>
      <c r="AN105" s="87">
        <v>3393048</v>
      </c>
      <c r="AO105" s="87">
        <v>3393048</v>
      </c>
      <c r="AP105" s="87">
        <v>3393000</v>
      </c>
      <c r="AQ105" s="88">
        <v>0</v>
      </c>
      <c r="AR105" s="88">
        <v>0</v>
      </c>
      <c r="AS105" s="88">
        <v>0</v>
      </c>
      <c r="AT105" s="88">
        <v>0</v>
      </c>
      <c r="AU105" s="88">
        <v>0</v>
      </c>
      <c r="AV105" s="88">
        <v>0</v>
      </c>
      <c r="AW105" s="88">
        <v>0</v>
      </c>
      <c r="AX105" s="88">
        <v>0</v>
      </c>
      <c r="AY105" s="87">
        <v>0</v>
      </c>
      <c r="AZ105" s="87">
        <v>0</v>
      </c>
      <c r="BA105" s="87">
        <v>0</v>
      </c>
      <c r="BB105" s="87">
        <v>0</v>
      </c>
      <c r="BC105" s="87">
        <v>0</v>
      </c>
      <c r="BD105" s="87">
        <v>0</v>
      </c>
      <c r="BE105" s="87">
        <v>0</v>
      </c>
      <c r="BF105" s="87">
        <v>0</v>
      </c>
      <c r="BG105" s="88">
        <v>1251984</v>
      </c>
      <c r="BH105" s="88">
        <v>0</v>
      </c>
      <c r="BI105" s="88">
        <v>1251984</v>
      </c>
      <c r="BJ105" s="88">
        <v>1251984</v>
      </c>
      <c r="BK105" s="88">
        <v>1251984</v>
      </c>
      <c r="BL105" s="88">
        <v>1251984</v>
      </c>
      <c r="BM105" s="88">
        <v>1251984</v>
      </c>
      <c r="BN105" s="590">
        <v>1251000</v>
      </c>
      <c r="BO105" s="171">
        <v>2023</v>
      </c>
      <c r="BP105" s="171">
        <v>3</v>
      </c>
      <c r="BQ105" s="171">
        <v>9</v>
      </c>
      <c r="BS105" s="76" t="str">
        <f t="shared" si="2"/>
        <v>○</v>
      </c>
    </row>
    <row r="106" spans="1:71" x14ac:dyDescent="0.2">
      <c r="A106" s="210">
        <v>1129</v>
      </c>
      <c r="B106" s="211"/>
      <c r="C106" s="212"/>
      <c r="D106" s="211"/>
      <c r="E106" s="212"/>
      <c r="F106" s="211"/>
      <c r="G106" s="211"/>
      <c r="H106" s="212"/>
      <c r="I106" s="211"/>
      <c r="J106" s="211"/>
      <c r="K106" s="211"/>
      <c r="L106" s="171"/>
      <c r="M106" s="171" t="s">
        <v>465</v>
      </c>
      <c r="N106" s="171" t="s">
        <v>919</v>
      </c>
      <c r="O106" s="171" t="s">
        <v>466</v>
      </c>
      <c r="P106" s="171" t="s">
        <v>916</v>
      </c>
      <c r="Q106" s="171"/>
      <c r="R106" s="213">
        <v>70000</v>
      </c>
      <c r="S106" s="87">
        <v>0</v>
      </c>
      <c r="T106" s="87">
        <v>0</v>
      </c>
      <c r="U106" s="87">
        <v>0</v>
      </c>
      <c r="V106" s="87">
        <v>0</v>
      </c>
      <c r="W106" s="87">
        <v>0</v>
      </c>
      <c r="X106" s="87">
        <v>0</v>
      </c>
      <c r="Y106" s="87">
        <v>0</v>
      </c>
      <c r="Z106" s="87">
        <v>0</v>
      </c>
      <c r="AA106" s="214">
        <v>0</v>
      </c>
      <c r="AB106" s="214">
        <v>0</v>
      </c>
      <c r="AC106" s="214">
        <v>0</v>
      </c>
      <c r="AD106" s="214">
        <v>0</v>
      </c>
      <c r="AE106" s="214">
        <v>0</v>
      </c>
      <c r="AF106" s="214">
        <v>0</v>
      </c>
      <c r="AG106" s="214">
        <v>0</v>
      </c>
      <c r="AH106" s="214">
        <v>0</v>
      </c>
      <c r="AI106" s="87">
        <v>50930</v>
      </c>
      <c r="AJ106" s="87">
        <v>0</v>
      </c>
      <c r="AK106" s="87">
        <v>50930</v>
      </c>
      <c r="AL106" s="87">
        <v>50930</v>
      </c>
      <c r="AM106" s="87">
        <v>6220800</v>
      </c>
      <c r="AN106" s="87">
        <v>50930</v>
      </c>
      <c r="AO106" s="87">
        <v>50000</v>
      </c>
      <c r="AP106" s="87">
        <v>50000</v>
      </c>
      <c r="AQ106" s="88">
        <v>0</v>
      </c>
      <c r="AR106" s="88">
        <v>0</v>
      </c>
      <c r="AS106" s="88">
        <v>0</v>
      </c>
      <c r="AT106" s="88">
        <v>0</v>
      </c>
      <c r="AU106" s="88">
        <v>0</v>
      </c>
      <c r="AV106" s="88">
        <v>0</v>
      </c>
      <c r="AW106" s="88">
        <v>0</v>
      </c>
      <c r="AX106" s="88">
        <v>0</v>
      </c>
      <c r="AY106" s="87">
        <v>0</v>
      </c>
      <c r="AZ106" s="87">
        <v>0</v>
      </c>
      <c r="BA106" s="87">
        <v>0</v>
      </c>
      <c r="BB106" s="87">
        <v>0</v>
      </c>
      <c r="BC106" s="87">
        <v>0</v>
      </c>
      <c r="BD106" s="87">
        <v>0</v>
      </c>
      <c r="BE106" s="87">
        <v>0</v>
      </c>
      <c r="BF106" s="87">
        <v>0</v>
      </c>
      <c r="BG106" s="88">
        <v>20350</v>
      </c>
      <c r="BH106" s="88">
        <v>0</v>
      </c>
      <c r="BI106" s="88">
        <v>20350</v>
      </c>
      <c r="BJ106" s="88">
        <v>20350</v>
      </c>
      <c r="BK106" s="88">
        <v>20350</v>
      </c>
      <c r="BL106" s="88">
        <v>20350</v>
      </c>
      <c r="BM106" s="88">
        <v>20000</v>
      </c>
      <c r="BN106" s="590">
        <v>20000</v>
      </c>
      <c r="BO106" s="171">
        <v>2023</v>
      </c>
      <c r="BP106" s="171">
        <v>3</v>
      </c>
      <c r="BQ106" s="171">
        <v>9</v>
      </c>
      <c r="BS106" s="76" t="str">
        <f t="shared" si="2"/>
        <v>○</v>
      </c>
    </row>
    <row r="107" spans="1:71" s="81" customFormat="1" x14ac:dyDescent="0.2">
      <c r="A107" s="210">
        <v>1130</v>
      </c>
      <c r="B107" s="211"/>
      <c r="C107" s="212"/>
      <c r="D107" s="211"/>
      <c r="E107" s="212"/>
      <c r="F107" s="211"/>
      <c r="G107" s="211"/>
      <c r="H107" s="212"/>
      <c r="I107" s="211"/>
      <c r="J107" s="211"/>
      <c r="K107" s="211"/>
      <c r="L107" s="171"/>
      <c r="M107" s="171" t="s">
        <v>467</v>
      </c>
      <c r="N107" s="171" t="s">
        <v>468</v>
      </c>
      <c r="O107" s="171" t="s">
        <v>469</v>
      </c>
      <c r="P107" s="171" t="s">
        <v>916</v>
      </c>
      <c r="Q107" s="171"/>
      <c r="R107" s="213">
        <v>2066000</v>
      </c>
      <c r="S107" s="87">
        <v>0</v>
      </c>
      <c r="T107" s="87">
        <v>0</v>
      </c>
      <c r="U107" s="87">
        <v>0</v>
      </c>
      <c r="V107" s="87">
        <v>0</v>
      </c>
      <c r="W107" s="87">
        <v>0</v>
      </c>
      <c r="X107" s="87">
        <v>0</v>
      </c>
      <c r="Y107" s="87">
        <v>0</v>
      </c>
      <c r="Z107" s="87">
        <v>0</v>
      </c>
      <c r="AA107" s="214">
        <v>405900</v>
      </c>
      <c r="AB107" s="214">
        <v>0</v>
      </c>
      <c r="AC107" s="214">
        <v>405900</v>
      </c>
      <c r="AD107" s="214">
        <v>405900</v>
      </c>
      <c r="AE107" s="214">
        <v>410000</v>
      </c>
      <c r="AF107" s="214">
        <v>405900</v>
      </c>
      <c r="AG107" s="214">
        <v>405900</v>
      </c>
      <c r="AH107" s="214">
        <v>405000</v>
      </c>
      <c r="AI107" s="87">
        <v>287920</v>
      </c>
      <c r="AJ107" s="87">
        <v>0</v>
      </c>
      <c r="AK107" s="87">
        <v>287920</v>
      </c>
      <c r="AL107" s="87">
        <v>287920</v>
      </c>
      <c r="AM107" s="87">
        <v>4320000</v>
      </c>
      <c r="AN107" s="87">
        <v>287920</v>
      </c>
      <c r="AO107" s="87">
        <v>287920</v>
      </c>
      <c r="AP107" s="87">
        <v>287000</v>
      </c>
      <c r="AQ107" s="88">
        <v>0</v>
      </c>
      <c r="AR107" s="88">
        <v>0</v>
      </c>
      <c r="AS107" s="88">
        <v>0</v>
      </c>
      <c r="AT107" s="88">
        <v>0</v>
      </c>
      <c r="AU107" s="88">
        <v>0</v>
      </c>
      <c r="AV107" s="88">
        <v>0</v>
      </c>
      <c r="AW107" s="88">
        <v>0</v>
      </c>
      <c r="AX107" s="88">
        <v>0</v>
      </c>
      <c r="AY107" s="87">
        <v>0</v>
      </c>
      <c r="AZ107" s="87">
        <v>0</v>
      </c>
      <c r="BA107" s="87">
        <v>0</v>
      </c>
      <c r="BB107" s="87">
        <v>0</v>
      </c>
      <c r="BC107" s="87">
        <v>0</v>
      </c>
      <c r="BD107" s="87">
        <v>0</v>
      </c>
      <c r="BE107" s="87">
        <v>0</v>
      </c>
      <c r="BF107" s="87">
        <v>0</v>
      </c>
      <c r="BG107" s="88">
        <v>1374915</v>
      </c>
      <c r="BH107" s="88">
        <v>0</v>
      </c>
      <c r="BI107" s="88">
        <v>1374915</v>
      </c>
      <c r="BJ107" s="88">
        <v>1374915</v>
      </c>
      <c r="BK107" s="88">
        <v>1374915</v>
      </c>
      <c r="BL107" s="88">
        <v>1374915</v>
      </c>
      <c r="BM107" s="88">
        <v>1374915</v>
      </c>
      <c r="BN107" s="590">
        <v>1374000</v>
      </c>
      <c r="BO107" s="171">
        <v>2023</v>
      </c>
      <c r="BP107" s="171">
        <v>3</v>
      </c>
      <c r="BQ107" s="171">
        <v>9</v>
      </c>
      <c r="BR107" s="77"/>
      <c r="BS107" s="76" t="str">
        <f t="shared" si="2"/>
        <v>○</v>
      </c>
    </row>
    <row r="108" spans="1:71" x14ac:dyDescent="0.2">
      <c r="A108" s="210">
        <v>1136</v>
      </c>
      <c r="B108" s="211"/>
      <c r="C108" s="212"/>
      <c r="D108" s="211"/>
      <c r="E108" s="212"/>
      <c r="F108" s="211"/>
      <c r="G108" s="211"/>
      <c r="H108" s="212"/>
      <c r="I108" s="211"/>
      <c r="J108" s="211"/>
      <c r="K108" s="211"/>
      <c r="L108" s="171"/>
      <c r="M108" s="171" t="s">
        <v>475</v>
      </c>
      <c r="N108" s="171" t="s">
        <v>275</v>
      </c>
      <c r="O108" s="171" t="s">
        <v>476</v>
      </c>
      <c r="P108" s="171" t="s">
        <v>916</v>
      </c>
      <c r="Q108" s="171"/>
      <c r="R108" s="213">
        <v>303000</v>
      </c>
      <c r="S108" s="87">
        <v>0</v>
      </c>
      <c r="T108" s="87">
        <v>0</v>
      </c>
      <c r="U108" s="87">
        <v>0</v>
      </c>
      <c r="V108" s="87">
        <v>0</v>
      </c>
      <c r="W108" s="87">
        <v>0</v>
      </c>
      <c r="X108" s="87">
        <v>0</v>
      </c>
      <c r="Y108" s="87">
        <v>0</v>
      </c>
      <c r="Z108" s="87">
        <v>0</v>
      </c>
      <c r="AA108" s="214">
        <v>0</v>
      </c>
      <c r="AB108" s="214">
        <v>0</v>
      </c>
      <c r="AC108" s="214">
        <v>0</v>
      </c>
      <c r="AD108" s="214">
        <v>0</v>
      </c>
      <c r="AE108" s="214">
        <v>0</v>
      </c>
      <c r="AF108" s="214">
        <v>0</v>
      </c>
      <c r="AG108" s="214">
        <v>0</v>
      </c>
      <c r="AH108" s="214">
        <v>0</v>
      </c>
      <c r="AI108" s="87">
        <v>199013</v>
      </c>
      <c r="AJ108" s="87">
        <v>0</v>
      </c>
      <c r="AK108" s="87">
        <v>199013</v>
      </c>
      <c r="AL108" s="87">
        <v>199013</v>
      </c>
      <c r="AM108" s="87">
        <v>9072000</v>
      </c>
      <c r="AN108" s="87">
        <v>199013</v>
      </c>
      <c r="AO108" s="87">
        <v>199013</v>
      </c>
      <c r="AP108" s="87">
        <v>199000</v>
      </c>
      <c r="AQ108" s="88">
        <v>0</v>
      </c>
      <c r="AR108" s="88">
        <v>0</v>
      </c>
      <c r="AS108" s="88">
        <v>0</v>
      </c>
      <c r="AT108" s="88">
        <v>0</v>
      </c>
      <c r="AU108" s="88">
        <v>0</v>
      </c>
      <c r="AV108" s="88">
        <v>0</v>
      </c>
      <c r="AW108" s="88">
        <v>0</v>
      </c>
      <c r="AX108" s="88">
        <v>0</v>
      </c>
      <c r="AY108" s="87">
        <v>0</v>
      </c>
      <c r="AZ108" s="87">
        <v>0</v>
      </c>
      <c r="BA108" s="87">
        <v>0</v>
      </c>
      <c r="BB108" s="87">
        <v>0</v>
      </c>
      <c r="BC108" s="87">
        <v>0</v>
      </c>
      <c r="BD108" s="87">
        <v>0</v>
      </c>
      <c r="BE108" s="87">
        <v>0</v>
      </c>
      <c r="BF108" s="87">
        <v>0</v>
      </c>
      <c r="BG108" s="88">
        <v>104212</v>
      </c>
      <c r="BH108" s="88">
        <v>0</v>
      </c>
      <c r="BI108" s="88">
        <v>104212</v>
      </c>
      <c r="BJ108" s="88">
        <v>104212</v>
      </c>
      <c r="BK108" s="88">
        <v>104212</v>
      </c>
      <c r="BL108" s="88">
        <v>104212</v>
      </c>
      <c r="BM108" s="88">
        <v>104212</v>
      </c>
      <c r="BN108" s="590">
        <v>104000</v>
      </c>
      <c r="BO108" s="171">
        <v>2023</v>
      </c>
      <c r="BP108" s="171">
        <v>3</v>
      </c>
      <c r="BQ108" s="171">
        <v>9</v>
      </c>
      <c r="BR108" s="81"/>
      <c r="BS108" s="76" t="str">
        <f t="shared" ref="BS108:BS139" si="3">IF(R108=SUM(Z108,AH108,AP108,BF108,BN108),"○","×")</f>
        <v>○</v>
      </c>
    </row>
    <row r="109" spans="1:71" x14ac:dyDescent="0.2">
      <c r="A109" s="210">
        <v>1137</v>
      </c>
      <c r="B109" s="211"/>
      <c r="C109" s="212"/>
      <c r="D109" s="211"/>
      <c r="E109" s="212"/>
      <c r="F109" s="211"/>
      <c r="G109" s="211"/>
      <c r="H109" s="212"/>
      <c r="I109" s="211"/>
      <c r="J109" s="211"/>
      <c r="K109" s="211"/>
      <c r="L109" s="171"/>
      <c r="M109" s="171" t="s">
        <v>315</v>
      </c>
      <c r="N109" s="171" t="s">
        <v>919</v>
      </c>
      <c r="O109" s="171" t="s">
        <v>316</v>
      </c>
      <c r="P109" s="171" t="s">
        <v>916</v>
      </c>
      <c r="Q109" s="171"/>
      <c r="R109" s="213">
        <v>1168000</v>
      </c>
      <c r="S109" s="87">
        <v>0</v>
      </c>
      <c r="T109" s="87">
        <v>0</v>
      </c>
      <c r="U109" s="87">
        <v>0</v>
      </c>
      <c r="V109" s="87">
        <v>0</v>
      </c>
      <c r="W109" s="87">
        <v>0</v>
      </c>
      <c r="X109" s="87">
        <v>0</v>
      </c>
      <c r="Y109" s="87">
        <v>0</v>
      </c>
      <c r="Z109" s="87">
        <v>0</v>
      </c>
      <c r="AA109" s="214">
        <v>0</v>
      </c>
      <c r="AB109" s="214">
        <v>0</v>
      </c>
      <c r="AC109" s="214">
        <v>0</v>
      </c>
      <c r="AD109" s="214">
        <v>0</v>
      </c>
      <c r="AE109" s="214">
        <v>0</v>
      </c>
      <c r="AF109" s="214">
        <v>0</v>
      </c>
      <c r="AG109" s="214">
        <v>0</v>
      </c>
      <c r="AH109" s="214">
        <v>0</v>
      </c>
      <c r="AI109" s="87">
        <v>1168180</v>
      </c>
      <c r="AJ109" s="87"/>
      <c r="AK109" s="87">
        <v>1168180</v>
      </c>
      <c r="AL109" s="87">
        <v>1168180</v>
      </c>
      <c r="AM109" s="87">
        <v>2574000</v>
      </c>
      <c r="AN109" s="87">
        <v>1168180</v>
      </c>
      <c r="AO109" s="87">
        <v>1168180</v>
      </c>
      <c r="AP109" s="87">
        <v>1168000</v>
      </c>
      <c r="AQ109" s="88">
        <v>0</v>
      </c>
      <c r="AR109" s="88">
        <v>0</v>
      </c>
      <c r="AS109" s="88">
        <v>0</v>
      </c>
      <c r="AT109" s="88">
        <v>0</v>
      </c>
      <c r="AU109" s="88">
        <v>0</v>
      </c>
      <c r="AV109" s="88">
        <v>0</v>
      </c>
      <c r="AW109" s="88">
        <v>0</v>
      </c>
      <c r="AX109" s="88">
        <v>0</v>
      </c>
      <c r="AY109" s="87">
        <v>0</v>
      </c>
      <c r="AZ109" s="87">
        <v>0</v>
      </c>
      <c r="BA109" s="87">
        <v>0</v>
      </c>
      <c r="BB109" s="87">
        <v>0</v>
      </c>
      <c r="BC109" s="87">
        <v>0</v>
      </c>
      <c r="BD109" s="87">
        <v>0</v>
      </c>
      <c r="BE109" s="87">
        <v>0</v>
      </c>
      <c r="BF109" s="87">
        <v>0</v>
      </c>
      <c r="BG109" s="88">
        <v>0</v>
      </c>
      <c r="BH109" s="88">
        <v>0</v>
      </c>
      <c r="BI109" s="88">
        <v>0</v>
      </c>
      <c r="BJ109" s="88">
        <v>0</v>
      </c>
      <c r="BK109" s="88">
        <v>0</v>
      </c>
      <c r="BL109" s="88">
        <v>0</v>
      </c>
      <c r="BM109" s="88">
        <v>0</v>
      </c>
      <c r="BN109" s="590">
        <v>0</v>
      </c>
      <c r="BO109" s="171">
        <v>2023</v>
      </c>
      <c r="BP109" s="171">
        <v>3</v>
      </c>
      <c r="BQ109" s="171">
        <v>9</v>
      </c>
      <c r="BS109" s="76" t="str">
        <f t="shared" si="3"/>
        <v>○</v>
      </c>
    </row>
    <row r="110" spans="1:71" x14ac:dyDescent="0.2">
      <c r="A110" s="210">
        <v>1138</v>
      </c>
      <c r="B110" s="211"/>
      <c r="C110" s="212"/>
      <c r="D110" s="211"/>
      <c r="E110" s="212"/>
      <c r="F110" s="211"/>
      <c r="G110" s="211"/>
      <c r="H110" s="212"/>
      <c r="I110" s="211"/>
      <c r="J110" s="211"/>
      <c r="K110" s="211"/>
      <c r="L110" s="171"/>
      <c r="M110" s="171" t="s">
        <v>342</v>
      </c>
      <c r="N110" s="171" t="s">
        <v>269</v>
      </c>
      <c r="O110" s="171" t="s">
        <v>339</v>
      </c>
      <c r="P110" s="171" t="s">
        <v>916</v>
      </c>
      <c r="Q110" s="171"/>
      <c r="R110" s="213">
        <v>1491000</v>
      </c>
      <c r="S110" s="87">
        <v>627000</v>
      </c>
      <c r="T110" s="87">
        <v>0</v>
      </c>
      <c r="U110" s="87">
        <v>627000</v>
      </c>
      <c r="V110" s="87">
        <v>627000</v>
      </c>
      <c r="W110" s="87">
        <v>905000</v>
      </c>
      <c r="X110" s="87">
        <v>627000</v>
      </c>
      <c r="Y110" s="87">
        <v>627000</v>
      </c>
      <c r="Z110" s="87">
        <v>627000</v>
      </c>
      <c r="AA110" s="214">
        <v>794200</v>
      </c>
      <c r="AB110" s="214">
        <v>0</v>
      </c>
      <c r="AC110" s="214">
        <v>794200</v>
      </c>
      <c r="AD110" s="214">
        <v>794200</v>
      </c>
      <c r="AE110" s="214">
        <v>820000</v>
      </c>
      <c r="AF110" s="214">
        <v>794200</v>
      </c>
      <c r="AG110" s="214">
        <v>794200</v>
      </c>
      <c r="AH110" s="214">
        <v>794000</v>
      </c>
      <c r="AI110" s="87">
        <v>70776</v>
      </c>
      <c r="AJ110" s="87">
        <v>0</v>
      </c>
      <c r="AK110" s="87">
        <v>70776</v>
      </c>
      <c r="AL110" s="87">
        <v>70776</v>
      </c>
      <c r="AM110" s="87">
        <v>2160000</v>
      </c>
      <c r="AN110" s="87">
        <v>70776</v>
      </c>
      <c r="AO110" s="87">
        <v>70776</v>
      </c>
      <c r="AP110" s="87">
        <v>70000</v>
      </c>
      <c r="AQ110" s="88">
        <v>627000</v>
      </c>
      <c r="AR110" s="88">
        <v>0</v>
      </c>
      <c r="AS110" s="88">
        <v>627000</v>
      </c>
      <c r="AT110" s="88">
        <v>627000</v>
      </c>
      <c r="AU110" s="88">
        <v>905000</v>
      </c>
      <c r="AV110" s="88">
        <v>627000</v>
      </c>
      <c r="AW110" s="88">
        <v>627000</v>
      </c>
      <c r="AX110" s="88">
        <v>627000</v>
      </c>
      <c r="AY110" s="87">
        <v>0</v>
      </c>
      <c r="AZ110" s="87">
        <v>0</v>
      </c>
      <c r="BA110" s="87">
        <v>0</v>
      </c>
      <c r="BB110" s="87">
        <v>0</v>
      </c>
      <c r="BC110" s="87">
        <v>0</v>
      </c>
      <c r="BD110" s="87">
        <v>0</v>
      </c>
      <c r="BE110" s="87">
        <v>0</v>
      </c>
      <c r="BF110" s="87">
        <v>0</v>
      </c>
      <c r="BG110" s="88">
        <v>0</v>
      </c>
      <c r="BH110" s="88">
        <v>0</v>
      </c>
      <c r="BI110" s="88">
        <v>0</v>
      </c>
      <c r="BJ110" s="88">
        <v>0</v>
      </c>
      <c r="BK110" s="88">
        <v>0</v>
      </c>
      <c r="BL110" s="88">
        <v>0</v>
      </c>
      <c r="BM110" s="88">
        <v>0</v>
      </c>
      <c r="BN110" s="590">
        <v>0</v>
      </c>
      <c r="BO110" s="171">
        <v>2023</v>
      </c>
      <c r="BP110" s="171">
        <v>3</v>
      </c>
      <c r="BQ110" s="171">
        <v>9</v>
      </c>
      <c r="BS110" s="76" t="str">
        <f t="shared" si="3"/>
        <v>○</v>
      </c>
    </row>
    <row r="111" spans="1:71" x14ac:dyDescent="0.2">
      <c r="A111" s="210">
        <v>1139</v>
      </c>
      <c r="B111" s="211"/>
      <c r="C111" s="212"/>
      <c r="D111" s="211"/>
      <c r="E111" s="212"/>
      <c r="F111" s="211"/>
      <c r="G111" s="211"/>
      <c r="H111" s="212"/>
      <c r="I111" s="211"/>
      <c r="J111" s="211"/>
      <c r="K111" s="211"/>
      <c r="L111" s="171"/>
      <c r="M111" s="171" t="s">
        <v>397</v>
      </c>
      <c r="N111" s="171" t="s">
        <v>313</v>
      </c>
      <c r="O111" s="171" t="s">
        <v>321</v>
      </c>
      <c r="P111" s="171" t="s">
        <v>916</v>
      </c>
      <c r="Q111" s="171"/>
      <c r="R111" s="213">
        <v>431000</v>
      </c>
      <c r="S111" s="87">
        <v>0</v>
      </c>
      <c r="T111" s="87">
        <v>0</v>
      </c>
      <c r="U111" s="87">
        <v>0</v>
      </c>
      <c r="V111" s="87">
        <v>0</v>
      </c>
      <c r="W111" s="87">
        <v>0</v>
      </c>
      <c r="X111" s="87">
        <v>0</v>
      </c>
      <c r="Y111" s="87">
        <v>0</v>
      </c>
      <c r="Z111" s="87">
        <v>0</v>
      </c>
      <c r="AA111" s="214">
        <v>220000</v>
      </c>
      <c r="AB111" s="214">
        <v>0</v>
      </c>
      <c r="AC111" s="214">
        <v>220000</v>
      </c>
      <c r="AD111" s="214">
        <v>220000</v>
      </c>
      <c r="AE111" s="214">
        <v>205000</v>
      </c>
      <c r="AF111" s="214">
        <v>205000</v>
      </c>
      <c r="AG111" s="214">
        <v>205000</v>
      </c>
      <c r="AH111" s="214">
        <v>205000</v>
      </c>
      <c r="AI111" s="87">
        <v>175890</v>
      </c>
      <c r="AJ111" s="87">
        <v>0</v>
      </c>
      <c r="AK111" s="87">
        <v>175890</v>
      </c>
      <c r="AL111" s="87">
        <v>175890</v>
      </c>
      <c r="AM111" s="87">
        <v>518400</v>
      </c>
      <c r="AN111" s="87">
        <v>175890</v>
      </c>
      <c r="AO111" s="87">
        <v>175000</v>
      </c>
      <c r="AP111" s="87">
        <v>175000</v>
      </c>
      <c r="AQ111" s="88">
        <v>0</v>
      </c>
      <c r="AR111" s="88">
        <v>0</v>
      </c>
      <c r="AS111" s="88">
        <v>0</v>
      </c>
      <c r="AT111" s="88">
        <v>0</v>
      </c>
      <c r="AU111" s="88">
        <v>0</v>
      </c>
      <c r="AV111" s="88">
        <v>0</v>
      </c>
      <c r="AW111" s="88">
        <v>0</v>
      </c>
      <c r="AX111" s="88">
        <v>0</v>
      </c>
      <c r="AY111" s="87">
        <v>77000</v>
      </c>
      <c r="AZ111" s="87">
        <v>0</v>
      </c>
      <c r="BA111" s="87">
        <v>77000</v>
      </c>
      <c r="BB111" s="87">
        <v>77000</v>
      </c>
      <c r="BC111" s="87">
        <v>51400</v>
      </c>
      <c r="BD111" s="87">
        <v>51400</v>
      </c>
      <c r="BE111" s="87">
        <v>51000</v>
      </c>
      <c r="BF111" s="87">
        <v>51000</v>
      </c>
      <c r="BG111" s="88">
        <v>0</v>
      </c>
      <c r="BH111" s="88">
        <v>0</v>
      </c>
      <c r="BI111" s="88">
        <v>0</v>
      </c>
      <c r="BJ111" s="88">
        <v>0</v>
      </c>
      <c r="BK111" s="88">
        <v>0</v>
      </c>
      <c r="BL111" s="88">
        <v>0</v>
      </c>
      <c r="BM111" s="88">
        <v>0</v>
      </c>
      <c r="BN111" s="590">
        <v>0</v>
      </c>
      <c r="BO111" s="171">
        <v>2023</v>
      </c>
      <c r="BP111" s="171">
        <v>3</v>
      </c>
      <c r="BQ111" s="171">
        <v>9</v>
      </c>
      <c r="BS111" s="76" t="str">
        <f t="shared" si="3"/>
        <v>○</v>
      </c>
    </row>
    <row r="112" spans="1:71" x14ac:dyDescent="0.2">
      <c r="A112" s="210">
        <v>1301</v>
      </c>
      <c r="B112" s="211"/>
      <c r="C112" s="212"/>
      <c r="D112" s="211"/>
      <c r="E112" s="212"/>
      <c r="F112" s="211"/>
      <c r="G112" s="211"/>
      <c r="H112" s="212"/>
      <c r="I112" s="211"/>
      <c r="J112" s="211"/>
      <c r="K112" s="211"/>
      <c r="L112" s="171"/>
      <c r="M112" s="171" t="s">
        <v>479</v>
      </c>
      <c r="N112" s="171" t="s">
        <v>286</v>
      </c>
      <c r="O112" s="171" t="s">
        <v>480</v>
      </c>
      <c r="P112" s="171" t="s">
        <v>916</v>
      </c>
      <c r="Q112" s="171"/>
      <c r="R112" s="213">
        <v>92000</v>
      </c>
      <c r="S112" s="87">
        <v>0</v>
      </c>
      <c r="T112" s="87">
        <v>0</v>
      </c>
      <c r="U112" s="87">
        <v>0</v>
      </c>
      <c r="V112" s="87">
        <v>0</v>
      </c>
      <c r="W112" s="87">
        <v>0</v>
      </c>
      <c r="X112" s="87">
        <v>0</v>
      </c>
      <c r="Y112" s="87">
        <v>0</v>
      </c>
      <c r="Z112" s="87">
        <v>0</v>
      </c>
      <c r="AA112" s="214">
        <v>0</v>
      </c>
      <c r="AB112" s="214">
        <v>0</v>
      </c>
      <c r="AC112" s="214">
        <v>0</v>
      </c>
      <c r="AD112" s="214">
        <v>0</v>
      </c>
      <c r="AE112" s="214">
        <v>0</v>
      </c>
      <c r="AF112" s="214">
        <v>0</v>
      </c>
      <c r="AG112" s="214">
        <v>0</v>
      </c>
      <c r="AH112" s="214">
        <v>0</v>
      </c>
      <c r="AI112" s="87">
        <v>92561</v>
      </c>
      <c r="AJ112" s="87">
        <v>0</v>
      </c>
      <c r="AK112" s="87">
        <v>92561</v>
      </c>
      <c r="AL112" s="87">
        <v>92561</v>
      </c>
      <c r="AM112" s="87">
        <v>5623200</v>
      </c>
      <c r="AN112" s="87">
        <v>92561</v>
      </c>
      <c r="AO112" s="87">
        <v>92561</v>
      </c>
      <c r="AP112" s="87">
        <v>92000</v>
      </c>
      <c r="AQ112" s="88">
        <v>0</v>
      </c>
      <c r="AR112" s="88">
        <v>0</v>
      </c>
      <c r="AS112" s="88">
        <v>0</v>
      </c>
      <c r="AT112" s="88">
        <v>0</v>
      </c>
      <c r="AU112" s="88">
        <v>0</v>
      </c>
      <c r="AV112" s="88">
        <v>0</v>
      </c>
      <c r="AW112" s="88">
        <v>0</v>
      </c>
      <c r="AX112" s="88">
        <v>0</v>
      </c>
      <c r="AY112" s="87">
        <v>0</v>
      </c>
      <c r="AZ112" s="87">
        <v>0</v>
      </c>
      <c r="BA112" s="87">
        <v>0</v>
      </c>
      <c r="BB112" s="87">
        <v>0</v>
      </c>
      <c r="BC112" s="87">
        <v>0</v>
      </c>
      <c r="BD112" s="87">
        <v>0</v>
      </c>
      <c r="BE112" s="87">
        <v>0</v>
      </c>
      <c r="BF112" s="87">
        <v>0</v>
      </c>
      <c r="BG112" s="88">
        <v>0</v>
      </c>
      <c r="BH112" s="88">
        <v>0</v>
      </c>
      <c r="BI112" s="88">
        <v>0</v>
      </c>
      <c r="BJ112" s="88">
        <v>0</v>
      </c>
      <c r="BK112" s="88">
        <v>0</v>
      </c>
      <c r="BL112" s="88">
        <v>0</v>
      </c>
      <c r="BM112" s="88">
        <v>0</v>
      </c>
      <c r="BN112" s="590">
        <v>0</v>
      </c>
      <c r="BO112" s="171">
        <v>2023</v>
      </c>
      <c r="BP112" s="171">
        <v>1</v>
      </c>
      <c r="BQ112" s="171">
        <v>19</v>
      </c>
      <c r="BS112" s="76" t="str">
        <f t="shared" si="3"/>
        <v>○</v>
      </c>
    </row>
    <row r="113" spans="1:71" x14ac:dyDescent="0.2">
      <c r="A113" s="210">
        <v>1302</v>
      </c>
      <c r="B113" s="211"/>
      <c r="C113" s="212"/>
      <c r="D113" s="211"/>
      <c r="E113" s="212"/>
      <c r="F113" s="211"/>
      <c r="G113" s="211"/>
      <c r="H113" s="212"/>
      <c r="I113" s="211"/>
      <c r="J113" s="211"/>
      <c r="K113" s="211"/>
      <c r="L113" s="171"/>
      <c r="M113" s="171" t="s">
        <v>481</v>
      </c>
      <c r="N113" s="171" t="s">
        <v>286</v>
      </c>
      <c r="O113" s="171" t="s">
        <v>482</v>
      </c>
      <c r="P113" s="171" t="s">
        <v>916</v>
      </c>
      <c r="Q113" s="171"/>
      <c r="R113" s="213">
        <v>541000</v>
      </c>
      <c r="S113" s="87">
        <v>0</v>
      </c>
      <c r="T113" s="87">
        <v>0</v>
      </c>
      <c r="U113" s="87">
        <v>0</v>
      </c>
      <c r="V113" s="87">
        <v>0</v>
      </c>
      <c r="W113" s="87">
        <v>0</v>
      </c>
      <c r="X113" s="87">
        <v>0</v>
      </c>
      <c r="Y113" s="87">
        <v>0</v>
      </c>
      <c r="Z113" s="87">
        <v>0</v>
      </c>
      <c r="AA113" s="214">
        <v>0</v>
      </c>
      <c r="AB113" s="214">
        <v>0</v>
      </c>
      <c r="AC113" s="214">
        <v>0</v>
      </c>
      <c r="AD113" s="214">
        <v>0</v>
      </c>
      <c r="AE113" s="214">
        <v>0</v>
      </c>
      <c r="AF113" s="214">
        <v>0</v>
      </c>
      <c r="AG113" s="214">
        <v>0</v>
      </c>
      <c r="AH113" s="214">
        <v>0</v>
      </c>
      <c r="AI113" s="87">
        <v>541920</v>
      </c>
      <c r="AJ113" s="87">
        <v>0</v>
      </c>
      <c r="AK113" s="87">
        <v>541920</v>
      </c>
      <c r="AL113" s="87">
        <v>541920</v>
      </c>
      <c r="AM113" s="87">
        <v>5220000</v>
      </c>
      <c r="AN113" s="87">
        <v>541920</v>
      </c>
      <c r="AO113" s="87">
        <v>541920</v>
      </c>
      <c r="AP113" s="87">
        <v>541000</v>
      </c>
      <c r="AQ113" s="88">
        <v>0</v>
      </c>
      <c r="AR113" s="88">
        <v>0</v>
      </c>
      <c r="AS113" s="88">
        <v>0</v>
      </c>
      <c r="AT113" s="88">
        <v>0</v>
      </c>
      <c r="AU113" s="88">
        <v>0</v>
      </c>
      <c r="AV113" s="88">
        <v>0</v>
      </c>
      <c r="AW113" s="88">
        <v>0</v>
      </c>
      <c r="AX113" s="88">
        <v>0</v>
      </c>
      <c r="AY113" s="87">
        <v>0</v>
      </c>
      <c r="AZ113" s="87">
        <v>0</v>
      </c>
      <c r="BA113" s="87">
        <v>0</v>
      </c>
      <c r="BB113" s="87">
        <v>0</v>
      </c>
      <c r="BC113" s="87">
        <v>0</v>
      </c>
      <c r="BD113" s="87">
        <v>0</v>
      </c>
      <c r="BE113" s="87">
        <v>0</v>
      </c>
      <c r="BF113" s="87">
        <v>0</v>
      </c>
      <c r="BG113" s="88">
        <v>0</v>
      </c>
      <c r="BH113" s="88">
        <v>0</v>
      </c>
      <c r="BI113" s="88">
        <v>0</v>
      </c>
      <c r="BJ113" s="88">
        <v>0</v>
      </c>
      <c r="BK113" s="88">
        <v>0</v>
      </c>
      <c r="BL113" s="88">
        <v>0</v>
      </c>
      <c r="BM113" s="88">
        <v>0</v>
      </c>
      <c r="BN113" s="590">
        <v>0</v>
      </c>
      <c r="BO113" s="171">
        <v>2023</v>
      </c>
      <c r="BP113" s="171">
        <v>1</v>
      </c>
      <c r="BQ113" s="171">
        <v>19</v>
      </c>
      <c r="BS113" s="76" t="str">
        <f t="shared" si="3"/>
        <v>○</v>
      </c>
    </row>
    <row r="114" spans="1:71" x14ac:dyDescent="0.2">
      <c r="A114" s="210">
        <v>1303</v>
      </c>
      <c r="B114" s="211"/>
      <c r="C114" s="212"/>
      <c r="D114" s="211"/>
      <c r="E114" s="212"/>
      <c r="F114" s="211"/>
      <c r="G114" s="211"/>
      <c r="H114" s="212"/>
      <c r="I114" s="211"/>
      <c r="J114" s="211"/>
      <c r="K114" s="211"/>
      <c r="L114" s="171"/>
      <c r="M114" s="171" t="s">
        <v>447</v>
      </c>
      <c r="N114" s="171" t="s">
        <v>299</v>
      </c>
      <c r="O114" s="171" t="s">
        <v>448</v>
      </c>
      <c r="P114" s="171" t="s">
        <v>916</v>
      </c>
      <c r="Q114" s="171"/>
      <c r="R114" s="213">
        <v>950000</v>
      </c>
      <c r="S114" s="87">
        <v>0</v>
      </c>
      <c r="T114" s="87">
        <v>0</v>
      </c>
      <c r="U114" s="87">
        <v>0</v>
      </c>
      <c r="V114" s="87">
        <v>0</v>
      </c>
      <c r="W114" s="87">
        <v>0</v>
      </c>
      <c r="X114" s="87">
        <v>0</v>
      </c>
      <c r="Y114" s="87">
        <v>0</v>
      </c>
      <c r="Z114" s="87">
        <v>0</v>
      </c>
      <c r="AA114" s="214">
        <v>0</v>
      </c>
      <c r="AB114" s="214">
        <v>0</v>
      </c>
      <c r="AC114" s="214">
        <v>0</v>
      </c>
      <c r="AD114" s="214">
        <v>0</v>
      </c>
      <c r="AE114" s="214">
        <v>0</v>
      </c>
      <c r="AF114" s="214">
        <v>0</v>
      </c>
      <c r="AG114" s="214">
        <v>0</v>
      </c>
      <c r="AH114" s="214">
        <v>0</v>
      </c>
      <c r="AI114" s="87">
        <v>950580</v>
      </c>
      <c r="AJ114" s="87">
        <v>0</v>
      </c>
      <c r="AK114" s="87">
        <v>950580</v>
      </c>
      <c r="AL114" s="87">
        <v>950580</v>
      </c>
      <c r="AM114" s="87">
        <v>2001600</v>
      </c>
      <c r="AN114" s="87">
        <v>950580</v>
      </c>
      <c r="AO114" s="87">
        <v>950580</v>
      </c>
      <c r="AP114" s="87">
        <v>950000</v>
      </c>
      <c r="AQ114" s="88">
        <v>0</v>
      </c>
      <c r="AR114" s="88">
        <v>0</v>
      </c>
      <c r="AS114" s="88">
        <v>0</v>
      </c>
      <c r="AT114" s="88">
        <v>0</v>
      </c>
      <c r="AU114" s="88">
        <v>0</v>
      </c>
      <c r="AV114" s="88">
        <v>0</v>
      </c>
      <c r="AW114" s="88">
        <v>0</v>
      </c>
      <c r="AX114" s="88">
        <v>0</v>
      </c>
      <c r="AY114" s="87">
        <v>0</v>
      </c>
      <c r="AZ114" s="87">
        <v>0</v>
      </c>
      <c r="BA114" s="87">
        <v>0</v>
      </c>
      <c r="BB114" s="87">
        <v>0</v>
      </c>
      <c r="BC114" s="87">
        <v>0</v>
      </c>
      <c r="BD114" s="87">
        <v>0</v>
      </c>
      <c r="BE114" s="87">
        <v>0</v>
      </c>
      <c r="BF114" s="87">
        <v>0</v>
      </c>
      <c r="BG114" s="88">
        <v>0</v>
      </c>
      <c r="BH114" s="88">
        <v>0</v>
      </c>
      <c r="BI114" s="88">
        <v>0</v>
      </c>
      <c r="BJ114" s="88">
        <v>0</v>
      </c>
      <c r="BK114" s="88">
        <v>0</v>
      </c>
      <c r="BL114" s="88">
        <v>0</v>
      </c>
      <c r="BM114" s="88">
        <v>0</v>
      </c>
      <c r="BN114" s="590">
        <v>0</v>
      </c>
      <c r="BO114" s="171">
        <v>2023</v>
      </c>
      <c r="BP114" s="171">
        <v>1</v>
      </c>
      <c r="BQ114" s="171">
        <v>19</v>
      </c>
      <c r="BS114" s="76" t="str">
        <f t="shared" si="3"/>
        <v>○</v>
      </c>
    </row>
    <row r="115" spans="1:71" x14ac:dyDescent="0.2">
      <c r="A115" s="210">
        <v>1304</v>
      </c>
      <c r="B115" s="211"/>
      <c r="C115" s="212"/>
      <c r="D115" s="211"/>
      <c r="E115" s="212"/>
      <c r="F115" s="211"/>
      <c r="G115" s="211"/>
      <c r="H115" s="212"/>
      <c r="I115" s="211"/>
      <c r="J115" s="211"/>
      <c r="K115" s="211"/>
      <c r="L115" s="171"/>
      <c r="M115" s="171" t="s">
        <v>483</v>
      </c>
      <c r="N115" s="171" t="s">
        <v>269</v>
      </c>
      <c r="O115" s="171" t="s">
        <v>333</v>
      </c>
      <c r="P115" s="171" t="s">
        <v>916</v>
      </c>
      <c r="Q115" s="171"/>
      <c r="R115" s="213">
        <v>47000</v>
      </c>
      <c r="S115" s="87">
        <v>0</v>
      </c>
      <c r="T115" s="87">
        <v>0</v>
      </c>
      <c r="U115" s="87">
        <v>0</v>
      </c>
      <c r="V115" s="87">
        <v>0</v>
      </c>
      <c r="W115" s="87">
        <v>0</v>
      </c>
      <c r="X115" s="87">
        <v>0</v>
      </c>
      <c r="Y115" s="87">
        <v>0</v>
      </c>
      <c r="Z115" s="87">
        <v>0</v>
      </c>
      <c r="AA115" s="214">
        <v>0</v>
      </c>
      <c r="AB115" s="214">
        <v>0</v>
      </c>
      <c r="AC115" s="214">
        <v>0</v>
      </c>
      <c r="AD115" s="214">
        <v>0</v>
      </c>
      <c r="AE115" s="214">
        <v>0</v>
      </c>
      <c r="AF115" s="214">
        <v>0</v>
      </c>
      <c r="AG115" s="214">
        <v>0</v>
      </c>
      <c r="AH115" s="214">
        <v>0</v>
      </c>
      <c r="AI115" s="87">
        <v>47320</v>
      </c>
      <c r="AJ115" s="87">
        <v>0</v>
      </c>
      <c r="AK115" s="87">
        <v>47320</v>
      </c>
      <c r="AL115" s="87">
        <v>47320</v>
      </c>
      <c r="AM115" s="87">
        <v>2059200</v>
      </c>
      <c r="AN115" s="87">
        <v>47320</v>
      </c>
      <c r="AO115" s="87">
        <v>47320</v>
      </c>
      <c r="AP115" s="87">
        <v>47000</v>
      </c>
      <c r="AQ115" s="88">
        <v>0</v>
      </c>
      <c r="AR115" s="88">
        <v>0</v>
      </c>
      <c r="AS115" s="88">
        <v>0</v>
      </c>
      <c r="AT115" s="88">
        <v>0</v>
      </c>
      <c r="AU115" s="88">
        <v>0</v>
      </c>
      <c r="AV115" s="88">
        <v>0</v>
      </c>
      <c r="AW115" s="88">
        <v>0</v>
      </c>
      <c r="AX115" s="88">
        <v>0</v>
      </c>
      <c r="AY115" s="87">
        <v>0</v>
      </c>
      <c r="AZ115" s="87">
        <v>0</v>
      </c>
      <c r="BA115" s="87">
        <v>0</v>
      </c>
      <c r="BB115" s="87">
        <v>0</v>
      </c>
      <c r="BC115" s="87">
        <v>0</v>
      </c>
      <c r="BD115" s="87">
        <v>0</v>
      </c>
      <c r="BE115" s="87">
        <v>0</v>
      </c>
      <c r="BF115" s="87">
        <v>0</v>
      </c>
      <c r="BG115" s="88">
        <v>0</v>
      </c>
      <c r="BH115" s="88">
        <v>0</v>
      </c>
      <c r="BI115" s="88">
        <v>0</v>
      </c>
      <c r="BJ115" s="88">
        <v>0</v>
      </c>
      <c r="BK115" s="88">
        <v>0</v>
      </c>
      <c r="BL115" s="88">
        <v>0</v>
      </c>
      <c r="BM115" s="88">
        <v>0</v>
      </c>
      <c r="BN115" s="590">
        <v>0</v>
      </c>
      <c r="BO115" s="171">
        <v>2023</v>
      </c>
      <c r="BP115" s="171">
        <v>1</v>
      </c>
      <c r="BQ115" s="171">
        <v>19</v>
      </c>
      <c r="BS115" s="76" t="str">
        <f t="shared" si="3"/>
        <v>○</v>
      </c>
    </row>
    <row r="116" spans="1:71" s="81" customFormat="1" x14ac:dyDescent="0.2">
      <c r="A116" s="210">
        <v>1305</v>
      </c>
      <c r="B116" s="211"/>
      <c r="C116" s="212"/>
      <c r="D116" s="211"/>
      <c r="E116" s="212"/>
      <c r="F116" s="211"/>
      <c r="G116" s="211"/>
      <c r="H116" s="212"/>
      <c r="I116" s="211"/>
      <c r="J116" s="211"/>
      <c r="K116" s="211"/>
      <c r="L116" s="171"/>
      <c r="M116" s="171" t="s">
        <v>475</v>
      </c>
      <c r="N116" s="171" t="s">
        <v>275</v>
      </c>
      <c r="O116" s="171" t="s">
        <v>476</v>
      </c>
      <c r="P116" s="171" t="s">
        <v>916</v>
      </c>
      <c r="Q116" s="171"/>
      <c r="R116" s="213">
        <v>819000</v>
      </c>
      <c r="S116" s="87">
        <v>0</v>
      </c>
      <c r="T116" s="87">
        <v>0</v>
      </c>
      <c r="U116" s="87">
        <v>0</v>
      </c>
      <c r="V116" s="87">
        <v>0</v>
      </c>
      <c r="W116" s="87">
        <v>0</v>
      </c>
      <c r="X116" s="87">
        <v>0</v>
      </c>
      <c r="Y116" s="87">
        <v>0</v>
      </c>
      <c r="Z116" s="87">
        <v>0</v>
      </c>
      <c r="AA116" s="214">
        <v>0</v>
      </c>
      <c r="AB116" s="214">
        <v>0</v>
      </c>
      <c r="AC116" s="214">
        <v>0</v>
      </c>
      <c r="AD116" s="214">
        <v>0</v>
      </c>
      <c r="AE116" s="214">
        <v>0</v>
      </c>
      <c r="AF116" s="214">
        <v>0</v>
      </c>
      <c r="AG116" s="214">
        <v>0</v>
      </c>
      <c r="AH116" s="214">
        <v>0</v>
      </c>
      <c r="AI116" s="87">
        <v>819940</v>
      </c>
      <c r="AJ116" s="87">
        <v>0</v>
      </c>
      <c r="AK116" s="87">
        <v>819940</v>
      </c>
      <c r="AL116" s="87">
        <v>819940</v>
      </c>
      <c r="AM116" s="87">
        <v>725904000</v>
      </c>
      <c r="AN116" s="87">
        <v>819940</v>
      </c>
      <c r="AO116" s="87">
        <v>819940</v>
      </c>
      <c r="AP116" s="87">
        <v>819000</v>
      </c>
      <c r="AQ116" s="88">
        <v>0</v>
      </c>
      <c r="AR116" s="88">
        <v>0</v>
      </c>
      <c r="AS116" s="88">
        <v>0</v>
      </c>
      <c r="AT116" s="88">
        <v>0</v>
      </c>
      <c r="AU116" s="88">
        <v>0</v>
      </c>
      <c r="AV116" s="88">
        <v>0</v>
      </c>
      <c r="AW116" s="88">
        <v>0</v>
      </c>
      <c r="AX116" s="88">
        <v>0</v>
      </c>
      <c r="AY116" s="87">
        <v>0</v>
      </c>
      <c r="AZ116" s="87">
        <v>0</v>
      </c>
      <c r="BA116" s="87">
        <v>0</v>
      </c>
      <c r="BB116" s="87">
        <v>0</v>
      </c>
      <c r="BC116" s="87">
        <v>0</v>
      </c>
      <c r="BD116" s="87">
        <v>0</v>
      </c>
      <c r="BE116" s="87">
        <v>0</v>
      </c>
      <c r="BF116" s="87">
        <v>0</v>
      </c>
      <c r="BG116" s="88">
        <v>0</v>
      </c>
      <c r="BH116" s="88">
        <v>0</v>
      </c>
      <c r="BI116" s="88">
        <v>0</v>
      </c>
      <c r="BJ116" s="88">
        <v>0</v>
      </c>
      <c r="BK116" s="88">
        <v>0</v>
      </c>
      <c r="BL116" s="88">
        <v>0</v>
      </c>
      <c r="BM116" s="88">
        <v>0</v>
      </c>
      <c r="BN116" s="590">
        <v>0</v>
      </c>
      <c r="BO116" s="171">
        <v>2023</v>
      </c>
      <c r="BP116" s="171">
        <v>1</v>
      </c>
      <c r="BQ116" s="171">
        <v>19</v>
      </c>
      <c r="BR116" s="77"/>
      <c r="BS116" s="76" t="str">
        <f t="shared" si="3"/>
        <v>○</v>
      </c>
    </row>
    <row r="117" spans="1:71" s="81" customFormat="1" x14ac:dyDescent="0.2">
      <c r="A117" s="210">
        <v>1306</v>
      </c>
      <c r="B117" s="211"/>
      <c r="C117" s="212"/>
      <c r="D117" s="211"/>
      <c r="E117" s="212"/>
      <c r="F117" s="211"/>
      <c r="G117" s="211"/>
      <c r="H117" s="212"/>
      <c r="I117" s="211"/>
      <c r="J117" s="211"/>
      <c r="K117" s="211"/>
      <c r="L117" s="171"/>
      <c r="M117" s="171" t="s">
        <v>484</v>
      </c>
      <c r="N117" s="171" t="s">
        <v>429</v>
      </c>
      <c r="O117" s="171" t="s">
        <v>314</v>
      </c>
      <c r="P117" s="171" t="s">
        <v>916</v>
      </c>
      <c r="Q117" s="171"/>
      <c r="R117" s="213">
        <v>996000</v>
      </c>
      <c r="S117" s="87">
        <v>0</v>
      </c>
      <c r="T117" s="87">
        <v>0</v>
      </c>
      <c r="U117" s="87">
        <v>0</v>
      </c>
      <c r="V117" s="87">
        <v>0</v>
      </c>
      <c r="W117" s="87">
        <v>0</v>
      </c>
      <c r="X117" s="87">
        <v>0</v>
      </c>
      <c r="Y117" s="87">
        <v>0</v>
      </c>
      <c r="Z117" s="87">
        <v>0</v>
      </c>
      <c r="AA117" s="214">
        <v>0</v>
      </c>
      <c r="AB117" s="214">
        <v>0</v>
      </c>
      <c r="AC117" s="214">
        <v>0</v>
      </c>
      <c r="AD117" s="214">
        <v>0</v>
      </c>
      <c r="AE117" s="214">
        <v>0</v>
      </c>
      <c r="AF117" s="214">
        <v>0</v>
      </c>
      <c r="AG117" s="214">
        <v>0</v>
      </c>
      <c r="AH117" s="214">
        <v>0</v>
      </c>
      <c r="AI117" s="87">
        <v>996924</v>
      </c>
      <c r="AJ117" s="87">
        <v>0</v>
      </c>
      <c r="AK117" s="87">
        <v>996924</v>
      </c>
      <c r="AL117" s="87">
        <v>996924</v>
      </c>
      <c r="AM117" s="87">
        <v>1036800</v>
      </c>
      <c r="AN117" s="87">
        <v>996924</v>
      </c>
      <c r="AO117" s="87">
        <v>996924</v>
      </c>
      <c r="AP117" s="87">
        <v>996000</v>
      </c>
      <c r="AQ117" s="88">
        <v>0</v>
      </c>
      <c r="AR117" s="88">
        <v>0</v>
      </c>
      <c r="AS117" s="88">
        <v>0</v>
      </c>
      <c r="AT117" s="88">
        <v>0</v>
      </c>
      <c r="AU117" s="88">
        <v>0</v>
      </c>
      <c r="AV117" s="88">
        <v>0</v>
      </c>
      <c r="AW117" s="88">
        <v>0</v>
      </c>
      <c r="AX117" s="88">
        <v>0</v>
      </c>
      <c r="AY117" s="87">
        <v>0</v>
      </c>
      <c r="AZ117" s="87">
        <v>0</v>
      </c>
      <c r="BA117" s="87">
        <v>0</v>
      </c>
      <c r="BB117" s="87">
        <v>0</v>
      </c>
      <c r="BC117" s="87">
        <v>0</v>
      </c>
      <c r="BD117" s="87">
        <v>0</v>
      </c>
      <c r="BE117" s="87">
        <v>0</v>
      </c>
      <c r="BF117" s="87">
        <v>0</v>
      </c>
      <c r="BG117" s="88">
        <v>0</v>
      </c>
      <c r="BH117" s="88">
        <v>0</v>
      </c>
      <c r="BI117" s="88">
        <v>0</v>
      </c>
      <c r="BJ117" s="88">
        <v>0</v>
      </c>
      <c r="BK117" s="88">
        <v>0</v>
      </c>
      <c r="BL117" s="88">
        <v>0</v>
      </c>
      <c r="BM117" s="88">
        <v>0</v>
      </c>
      <c r="BN117" s="590">
        <v>0</v>
      </c>
      <c r="BO117" s="171">
        <v>2023</v>
      </c>
      <c r="BP117" s="171">
        <v>1</v>
      </c>
      <c r="BQ117" s="171">
        <v>19</v>
      </c>
      <c r="BS117" s="76" t="str">
        <f t="shared" si="3"/>
        <v>○</v>
      </c>
    </row>
    <row r="118" spans="1:71" x14ac:dyDescent="0.2">
      <c r="A118" s="210">
        <v>1307</v>
      </c>
      <c r="B118" s="211"/>
      <c r="C118" s="212"/>
      <c r="D118" s="211"/>
      <c r="E118" s="212"/>
      <c r="F118" s="211"/>
      <c r="G118" s="211"/>
      <c r="H118" s="212"/>
      <c r="I118" s="211"/>
      <c r="J118" s="211"/>
      <c r="K118" s="211"/>
      <c r="L118" s="171"/>
      <c r="M118" s="171" t="s">
        <v>485</v>
      </c>
      <c r="N118" s="171" t="s">
        <v>416</v>
      </c>
      <c r="O118" s="171" t="s">
        <v>486</v>
      </c>
      <c r="P118" s="171" t="s">
        <v>916</v>
      </c>
      <c r="Q118" s="171"/>
      <c r="R118" s="213">
        <v>154000</v>
      </c>
      <c r="S118" s="87">
        <v>0</v>
      </c>
      <c r="T118" s="87">
        <v>0</v>
      </c>
      <c r="U118" s="87">
        <v>0</v>
      </c>
      <c r="V118" s="87">
        <v>0</v>
      </c>
      <c r="W118" s="87">
        <v>0</v>
      </c>
      <c r="X118" s="87">
        <v>0</v>
      </c>
      <c r="Y118" s="87">
        <v>0</v>
      </c>
      <c r="Z118" s="87">
        <v>0</v>
      </c>
      <c r="AA118" s="214">
        <v>0</v>
      </c>
      <c r="AB118" s="214">
        <v>0</v>
      </c>
      <c r="AC118" s="214">
        <v>0</v>
      </c>
      <c r="AD118" s="214">
        <v>0</v>
      </c>
      <c r="AE118" s="214">
        <v>0</v>
      </c>
      <c r="AF118" s="214">
        <v>0</v>
      </c>
      <c r="AG118" s="214">
        <v>0</v>
      </c>
      <c r="AH118" s="214">
        <v>0</v>
      </c>
      <c r="AI118" s="87">
        <v>154770</v>
      </c>
      <c r="AJ118" s="87">
        <v>0</v>
      </c>
      <c r="AK118" s="87">
        <v>154770</v>
      </c>
      <c r="AL118" s="87">
        <v>154770</v>
      </c>
      <c r="AM118" s="87">
        <v>2340000</v>
      </c>
      <c r="AN118" s="87">
        <v>154770</v>
      </c>
      <c r="AO118" s="87">
        <v>154770</v>
      </c>
      <c r="AP118" s="87">
        <v>154000</v>
      </c>
      <c r="AQ118" s="88">
        <v>0</v>
      </c>
      <c r="AR118" s="88">
        <v>0</v>
      </c>
      <c r="AS118" s="88">
        <v>0</v>
      </c>
      <c r="AT118" s="88">
        <v>0</v>
      </c>
      <c r="AU118" s="88">
        <v>0</v>
      </c>
      <c r="AV118" s="88">
        <v>0</v>
      </c>
      <c r="AW118" s="88">
        <v>0</v>
      </c>
      <c r="AX118" s="88">
        <v>0</v>
      </c>
      <c r="AY118" s="87">
        <v>0</v>
      </c>
      <c r="AZ118" s="87">
        <v>0</v>
      </c>
      <c r="BA118" s="87">
        <v>0</v>
      </c>
      <c r="BB118" s="87">
        <v>0</v>
      </c>
      <c r="BC118" s="87">
        <v>0</v>
      </c>
      <c r="BD118" s="87">
        <v>0</v>
      </c>
      <c r="BE118" s="87">
        <v>0</v>
      </c>
      <c r="BF118" s="87">
        <v>0</v>
      </c>
      <c r="BG118" s="88">
        <v>0</v>
      </c>
      <c r="BH118" s="88">
        <v>0</v>
      </c>
      <c r="BI118" s="88">
        <v>0</v>
      </c>
      <c r="BJ118" s="88">
        <v>0</v>
      </c>
      <c r="BK118" s="88">
        <v>0</v>
      </c>
      <c r="BL118" s="88">
        <v>0</v>
      </c>
      <c r="BM118" s="88">
        <v>0</v>
      </c>
      <c r="BN118" s="590">
        <v>0</v>
      </c>
      <c r="BO118" s="171">
        <v>2023</v>
      </c>
      <c r="BP118" s="171">
        <v>1</v>
      </c>
      <c r="BQ118" s="171">
        <v>19</v>
      </c>
      <c r="BR118" s="81"/>
      <c r="BS118" s="76" t="str">
        <f t="shared" si="3"/>
        <v>○</v>
      </c>
    </row>
    <row r="119" spans="1:71" x14ac:dyDescent="0.2">
      <c r="A119" s="210">
        <v>1308</v>
      </c>
      <c r="B119" s="211"/>
      <c r="C119" s="212"/>
      <c r="D119" s="211"/>
      <c r="E119" s="212"/>
      <c r="F119" s="211"/>
      <c r="G119" s="211"/>
      <c r="H119" s="212"/>
      <c r="I119" s="211"/>
      <c r="J119" s="211"/>
      <c r="K119" s="211"/>
      <c r="L119" s="171"/>
      <c r="M119" s="171" t="s">
        <v>470</v>
      </c>
      <c r="N119" s="171" t="s">
        <v>313</v>
      </c>
      <c r="O119" s="171" t="s">
        <v>471</v>
      </c>
      <c r="P119" s="171" t="s">
        <v>916</v>
      </c>
      <c r="Q119" s="171"/>
      <c r="R119" s="213">
        <v>880000</v>
      </c>
      <c r="S119" s="87">
        <v>0</v>
      </c>
      <c r="T119" s="87">
        <v>0</v>
      </c>
      <c r="U119" s="87">
        <v>0</v>
      </c>
      <c r="V119" s="87">
        <v>0</v>
      </c>
      <c r="W119" s="87">
        <v>0</v>
      </c>
      <c r="X119" s="87">
        <v>0</v>
      </c>
      <c r="Y119" s="87">
        <v>0</v>
      </c>
      <c r="Z119" s="87">
        <v>0</v>
      </c>
      <c r="AA119" s="214">
        <v>0</v>
      </c>
      <c r="AB119" s="214">
        <v>0</v>
      </c>
      <c r="AC119" s="214">
        <v>0</v>
      </c>
      <c r="AD119" s="214">
        <v>0</v>
      </c>
      <c r="AE119" s="214">
        <v>0</v>
      </c>
      <c r="AF119" s="214">
        <v>0</v>
      </c>
      <c r="AG119" s="214">
        <v>0</v>
      </c>
      <c r="AH119" s="214">
        <v>0</v>
      </c>
      <c r="AI119" s="87">
        <v>880000</v>
      </c>
      <c r="AJ119" s="87">
        <v>0</v>
      </c>
      <c r="AK119" s="87">
        <v>880000</v>
      </c>
      <c r="AL119" s="87">
        <v>880000</v>
      </c>
      <c r="AM119" s="87">
        <v>1296000</v>
      </c>
      <c r="AN119" s="87">
        <v>880000</v>
      </c>
      <c r="AO119" s="87">
        <v>880000</v>
      </c>
      <c r="AP119" s="87">
        <v>880000</v>
      </c>
      <c r="AQ119" s="88">
        <v>0</v>
      </c>
      <c r="AR119" s="88">
        <v>0</v>
      </c>
      <c r="AS119" s="88">
        <v>0</v>
      </c>
      <c r="AT119" s="88">
        <v>0</v>
      </c>
      <c r="AU119" s="88">
        <v>0</v>
      </c>
      <c r="AV119" s="88">
        <v>0</v>
      </c>
      <c r="AW119" s="88">
        <v>0</v>
      </c>
      <c r="AX119" s="88">
        <v>0</v>
      </c>
      <c r="AY119" s="87">
        <v>0</v>
      </c>
      <c r="AZ119" s="87">
        <v>0</v>
      </c>
      <c r="BA119" s="87">
        <v>0</v>
      </c>
      <c r="BB119" s="87">
        <v>0</v>
      </c>
      <c r="BC119" s="87">
        <v>0</v>
      </c>
      <c r="BD119" s="87">
        <v>0</v>
      </c>
      <c r="BE119" s="87">
        <v>0</v>
      </c>
      <c r="BF119" s="87">
        <v>0</v>
      </c>
      <c r="BG119" s="88">
        <v>0</v>
      </c>
      <c r="BH119" s="88">
        <v>0</v>
      </c>
      <c r="BI119" s="88">
        <v>0</v>
      </c>
      <c r="BJ119" s="88">
        <v>0</v>
      </c>
      <c r="BK119" s="88">
        <v>0</v>
      </c>
      <c r="BL119" s="88">
        <v>0</v>
      </c>
      <c r="BM119" s="88">
        <v>0</v>
      </c>
      <c r="BN119" s="590">
        <v>0</v>
      </c>
      <c r="BO119" s="171">
        <v>2023</v>
      </c>
      <c r="BP119" s="171">
        <v>1</v>
      </c>
      <c r="BQ119" s="171">
        <v>19</v>
      </c>
      <c r="BS119" s="76" t="str">
        <f t="shared" si="3"/>
        <v>○</v>
      </c>
    </row>
    <row r="120" spans="1:71" x14ac:dyDescent="0.2">
      <c r="A120" s="210">
        <v>1309</v>
      </c>
      <c r="B120" s="211"/>
      <c r="C120" s="212"/>
      <c r="D120" s="211"/>
      <c r="E120" s="212"/>
      <c r="F120" s="211"/>
      <c r="G120" s="211"/>
      <c r="H120" s="212"/>
      <c r="I120" s="211"/>
      <c r="J120" s="211"/>
      <c r="K120" s="211"/>
      <c r="L120" s="171"/>
      <c r="M120" s="171" t="s">
        <v>487</v>
      </c>
      <c r="N120" s="171" t="s">
        <v>354</v>
      </c>
      <c r="O120" s="171" t="s">
        <v>321</v>
      </c>
      <c r="P120" s="171" t="s">
        <v>916</v>
      </c>
      <c r="Q120" s="171"/>
      <c r="R120" s="213">
        <v>412000</v>
      </c>
      <c r="S120" s="87">
        <v>0</v>
      </c>
      <c r="T120" s="87">
        <v>0</v>
      </c>
      <c r="U120" s="87">
        <v>0</v>
      </c>
      <c r="V120" s="87">
        <v>0</v>
      </c>
      <c r="W120" s="87">
        <v>0</v>
      </c>
      <c r="X120" s="87">
        <v>0</v>
      </c>
      <c r="Y120" s="87">
        <v>0</v>
      </c>
      <c r="Z120" s="87">
        <v>0</v>
      </c>
      <c r="AA120" s="214">
        <v>0</v>
      </c>
      <c r="AB120" s="214">
        <v>0</v>
      </c>
      <c r="AC120" s="214">
        <v>0</v>
      </c>
      <c r="AD120" s="214">
        <v>0</v>
      </c>
      <c r="AE120" s="214">
        <v>0</v>
      </c>
      <c r="AF120" s="214">
        <v>0</v>
      </c>
      <c r="AG120" s="214">
        <v>0</v>
      </c>
      <c r="AH120" s="214">
        <v>0</v>
      </c>
      <c r="AI120" s="87">
        <v>412230</v>
      </c>
      <c r="AJ120" s="87">
        <v>0</v>
      </c>
      <c r="AK120" s="87">
        <v>412230</v>
      </c>
      <c r="AL120" s="87">
        <v>412230</v>
      </c>
      <c r="AM120" s="87">
        <v>3931200</v>
      </c>
      <c r="AN120" s="87">
        <v>412230</v>
      </c>
      <c r="AO120" s="87">
        <v>412230</v>
      </c>
      <c r="AP120" s="87">
        <v>412000</v>
      </c>
      <c r="AQ120" s="88">
        <v>0</v>
      </c>
      <c r="AR120" s="88">
        <v>0</v>
      </c>
      <c r="AS120" s="88">
        <v>0</v>
      </c>
      <c r="AT120" s="88">
        <v>0</v>
      </c>
      <c r="AU120" s="88">
        <v>0</v>
      </c>
      <c r="AV120" s="88">
        <v>0</v>
      </c>
      <c r="AW120" s="88">
        <v>0</v>
      </c>
      <c r="AX120" s="88">
        <v>0</v>
      </c>
      <c r="AY120" s="87">
        <v>0</v>
      </c>
      <c r="AZ120" s="87">
        <v>0</v>
      </c>
      <c r="BA120" s="87">
        <v>0</v>
      </c>
      <c r="BB120" s="87">
        <v>0</v>
      </c>
      <c r="BC120" s="87">
        <v>0</v>
      </c>
      <c r="BD120" s="87">
        <v>0</v>
      </c>
      <c r="BE120" s="87">
        <v>0</v>
      </c>
      <c r="BF120" s="87">
        <v>0</v>
      </c>
      <c r="BG120" s="88">
        <v>0</v>
      </c>
      <c r="BH120" s="88">
        <v>0</v>
      </c>
      <c r="BI120" s="88">
        <v>0</v>
      </c>
      <c r="BJ120" s="88">
        <v>0</v>
      </c>
      <c r="BK120" s="88">
        <v>0</v>
      </c>
      <c r="BL120" s="88">
        <v>0</v>
      </c>
      <c r="BM120" s="88">
        <v>0</v>
      </c>
      <c r="BN120" s="590">
        <v>0</v>
      </c>
      <c r="BO120" s="171">
        <v>2023</v>
      </c>
      <c r="BP120" s="171">
        <v>1</v>
      </c>
      <c r="BQ120" s="171">
        <v>19</v>
      </c>
      <c r="BS120" s="76" t="str">
        <f t="shared" si="3"/>
        <v>○</v>
      </c>
    </row>
    <row r="121" spans="1:71" s="81" customFormat="1" x14ac:dyDescent="0.2">
      <c r="A121" s="210">
        <v>1310</v>
      </c>
      <c r="B121" s="211"/>
      <c r="C121" s="212"/>
      <c r="D121" s="211"/>
      <c r="E121" s="212"/>
      <c r="F121" s="211"/>
      <c r="G121" s="211"/>
      <c r="H121" s="212"/>
      <c r="I121" s="211"/>
      <c r="J121" s="211"/>
      <c r="K121" s="211"/>
      <c r="L121" s="171"/>
      <c r="M121" s="171" t="s">
        <v>372</v>
      </c>
      <c r="N121" s="171" t="s">
        <v>373</v>
      </c>
      <c r="O121" s="171" t="s">
        <v>374</v>
      </c>
      <c r="P121" s="171" t="s">
        <v>916</v>
      </c>
      <c r="Q121" s="171"/>
      <c r="R121" s="213">
        <v>42000</v>
      </c>
      <c r="S121" s="87">
        <v>0</v>
      </c>
      <c r="T121" s="87">
        <v>0</v>
      </c>
      <c r="U121" s="87">
        <v>0</v>
      </c>
      <c r="V121" s="87">
        <v>0</v>
      </c>
      <c r="W121" s="87">
        <v>0</v>
      </c>
      <c r="X121" s="87">
        <v>0</v>
      </c>
      <c r="Y121" s="87">
        <v>0</v>
      </c>
      <c r="Z121" s="87">
        <v>0</v>
      </c>
      <c r="AA121" s="214">
        <v>0</v>
      </c>
      <c r="AB121" s="214">
        <v>0</v>
      </c>
      <c r="AC121" s="214">
        <v>0</v>
      </c>
      <c r="AD121" s="214">
        <v>0</v>
      </c>
      <c r="AE121" s="214">
        <v>0</v>
      </c>
      <c r="AF121" s="214">
        <v>0</v>
      </c>
      <c r="AG121" s="214">
        <v>0</v>
      </c>
      <c r="AH121" s="214">
        <v>0</v>
      </c>
      <c r="AI121" s="87">
        <v>42350</v>
      </c>
      <c r="AJ121" s="87">
        <v>0</v>
      </c>
      <c r="AK121" s="87">
        <v>42350</v>
      </c>
      <c r="AL121" s="87">
        <v>42350</v>
      </c>
      <c r="AM121" s="87">
        <v>734400</v>
      </c>
      <c r="AN121" s="87">
        <v>42350</v>
      </c>
      <c r="AO121" s="87">
        <v>42350</v>
      </c>
      <c r="AP121" s="87">
        <v>42000</v>
      </c>
      <c r="AQ121" s="88">
        <v>0</v>
      </c>
      <c r="AR121" s="88">
        <v>0</v>
      </c>
      <c r="AS121" s="88">
        <v>0</v>
      </c>
      <c r="AT121" s="88">
        <v>0</v>
      </c>
      <c r="AU121" s="88">
        <v>0</v>
      </c>
      <c r="AV121" s="88">
        <v>0</v>
      </c>
      <c r="AW121" s="88">
        <v>0</v>
      </c>
      <c r="AX121" s="88">
        <v>0</v>
      </c>
      <c r="AY121" s="87">
        <v>0</v>
      </c>
      <c r="AZ121" s="87">
        <v>0</v>
      </c>
      <c r="BA121" s="87">
        <v>0</v>
      </c>
      <c r="BB121" s="87">
        <v>0</v>
      </c>
      <c r="BC121" s="87">
        <v>0</v>
      </c>
      <c r="BD121" s="87">
        <v>0</v>
      </c>
      <c r="BE121" s="87">
        <v>0</v>
      </c>
      <c r="BF121" s="87">
        <v>0</v>
      </c>
      <c r="BG121" s="88">
        <v>0</v>
      </c>
      <c r="BH121" s="88">
        <v>0</v>
      </c>
      <c r="BI121" s="88">
        <v>0</v>
      </c>
      <c r="BJ121" s="88">
        <v>0</v>
      </c>
      <c r="BK121" s="88">
        <v>0</v>
      </c>
      <c r="BL121" s="88">
        <v>0</v>
      </c>
      <c r="BM121" s="88">
        <v>0</v>
      </c>
      <c r="BN121" s="590">
        <v>0</v>
      </c>
      <c r="BO121" s="171">
        <v>2023</v>
      </c>
      <c r="BP121" s="171">
        <v>1</v>
      </c>
      <c r="BQ121" s="171">
        <v>19</v>
      </c>
      <c r="BR121" s="77"/>
      <c r="BS121" s="76" t="str">
        <f t="shared" si="3"/>
        <v>○</v>
      </c>
    </row>
    <row r="122" spans="1:71" x14ac:dyDescent="0.2">
      <c r="A122" s="210">
        <v>1311</v>
      </c>
      <c r="B122" s="211"/>
      <c r="C122" s="212"/>
      <c r="D122" s="211"/>
      <c r="E122" s="212"/>
      <c r="F122" s="211"/>
      <c r="G122" s="211"/>
      <c r="H122" s="212"/>
      <c r="I122" s="211"/>
      <c r="J122" s="211"/>
      <c r="K122" s="211"/>
      <c r="L122" s="171"/>
      <c r="M122" s="171" t="s">
        <v>488</v>
      </c>
      <c r="N122" s="171" t="s">
        <v>489</v>
      </c>
      <c r="O122" s="171" t="s">
        <v>279</v>
      </c>
      <c r="P122" s="171" t="s">
        <v>916</v>
      </c>
      <c r="Q122" s="171"/>
      <c r="R122" s="213">
        <v>1418000</v>
      </c>
      <c r="S122" s="87">
        <v>0</v>
      </c>
      <c r="T122" s="87">
        <v>0</v>
      </c>
      <c r="U122" s="87">
        <v>0</v>
      </c>
      <c r="V122" s="87">
        <v>0</v>
      </c>
      <c r="W122" s="87">
        <v>0</v>
      </c>
      <c r="X122" s="87">
        <v>0</v>
      </c>
      <c r="Y122" s="87">
        <v>0</v>
      </c>
      <c r="Z122" s="87">
        <v>0</v>
      </c>
      <c r="AA122" s="214">
        <v>0</v>
      </c>
      <c r="AB122" s="214">
        <v>0</v>
      </c>
      <c r="AC122" s="214">
        <v>0</v>
      </c>
      <c r="AD122" s="214">
        <v>0</v>
      </c>
      <c r="AE122" s="214">
        <v>0</v>
      </c>
      <c r="AF122" s="214">
        <v>0</v>
      </c>
      <c r="AG122" s="214">
        <v>0</v>
      </c>
      <c r="AH122" s="214">
        <v>0</v>
      </c>
      <c r="AI122" s="87">
        <v>1418675</v>
      </c>
      <c r="AJ122" s="87">
        <v>0</v>
      </c>
      <c r="AK122" s="87">
        <v>1418675</v>
      </c>
      <c r="AL122" s="87">
        <v>1418675</v>
      </c>
      <c r="AM122" s="87">
        <v>3024000</v>
      </c>
      <c r="AN122" s="87">
        <v>1418675</v>
      </c>
      <c r="AO122" s="87">
        <v>1418675</v>
      </c>
      <c r="AP122" s="87">
        <v>1418000</v>
      </c>
      <c r="AQ122" s="88">
        <v>0</v>
      </c>
      <c r="AR122" s="88">
        <v>0</v>
      </c>
      <c r="AS122" s="88">
        <v>0</v>
      </c>
      <c r="AT122" s="88">
        <v>0</v>
      </c>
      <c r="AU122" s="88">
        <v>0</v>
      </c>
      <c r="AV122" s="88">
        <v>0</v>
      </c>
      <c r="AW122" s="88">
        <v>0</v>
      </c>
      <c r="AX122" s="88">
        <v>0</v>
      </c>
      <c r="AY122" s="87">
        <v>0</v>
      </c>
      <c r="AZ122" s="87">
        <v>0</v>
      </c>
      <c r="BA122" s="87">
        <v>0</v>
      </c>
      <c r="BB122" s="87">
        <v>0</v>
      </c>
      <c r="BC122" s="87">
        <v>0</v>
      </c>
      <c r="BD122" s="87">
        <v>0</v>
      </c>
      <c r="BE122" s="87">
        <v>0</v>
      </c>
      <c r="BF122" s="87">
        <v>0</v>
      </c>
      <c r="BG122" s="88">
        <v>0</v>
      </c>
      <c r="BH122" s="88">
        <v>0</v>
      </c>
      <c r="BI122" s="88">
        <v>0</v>
      </c>
      <c r="BJ122" s="88">
        <v>0</v>
      </c>
      <c r="BK122" s="88">
        <v>0</v>
      </c>
      <c r="BL122" s="88">
        <v>0</v>
      </c>
      <c r="BM122" s="88">
        <v>0</v>
      </c>
      <c r="BN122" s="590">
        <v>0</v>
      </c>
      <c r="BO122" s="171">
        <v>2023</v>
      </c>
      <c r="BP122" s="171">
        <v>1</v>
      </c>
      <c r="BQ122" s="171">
        <v>19</v>
      </c>
      <c r="BR122" s="81"/>
      <c r="BS122" s="76" t="str">
        <f t="shared" si="3"/>
        <v>○</v>
      </c>
    </row>
    <row r="123" spans="1:71" s="81" customFormat="1" x14ac:dyDescent="0.2">
      <c r="A123" s="210">
        <v>1312</v>
      </c>
      <c r="B123" s="211"/>
      <c r="C123" s="212"/>
      <c r="D123" s="211"/>
      <c r="E123" s="212"/>
      <c r="F123" s="211"/>
      <c r="G123" s="211"/>
      <c r="H123" s="212"/>
      <c r="I123" s="211"/>
      <c r="J123" s="211"/>
      <c r="K123" s="211"/>
      <c r="L123" s="171"/>
      <c r="M123" s="171" t="s">
        <v>490</v>
      </c>
      <c r="N123" s="171" t="s">
        <v>269</v>
      </c>
      <c r="O123" s="171" t="s">
        <v>383</v>
      </c>
      <c r="P123" s="171" t="s">
        <v>916</v>
      </c>
      <c r="Q123" s="75"/>
      <c r="R123" s="213">
        <v>663000</v>
      </c>
      <c r="S123" s="87">
        <v>0</v>
      </c>
      <c r="T123" s="87">
        <v>0</v>
      </c>
      <c r="U123" s="87">
        <v>0</v>
      </c>
      <c r="V123" s="87">
        <v>0</v>
      </c>
      <c r="W123" s="87">
        <v>0</v>
      </c>
      <c r="X123" s="87">
        <v>0</v>
      </c>
      <c r="Y123" s="87">
        <v>0</v>
      </c>
      <c r="Z123" s="87">
        <v>0</v>
      </c>
      <c r="AA123" s="214">
        <v>0</v>
      </c>
      <c r="AB123" s="214">
        <v>0</v>
      </c>
      <c r="AC123" s="214">
        <v>0</v>
      </c>
      <c r="AD123" s="214">
        <v>0</v>
      </c>
      <c r="AE123" s="214">
        <v>0</v>
      </c>
      <c r="AF123" s="214">
        <v>0</v>
      </c>
      <c r="AG123" s="214">
        <v>0</v>
      </c>
      <c r="AH123" s="214">
        <v>0</v>
      </c>
      <c r="AI123" s="87">
        <v>663590</v>
      </c>
      <c r="AJ123" s="87">
        <v>0</v>
      </c>
      <c r="AK123" s="87">
        <v>663590</v>
      </c>
      <c r="AL123" s="87">
        <v>663590</v>
      </c>
      <c r="AM123" s="87">
        <v>3600000</v>
      </c>
      <c r="AN123" s="87">
        <v>663590</v>
      </c>
      <c r="AO123" s="87">
        <v>663590</v>
      </c>
      <c r="AP123" s="87">
        <v>663000</v>
      </c>
      <c r="AQ123" s="88">
        <v>0</v>
      </c>
      <c r="AR123" s="88">
        <v>0</v>
      </c>
      <c r="AS123" s="88">
        <v>0</v>
      </c>
      <c r="AT123" s="88">
        <v>0</v>
      </c>
      <c r="AU123" s="88">
        <v>0</v>
      </c>
      <c r="AV123" s="88">
        <v>0</v>
      </c>
      <c r="AW123" s="88">
        <v>0</v>
      </c>
      <c r="AX123" s="88">
        <v>0</v>
      </c>
      <c r="AY123" s="87">
        <v>0</v>
      </c>
      <c r="AZ123" s="87">
        <v>0</v>
      </c>
      <c r="BA123" s="87">
        <v>0</v>
      </c>
      <c r="BB123" s="87">
        <v>0</v>
      </c>
      <c r="BC123" s="87">
        <v>0</v>
      </c>
      <c r="BD123" s="87">
        <v>0</v>
      </c>
      <c r="BE123" s="87">
        <v>0</v>
      </c>
      <c r="BF123" s="87">
        <v>0</v>
      </c>
      <c r="BG123" s="88">
        <v>0</v>
      </c>
      <c r="BH123" s="88">
        <v>0</v>
      </c>
      <c r="BI123" s="88">
        <v>0</v>
      </c>
      <c r="BJ123" s="88">
        <v>0</v>
      </c>
      <c r="BK123" s="88">
        <v>0</v>
      </c>
      <c r="BL123" s="88">
        <v>0</v>
      </c>
      <c r="BM123" s="88">
        <v>0</v>
      </c>
      <c r="BN123" s="590">
        <v>0</v>
      </c>
      <c r="BO123" s="171">
        <v>2023</v>
      </c>
      <c r="BP123" s="171">
        <v>1</v>
      </c>
      <c r="BQ123" s="171">
        <v>19</v>
      </c>
      <c r="BR123" s="77"/>
      <c r="BS123" s="76" t="str">
        <f t="shared" si="3"/>
        <v>○</v>
      </c>
    </row>
    <row r="124" spans="1:71" x14ac:dyDescent="0.2">
      <c r="A124" s="210">
        <v>1313</v>
      </c>
      <c r="B124" s="211"/>
      <c r="C124" s="212"/>
      <c r="D124" s="211"/>
      <c r="E124" s="212"/>
      <c r="F124" s="211"/>
      <c r="G124" s="211"/>
      <c r="H124" s="212"/>
      <c r="I124" s="211"/>
      <c r="J124" s="211"/>
      <c r="K124" s="211"/>
      <c r="L124" s="171"/>
      <c r="M124" s="171" t="s">
        <v>491</v>
      </c>
      <c r="N124" s="171" t="s">
        <v>289</v>
      </c>
      <c r="O124" s="171" t="s">
        <v>471</v>
      </c>
      <c r="P124" s="171" t="s">
        <v>916</v>
      </c>
      <c r="Q124" s="171"/>
      <c r="R124" s="213">
        <v>84000</v>
      </c>
      <c r="S124" s="87">
        <v>0</v>
      </c>
      <c r="T124" s="87">
        <v>0</v>
      </c>
      <c r="U124" s="87">
        <v>0</v>
      </c>
      <c r="V124" s="87">
        <v>0</v>
      </c>
      <c r="W124" s="87">
        <v>0</v>
      </c>
      <c r="X124" s="87">
        <v>0</v>
      </c>
      <c r="Y124" s="87">
        <v>0</v>
      </c>
      <c r="Z124" s="87">
        <v>0</v>
      </c>
      <c r="AA124" s="214">
        <v>0</v>
      </c>
      <c r="AB124" s="214">
        <v>0</v>
      </c>
      <c r="AC124" s="214">
        <v>0</v>
      </c>
      <c r="AD124" s="214">
        <v>0</v>
      </c>
      <c r="AE124" s="214">
        <v>0</v>
      </c>
      <c r="AF124" s="214">
        <v>0</v>
      </c>
      <c r="AG124" s="214">
        <v>0</v>
      </c>
      <c r="AH124" s="214">
        <v>0</v>
      </c>
      <c r="AI124" s="87">
        <v>84480</v>
      </c>
      <c r="AJ124" s="87">
        <v>0</v>
      </c>
      <c r="AK124" s="87">
        <v>84480</v>
      </c>
      <c r="AL124" s="87">
        <v>84480</v>
      </c>
      <c r="AM124" s="87">
        <v>3456000</v>
      </c>
      <c r="AN124" s="87">
        <v>84480</v>
      </c>
      <c r="AO124" s="87">
        <v>84480</v>
      </c>
      <c r="AP124" s="87">
        <v>84000</v>
      </c>
      <c r="AQ124" s="88">
        <v>0</v>
      </c>
      <c r="AR124" s="88">
        <v>0</v>
      </c>
      <c r="AS124" s="88">
        <v>0</v>
      </c>
      <c r="AT124" s="88">
        <v>0</v>
      </c>
      <c r="AU124" s="88">
        <v>0</v>
      </c>
      <c r="AV124" s="88">
        <v>0</v>
      </c>
      <c r="AW124" s="88">
        <v>0</v>
      </c>
      <c r="AX124" s="88">
        <v>0</v>
      </c>
      <c r="AY124" s="87">
        <v>0</v>
      </c>
      <c r="AZ124" s="87">
        <v>0</v>
      </c>
      <c r="BA124" s="87">
        <v>0</v>
      </c>
      <c r="BB124" s="87">
        <v>0</v>
      </c>
      <c r="BC124" s="87">
        <v>0</v>
      </c>
      <c r="BD124" s="87">
        <v>0</v>
      </c>
      <c r="BE124" s="87">
        <v>0</v>
      </c>
      <c r="BF124" s="87">
        <v>0</v>
      </c>
      <c r="BG124" s="88">
        <v>0</v>
      </c>
      <c r="BH124" s="88">
        <v>0</v>
      </c>
      <c r="BI124" s="88">
        <v>0</v>
      </c>
      <c r="BJ124" s="88">
        <v>0</v>
      </c>
      <c r="BK124" s="88">
        <v>0</v>
      </c>
      <c r="BL124" s="88">
        <v>0</v>
      </c>
      <c r="BM124" s="88">
        <v>0</v>
      </c>
      <c r="BN124" s="590">
        <v>0</v>
      </c>
      <c r="BO124" s="171">
        <v>2023</v>
      </c>
      <c r="BP124" s="171">
        <v>1</v>
      </c>
      <c r="BQ124" s="171">
        <v>19</v>
      </c>
      <c r="BR124" s="81"/>
      <c r="BS124" s="76" t="str">
        <f t="shared" si="3"/>
        <v>○</v>
      </c>
    </row>
    <row r="125" spans="1:71" x14ac:dyDescent="0.2">
      <c r="A125" s="210">
        <v>1314</v>
      </c>
      <c r="B125" s="211"/>
      <c r="C125" s="212"/>
      <c r="D125" s="211"/>
      <c r="E125" s="212"/>
      <c r="F125" s="211"/>
      <c r="G125" s="211"/>
      <c r="H125" s="212"/>
      <c r="I125" s="211"/>
      <c r="J125" s="211"/>
      <c r="K125" s="211"/>
      <c r="L125" s="171"/>
      <c r="M125" s="171" t="s">
        <v>492</v>
      </c>
      <c r="N125" s="171" t="s">
        <v>493</v>
      </c>
      <c r="O125" s="171" t="s">
        <v>494</v>
      </c>
      <c r="P125" s="171" t="s">
        <v>916</v>
      </c>
      <c r="Q125" s="171"/>
      <c r="R125" s="213">
        <v>835000</v>
      </c>
      <c r="S125" s="87">
        <v>0</v>
      </c>
      <c r="T125" s="87">
        <v>0</v>
      </c>
      <c r="U125" s="87">
        <v>0</v>
      </c>
      <c r="V125" s="87">
        <v>0</v>
      </c>
      <c r="W125" s="87">
        <v>0</v>
      </c>
      <c r="X125" s="87">
        <v>0</v>
      </c>
      <c r="Y125" s="87">
        <v>0</v>
      </c>
      <c r="Z125" s="87">
        <v>0</v>
      </c>
      <c r="AA125" s="214">
        <v>0</v>
      </c>
      <c r="AB125" s="214">
        <v>0</v>
      </c>
      <c r="AC125" s="214">
        <v>0</v>
      </c>
      <c r="AD125" s="214">
        <v>0</v>
      </c>
      <c r="AE125" s="214">
        <v>0</v>
      </c>
      <c r="AF125" s="214">
        <v>0</v>
      </c>
      <c r="AG125" s="214">
        <v>0</v>
      </c>
      <c r="AH125" s="214">
        <v>0</v>
      </c>
      <c r="AI125" s="87">
        <v>835720</v>
      </c>
      <c r="AJ125" s="87">
        <v>0</v>
      </c>
      <c r="AK125" s="87">
        <v>835720</v>
      </c>
      <c r="AL125" s="87">
        <v>835720</v>
      </c>
      <c r="AM125" s="87">
        <v>4320000</v>
      </c>
      <c r="AN125" s="87">
        <v>835720</v>
      </c>
      <c r="AO125" s="87">
        <v>835720</v>
      </c>
      <c r="AP125" s="87">
        <v>835000</v>
      </c>
      <c r="AQ125" s="88">
        <v>0</v>
      </c>
      <c r="AR125" s="88">
        <v>0</v>
      </c>
      <c r="AS125" s="88">
        <v>0</v>
      </c>
      <c r="AT125" s="88">
        <v>0</v>
      </c>
      <c r="AU125" s="88">
        <v>0</v>
      </c>
      <c r="AV125" s="88">
        <v>0</v>
      </c>
      <c r="AW125" s="88">
        <v>0</v>
      </c>
      <c r="AX125" s="88">
        <v>0</v>
      </c>
      <c r="AY125" s="87">
        <v>0</v>
      </c>
      <c r="AZ125" s="87">
        <v>0</v>
      </c>
      <c r="BA125" s="87">
        <v>0</v>
      </c>
      <c r="BB125" s="87">
        <v>0</v>
      </c>
      <c r="BC125" s="87">
        <v>0</v>
      </c>
      <c r="BD125" s="87">
        <v>0</v>
      </c>
      <c r="BE125" s="87">
        <v>0</v>
      </c>
      <c r="BF125" s="87">
        <v>0</v>
      </c>
      <c r="BG125" s="88">
        <v>0</v>
      </c>
      <c r="BH125" s="88">
        <v>0</v>
      </c>
      <c r="BI125" s="88">
        <v>0</v>
      </c>
      <c r="BJ125" s="88">
        <v>0</v>
      </c>
      <c r="BK125" s="88">
        <v>0</v>
      </c>
      <c r="BL125" s="88">
        <v>0</v>
      </c>
      <c r="BM125" s="88">
        <v>0</v>
      </c>
      <c r="BN125" s="590">
        <v>0</v>
      </c>
      <c r="BO125" s="171">
        <v>2023</v>
      </c>
      <c r="BP125" s="171">
        <v>1</v>
      </c>
      <c r="BQ125" s="171">
        <v>19</v>
      </c>
      <c r="BS125" s="76" t="str">
        <f t="shared" si="3"/>
        <v>○</v>
      </c>
    </row>
    <row r="126" spans="1:71" x14ac:dyDescent="0.2">
      <c r="A126" s="210">
        <v>1315</v>
      </c>
      <c r="B126" s="211"/>
      <c r="C126" s="212"/>
      <c r="D126" s="211"/>
      <c r="E126" s="212"/>
      <c r="F126" s="211"/>
      <c r="G126" s="211"/>
      <c r="H126" s="212"/>
      <c r="I126" s="211"/>
      <c r="J126" s="211"/>
      <c r="K126" s="211"/>
      <c r="L126" s="171"/>
      <c r="M126" s="171" t="s">
        <v>495</v>
      </c>
      <c r="N126" s="171" t="s">
        <v>286</v>
      </c>
      <c r="O126" s="171" t="s">
        <v>311</v>
      </c>
      <c r="P126" s="171" t="s">
        <v>916</v>
      </c>
      <c r="Q126" s="171"/>
      <c r="R126" s="213">
        <v>170000</v>
      </c>
      <c r="S126" s="87">
        <v>0</v>
      </c>
      <c r="T126" s="87">
        <v>0</v>
      </c>
      <c r="U126" s="87">
        <v>0</v>
      </c>
      <c r="V126" s="87">
        <v>0</v>
      </c>
      <c r="W126" s="87">
        <v>0</v>
      </c>
      <c r="X126" s="87">
        <v>0</v>
      </c>
      <c r="Y126" s="87">
        <v>0</v>
      </c>
      <c r="Z126" s="87">
        <v>0</v>
      </c>
      <c r="AA126" s="214">
        <v>0</v>
      </c>
      <c r="AB126" s="214">
        <v>0</v>
      </c>
      <c r="AC126" s="214">
        <v>0</v>
      </c>
      <c r="AD126" s="214">
        <v>0</v>
      </c>
      <c r="AE126" s="214">
        <v>0</v>
      </c>
      <c r="AF126" s="214">
        <v>0</v>
      </c>
      <c r="AG126" s="214">
        <v>0</v>
      </c>
      <c r="AH126" s="214">
        <v>0</v>
      </c>
      <c r="AI126" s="87">
        <v>170857</v>
      </c>
      <c r="AJ126" s="87">
        <v>0</v>
      </c>
      <c r="AK126" s="87">
        <v>170857</v>
      </c>
      <c r="AL126" s="87">
        <v>170857</v>
      </c>
      <c r="AM126" s="87">
        <v>1522800</v>
      </c>
      <c r="AN126" s="87">
        <v>170857</v>
      </c>
      <c r="AO126" s="87">
        <v>170857</v>
      </c>
      <c r="AP126" s="87">
        <v>170000</v>
      </c>
      <c r="AQ126" s="88">
        <v>0</v>
      </c>
      <c r="AR126" s="88">
        <v>0</v>
      </c>
      <c r="AS126" s="88">
        <v>0</v>
      </c>
      <c r="AT126" s="88">
        <v>0</v>
      </c>
      <c r="AU126" s="88">
        <v>0</v>
      </c>
      <c r="AV126" s="88">
        <v>0</v>
      </c>
      <c r="AW126" s="88">
        <v>0</v>
      </c>
      <c r="AX126" s="88">
        <v>0</v>
      </c>
      <c r="AY126" s="87">
        <v>0</v>
      </c>
      <c r="AZ126" s="87">
        <v>0</v>
      </c>
      <c r="BA126" s="87">
        <v>0</v>
      </c>
      <c r="BB126" s="87">
        <v>0</v>
      </c>
      <c r="BC126" s="87">
        <v>0</v>
      </c>
      <c r="BD126" s="87">
        <v>0</v>
      </c>
      <c r="BE126" s="87">
        <v>0</v>
      </c>
      <c r="BF126" s="87">
        <v>0</v>
      </c>
      <c r="BG126" s="88">
        <v>0</v>
      </c>
      <c r="BH126" s="88">
        <v>0</v>
      </c>
      <c r="BI126" s="88">
        <v>0</v>
      </c>
      <c r="BJ126" s="88">
        <v>0</v>
      </c>
      <c r="BK126" s="88">
        <v>0</v>
      </c>
      <c r="BL126" s="88">
        <v>0</v>
      </c>
      <c r="BM126" s="88">
        <v>0</v>
      </c>
      <c r="BN126" s="590">
        <v>0</v>
      </c>
      <c r="BO126" s="171">
        <v>2023</v>
      </c>
      <c r="BP126" s="171">
        <v>1</v>
      </c>
      <c r="BQ126" s="171">
        <v>19</v>
      </c>
      <c r="BS126" s="76" t="str">
        <f t="shared" si="3"/>
        <v>○</v>
      </c>
    </row>
    <row r="127" spans="1:71" x14ac:dyDescent="0.2">
      <c r="A127" s="210">
        <v>1316</v>
      </c>
      <c r="B127" s="211"/>
      <c r="C127" s="212"/>
      <c r="D127" s="211"/>
      <c r="E127" s="212"/>
      <c r="F127" s="211"/>
      <c r="G127" s="211"/>
      <c r="H127" s="212"/>
      <c r="I127" s="211"/>
      <c r="J127" s="211"/>
      <c r="K127" s="211"/>
      <c r="L127" s="171"/>
      <c r="M127" s="171" t="s">
        <v>496</v>
      </c>
      <c r="N127" s="171" t="s">
        <v>299</v>
      </c>
      <c r="O127" s="171" t="s">
        <v>497</v>
      </c>
      <c r="P127" s="171" t="s">
        <v>916</v>
      </c>
      <c r="Q127" s="171"/>
      <c r="R127" s="213">
        <v>697000</v>
      </c>
      <c r="S127" s="87">
        <v>0</v>
      </c>
      <c r="T127" s="87">
        <v>0</v>
      </c>
      <c r="U127" s="87">
        <v>0</v>
      </c>
      <c r="V127" s="87">
        <v>0</v>
      </c>
      <c r="W127" s="87">
        <v>0</v>
      </c>
      <c r="X127" s="87">
        <v>0</v>
      </c>
      <c r="Y127" s="87">
        <v>0</v>
      </c>
      <c r="Z127" s="87">
        <v>0</v>
      </c>
      <c r="AA127" s="214">
        <v>0</v>
      </c>
      <c r="AB127" s="214">
        <v>0</v>
      </c>
      <c r="AC127" s="214">
        <v>0</v>
      </c>
      <c r="AD127" s="214">
        <v>0</v>
      </c>
      <c r="AE127" s="214">
        <v>0</v>
      </c>
      <c r="AF127" s="214">
        <v>0</v>
      </c>
      <c r="AG127" s="214">
        <v>0</v>
      </c>
      <c r="AH127" s="214">
        <v>0</v>
      </c>
      <c r="AI127" s="87">
        <v>697730</v>
      </c>
      <c r="AJ127" s="87">
        <v>0</v>
      </c>
      <c r="AK127" s="87">
        <v>697730</v>
      </c>
      <c r="AL127" s="87">
        <v>697730</v>
      </c>
      <c r="AM127" s="87">
        <v>1566000</v>
      </c>
      <c r="AN127" s="87">
        <v>697730</v>
      </c>
      <c r="AO127" s="87">
        <v>697730</v>
      </c>
      <c r="AP127" s="87">
        <v>697000</v>
      </c>
      <c r="AQ127" s="88">
        <v>0</v>
      </c>
      <c r="AR127" s="88">
        <v>0</v>
      </c>
      <c r="AS127" s="88">
        <v>0</v>
      </c>
      <c r="AT127" s="88">
        <v>0</v>
      </c>
      <c r="AU127" s="88">
        <v>0</v>
      </c>
      <c r="AV127" s="88">
        <v>0</v>
      </c>
      <c r="AW127" s="88">
        <v>0</v>
      </c>
      <c r="AX127" s="88">
        <v>0</v>
      </c>
      <c r="AY127" s="87">
        <v>0</v>
      </c>
      <c r="AZ127" s="87">
        <v>0</v>
      </c>
      <c r="BA127" s="87">
        <v>0</v>
      </c>
      <c r="BB127" s="87">
        <v>0</v>
      </c>
      <c r="BC127" s="87">
        <v>0</v>
      </c>
      <c r="BD127" s="87">
        <v>0</v>
      </c>
      <c r="BE127" s="87">
        <v>0</v>
      </c>
      <c r="BF127" s="87">
        <v>0</v>
      </c>
      <c r="BG127" s="88">
        <v>0</v>
      </c>
      <c r="BH127" s="88">
        <v>0</v>
      </c>
      <c r="BI127" s="88">
        <v>0</v>
      </c>
      <c r="BJ127" s="88">
        <v>0</v>
      </c>
      <c r="BK127" s="88">
        <v>0</v>
      </c>
      <c r="BL127" s="88">
        <v>0</v>
      </c>
      <c r="BM127" s="88">
        <v>0</v>
      </c>
      <c r="BN127" s="590">
        <v>0</v>
      </c>
      <c r="BO127" s="171">
        <v>2023</v>
      </c>
      <c r="BP127" s="171">
        <v>1</v>
      </c>
      <c r="BQ127" s="171">
        <v>19</v>
      </c>
      <c r="BS127" s="76" t="str">
        <f t="shared" si="3"/>
        <v>○</v>
      </c>
    </row>
    <row r="128" spans="1:71" x14ac:dyDescent="0.2">
      <c r="A128" s="210">
        <v>1317</v>
      </c>
      <c r="B128" s="211"/>
      <c r="C128" s="212"/>
      <c r="D128" s="211"/>
      <c r="E128" s="212"/>
      <c r="F128" s="211"/>
      <c r="G128" s="211"/>
      <c r="H128" s="212"/>
      <c r="I128" s="211"/>
      <c r="J128" s="211"/>
      <c r="K128" s="211"/>
      <c r="L128" s="171"/>
      <c r="M128" s="171" t="s">
        <v>485</v>
      </c>
      <c r="N128" s="171" t="s">
        <v>416</v>
      </c>
      <c r="O128" s="171" t="s">
        <v>486</v>
      </c>
      <c r="P128" s="171" t="s">
        <v>916</v>
      </c>
      <c r="Q128" s="171"/>
      <c r="R128" s="213">
        <v>334000</v>
      </c>
      <c r="S128" s="87">
        <v>0</v>
      </c>
      <c r="T128" s="87">
        <v>0</v>
      </c>
      <c r="U128" s="87">
        <v>0</v>
      </c>
      <c r="V128" s="87">
        <v>0</v>
      </c>
      <c r="W128" s="87">
        <v>0</v>
      </c>
      <c r="X128" s="87">
        <v>0</v>
      </c>
      <c r="Y128" s="87">
        <v>0</v>
      </c>
      <c r="Z128" s="87">
        <v>0</v>
      </c>
      <c r="AA128" s="214">
        <v>0</v>
      </c>
      <c r="AB128" s="214">
        <v>0</v>
      </c>
      <c r="AC128" s="214">
        <v>0</v>
      </c>
      <c r="AD128" s="214">
        <v>0</v>
      </c>
      <c r="AE128" s="214">
        <v>0</v>
      </c>
      <c r="AF128" s="214">
        <v>0</v>
      </c>
      <c r="AG128" s="214">
        <v>0</v>
      </c>
      <c r="AH128" s="214">
        <v>0</v>
      </c>
      <c r="AI128" s="87">
        <v>334653</v>
      </c>
      <c r="AJ128" s="87">
        <v>0</v>
      </c>
      <c r="AK128" s="87">
        <v>334653</v>
      </c>
      <c r="AL128" s="87">
        <v>334653</v>
      </c>
      <c r="AM128" s="87">
        <v>5742000</v>
      </c>
      <c r="AN128" s="87">
        <v>334653</v>
      </c>
      <c r="AO128" s="87">
        <v>334653</v>
      </c>
      <c r="AP128" s="87">
        <v>334000</v>
      </c>
      <c r="AQ128" s="88">
        <v>0</v>
      </c>
      <c r="AR128" s="88">
        <v>0</v>
      </c>
      <c r="AS128" s="88">
        <v>0</v>
      </c>
      <c r="AT128" s="88">
        <v>0</v>
      </c>
      <c r="AU128" s="88">
        <v>0</v>
      </c>
      <c r="AV128" s="88">
        <v>0</v>
      </c>
      <c r="AW128" s="88">
        <v>0</v>
      </c>
      <c r="AX128" s="88">
        <v>0</v>
      </c>
      <c r="AY128" s="87">
        <v>0</v>
      </c>
      <c r="AZ128" s="87">
        <v>0</v>
      </c>
      <c r="BA128" s="87">
        <v>0</v>
      </c>
      <c r="BB128" s="87">
        <v>0</v>
      </c>
      <c r="BC128" s="87">
        <v>0</v>
      </c>
      <c r="BD128" s="87">
        <v>0</v>
      </c>
      <c r="BE128" s="87">
        <v>0</v>
      </c>
      <c r="BF128" s="87">
        <v>0</v>
      </c>
      <c r="BG128" s="88">
        <v>0</v>
      </c>
      <c r="BH128" s="88">
        <v>0</v>
      </c>
      <c r="BI128" s="88">
        <v>0</v>
      </c>
      <c r="BJ128" s="88">
        <v>0</v>
      </c>
      <c r="BK128" s="88">
        <v>0</v>
      </c>
      <c r="BL128" s="88">
        <v>0</v>
      </c>
      <c r="BM128" s="88">
        <v>0</v>
      </c>
      <c r="BN128" s="590">
        <v>0</v>
      </c>
      <c r="BO128" s="171">
        <v>2023</v>
      </c>
      <c r="BP128" s="171">
        <v>1</v>
      </c>
      <c r="BQ128" s="171">
        <v>19</v>
      </c>
      <c r="BS128" s="76" t="str">
        <f t="shared" si="3"/>
        <v>○</v>
      </c>
    </row>
    <row r="129" spans="1:71" x14ac:dyDescent="0.2">
      <c r="A129" s="210">
        <v>1318</v>
      </c>
      <c r="B129" s="211"/>
      <c r="C129" s="212"/>
      <c r="D129" s="211"/>
      <c r="E129" s="212"/>
      <c r="F129" s="211"/>
      <c r="G129" s="211"/>
      <c r="H129" s="212"/>
      <c r="I129" s="211"/>
      <c r="J129" s="211"/>
      <c r="K129" s="211"/>
      <c r="L129" s="171"/>
      <c r="M129" s="171" t="s">
        <v>498</v>
      </c>
      <c r="N129" s="171" t="s">
        <v>299</v>
      </c>
      <c r="O129" s="171" t="s">
        <v>292</v>
      </c>
      <c r="P129" s="171" t="s">
        <v>916</v>
      </c>
      <c r="Q129" s="75"/>
      <c r="R129" s="213">
        <v>149000</v>
      </c>
      <c r="S129" s="87">
        <v>0</v>
      </c>
      <c r="T129" s="87">
        <v>0</v>
      </c>
      <c r="U129" s="87">
        <v>0</v>
      </c>
      <c r="V129" s="87">
        <v>0</v>
      </c>
      <c r="W129" s="87">
        <v>0</v>
      </c>
      <c r="X129" s="87">
        <v>0</v>
      </c>
      <c r="Y129" s="87">
        <v>0</v>
      </c>
      <c r="Z129" s="87">
        <v>0</v>
      </c>
      <c r="AA129" s="214">
        <v>0</v>
      </c>
      <c r="AB129" s="214">
        <v>0</v>
      </c>
      <c r="AC129" s="214">
        <v>0</v>
      </c>
      <c r="AD129" s="214">
        <v>0</v>
      </c>
      <c r="AE129" s="214">
        <v>0</v>
      </c>
      <c r="AF129" s="214">
        <v>0</v>
      </c>
      <c r="AG129" s="214">
        <v>0</v>
      </c>
      <c r="AH129" s="214">
        <v>0</v>
      </c>
      <c r="AI129" s="87">
        <v>149142</v>
      </c>
      <c r="AJ129" s="87">
        <v>0</v>
      </c>
      <c r="AK129" s="87">
        <v>149142</v>
      </c>
      <c r="AL129" s="87">
        <v>149142</v>
      </c>
      <c r="AM129" s="87">
        <v>3049200</v>
      </c>
      <c r="AN129" s="87">
        <v>149142</v>
      </c>
      <c r="AO129" s="87">
        <v>149142</v>
      </c>
      <c r="AP129" s="87">
        <v>149000</v>
      </c>
      <c r="AQ129" s="88">
        <v>0</v>
      </c>
      <c r="AR129" s="88">
        <v>0</v>
      </c>
      <c r="AS129" s="88">
        <v>0</v>
      </c>
      <c r="AT129" s="88">
        <v>0</v>
      </c>
      <c r="AU129" s="88">
        <v>0</v>
      </c>
      <c r="AV129" s="88">
        <v>0</v>
      </c>
      <c r="AW129" s="88">
        <v>0</v>
      </c>
      <c r="AX129" s="88">
        <v>0</v>
      </c>
      <c r="AY129" s="87">
        <v>0</v>
      </c>
      <c r="AZ129" s="87">
        <v>0</v>
      </c>
      <c r="BA129" s="87">
        <v>0</v>
      </c>
      <c r="BB129" s="87">
        <v>0</v>
      </c>
      <c r="BC129" s="87">
        <v>0</v>
      </c>
      <c r="BD129" s="87">
        <v>0</v>
      </c>
      <c r="BE129" s="87">
        <v>0</v>
      </c>
      <c r="BF129" s="87">
        <v>0</v>
      </c>
      <c r="BG129" s="88">
        <v>0</v>
      </c>
      <c r="BH129" s="88">
        <v>0</v>
      </c>
      <c r="BI129" s="88">
        <v>0</v>
      </c>
      <c r="BJ129" s="88">
        <v>0</v>
      </c>
      <c r="BK129" s="88">
        <v>0</v>
      </c>
      <c r="BL129" s="88">
        <v>0</v>
      </c>
      <c r="BM129" s="88">
        <v>0</v>
      </c>
      <c r="BN129" s="590">
        <v>0</v>
      </c>
      <c r="BO129" s="171">
        <v>2023</v>
      </c>
      <c r="BP129" s="171">
        <v>1</v>
      </c>
      <c r="BQ129" s="171">
        <v>19</v>
      </c>
      <c r="BS129" s="76" t="str">
        <f t="shared" si="3"/>
        <v>○</v>
      </c>
    </row>
    <row r="130" spans="1:71" x14ac:dyDescent="0.2">
      <c r="A130" s="210">
        <v>1319</v>
      </c>
      <c r="B130" s="211"/>
      <c r="C130" s="212"/>
      <c r="D130" s="211"/>
      <c r="E130" s="212"/>
      <c r="F130" s="211"/>
      <c r="G130" s="211"/>
      <c r="H130" s="212"/>
      <c r="I130" s="211"/>
      <c r="J130" s="211"/>
      <c r="K130" s="211"/>
      <c r="L130" s="171"/>
      <c r="M130" s="171" t="s">
        <v>499</v>
      </c>
      <c r="N130" s="171" t="s">
        <v>302</v>
      </c>
      <c r="O130" s="171" t="s">
        <v>309</v>
      </c>
      <c r="P130" s="171" t="s">
        <v>916</v>
      </c>
      <c r="Q130" s="171"/>
      <c r="R130" s="213">
        <v>627000</v>
      </c>
      <c r="S130" s="87">
        <v>0</v>
      </c>
      <c r="T130" s="87">
        <v>0</v>
      </c>
      <c r="U130" s="87">
        <v>0</v>
      </c>
      <c r="V130" s="87">
        <v>0</v>
      </c>
      <c r="W130" s="87">
        <v>0</v>
      </c>
      <c r="X130" s="87">
        <v>0</v>
      </c>
      <c r="Y130" s="87">
        <v>0</v>
      </c>
      <c r="Z130" s="87">
        <v>0</v>
      </c>
      <c r="AA130" s="214">
        <v>0</v>
      </c>
      <c r="AB130" s="214">
        <v>0</v>
      </c>
      <c r="AC130" s="214">
        <v>0</v>
      </c>
      <c r="AD130" s="214">
        <v>0</v>
      </c>
      <c r="AE130" s="214">
        <v>0</v>
      </c>
      <c r="AF130" s="214">
        <v>0</v>
      </c>
      <c r="AG130" s="214">
        <v>0</v>
      </c>
      <c r="AH130" s="214">
        <v>0</v>
      </c>
      <c r="AI130" s="87">
        <v>627500</v>
      </c>
      <c r="AJ130" s="87">
        <v>0</v>
      </c>
      <c r="AK130" s="87">
        <v>627500</v>
      </c>
      <c r="AL130" s="87">
        <v>627500</v>
      </c>
      <c r="AM130" s="87">
        <v>1036800</v>
      </c>
      <c r="AN130" s="87">
        <v>627500</v>
      </c>
      <c r="AO130" s="87">
        <v>627500</v>
      </c>
      <c r="AP130" s="87">
        <v>627000</v>
      </c>
      <c r="AQ130" s="88">
        <v>0</v>
      </c>
      <c r="AR130" s="88">
        <v>0</v>
      </c>
      <c r="AS130" s="88">
        <v>0</v>
      </c>
      <c r="AT130" s="88">
        <v>0</v>
      </c>
      <c r="AU130" s="88">
        <v>0</v>
      </c>
      <c r="AV130" s="88">
        <v>0</v>
      </c>
      <c r="AW130" s="88">
        <v>0</v>
      </c>
      <c r="AX130" s="88">
        <v>0</v>
      </c>
      <c r="AY130" s="87">
        <v>0</v>
      </c>
      <c r="AZ130" s="87">
        <v>0</v>
      </c>
      <c r="BA130" s="87">
        <v>0</v>
      </c>
      <c r="BB130" s="87">
        <v>0</v>
      </c>
      <c r="BC130" s="87">
        <v>0</v>
      </c>
      <c r="BD130" s="87">
        <v>0</v>
      </c>
      <c r="BE130" s="87">
        <v>0</v>
      </c>
      <c r="BF130" s="87">
        <v>0</v>
      </c>
      <c r="BG130" s="88">
        <v>0</v>
      </c>
      <c r="BH130" s="88">
        <v>0</v>
      </c>
      <c r="BI130" s="88">
        <v>0</v>
      </c>
      <c r="BJ130" s="88">
        <v>0</v>
      </c>
      <c r="BK130" s="88">
        <v>0</v>
      </c>
      <c r="BL130" s="88">
        <v>0</v>
      </c>
      <c r="BM130" s="88">
        <v>0</v>
      </c>
      <c r="BN130" s="590">
        <v>0</v>
      </c>
      <c r="BO130" s="171">
        <v>2023</v>
      </c>
      <c r="BP130" s="171">
        <v>1</v>
      </c>
      <c r="BQ130" s="171">
        <v>19</v>
      </c>
      <c r="BS130" s="76" t="str">
        <f t="shared" si="3"/>
        <v>○</v>
      </c>
    </row>
    <row r="131" spans="1:71" x14ac:dyDescent="0.2">
      <c r="A131" s="210">
        <v>1320</v>
      </c>
      <c r="B131" s="211"/>
      <c r="C131" s="212"/>
      <c r="D131" s="211"/>
      <c r="E131" s="212"/>
      <c r="F131" s="211"/>
      <c r="G131" s="211"/>
      <c r="H131" s="212"/>
      <c r="I131" s="211"/>
      <c r="J131" s="211"/>
      <c r="K131" s="211"/>
      <c r="L131" s="171"/>
      <c r="M131" s="171" t="s">
        <v>500</v>
      </c>
      <c r="N131" s="171" t="s">
        <v>272</v>
      </c>
      <c r="O131" s="171" t="s">
        <v>378</v>
      </c>
      <c r="P131" s="171" t="s">
        <v>916</v>
      </c>
      <c r="Q131" s="171"/>
      <c r="R131" s="213">
        <v>734000</v>
      </c>
      <c r="S131" s="87">
        <v>0</v>
      </c>
      <c r="T131" s="87">
        <v>0</v>
      </c>
      <c r="U131" s="87">
        <v>0</v>
      </c>
      <c r="V131" s="87">
        <v>0</v>
      </c>
      <c r="W131" s="87">
        <v>0</v>
      </c>
      <c r="X131" s="87">
        <v>0</v>
      </c>
      <c r="Y131" s="87">
        <v>0</v>
      </c>
      <c r="Z131" s="87">
        <v>0</v>
      </c>
      <c r="AA131" s="214">
        <v>0</v>
      </c>
      <c r="AB131" s="214">
        <v>0</v>
      </c>
      <c r="AC131" s="214">
        <v>0</v>
      </c>
      <c r="AD131" s="214">
        <v>0</v>
      </c>
      <c r="AE131" s="214">
        <v>0</v>
      </c>
      <c r="AF131" s="214">
        <v>0</v>
      </c>
      <c r="AG131" s="214">
        <v>0</v>
      </c>
      <c r="AH131" s="214">
        <v>0</v>
      </c>
      <c r="AI131" s="87">
        <v>734760</v>
      </c>
      <c r="AJ131" s="87">
        <v>0</v>
      </c>
      <c r="AK131" s="87">
        <v>734760</v>
      </c>
      <c r="AL131" s="87">
        <v>734760</v>
      </c>
      <c r="AM131" s="87">
        <v>1929600</v>
      </c>
      <c r="AN131" s="87">
        <v>734760</v>
      </c>
      <c r="AO131" s="87">
        <v>734760</v>
      </c>
      <c r="AP131" s="87">
        <v>734000</v>
      </c>
      <c r="AQ131" s="88">
        <v>0</v>
      </c>
      <c r="AR131" s="88">
        <v>0</v>
      </c>
      <c r="AS131" s="88">
        <v>0</v>
      </c>
      <c r="AT131" s="88">
        <v>0</v>
      </c>
      <c r="AU131" s="88">
        <v>0</v>
      </c>
      <c r="AV131" s="88">
        <v>0</v>
      </c>
      <c r="AW131" s="88">
        <v>0</v>
      </c>
      <c r="AX131" s="88">
        <v>0</v>
      </c>
      <c r="AY131" s="87">
        <v>0</v>
      </c>
      <c r="AZ131" s="87">
        <v>0</v>
      </c>
      <c r="BA131" s="87">
        <v>0</v>
      </c>
      <c r="BB131" s="87">
        <v>0</v>
      </c>
      <c r="BC131" s="87">
        <v>0</v>
      </c>
      <c r="BD131" s="87">
        <v>0</v>
      </c>
      <c r="BE131" s="87">
        <v>0</v>
      </c>
      <c r="BF131" s="87">
        <v>0</v>
      </c>
      <c r="BG131" s="88">
        <v>0</v>
      </c>
      <c r="BH131" s="88">
        <v>0</v>
      </c>
      <c r="BI131" s="88">
        <v>0</v>
      </c>
      <c r="BJ131" s="88">
        <v>0</v>
      </c>
      <c r="BK131" s="88">
        <v>0</v>
      </c>
      <c r="BL131" s="88">
        <v>0</v>
      </c>
      <c r="BM131" s="88">
        <v>0</v>
      </c>
      <c r="BN131" s="590">
        <v>0</v>
      </c>
      <c r="BO131" s="171">
        <v>2023</v>
      </c>
      <c r="BP131" s="171">
        <v>1</v>
      </c>
      <c r="BQ131" s="171">
        <v>19</v>
      </c>
      <c r="BS131" s="76" t="str">
        <f t="shared" si="3"/>
        <v>○</v>
      </c>
    </row>
    <row r="132" spans="1:71" x14ac:dyDescent="0.2">
      <c r="A132" s="210">
        <v>1321</v>
      </c>
      <c r="B132" s="211"/>
      <c r="C132" s="212"/>
      <c r="D132" s="211"/>
      <c r="E132" s="212"/>
      <c r="F132" s="211"/>
      <c r="G132" s="211"/>
      <c r="H132" s="212"/>
      <c r="I132" s="211"/>
      <c r="J132" s="211"/>
      <c r="K132" s="211"/>
      <c r="L132" s="171"/>
      <c r="M132" s="171" t="s">
        <v>501</v>
      </c>
      <c r="N132" s="171" t="s">
        <v>275</v>
      </c>
      <c r="O132" s="171" t="s">
        <v>364</v>
      </c>
      <c r="P132" s="171" t="s">
        <v>916</v>
      </c>
      <c r="Q132" s="171"/>
      <c r="R132" s="213">
        <v>87000</v>
      </c>
      <c r="S132" s="87">
        <v>0</v>
      </c>
      <c r="T132" s="87">
        <v>0</v>
      </c>
      <c r="U132" s="87">
        <v>0</v>
      </c>
      <c r="V132" s="87">
        <v>0</v>
      </c>
      <c r="W132" s="87">
        <v>0</v>
      </c>
      <c r="X132" s="87">
        <v>0</v>
      </c>
      <c r="Y132" s="87">
        <v>0</v>
      </c>
      <c r="Z132" s="87">
        <v>0</v>
      </c>
      <c r="AA132" s="214">
        <v>0</v>
      </c>
      <c r="AB132" s="214">
        <v>0</v>
      </c>
      <c r="AC132" s="214">
        <v>0</v>
      </c>
      <c r="AD132" s="214">
        <v>0</v>
      </c>
      <c r="AE132" s="214">
        <v>0</v>
      </c>
      <c r="AF132" s="214">
        <v>0</v>
      </c>
      <c r="AG132" s="214">
        <v>0</v>
      </c>
      <c r="AH132" s="214">
        <v>0</v>
      </c>
      <c r="AI132" s="87">
        <v>87760</v>
      </c>
      <c r="AJ132" s="87">
        <v>0</v>
      </c>
      <c r="AK132" s="87">
        <v>87760</v>
      </c>
      <c r="AL132" s="87">
        <v>87760</v>
      </c>
      <c r="AM132" s="87">
        <v>1710000</v>
      </c>
      <c r="AN132" s="87">
        <v>87760</v>
      </c>
      <c r="AO132" s="87">
        <v>87760</v>
      </c>
      <c r="AP132" s="87">
        <v>87000</v>
      </c>
      <c r="AQ132" s="88">
        <v>0</v>
      </c>
      <c r="AR132" s="88">
        <v>0</v>
      </c>
      <c r="AS132" s="88">
        <v>0</v>
      </c>
      <c r="AT132" s="88">
        <v>0</v>
      </c>
      <c r="AU132" s="88">
        <v>0</v>
      </c>
      <c r="AV132" s="88">
        <v>0</v>
      </c>
      <c r="AW132" s="88">
        <v>0</v>
      </c>
      <c r="AX132" s="88">
        <v>0</v>
      </c>
      <c r="AY132" s="87">
        <v>0</v>
      </c>
      <c r="AZ132" s="87">
        <v>0</v>
      </c>
      <c r="BA132" s="87">
        <v>0</v>
      </c>
      <c r="BB132" s="87">
        <v>0</v>
      </c>
      <c r="BC132" s="87">
        <v>0</v>
      </c>
      <c r="BD132" s="87">
        <v>0</v>
      </c>
      <c r="BE132" s="87">
        <v>0</v>
      </c>
      <c r="BF132" s="87">
        <v>0</v>
      </c>
      <c r="BG132" s="88">
        <v>0</v>
      </c>
      <c r="BH132" s="88">
        <v>0</v>
      </c>
      <c r="BI132" s="88">
        <v>0</v>
      </c>
      <c r="BJ132" s="88">
        <v>0</v>
      </c>
      <c r="BK132" s="88">
        <v>0</v>
      </c>
      <c r="BL132" s="88">
        <v>0</v>
      </c>
      <c r="BM132" s="88">
        <v>0</v>
      </c>
      <c r="BN132" s="590">
        <v>0</v>
      </c>
      <c r="BO132" s="171">
        <v>2023</v>
      </c>
      <c r="BP132" s="171">
        <v>1</v>
      </c>
      <c r="BQ132" s="171">
        <v>19</v>
      </c>
      <c r="BS132" s="76" t="str">
        <f t="shared" si="3"/>
        <v>○</v>
      </c>
    </row>
    <row r="133" spans="1:71" x14ac:dyDescent="0.2">
      <c r="A133" s="210">
        <v>1322</v>
      </c>
      <c r="B133" s="211"/>
      <c r="C133" s="212"/>
      <c r="D133" s="211"/>
      <c r="E133" s="212"/>
      <c r="F133" s="211"/>
      <c r="G133" s="211"/>
      <c r="H133" s="212"/>
      <c r="I133" s="211"/>
      <c r="J133" s="211"/>
      <c r="K133" s="211"/>
      <c r="L133" s="171"/>
      <c r="M133" s="171" t="s">
        <v>502</v>
      </c>
      <c r="N133" s="171" t="s">
        <v>330</v>
      </c>
      <c r="O133" s="171" t="s">
        <v>364</v>
      </c>
      <c r="P133" s="171" t="s">
        <v>916</v>
      </c>
      <c r="Q133" s="171"/>
      <c r="R133" s="213">
        <v>438000</v>
      </c>
      <c r="S133" s="87">
        <v>0</v>
      </c>
      <c r="T133" s="87">
        <v>0</v>
      </c>
      <c r="U133" s="87">
        <v>0</v>
      </c>
      <c r="V133" s="87">
        <v>0</v>
      </c>
      <c r="W133" s="87">
        <v>0</v>
      </c>
      <c r="X133" s="87">
        <v>0</v>
      </c>
      <c r="Y133" s="87">
        <v>0</v>
      </c>
      <c r="Z133" s="87">
        <v>0</v>
      </c>
      <c r="AA133" s="214">
        <v>0</v>
      </c>
      <c r="AB133" s="214">
        <v>0</v>
      </c>
      <c r="AC133" s="214">
        <v>0</v>
      </c>
      <c r="AD133" s="214">
        <v>0</v>
      </c>
      <c r="AE133" s="214">
        <v>0</v>
      </c>
      <c r="AF133" s="214">
        <v>0</v>
      </c>
      <c r="AG133" s="214">
        <v>0</v>
      </c>
      <c r="AH133" s="214">
        <v>0</v>
      </c>
      <c r="AI133" s="87">
        <v>438295</v>
      </c>
      <c r="AJ133" s="87">
        <v>0</v>
      </c>
      <c r="AK133" s="87">
        <v>438295</v>
      </c>
      <c r="AL133" s="87">
        <v>438295</v>
      </c>
      <c r="AM133" s="87">
        <v>4536000</v>
      </c>
      <c r="AN133" s="87">
        <v>438295</v>
      </c>
      <c r="AO133" s="87">
        <v>438295</v>
      </c>
      <c r="AP133" s="87">
        <v>438000</v>
      </c>
      <c r="AQ133" s="88">
        <v>0</v>
      </c>
      <c r="AR133" s="88">
        <v>0</v>
      </c>
      <c r="AS133" s="88">
        <v>0</v>
      </c>
      <c r="AT133" s="88">
        <v>0</v>
      </c>
      <c r="AU133" s="88">
        <v>0</v>
      </c>
      <c r="AV133" s="88">
        <v>0</v>
      </c>
      <c r="AW133" s="88">
        <v>0</v>
      </c>
      <c r="AX133" s="88">
        <v>0</v>
      </c>
      <c r="AY133" s="87">
        <v>0</v>
      </c>
      <c r="AZ133" s="87">
        <v>0</v>
      </c>
      <c r="BA133" s="87">
        <v>0</v>
      </c>
      <c r="BB133" s="87">
        <v>0</v>
      </c>
      <c r="BC133" s="87">
        <v>0</v>
      </c>
      <c r="BD133" s="87">
        <v>0</v>
      </c>
      <c r="BE133" s="87">
        <v>0</v>
      </c>
      <c r="BF133" s="87">
        <v>0</v>
      </c>
      <c r="BG133" s="88">
        <v>0</v>
      </c>
      <c r="BH133" s="88">
        <v>0</v>
      </c>
      <c r="BI133" s="88">
        <v>0</v>
      </c>
      <c r="BJ133" s="88">
        <v>0</v>
      </c>
      <c r="BK133" s="88">
        <v>0</v>
      </c>
      <c r="BL133" s="88">
        <v>0</v>
      </c>
      <c r="BM133" s="88">
        <v>0</v>
      </c>
      <c r="BN133" s="590">
        <v>0</v>
      </c>
      <c r="BO133" s="171">
        <v>2023</v>
      </c>
      <c r="BP133" s="171">
        <v>1</v>
      </c>
      <c r="BQ133" s="171">
        <v>19</v>
      </c>
      <c r="BS133" s="76" t="str">
        <f t="shared" si="3"/>
        <v>○</v>
      </c>
    </row>
    <row r="134" spans="1:71" x14ac:dyDescent="0.2">
      <c r="A134" s="210">
        <v>1323</v>
      </c>
      <c r="B134" s="211"/>
      <c r="C134" s="212"/>
      <c r="D134" s="211"/>
      <c r="E134" s="212"/>
      <c r="F134" s="211"/>
      <c r="G134" s="211"/>
      <c r="H134" s="212"/>
      <c r="I134" s="211"/>
      <c r="J134" s="211"/>
      <c r="K134" s="211"/>
      <c r="L134" s="171"/>
      <c r="M134" s="171" t="s">
        <v>503</v>
      </c>
      <c r="N134" s="171" t="s">
        <v>281</v>
      </c>
      <c r="O134" s="171" t="s">
        <v>287</v>
      </c>
      <c r="P134" s="171" t="s">
        <v>916</v>
      </c>
      <c r="Q134" s="171"/>
      <c r="R134" s="213">
        <v>727000</v>
      </c>
      <c r="S134" s="87">
        <v>0</v>
      </c>
      <c r="T134" s="87">
        <v>0</v>
      </c>
      <c r="U134" s="87">
        <v>0</v>
      </c>
      <c r="V134" s="87">
        <v>0</v>
      </c>
      <c r="W134" s="87">
        <v>0</v>
      </c>
      <c r="X134" s="87">
        <v>0</v>
      </c>
      <c r="Y134" s="87">
        <v>0</v>
      </c>
      <c r="Z134" s="87">
        <v>0</v>
      </c>
      <c r="AA134" s="214">
        <v>0</v>
      </c>
      <c r="AB134" s="214">
        <v>0</v>
      </c>
      <c r="AC134" s="214">
        <v>0</v>
      </c>
      <c r="AD134" s="214">
        <v>0</v>
      </c>
      <c r="AE134" s="214">
        <v>0</v>
      </c>
      <c r="AF134" s="214">
        <v>0</v>
      </c>
      <c r="AG134" s="214">
        <v>0</v>
      </c>
      <c r="AH134" s="214">
        <v>0</v>
      </c>
      <c r="AI134" s="87">
        <v>727090</v>
      </c>
      <c r="AJ134" s="87">
        <v>0</v>
      </c>
      <c r="AK134" s="87">
        <v>727090</v>
      </c>
      <c r="AL134" s="87">
        <v>727090</v>
      </c>
      <c r="AM134" s="87">
        <v>2980800</v>
      </c>
      <c r="AN134" s="87">
        <v>727090</v>
      </c>
      <c r="AO134" s="87">
        <v>727090</v>
      </c>
      <c r="AP134" s="87">
        <v>727000</v>
      </c>
      <c r="AQ134" s="88">
        <v>0</v>
      </c>
      <c r="AR134" s="88">
        <v>0</v>
      </c>
      <c r="AS134" s="88">
        <v>0</v>
      </c>
      <c r="AT134" s="88">
        <v>0</v>
      </c>
      <c r="AU134" s="88">
        <v>0</v>
      </c>
      <c r="AV134" s="88">
        <v>0</v>
      </c>
      <c r="AW134" s="88">
        <v>0</v>
      </c>
      <c r="AX134" s="88">
        <v>0</v>
      </c>
      <c r="AY134" s="87">
        <v>0</v>
      </c>
      <c r="AZ134" s="87">
        <v>0</v>
      </c>
      <c r="BA134" s="87">
        <v>0</v>
      </c>
      <c r="BB134" s="87">
        <v>0</v>
      </c>
      <c r="BC134" s="87">
        <v>0</v>
      </c>
      <c r="BD134" s="87">
        <v>0</v>
      </c>
      <c r="BE134" s="87">
        <v>0</v>
      </c>
      <c r="BF134" s="87">
        <v>0</v>
      </c>
      <c r="BG134" s="88">
        <v>0</v>
      </c>
      <c r="BH134" s="88">
        <v>0</v>
      </c>
      <c r="BI134" s="88">
        <v>0</v>
      </c>
      <c r="BJ134" s="88">
        <v>0</v>
      </c>
      <c r="BK134" s="88">
        <v>0</v>
      </c>
      <c r="BL134" s="88">
        <v>0</v>
      </c>
      <c r="BM134" s="88">
        <v>0</v>
      </c>
      <c r="BN134" s="590">
        <v>0</v>
      </c>
      <c r="BO134" s="171">
        <v>2023</v>
      </c>
      <c r="BP134" s="171">
        <v>1</v>
      </c>
      <c r="BQ134" s="171">
        <v>19</v>
      </c>
      <c r="BS134" s="76" t="str">
        <f t="shared" si="3"/>
        <v>○</v>
      </c>
    </row>
    <row r="135" spans="1:71" x14ac:dyDescent="0.2">
      <c r="A135" s="210">
        <v>1324</v>
      </c>
      <c r="B135" s="211"/>
      <c r="C135" s="212"/>
      <c r="D135" s="211"/>
      <c r="E135" s="212"/>
      <c r="F135" s="211"/>
      <c r="G135" s="211"/>
      <c r="H135" s="212"/>
      <c r="I135" s="211"/>
      <c r="J135" s="211"/>
      <c r="K135" s="211"/>
      <c r="L135" s="171"/>
      <c r="M135" s="171" t="s">
        <v>504</v>
      </c>
      <c r="N135" s="171" t="s">
        <v>269</v>
      </c>
      <c r="O135" s="171" t="s">
        <v>505</v>
      </c>
      <c r="P135" s="171" t="s">
        <v>916</v>
      </c>
      <c r="Q135" s="75"/>
      <c r="R135" s="213">
        <v>350000</v>
      </c>
      <c r="S135" s="87">
        <v>0</v>
      </c>
      <c r="T135" s="87">
        <v>0</v>
      </c>
      <c r="U135" s="87">
        <v>0</v>
      </c>
      <c r="V135" s="87">
        <v>0</v>
      </c>
      <c r="W135" s="87">
        <v>0</v>
      </c>
      <c r="X135" s="87">
        <v>0</v>
      </c>
      <c r="Y135" s="87">
        <v>0</v>
      </c>
      <c r="Z135" s="87">
        <v>0</v>
      </c>
      <c r="AA135" s="214">
        <v>0</v>
      </c>
      <c r="AB135" s="214">
        <v>0</v>
      </c>
      <c r="AC135" s="214">
        <v>0</v>
      </c>
      <c r="AD135" s="214">
        <v>0</v>
      </c>
      <c r="AE135" s="214">
        <v>0</v>
      </c>
      <c r="AF135" s="214">
        <v>0</v>
      </c>
      <c r="AG135" s="214">
        <v>0</v>
      </c>
      <c r="AH135" s="214">
        <v>0</v>
      </c>
      <c r="AI135" s="87">
        <v>350560</v>
      </c>
      <c r="AJ135" s="87">
        <v>0</v>
      </c>
      <c r="AK135" s="87">
        <v>350560</v>
      </c>
      <c r="AL135" s="87">
        <v>350560</v>
      </c>
      <c r="AM135" s="87">
        <v>3456000</v>
      </c>
      <c r="AN135" s="87">
        <v>350560</v>
      </c>
      <c r="AO135" s="87">
        <v>350560</v>
      </c>
      <c r="AP135" s="87">
        <v>350000</v>
      </c>
      <c r="AQ135" s="88">
        <v>0</v>
      </c>
      <c r="AR135" s="88">
        <v>0</v>
      </c>
      <c r="AS135" s="88">
        <v>0</v>
      </c>
      <c r="AT135" s="88">
        <v>0</v>
      </c>
      <c r="AU135" s="88">
        <v>0</v>
      </c>
      <c r="AV135" s="88">
        <v>0</v>
      </c>
      <c r="AW135" s="88">
        <v>0</v>
      </c>
      <c r="AX135" s="88">
        <v>0</v>
      </c>
      <c r="AY135" s="87">
        <v>0</v>
      </c>
      <c r="AZ135" s="87">
        <v>0</v>
      </c>
      <c r="BA135" s="87">
        <v>0</v>
      </c>
      <c r="BB135" s="87">
        <v>0</v>
      </c>
      <c r="BC135" s="87">
        <v>0</v>
      </c>
      <c r="BD135" s="87">
        <v>0</v>
      </c>
      <c r="BE135" s="87">
        <v>0</v>
      </c>
      <c r="BF135" s="87">
        <v>0</v>
      </c>
      <c r="BG135" s="88">
        <v>0</v>
      </c>
      <c r="BH135" s="88">
        <v>0</v>
      </c>
      <c r="BI135" s="88">
        <v>0</v>
      </c>
      <c r="BJ135" s="88">
        <v>0</v>
      </c>
      <c r="BK135" s="88">
        <v>0</v>
      </c>
      <c r="BL135" s="88">
        <v>0</v>
      </c>
      <c r="BM135" s="88">
        <v>0</v>
      </c>
      <c r="BN135" s="590">
        <v>0</v>
      </c>
      <c r="BO135" s="171">
        <v>2023</v>
      </c>
      <c r="BP135" s="171">
        <v>1</v>
      </c>
      <c r="BQ135" s="171">
        <v>19</v>
      </c>
      <c r="BS135" s="76" t="str">
        <f t="shared" si="3"/>
        <v>○</v>
      </c>
    </row>
    <row r="136" spans="1:71" x14ac:dyDescent="0.2">
      <c r="A136" s="210">
        <v>1325</v>
      </c>
      <c r="B136" s="211"/>
      <c r="C136" s="212"/>
      <c r="D136" s="211"/>
      <c r="E136" s="212"/>
      <c r="F136" s="211"/>
      <c r="G136" s="211"/>
      <c r="H136" s="212"/>
      <c r="I136" s="211"/>
      <c r="J136" s="211"/>
      <c r="K136" s="211"/>
      <c r="L136" s="171"/>
      <c r="M136" s="171" t="s">
        <v>353</v>
      </c>
      <c r="N136" s="171" t="s">
        <v>354</v>
      </c>
      <c r="O136" s="171" t="s">
        <v>355</v>
      </c>
      <c r="P136" s="171" t="s">
        <v>916</v>
      </c>
      <c r="Q136" s="171"/>
      <c r="R136" s="213">
        <v>1408000</v>
      </c>
      <c r="S136" s="87">
        <v>0</v>
      </c>
      <c r="T136" s="87">
        <v>0</v>
      </c>
      <c r="U136" s="87">
        <v>0</v>
      </c>
      <c r="V136" s="87">
        <v>0</v>
      </c>
      <c r="W136" s="87">
        <v>0</v>
      </c>
      <c r="X136" s="87">
        <v>0</v>
      </c>
      <c r="Y136" s="87">
        <v>0</v>
      </c>
      <c r="Z136" s="87">
        <v>0</v>
      </c>
      <c r="AA136" s="214">
        <v>0</v>
      </c>
      <c r="AB136" s="214">
        <v>0</v>
      </c>
      <c r="AC136" s="214">
        <v>0</v>
      </c>
      <c r="AD136" s="214">
        <v>0</v>
      </c>
      <c r="AE136" s="214">
        <v>0</v>
      </c>
      <c r="AF136" s="214">
        <v>0</v>
      </c>
      <c r="AG136" s="214">
        <v>0</v>
      </c>
      <c r="AH136" s="214">
        <v>0</v>
      </c>
      <c r="AI136" s="87">
        <v>1408330</v>
      </c>
      <c r="AJ136" s="87">
        <v>0</v>
      </c>
      <c r="AK136" s="87">
        <v>1408330</v>
      </c>
      <c r="AL136" s="87">
        <v>1408330</v>
      </c>
      <c r="AM136" s="87">
        <v>1555200</v>
      </c>
      <c r="AN136" s="87">
        <v>1408330</v>
      </c>
      <c r="AO136" s="87">
        <v>1408330</v>
      </c>
      <c r="AP136" s="87">
        <v>1408000</v>
      </c>
      <c r="AQ136" s="88">
        <v>0</v>
      </c>
      <c r="AR136" s="88">
        <v>0</v>
      </c>
      <c r="AS136" s="88">
        <v>0</v>
      </c>
      <c r="AT136" s="88">
        <v>0</v>
      </c>
      <c r="AU136" s="88">
        <v>0</v>
      </c>
      <c r="AV136" s="88">
        <v>0</v>
      </c>
      <c r="AW136" s="88">
        <v>0</v>
      </c>
      <c r="AX136" s="88">
        <v>0</v>
      </c>
      <c r="AY136" s="87">
        <v>0</v>
      </c>
      <c r="AZ136" s="87">
        <v>0</v>
      </c>
      <c r="BA136" s="87">
        <v>0</v>
      </c>
      <c r="BB136" s="87">
        <v>0</v>
      </c>
      <c r="BC136" s="87">
        <v>0</v>
      </c>
      <c r="BD136" s="87">
        <v>0</v>
      </c>
      <c r="BE136" s="87">
        <v>0</v>
      </c>
      <c r="BF136" s="87">
        <v>0</v>
      </c>
      <c r="BG136" s="88">
        <v>0</v>
      </c>
      <c r="BH136" s="88">
        <v>0</v>
      </c>
      <c r="BI136" s="88">
        <v>0</v>
      </c>
      <c r="BJ136" s="88">
        <v>0</v>
      </c>
      <c r="BK136" s="88">
        <v>0</v>
      </c>
      <c r="BL136" s="88">
        <v>0</v>
      </c>
      <c r="BM136" s="88">
        <v>0</v>
      </c>
      <c r="BN136" s="590">
        <v>0</v>
      </c>
      <c r="BO136" s="171">
        <v>2023</v>
      </c>
      <c r="BP136" s="171">
        <v>1</v>
      </c>
      <c r="BQ136" s="171">
        <v>19</v>
      </c>
      <c r="BS136" s="76" t="str">
        <f t="shared" si="3"/>
        <v>○</v>
      </c>
    </row>
    <row r="137" spans="1:71" x14ac:dyDescent="0.2">
      <c r="A137" s="210">
        <v>1326</v>
      </c>
      <c r="B137" s="211"/>
      <c r="C137" s="212"/>
      <c r="D137" s="211"/>
      <c r="E137" s="212"/>
      <c r="F137" s="211"/>
      <c r="G137" s="211"/>
      <c r="H137" s="212"/>
      <c r="I137" s="211"/>
      <c r="J137" s="211"/>
      <c r="K137" s="211"/>
      <c r="L137" s="171"/>
      <c r="M137" s="171" t="s">
        <v>506</v>
      </c>
      <c r="N137" s="171" t="s">
        <v>269</v>
      </c>
      <c r="O137" s="171" t="s">
        <v>507</v>
      </c>
      <c r="P137" s="171" t="s">
        <v>916</v>
      </c>
      <c r="Q137" s="171"/>
      <c r="R137" s="213">
        <v>379000</v>
      </c>
      <c r="S137" s="87">
        <v>0</v>
      </c>
      <c r="T137" s="87">
        <v>0</v>
      </c>
      <c r="U137" s="87">
        <v>0</v>
      </c>
      <c r="V137" s="87">
        <v>0</v>
      </c>
      <c r="W137" s="87">
        <v>0</v>
      </c>
      <c r="X137" s="87">
        <v>0</v>
      </c>
      <c r="Y137" s="87">
        <v>0</v>
      </c>
      <c r="Z137" s="87">
        <v>0</v>
      </c>
      <c r="AA137" s="214">
        <v>0</v>
      </c>
      <c r="AB137" s="214">
        <v>0</v>
      </c>
      <c r="AC137" s="214">
        <v>0</v>
      </c>
      <c r="AD137" s="214">
        <v>0</v>
      </c>
      <c r="AE137" s="214">
        <v>0</v>
      </c>
      <c r="AF137" s="214">
        <v>0</v>
      </c>
      <c r="AG137" s="214">
        <v>0</v>
      </c>
      <c r="AH137" s="214">
        <v>0</v>
      </c>
      <c r="AI137" s="87">
        <v>379800</v>
      </c>
      <c r="AJ137" s="87">
        <v>0</v>
      </c>
      <c r="AK137" s="87">
        <v>379800</v>
      </c>
      <c r="AL137" s="87">
        <v>379800</v>
      </c>
      <c r="AM137" s="87">
        <v>1306800</v>
      </c>
      <c r="AN137" s="87">
        <v>379800</v>
      </c>
      <c r="AO137" s="87">
        <v>379800</v>
      </c>
      <c r="AP137" s="87">
        <v>379000</v>
      </c>
      <c r="AQ137" s="88">
        <v>0</v>
      </c>
      <c r="AR137" s="88">
        <v>0</v>
      </c>
      <c r="AS137" s="88">
        <v>0</v>
      </c>
      <c r="AT137" s="88">
        <v>0</v>
      </c>
      <c r="AU137" s="88">
        <v>0</v>
      </c>
      <c r="AV137" s="88">
        <v>0</v>
      </c>
      <c r="AW137" s="88">
        <v>0</v>
      </c>
      <c r="AX137" s="88">
        <v>0</v>
      </c>
      <c r="AY137" s="87">
        <v>0</v>
      </c>
      <c r="AZ137" s="87">
        <v>0</v>
      </c>
      <c r="BA137" s="87">
        <v>0</v>
      </c>
      <c r="BB137" s="87">
        <v>0</v>
      </c>
      <c r="BC137" s="87">
        <v>0</v>
      </c>
      <c r="BD137" s="87">
        <v>0</v>
      </c>
      <c r="BE137" s="87">
        <v>0</v>
      </c>
      <c r="BF137" s="87">
        <v>0</v>
      </c>
      <c r="BG137" s="88">
        <v>0</v>
      </c>
      <c r="BH137" s="88">
        <v>0</v>
      </c>
      <c r="BI137" s="88">
        <v>0</v>
      </c>
      <c r="BJ137" s="88">
        <v>0</v>
      </c>
      <c r="BK137" s="88">
        <v>0</v>
      </c>
      <c r="BL137" s="88">
        <v>0</v>
      </c>
      <c r="BM137" s="88">
        <v>0</v>
      </c>
      <c r="BN137" s="590">
        <v>0</v>
      </c>
      <c r="BO137" s="171">
        <v>2023</v>
      </c>
      <c r="BP137" s="171">
        <v>1</v>
      </c>
      <c r="BQ137" s="171">
        <v>19</v>
      </c>
      <c r="BS137" s="76" t="str">
        <f t="shared" si="3"/>
        <v>○</v>
      </c>
    </row>
    <row r="138" spans="1:71" x14ac:dyDescent="0.2">
      <c r="A138" s="210">
        <v>1327</v>
      </c>
      <c r="B138" s="211"/>
      <c r="C138" s="212"/>
      <c r="D138" s="211"/>
      <c r="E138" s="212"/>
      <c r="F138" s="211"/>
      <c r="G138" s="211"/>
      <c r="H138" s="212"/>
      <c r="I138" s="211"/>
      <c r="J138" s="211"/>
      <c r="K138" s="211"/>
      <c r="L138" s="171"/>
      <c r="M138" s="171" t="s">
        <v>508</v>
      </c>
      <c r="N138" s="171" t="s">
        <v>416</v>
      </c>
      <c r="O138" s="171" t="s">
        <v>509</v>
      </c>
      <c r="P138" s="171" t="s">
        <v>916</v>
      </c>
      <c r="Q138" s="171"/>
      <c r="R138" s="213">
        <v>302000</v>
      </c>
      <c r="S138" s="87">
        <v>0</v>
      </c>
      <c r="T138" s="87">
        <v>0</v>
      </c>
      <c r="U138" s="87">
        <v>0</v>
      </c>
      <c r="V138" s="87">
        <v>0</v>
      </c>
      <c r="W138" s="87">
        <v>0</v>
      </c>
      <c r="X138" s="87">
        <v>0</v>
      </c>
      <c r="Y138" s="87">
        <v>0</v>
      </c>
      <c r="Z138" s="87">
        <v>0</v>
      </c>
      <c r="AA138" s="214">
        <v>0</v>
      </c>
      <c r="AB138" s="214">
        <v>0</v>
      </c>
      <c r="AC138" s="214">
        <v>0</v>
      </c>
      <c r="AD138" s="214">
        <v>0</v>
      </c>
      <c r="AE138" s="214">
        <v>0</v>
      </c>
      <c r="AF138" s="214">
        <v>0</v>
      </c>
      <c r="AG138" s="214">
        <v>0</v>
      </c>
      <c r="AH138" s="214">
        <v>0</v>
      </c>
      <c r="AI138" s="87">
        <v>302412</v>
      </c>
      <c r="AJ138" s="87">
        <v>0</v>
      </c>
      <c r="AK138" s="87">
        <v>302412</v>
      </c>
      <c r="AL138" s="87">
        <v>302412</v>
      </c>
      <c r="AM138" s="87">
        <v>2592000</v>
      </c>
      <c r="AN138" s="87">
        <v>302412</v>
      </c>
      <c r="AO138" s="87">
        <v>302412</v>
      </c>
      <c r="AP138" s="87">
        <v>302000</v>
      </c>
      <c r="AQ138" s="88">
        <v>0</v>
      </c>
      <c r="AR138" s="88">
        <v>0</v>
      </c>
      <c r="AS138" s="88">
        <v>0</v>
      </c>
      <c r="AT138" s="88">
        <v>0</v>
      </c>
      <c r="AU138" s="88">
        <v>0</v>
      </c>
      <c r="AV138" s="88">
        <v>0</v>
      </c>
      <c r="AW138" s="88">
        <v>0</v>
      </c>
      <c r="AX138" s="88">
        <v>0</v>
      </c>
      <c r="AY138" s="87">
        <v>0</v>
      </c>
      <c r="AZ138" s="87">
        <v>0</v>
      </c>
      <c r="BA138" s="87">
        <v>0</v>
      </c>
      <c r="BB138" s="87">
        <v>0</v>
      </c>
      <c r="BC138" s="87">
        <v>0</v>
      </c>
      <c r="BD138" s="87">
        <v>0</v>
      </c>
      <c r="BE138" s="87">
        <v>0</v>
      </c>
      <c r="BF138" s="87">
        <v>0</v>
      </c>
      <c r="BG138" s="88">
        <v>0</v>
      </c>
      <c r="BH138" s="88">
        <v>0</v>
      </c>
      <c r="BI138" s="88">
        <v>0</v>
      </c>
      <c r="BJ138" s="88">
        <v>0</v>
      </c>
      <c r="BK138" s="88">
        <v>0</v>
      </c>
      <c r="BL138" s="88">
        <v>0</v>
      </c>
      <c r="BM138" s="88">
        <v>0</v>
      </c>
      <c r="BN138" s="590">
        <v>0</v>
      </c>
      <c r="BO138" s="171">
        <v>2023</v>
      </c>
      <c r="BP138" s="171">
        <v>1</v>
      </c>
      <c r="BQ138" s="171">
        <v>19</v>
      </c>
      <c r="BS138" s="76" t="str">
        <f t="shared" si="3"/>
        <v>○</v>
      </c>
    </row>
    <row r="139" spans="1:71" x14ac:dyDescent="0.2">
      <c r="A139" s="210">
        <v>1328</v>
      </c>
      <c r="B139" s="211"/>
      <c r="C139" s="212"/>
      <c r="D139" s="211"/>
      <c r="E139" s="212"/>
      <c r="F139" s="211"/>
      <c r="G139" s="211"/>
      <c r="H139" s="212"/>
      <c r="I139" s="211"/>
      <c r="J139" s="211"/>
      <c r="K139" s="211"/>
      <c r="L139" s="171"/>
      <c r="M139" s="171" t="s">
        <v>510</v>
      </c>
      <c r="N139" s="171" t="s">
        <v>302</v>
      </c>
      <c r="O139" s="171" t="s">
        <v>511</v>
      </c>
      <c r="P139" s="171" t="s">
        <v>916</v>
      </c>
      <c r="Q139" s="171"/>
      <c r="R139" s="213">
        <v>501000</v>
      </c>
      <c r="S139" s="87">
        <v>0</v>
      </c>
      <c r="T139" s="87">
        <v>0</v>
      </c>
      <c r="U139" s="87">
        <v>0</v>
      </c>
      <c r="V139" s="87">
        <v>0</v>
      </c>
      <c r="W139" s="87">
        <v>0</v>
      </c>
      <c r="X139" s="87">
        <v>0</v>
      </c>
      <c r="Y139" s="87">
        <v>0</v>
      </c>
      <c r="Z139" s="87">
        <v>0</v>
      </c>
      <c r="AA139" s="214">
        <v>0</v>
      </c>
      <c r="AB139" s="214">
        <v>0</v>
      </c>
      <c r="AC139" s="214">
        <v>0</v>
      </c>
      <c r="AD139" s="214">
        <v>0</v>
      </c>
      <c r="AE139" s="214">
        <v>0</v>
      </c>
      <c r="AF139" s="214">
        <v>0</v>
      </c>
      <c r="AG139" s="214">
        <v>0</v>
      </c>
      <c r="AH139" s="214">
        <v>0</v>
      </c>
      <c r="AI139" s="87">
        <v>501916</v>
      </c>
      <c r="AJ139" s="87">
        <v>0</v>
      </c>
      <c r="AK139" s="87">
        <v>501916</v>
      </c>
      <c r="AL139" s="87">
        <v>501916</v>
      </c>
      <c r="AM139" s="87">
        <v>1544400</v>
      </c>
      <c r="AN139" s="87">
        <v>501916</v>
      </c>
      <c r="AO139" s="87">
        <v>501916</v>
      </c>
      <c r="AP139" s="87">
        <v>501000</v>
      </c>
      <c r="AQ139" s="88">
        <v>0</v>
      </c>
      <c r="AR139" s="88">
        <v>0</v>
      </c>
      <c r="AS139" s="88">
        <v>0</v>
      </c>
      <c r="AT139" s="88">
        <v>0</v>
      </c>
      <c r="AU139" s="88">
        <v>0</v>
      </c>
      <c r="AV139" s="88">
        <v>0</v>
      </c>
      <c r="AW139" s="88">
        <v>0</v>
      </c>
      <c r="AX139" s="88">
        <v>0</v>
      </c>
      <c r="AY139" s="87">
        <v>0</v>
      </c>
      <c r="AZ139" s="87">
        <v>0</v>
      </c>
      <c r="BA139" s="87">
        <v>0</v>
      </c>
      <c r="BB139" s="87">
        <v>0</v>
      </c>
      <c r="BC139" s="87">
        <v>0</v>
      </c>
      <c r="BD139" s="87">
        <v>0</v>
      </c>
      <c r="BE139" s="87">
        <v>0</v>
      </c>
      <c r="BF139" s="87">
        <v>0</v>
      </c>
      <c r="BG139" s="88">
        <v>0</v>
      </c>
      <c r="BH139" s="88">
        <v>0</v>
      </c>
      <c r="BI139" s="88">
        <v>0</v>
      </c>
      <c r="BJ139" s="88">
        <v>0</v>
      </c>
      <c r="BK139" s="88">
        <v>0</v>
      </c>
      <c r="BL139" s="88">
        <v>0</v>
      </c>
      <c r="BM139" s="88">
        <v>0</v>
      </c>
      <c r="BN139" s="590">
        <v>0</v>
      </c>
      <c r="BO139" s="171">
        <v>2023</v>
      </c>
      <c r="BP139" s="171">
        <v>1</v>
      </c>
      <c r="BQ139" s="171">
        <v>19</v>
      </c>
      <c r="BS139" s="76" t="str">
        <f t="shared" si="3"/>
        <v>○</v>
      </c>
    </row>
    <row r="140" spans="1:71" x14ac:dyDescent="0.2">
      <c r="A140" s="210">
        <v>1329</v>
      </c>
      <c r="B140" s="211"/>
      <c r="C140" s="212"/>
      <c r="D140" s="211"/>
      <c r="E140" s="212"/>
      <c r="F140" s="211"/>
      <c r="G140" s="211"/>
      <c r="H140" s="212"/>
      <c r="I140" s="211"/>
      <c r="J140" s="211"/>
      <c r="K140" s="211"/>
      <c r="L140" s="171"/>
      <c r="M140" s="171" t="s">
        <v>512</v>
      </c>
      <c r="N140" s="171" t="s">
        <v>513</v>
      </c>
      <c r="O140" s="171" t="s">
        <v>514</v>
      </c>
      <c r="P140" s="171" t="s">
        <v>916</v>
      </c>
      <c r="Q140" s="171"/>
      <c r="R140" s="213">
        <v>131000</v>
      </c>
      <c r="S140" s="87">
        <v>0</v>
      </c>
      <c r="T140" s="87">
        <v>0</v>
      </c>
      <c r="U140" s="87">
        <v>0</v>
      </c>
      <c r="V140" s="87">
        <v>0</v>
      </c>
      <c r="W140" s="87">
        <v>0</v>
      </c>
      <c r="X140" s="87">
        <v>0</v>
      </c>
      <c r="Y140" s="87">
        <v>0</v>
      </c>
      <c r="Z140" s="87">
        <v>0</v>
      </c>
      <c r="AA140" s="214">
        <v>0</v>
      </c>
      <c r="AB140" s="214">
        <v>0</v>
      </c>
      <c r="AC140" s="214">
        <v>0</v>
      </c>
      <c r="AD140" s="214">
        <v>0</v>
      </c>
      <c r="AE140" s="214">
        <v>0</v>
      </c>
      <c r="AF140" s="214">
        <v>0</v>
      </c>
      <c r="AG140" s="214">
        <v>0</v>
      </c>
      <c r="AH140" s="214">
        <v>0</v>
      </c>
      <c r="AI140" s="87">
        <v>131940</v>
      </c>
      <c r="AJ140" s="87">
        <v>0</v>
      </c>
      <c r="AK140" s="87">
        <v>131940</v>
      </c>
      <c r="AL140" s="87">
        <v>131940</v>
      </c>
      <c r="AM140" s="87">
        <v>885600</v>
      </c>
      <c r="AN140" s="87">
        <v>131940</v>
      </c>
      <c r="AO140" s="87">
        <v>131940</v>
      </c>
      <c r="AP140" s="87">
        <v>131000</v>
      </c>
      <c r="AQ140" s="88">
        <v>0</v>
      </c>
      <c r="AR140" s="88">
        <v>0</v>
      </c>
      <c r="AS140" s="88">
        <v>0</v>
      </c>
      <c r="AT140" s="88">
        <v>0</v>
      </c>
      <c r="AU140" s="88">
        <v>0</v>
      </c>
      <c r="AV140" s="88">
        <v>0</v>
      </c>
      <c r="AW140" s="88">
        <v>0</v>
      </c>
      <c r="AX140" s="88">
        <v>0</v>
      </c>
      <c r="AY140" s="87">
        <v>0</v>
      </c>
      <c r="AZ140" s="87">
        <v>0</v>
      </c>
      <c r="BA140" s="87">
        <v>0</v>
      </c>
      <c r="BB140" s="87">
        <v>0</v>
      </c>
      <c r="BC140" s="87">
        <v>0</v>
      </c>
      <c r="BD140" s="87">
        <v>0</v>
      </c>
      <c r="BE140" s="87">
        <v>0</v>
      </c>
      <c r="BF140" s="87">
        <v>0</v>
      </c>
      <c r="BG140" s="88">
        <v>0</v>
      </c>
      <c r="BH140" s="88">
        <v>0</v>
      </c>
      <c r="BI140" s="88">
        <v>0</v>
      </c>
      <c r="BJ140" s="88">
        <v>0</v>
      </c>
      <c r="BK140" s="88">
        <v>0</v>
      </c>
      <c r="BL140" s="88">
        <v>0</v>
      </c>
      <c r="BM140" s="88">
        <v>0</v>
      </c>
      <c r="BN140" s="590">
        <v>0</v>
      </c>
      <c r="BO140" s="171">
        <v>2023</v>
      </c>
      <c r="BP140" s="171">
        <v>1</v>
      </c>
      <c r="BQ140" s="171">
        <v>19</v>
      </c>
      <c r="BS140" s="76" t="str">
        <f t="shared" ref="BS140:BS171" si="4">IF(R140=SUM(Z140,AH140,AP140,BF140,BN140),"○","×")</f>
        <v>○</v>
      </c>
    </row>
    <row r="141" spans="1:71" x14ac:dyDescent="0.2">
      <c r="A141" s="210">
        <v>1330</v>
      </c>
      <c r="B141" s="211"/>
      <c r="C141" s="212"/>
      <c r="D141" s="211"/>
      <c r="E141" s="212"/>
      <c r="F141" s="211"/>
      <c r="G141" s="211"/>
      <c r="H141" s="212"/>
      <c r="I141" s="211"/>
      <c r="J141" s="211"/>
      <c r="K141" s="211"/>
      <c r="L141" s="171"/>
      <c r="M141" s="171" t="s">
        <v>512</v>
      </c>
      <c r="N141" s="171" t="s">
        <v>513</v>
      </c>
      <c r="O141" s="171" t="s">
        <v>514</v>
      </c>
      <c r="P141" s="171" t="s">
        <v>916</v>
      </c>
      <c r="Q141" s="171"/>
      <c r="R141" s="213">
        <v>289000</v>
      </c>
      <c r="S141" s="87">
        <v>0</v>
      </c>
      <c r="T141" s="87">
        <v>0</v>
      </c>
      <c r="U141" s="87">
        <v>0</v>
      </c>
      <c r="V141" s="87">
        <v>0</v>
      </c>
      <c r="W141" s="87">
        <v>0</v>
      </c>
      <c r="X141" s="87">
        <v>0</v>
      </c>
      <c r="Y141" s="87">
        <v>0</v>
      </c>
      <c r="Z141" s="87">
        <v>0</v>
      </c>
      <c r="AA141" s="214">
        <v>0</v>
      </c>
      <c r="AB141" s="214">
        <v>0</v>
      </c>
      <c r="AC141" s="214">
        <v>0</v>
      </c>
      <c r="AD141" s="214">
        <v>0</v>
      </c>
      <c r="AE141" s="214">
        <v>0</v>
      </c>
      <c r="AF141" s="214">
        <v>0</v>
      </c>
      <c r="AG141" s="214">
        <v>0</v>
      </c>
      <c r="AH141" s="214">
        <v>0</v>
      </c>
      <c r="AI141" s="87">
        <v>289872</v>
      </c>
      <c r="AJ141" s="87">
        <v>0</v>
      </c>
      <c r="AK141" s="87">
        <v>289872</v>
      </c>
      <c r="AL141" s="87">
        <v>289872</v>
      </c>
      <c r="AM141" s="87">
        <v>1306800</v>
      </c>
      <c r="AN141" s="87">
        <v>289872</v>
      </c>
      <c r="AO141" s="87">
        <v>289872</v>
      </c>
      <c r="AP141" s="87">
        <v>289000</v>
      </c>
      <c r="AQ141" s="88">
        <v>0</v>
      </c>
      <c r="AR141" s="88">
        <v>0</v>
      </c>
      <c r="AS141" s="88">
        <v>0</v>
      </c>
      <c r="AT141" s="88">
        <v>0</v>
      </c>
      <c r="AU141" s="88">
        <v>0</v>
      </c>
      <c r="AV141" s="88">
        <v>0</v>
      </c>
      <c r="AW141" s="88">
        <v>0</v>
      </c>
      <c r="AX141" s="88">
        <v>0</v>
      </c>
      <c r="AY141" s="87">
        <v>0</v>
      </c>
      <c r="AZ141" s="87">
        <v>0</v>
      </c>
      <c r="BA141" s="87">
        <v>0</v>
      </c>
      <c r="BB141" s="87">
        <v>0</v>
      </c>
      <c r="BC141" s="87">
        <v>0</v>
      </c>
      <c r="BD141" s="87">
        <v>0</v>
      </c>
      <c r="BE141" s="87">
        <v>0</v>
      </c>
      <c r="BF141" s="87">
        <v>0</v>
      </c>
      <c r="BG141" s="88">
        <v>0</v>
      </c>
      <c r="BH141" s="88">
        <v>0</v>
      </c>
      <c r="BI141" s="88">
        <v>0</v>
      </c>
      <c r="BJ141" s="88">
        <v>0</v>
      </c>
      <c r="BK141" s="88">
        <v>0</v>
      </c>
      <c r="BL141" s="88">
        <v>0</v>
      </c>
      <c r="BM141" s="88">
        <v>0</v>
      </c>
      <c r="BN141" s="590">
        <v>0</v>
      </c>
      <c r="BO141" s="171">
        <v>2023</v>
      </c>
      <c r="BP141" s="171">
        <v>1</v>
      </c>
      <c r="BQ141" s="171">
        <v>19</v>
      </c>
      <c r="BS141" s="76" t="str">
        <f t="shared" si="4"/>
        <v>○</v>
      </c>
    </row>
    <row r="142" spans="1:71" x14ac:dyDescent="0.2">
      <c r="A142" s="210">
        <v>1331</v>
      </c>
      <c r="B142" s="211"/>
      <c r="C142" s="212"/>
      <c r="D142" s="211"/>
      <c r="E142" s="212"/>
      <c r="F142" s="211"/>
      <c r="G142" s="211"/>
      <c r="H142" s="212"/>
      <c r="I142" s="211"/>
      <c r="J142" s="211"/>
      <c r="K142" s="211"/>
      <c r="L142" s="171"/>
      <c r="M142" s="171" t="s">
        <v>515</v>
      </c>
      <c r="N142" s="171" t="s">
        <v>286</v>
      </c>
      <c r="O142" s="171" t="s">
        <v>279</v>
      </c>
      <c r="P142" s="171" t="s">
        <v>916</v>
      </c>
      <c r="Q142" s="171"/>
      <c r="R142" s="213">
        <v>66000</v>
      </c>
      <c r="S142" s="87">
        <v>0</v>
      </c>
      <c r="T142" s="87">
        <v>0</v>
      </c>
      <c r="U142" s="87">
        <v>0</v>
      </c>
      <c r="V142" s="87">
        <v>0</v>
      </c>
      <c r="W142" s="87">
        <v>0</v>
      </c>
      <c r="X142" s="87">
        <v>0</v>
      </c>
      <c r="Y142" s="87">
        <v>0</v>
      </c>
      <c r="Z142" s="87">
        <v>0</v>
      </c>
      <c r="AA142" s="214">
        <v>0</v>
      </c>
      <c r="AB142" s="214">
        <v>0</v>
      </c>
      <c r="AC142" s="214">
        <v>0</v>
      </c>
      <c r="AD142" s="214">
        <v>0</v>
      </c>
      <c r="AE142" s="214">
        <v>0</v>
      </c>
      <c r="AF142" s="214">
        <v>0</v>
      </c>
      <c r="AG142" s="214">
        <v>0</v>
      </c>
      <c r="AH142" s="214">
        <v>0</v>
      </c>
      <c r="AI142" s="87">
        <v>66594</v>
      </c>
      <c r="AJ142" s="87">
        <v>0</v>
      </c>
      <c r="AK142" s="87">
        <v>66594</v>
      </c>
      <c r="AL142" s="87">
        <v>66594</v>
      </c>
      <c r="AM142" s="87">
        <v>2088000</v>
      </c>
      <c r="AN142" s="87">
        <v>66594</v>
      </c>
      <c r="AO142" s="87">
        <v>66594</v>
      </c>
      <c r="AP142" s="87">
        <v>66000</v>
      </c>
      <c r="AQ142" s="88">
        <v>0</v>
      </c>
      <c r="AR142" s="88">
        <v>0</v>
      </c>
      <c r="AS142" s="88">
        <v>0</v>
      </c>
      <c r="AT142" s="88">
        <v>0</v>
      </c>
      <c r="AU142" s="88">
        <v>0</v>
      </c>
      <c r="AV142" s="88">
        <v>0</v>
      </c>
      <c r="AW142" s="88">
        <v>0</v>
      </c>
      <c r="AX142" s="88">
        <v>0</v>
      </c>
      <c r="AY142" s="87">
        <v>0</v>
      </c>
      <c r="AZ142" s="87">
        <v>0</v>
      </c>
      <c r="BA142" s="87">
        <v>0</v>
      </c>
      <c r="BB142" s="87">
        <v>0</v>
      </c>
      <c r="BC142" s="87">
        <v>0</v>
      </c>
      <c r="BD142" s="87">
        <v>0</v>
      </c>
      <c r="BE142" s="87">
        <v>0</v>
      </c>
      <c r="BF142" s="87">
        <v>0</v>
      </c>
      <c r="BG142" s="88">
        <v>0</v>
      </c>
      <c r="BH142" s="88">
        <v>0</v>
      </c>
      <c r="BI142" s="88">
        <v>0</v>
      </c>
      <c r="BJ142" s="88">
        <v>0</v>
      </c>
      <c r="BK142" s="88">
        <v>0</v>
      </c>
      <c r="BL142" s="88">
        <v>0</v>
      </c>
      <c r="BM142" s="88">
        <v>0</v>
      </c>
      <c r="BN142" s="590">
        <v>0</v>
      </c>
      <c r="BO142" s="171">
        <v>2023</v>
      </c>
      <c r="BP142" s="171">
        <v>1</v>
      </c>
      <c r="BQ142" s="171">
        <v>19</v>
      </c>
      <c r="BS142" s="76" t="str">
        <f t="shared" si="4"/>
        <v>○</v>
      </c>
    </row>
    <row r="143" spans="1:71" x14ac:dyDescent="0.2">
      <c r="A143" s="210">
        <v>1332</v>
      </c>
      <c r="B143" s="211"/>
      <c r="C143" s="212"/>
      <c r="D143" s="211"/>
      <c r="E143" s="212"/>
      <c r="F143" s="211"/>
      <c r="G143" s="211"/>
      <c r="H143" s="212"/>
      <c r="I143" s="211"/>
      <c r="J143" s="211"/>
      <c r="K143" s="211"/>
      <c r="L143" s="171"/>
      <c r="M143" s="171" t="s">
        <v>460</v>
      </c>
      <c r="N143" s="171" t="s">
        <v>289</v>
      </c>
      <c r="O143" s="171" t="s">
        <v>461</v>
      </c>
      <c r="P143" s="171" t="s">
        <v>916</v>
      </c>
      <c r="Q143" s="75"/>
      <c r="R143" s="213">
        <v>378000</v>
      </c>
      <c r="S143" s="87">
        <v>0</v>
      </c>
      <c r="T143" s="87">
        <v>0</v>
      </c>
      <c r="U143" s="87">
        <v>0</v>
      </c>
      <c r="V143" s="87">
        <v>0</v>
      </c>
      <c r="W143" s="87">
        <v>0</v>
      </c>
      <c r="X143" s="87">
        <v>0</v>
      </c>
      <c r="Y143" s="87">
        <v>0</v>
      </c>
      <c r="Z143" s="87">
        <v>0</v>
      </c>
      <c r="AA143" s="214">
        <v>0</v>
      </c>
      <c r="AB143" s="214">
        <v>0</v>
      </c>
      <c r="AC143" s="214">
        <v>0</v>
      </c>
      <c r="AD143" s="214">
        <v>0</v>
      </c>
      <c r="AE143" s="214">
        <v>0</v>
      </c>
      <c r="AF143" s="214">
        <v>0</v>
      </c>
      <c r="AG143" s="214">
        <v>0</v>
      </c>
      <c r="AH143" s="214">
        <v>0</v>
      </c>
      <c r="AI143" s="87">
        <v>378056</v>
      </c>
      <c r="AJ143" s="87">
        <v>0</v>
      </c>
      <c r="AK143" s="87">
        <v>378056</v>
      </c>
      <c r="AL143" s="87">
        <v>378056</v>
      </c>
      <c r="AM143" s="87">
        <v>2700000</v>
      </c>
      <c r="AN143" s="87">
        <v>378056</v>
      </c>
      <c r="AO143" s="87">
        <v>378056</v>
      </c>
      <c r="AP143" s="87">
        <v>378000</v>
      </c>
      <c r="AQ143" s="88">
        <v>0</v>
      </c>
      <c r="AR143" s="88">
        <v>0</v>
      </c>
      <c r="AS143" s="88">
        <v>0</v>
      </c>
      <c r="AT143" s="88">
        <v>0</v>
      </c>
      <c r="AU143" s="88">
        <v>0</v>
      </c>
      <c r="AV143" s="88">
        <v>0</v>
      </c>
      <c r="AW143" s="88">
        <v>0</v>
      </c>
      <c r="AX143" s="88">
        <v>0</v>
      </c>
      <c r="AY143" s="87">
        <v>0</v>
      </c>
      <c r="AZ143" s="87">
        <v>0</v>
      </c>
      <c r="BA143" s="87">
        <v>0</v>
      </c>
      <c r="BB143" s="87">
        <v>0</v>
      </c>
      <c r="BC143" s="87">
        <v>0</v>
      </c>
      <c r="BD143" s="87">
        <v>0</v>
      </c>
      <c r="BE143" s="87">
        <v>0</v>
      </c>
      <c r="BF143" s="87">
        <v>0</v>
      </c>
      <c r="BG143" s="88">
        <v>0</v>
      </c>
      <c r="BH143" s="88">
        <v>0</v>
      </c>
      <c r="BI143" s="88">
        <v>0</v>
      </c>
      <c r="BJ143" s="88">
        <v>0</v>
      </c>
      <c r="BK143" s="88">
        <v>0</v>
      </c>
      <c r="BL143" s="88">
        <v>0</v>
      </c>
      <c r="BM143" s="88">
        <v>0</v>
      </c>
      <c r="BN143" s="590">
        <v>0</v>
      </c>
      <c r="BO143" s="171">
        <v>2023</v>
      </c>
      <c r="BP143" s="171">
        <v>1</v>
      </c>
      <c r="BQ143" s="171">
        <v>19</v>
      </c>
      <c r="BS143" s="76" t="str">
        <f t="shared" si="4"/>
        <v>○</v>
      </c>
    </row>
    <row r="144" spans="1:71" x14ac:dyDescent="0.2">
      <c r="A144" s="210">
        <v>1333</v>
      </c>
      <c r="B144" s="211"/>
      <c r="C144" s="212"/>
      <c r="D144" s="211"/>
      <c r="E144" s="212"/>
      <c r="F144" s="211"/>
      <c r="G144" s="211"/>
      <c r="H144" s="212"/>
      <c r="I144" s="211"/>
      <c r="J144" s="211"/>
      <c r="K144" s="211"/>
      <c r="L144" s="171"/>
      <c r="M144" s="171" t="s">
        <v>359</v>
      </c>
      <c r="N144" s="171" t="s">
        <v>269</v>
      </c>
      <c r="O144" s="171" t="s">
        <v>360</v>
      </c>
      <c r="P144" s="171" t="s">
        <v>916</v>
      </c>
      <c r="Q144" s="75"/>
      <c r="R144" s="213">
        <v>2545000</v>
      </c>
      <c r="S144" s="87">
        <v>0</v>
      </c>
      <c r="T144" s="87">
        <v>0</v>
      </c>
      <c r="U144" s="87">
        <v>0</v>
      </c>
      <c r="V144" s="87">
        <v>0</v>
      </c>
      <c r="W144" s="87">
        <v>0</v>
      </c>
      <c r="X144" s="87">
        <v>0</v>
      </c>
      <c r="Y144" s="87">
        <v>0</v>
      </c>
      <c r="Z144" s="87">
        <v>0</v>
      </c>
      <c r="AA144" s="214">
        <v>0</v>
      </c>
      <c r="AB144" s="214">
        <v>0</v>
      </c>
      <c r="AC144" s="214">
        <v>0</v>
      </c>
      <c r="AD144" s="214">
        <v>0</v>
      </c>
      <c r="AE144" s="214">
        <v>0</v>
      </c>
      <c r="AF144" s="214">
        <v>0</v>
      </c>
      <c r="AG144" s="214">
        <v>0</v>
      </c>
      <c r="AH144" s="214">
        <v>0</v>
      </c>
      <c r="AI144" s="87">
        <v>2545157</v>
      </c>
      <c r="AJ144" s="87">
        <v>0</v>
      </c>
      <c r="AK144" s="87">
        <v>2545157</v>
      </c>
      <c r="AL144" s="87">
        <v>2545157</v>
      </c>
      <c r="AM144" s="87">
        <v>3931200</v>
      </c>
      <c r="AN144" s="87">
        <v>2545157</v>
      </c>
      <c r="AO144" s="87">
        <v>2545157</v>
      </c>
      <c r="AP144" s="87">
        <v>2545000</v>
      </c>
      <c r="AQ144" s="88">
        <v>0</v>
      </c>
      <c r="AR144" s="88">
        <v>0</v>
      </c>
      <c r="AS144" s="88">
        <v>0</v>
      </c>
      <c r="AT144" s="88">
        <v>0</v>
      </c>
      <c r="AU144" s="88">
        <v>0</v>
      </c>
      <c r="AV144" s="88">
        <v>0</v>
      </c>
      <c r="AW144" s="88">
        <v>0</v>
      </c>
      <c r="AX144" s="88">
        <v>0</v>
      </c>
      <c r="AY144" s="87">
        <v>0</v>
      </c>
      <c r="AZ144" s="87">
        <v>0</v>
      </c>
      <c r="BA144" s="87">
        <v>0</v>
      </c>
      <c r="BB144" s="87">
        <v>0</v>
      </c>
      <c r="BC144" s="87">
        <v>0</v>
      </c>
      <c r="BD144" s="87">
        <v>0</v>
      </c>
      <c r="BE144" s="87">
        <v>0</v>
      </c>
      <c r="BF144" s="87">
        <v>0</v>
      </c>
      <c r="BG144" s="88">
        <v>0</v>
      </c>
      <c r="BH144" s="88">
        <v>0</v>
      </c>
      <c r="BI144" s="88">
        <v>0</v>
      </c>
      <c r="BJ144" s="88">
        <v>0</v>
      </c>
      <c r="BK144" s="88">
        <v>0</v>
      </c>
      <c r="BL144" s="88">
        <v>0</v>
      </c>
      <c r="BM144" s="88">
        <v>0</v>
      </c>
      <c r="BN144" s="590">
        <v>0</v>
      </c>
      <c r="BO144" s="171">
        <v>2023</v>
      </c>
      <c r="BP144" s="171">
        <v>1</v>
      </c>
      <c r="BQ144" s="171">
        <v>19</v>
      </c>
      <c r="BS144" s="76" t="str">
        <f t="shared" si="4"/>
        <v>○</v>
      </c>
    </row>
    <row r="145" spans="1:71" x14ac:dyDescent="0.2">
      <c r="A145" s="210">
        <v>1334</v>
      </c>
      <c r="B145" s="211"/>
      <c r="C145" s="212"/>
      <c r="D145" s="211"/>
      <c r="E145" s="212"/>
      <c r="F145" s="211"/>
      <c r="G145" s="211"/>
      <c r="H145" s="212"/>
      <c r="I145" s="211"/>
      <c r="J145" s="211"/>
      <c r="K145" s="211"/>
      <c r="L145" s="171"/>
      <c r="M145" s="171" t="s">
        <v>516</v>
      </c>
      <c r="N145" s="171" t="s">
        <v>318</v>
      </c>
      <c r="O145" s="171" t="s">
        <v>517</v>
      </c>
      <c r="P145" s="171" t="s">
        <v>916</v>
      </c>
      <c r="Q145" s="171"/>
      <c r="R145" s="213">
        <v>115000</v>
      </c>
      <c r="S145" s="87">
        <v>0</v>
      </c>
      <c r="T145" s="87">
        <v>0</v>
      </c>
      <c r="U145" s="87">
        <v>0</v>
      </c>
      <c r="V145" s="87">
        <v>0</v>
      </c>
      <c r="W145" s="87">
        <v>0</v>
      </c>
      <c r="X145" s="87">
        <v>0</v>
      </c>
      <c r="Y145" s="87">
        <v>0</v>
      </c>
      <c r="Z145" s="87">
        <v>0</v>
      </c>
      <c r="AA145" s="214">
        <v>0</v>
      </c>
      <c r="AB145" s="214">
        <v>0</v>
      </c>
      <c r="AC145" s="214">
        <v>0</v>
      </c>
      <c r="AD145" s="214">
        <v>0</v>
      </c>
      <c r="AE145" s="214">
        <v>0</v>
      </c>
      <c r="AF145" s="214">
        <v>0</v>
      </c>
      <c r="AG145" s="214">
        <v>0</v>
      </c>
      <c r="AH145" s="214">
        <v>0</v>
      </c>
      <c r="AI145" s="87">
        <v>115420</v>
      </c>
      <c r="AJ145" s="87">
        <v>0</v>
      </c>
      <c r="AK145" s="87">
        <v>115420</v>
      </c>
      <c r="AL145" s="87">
        <v>115420</v>
      </c>
      <c r="AM145" s="87">
        <v>3704400</v>
      </c>
      <c r="AN145" s="87">
        <v>115420</v>
      </c>
      <c r="AO145" s="87">
        <v>115420</v>
      </c>
      <c r="AP145" s="87">
        <v>115000</v>
      </c>
      <c r="AQ145" s="88">
        <v>0</v>
      </c>
      <c r="AR145" s="88">
        <v>0</v>
      </c>
      <c r="AS145" s="88">
        <v>0</v>
      </c>
      <c r="AT145" s="88">
        <v>0</v>
      </c>
      <c r="AU145" s="88">
        <v>0</v>
      </c>
      <c r="AV145" s="88">
        <v>0</v>
      </c>
      <c r="AW145" s="88">
        <v>0</v>
      </c>
      <c r="AX145" s="88">
        <v>0</v>
      </c>
      <c r="AY145" s="87">
        <v>0</v>
      </c>
      <c r="AZ145" s="87">
        <v>0</v>
      </c>
      <c r="BA145" s="87">
        <v>0</v>
      </c>
      <c r="BB145" s="87">
        <v>0</v>
      </c>
      <c r="BC145" s="87">
        <v>0</v>
      </c>
      <c r="BD145" s="87">
        <v>0</v>
      </c>
      <c r="BE145" s="87">
        <v>0</v>
      </c>
      <c r="BF145" s="87">
        <v>0</v>
      </c>
      <c r="BG145" s="88">
        <v>0</v>
      </c>
      <c r="BH145" s="88">
        <v>0</v>
      </c>
      <c r="BI145" s="88">
        <v>0</v>
      </c>
      <c r="BJ145" s="88">
        <v>0</v>
      </c>
      <c r="BK145" s="88">
        <v>0</v>
      </c>
      <c r="BL145" s="88">
        <v>0</v>
      </c>
      <c r="BM145" s="88">
        <v>0</v>
      </c>
      <c r="BN145" s="590">
        <v>0</v>
      </c>
      <c r="BO145" s="171">
        <v>2023</v>
      </c>
      <c r="BP145" s="171">
        <v>1</v>
      </c>
      <c r="BQ145" s="171">
        <v>19</v>
      </c>
      <c r="BS145" s="76" t="str">
        <f t="shared" si="4"/>
        <v>○</v>
      </c>
    </row>
    <row r="146" spans="1:71" x14ac:dyDescent="0.2">
      <c r="A146" s="210">
        <v>1335</v>
      </c>
      <c r="B146" s="211"/>
      <c r="C146" s="212"/>
      <c r="D146" s="211"/>
      <c r="E146" s="212"/>
      <c r="F146" s="211"/>
      <c r="G146" s="211"/>
      <c r="H146" s="212"/>
      <c r="I146" s="211"/>
      <c r="J146" s="211"/>
      <c r="K146" s="211"/>
      <c r="L146" s="171"/>
      <c r="M146" s="171" t="s">
        <v>518</v>
      </c>
      <c r="N146" s="171" t="s">
        <v>493</v>
      </c>
      <c r="O146" s="171" t="s">
        <v>519</v>
      </c>
      <c r="P146" s="171" t="s">
        <v>916</v>
      </c>
      <c r="Q146" s="171"/>
      <c r="R146" s="213">
        <v>449000</v>
      </c>
      <c r="S146" s="87">
        <v>0</v>
      </c>
      <c r="T146" s="87">
        <v>0</v>
      </c>
      <c r="U146" s="87">
        <v>0</v>
      </c>
      <c r="V146" s="87">
        <v>0</v>
      </c>
      <c r="W146" s="87">
        <v>0</v>
      </c>
      <c r="X146" s="87">
        <v>0</v>
      </c>
      <c r="Y146" s="87">
        <v>0</v>
      </c>
      <c r="Z146" s="87">
        <v>0</v>
      </c>
      <c r="AA146" s="214">
        <v>0</v>
      </c>
      <c r="AB146" s="214">
        <v>0</v>
      </c>
      <c r="AC146" s="214">
        <v>0</v>
      </c>
      <c r="AD146" s="214">
        <v>0</v>
      </c>
      <c r="AE146" s="214">
        <v>0</v>
      </c>
      <c r="AF146" s="214">
        <v>0</v>
      </c>
      <c r="AG146" s="214">
        <v>0</v>
      </c>
      <c r="AH146" s="214">
        <v>0</v>
      </c>
      <c r="AI146" s="87">
        <v>449878</v>
      </c>
      <c r="AJ146" s="87">
        <v>0</v>
      </c>
      <c r="AK146" s="87">
        <v>449878</v>
      </c>
      <c r="AL146" s="87">
        <v>449878</v>
      </c>
      <c r="AM146" s="87">
        <v>4791600</v>
      </c>
      <c r="AN146" s="87">
        <v>449878</v>
      </c>
      <c r="AO146" s="87">
        <v>449878</v>
      </c>
      <c r="AP146" s="87">
        <v>449000</v>
      </c>
      <c r="AQ146" s="88">
        <v>0</v>
      </c>
      <c r="AR146" s="88">
        <v>0</v>
      </c>
      <c r="AS146" s="88">
        <v>0</v>
      </c>
      <c r="AT146" s="88">
        <v>0</v>
      </c>
      <c r="AU146" s="88">
        <v>0</v>
      </c>
      <c r="AV146" s="88">
        <v>0</v>
      </c>
      <c r="AW146" s="88">
        <v>0</v>
      </c>
      <c r="AX146" s="88">
        <v>0</v>
      </c>
      <c r="AY146" s="87">
        <v>0</v>
      </c>
      <c r="AZ146" s="87">
        <v>0</v>
      </c>
      <c r="BA146" s="87">
        <v>0</v>
      </c>
      <c r="BB146" s="87">
        <v>0</v>
      </c>
      <c r="BC146" s="87">
        <v>0</v>
      </c>
      <c r="BD146" s="87">
        <v>0</v>
      </c>
      <c r="BE146" s="87">
        <v>0</v>
      </c>
      <c r="BF146" s="87">
        <v>0</v>
      </c>
      <c r="BG146" s="88">
        <v>0</v>
      </c>
      <c r="BH146" s="88">
        <v>0</v>
      </c>
      <c r="BI146" s="88">
        <v>0</v>
      </c>
      <c r="BJ146" s="88">
        <v>0</v>
      </c>
      <c r="BK146" s="88">
        <v>0</v>
      </c>
      <c r="BL146" s="88">
        <v>0</v>
      </c>
      <c r="BM146" s="88">
        <v>0</v>
      </c>
      <c r="BN146" s="590">
        <v>0</v>
      </c>
      <c r="BO146" s="171">
        <v>2023</v>
      </c>
      <c r="BP146" s="171">
        <v>1</v>
      </c>
      <c r="BQ146" s="171">
        <v>19</v>
      </c>
      <c r="BS146" s="76" t="str">
        <f t="shared" si="4"/>
        <v>○</v>
      </c>
    </row>
    <row r="147" spans="1:71" x14ac:dyDescent="0.2">
      <c r="A147" s="210">
        <v>1336</v>
      </c>
      <c r="B147" s="211"/>
      <c r="C147" s="212"/>
      <c r="D147" s="211"/>
      <c r="E147" s="212"/>
      <c r="F147" s="211"/>
      <c r="G147" s="211"/>
      <c r="H147" s="212"/>
      <c r="I147" s="211"/>
      <c r="J147" s="211"/>
      <c r="K147" s="211"/>
      <c r="L147" s="171"/>
      <c r="M147" s="171" t="s">
        <v>520</v>
      </c>
      <c r="N147" s="171" t="s">
        <v>302</v>
      </c>
      <c r="O147" s="171" t="s">
        <v>364</v>
      </c>
      <c r="P147" s="171" t="s">
        <v>916</v>
      </c>
      <c r="Q147" s="171"/>
      <c r="R147" s="213">
        <v>508000</v>
      </c>
      <c r="S147" s="87">
        <v>0</v>
      </c>
      <c r="T147" s="87">
        <v>0</v>
      </c>
      <c r="U147" s="87">
        <v>0</v>
      </c>
      <c r="V147" s="87">
        <v>0</v>
      </c>
      <c r="W147" s="87">
        <v>0</v>
      </c>
      <c r="X147" s="87">
        <v>0</v>
      </c>
      <c r="Y147" s="87">
        <v>0</v>
      </c>
      <c r="Z147" s="87">
        <v>0</v>
      </c>
      <c r="AA147" s="214">
        <v>0</v>
      </c>
      <c r="AB147" s="214">
        <v>0</v>
      </c>
      <c r="AC147" s="214">
        <v>0</v>
      </c>
      <c r="AD147" s="214">
        <v>0</v>
      </c>
      <c r="AE147" s="214">
        <v>0</v>
      </c>
      <c r="AF147" s="214">
        <v>0</v>
      </c>
      <c r="AG147" s="214">
        <v>0</v>
      </c>
      <c r="AH147" s="214">
        <v>0</v>
      </c>
      <c r="AI147" s="87">
        <v>508882</v>
      </c>
      <c r="AJ147" s="87">
        <v>0</v>
      </c>
      <c r="AK147" s="87">
        <v>508882</v>
      </c>
      <c r="AL147" s="87">
        <v>508882</v>
      </c>
      <c r="AM147" s="87">
        <v>5436000</v>
      </c>
      <c r="AN147" s="87">
        <v>508882</v>
      </c>
      <c r="AO147" s="87">
        <v>508882</v>
      </c>
      <c r="AP147" s="87">
        <v>508000</v>
      </c>
      <c r="AQ147" s="88">
        <v>0</v>
      </c>
      <c r="AR147" s="88">
        <v>0</v>
      </c>
      <c r="AS147" s="88">
        <v>0</v>
      </c>
      <c r="AT147" s="88">
        <v>0</v>
      </c>
      <c r="AU147" s="88">
        <v>0</v>
      </c>
      <c r="AV147" s="88">
        <v>0</v>
      </c>
      <c r="AW147" s="88">
        <v>0</v>
      </c>
      <c r="AX147" s="88">
        <v>0</v>
      </c>
      <c r="AY147" s="87">
        <v>0</v>
      </c>
      <c r="AZ147" s="87">
        <v>0</v>
      </c>
      <c r="BA147" s="87">
        <v>0</v>
      </c>
      <c r="BB147" s="87">
        <v>0</v>
      </c>
      <c r="BC147" s="87">
        <v>0</v>
      </c>
      <c r="BD147" s="87">
        <v>0</v>
      </c>
      <c r="BE147" s="87">
        <v>0</v>
      </c>
      <c r="BF147" s="87">
        <v>0</v>
      </c>
      <c r="BG147" s="88">
        <v>0</v>
      </c>
      <c r="BH147" s="88">
        <v>0</v>
      </c>
      <c r="BI147" s="88">
        <v>0</v>
      </c>
      <c r="BJ147" s="88">
        <v>0</v>
      </c>
      <c r="BK147" s="88">
        <v>0</v>
      </c>
      <c r="BL147" s="88">
        <v>0</v>
      </c>
      <c r="BM147" s="88">
        <v>0</v>
      </c>
      <c r="BN147" s="590">
        <v>0</v>
      </c>
      <c r="BO147" s="171">
        <v>2023</v>
      </c>
      <c r="BP147" s="171">
        <v>1</v>
      </c>
      <c r="BQ147" s="171">
        <v>19</v>
      </c>
      <c r="BS147" s="76" t="str">
        <f t="shared" si="4"/>
        <v>○</v>
      </c>
    </row>
    <row r="148" spans="1:71" x14ac:dyDescent="0.2">
      <c r="A148" s="210">
        <v>1337</v>
      </c>
      <c r="B148" s="211"/>
      <c r="C148" s="212"/>
      <c r="D148" s="211"/>
      <c r="E148" s="212"/>
      <c r="F148" s="211"/>
      <c r="G148" s="211"/>
      <c r="H148" s="212"/>
      <c r="I148" s="211"/>
      <c r="J148" s="211"/>
      <c r="K148" s="211"/>
      <c r="L148" s="171"/>
      <c r="M148" s="171" t="s">
        <v>521</v>
      </c>
      <c r="N148" s="171" t="s">
        <v>269</v>
      </c>
      <c r="O148" s="171" t="s">
        <v>522</v>
      </c>
      <c r="P148" s="171" t="s">
        <v>916</v>
      </c>
      <c r="Q148" s="75"/>
      <c r="R148" s="213">
        <v>106000</v>
      </c>
      <c r="S148" s="87">
        <v>0</v>
      </c>
      <c r="T148" s="87">
        <v>0</v>
      </c>
      <c r="U148" s="87">
        <v>0</v>
      </c>
      <c r="V148" s="87">
        <v>0</v>
      </c>
      <c r="W148" s="87">
        <v>0</v>
      </c>
      <c r="X148" s="87">
        <v>0</v>
      </c>
      <c r="Y148" s="87">
        <v>0</v>
      </c>
      <c r="Z148" s="87">
        <v>0</v>
      </c>
      <c r="AA148" s="214">
        <v>0</v>
      </c>
      <c r="AB148" s="214">
        <v>0</v>
      </c>
      <c r="AC148" s="214">
        <v>0</v>
      </c>
      <c r="AD148" s="214">
        <v>0</v>
      </c>
      <c r="AE148" s="214">
        <v>0</v>
      </c>
      <c r="AF148" s="214">
        <v>0</v>
      </c>
      <c r="AG148" s="214">
        <v>0</v>
      </c>
      <c r="AH148" s="214">
        <v>0</v>
      </c>
      <c r="AI148" s="87">
        <v>106876</v>
      </c>
      <c r="AJ148" s="87">
        <v>0</v>
      </c>
      <c r="AK148" s="87">
        <v>106876</v>
      </c>
      <c r="AL148" s="87">
        <v>106876</v>
      </c>
      <c r="AM148" s="87">
        <v>5148000</v>
      </c>
      <c r="AN148" s="87">
        <v>106876</v>
      </c>
      <c r="AO148" s="87">
        <v>106876</v>
      </c>
      <c r="AP148" s="87">
        <v>106000</v>
      </c>
      <c r="AQ148" s="88">
        <v>0</v>
      </c>
      <c r="AR148" s="88">
        <v>0</v>
      </c>
      <c r="AS148" s="88">
        <v>0</v>
      </c>
      <c r="AT148" s="88">
        <v>0</v>
      </c>
      <c r="AU148" s="88">
        <v>0</v>
      </c>
      <c r="AV148" s="88">
        <v>0</v>
      </c>
      <c r="AW148" s="88">
        <v>0</v>
      </c>
      <c r="AX148" s="88">
        <v>0</v>
      </c>
      <c r="AY148" s="87">
        <v>0</v>
      </c>
      <c r="AZ148" s="87">
        <v>0</v>
      </c>
      <c r="BA148" s="87">
        <v>0</v>
      </c>
      <c r="BB148" s="87">
        <v>0</v>
      </c>
      <c r="BC148" s="87">
        <v>0</v>
      </c>
      <c r="BD148" s="87">
        <v>0</v>
      </c>
      <c r="BE148" s="87">
        <v>0</v>
      </c>
      <c r="BF148" s="87">
        <v>0</v>
      </c>
      <c r="BG148" s="88">
        <v>0</v>
      </c>
      <c r="BH148" s="88">
        <v>0</v>
      </c>
      <c r="BI148" s="88">
        <v>0</v>
      </c>
      <c r="BJ148" s="88">
        <v>0</v>
      </c>
      <c r="BK148" s="88">
        <v>0</v>
      </c>
      <c r="BL148" s="88">
        <v>0</v>
      </c>
      <c r="BM148" s="88">
        <v>0</v>
      </c>
      <c r="BN148" s="590">
        <v>0</v>
      </c>
      <c r="BO148" s="171">
        <v>2023</v>
      </c>
      <c r="BP148" s="171">
        <v>1</v>
      </c>
      <c r="BQ148" s="171">
        <v>19</v>
      </c>
      <c r="BS148" s="76" t="str">
        <f t="shared" si="4"/>
        <v>○</v>
      </c>
    </row>
    <row r="149" spans="1:71" x14ac:dyDescent="0.2">
      <c r="A149" s="210">
        <v>1338</v>
      </c>
      <c r="B149" s="211"/>
      <c r="C149" s="212"/>
      <c r="D149" s="211"/>
      <c r="E149" s="212"/>
      <c r="F149" s="211"/>
      <c r="G149" s="211"/>
      <c r="H149" s="212"/>
      <c r="I149" s="211"/>
      <c r="J149" s="211"/>
      <c r="K149" s="211"/>
      <c r="L149" s="171"/>
      <c r="M149" s="171" t="s">
        <v>523</v>
      </c>
      <c r="N149" s="171" t="s">
        <v>272</v>
      </c>
      <c r="O149" s="171" t="s">
        <v>524</v>
      </c>
      <c r="P149" s="171" t="s">
        <v>916</v>
      </c>
      <c r="Q149" s="171"/>
      <c r="R149" s="213">
        <v>114000</v>
      </c>
      <c r="S149" s="87">
        <v>0</v>
      </c>
      <c r="T149" s="87">
        <v>0</v>
      </c>
      <c r="U149" s="87">
        <v>0</v>
      </c>
      <c r="V149" s="87">
        <v>0</v>
      </c>
      <c r="W149" s="87">
        <v>0</v>
      </c>
      <c r="X149" s="87">
        <v>0</v>
      </c>
      <c r="Y149" s="87">
        <v>0</v>
      </c>
      <c r="Z149" s="87">
        <v>0</v>
      </c>
      <c r="AA149" s="214">
        <v>0</v>
      </c>
      <c r="AB149" s="214">
        <v>0</v>
      </c>
      <c r="AC149" s="214">
        <v>0</v>
      </c>
      <c r="AD149" s="214">
        <v>0</v>
      </c>
      <c r="AE149" s="214">
        <v>0</v>
      </c>
      <c r="AF149" s="214">
        <v>0</v>
      </c>
      <c r="AG149" s="214">
        <v>0</v>
      </c>
      <c r="AH149" s="214">
        <v>0</v>
      </c>
      <c r="AI149" s="87">
        <v>114400</v>
      </c>
      <c r="AJ149" s="87">
        <v>0</v>
      </c>
      <c r="AK149" s="87">
        <v>114400</v>
      </c>
      <c r="AL149" s="87">
        <v>114400</v>
      </c>
      <c r="AM149" s="87">
        <v>1742400</v>
      </c>
      <c r="AN149" s="87">
        <v>114400</v>
      </c>
      <c r="AO149" s="87">
        <v>114400</v>
      </c>
      <c r="AP149" s="87">
        <v>114000</v>
      </c>
      <c r="AQ149" s="88">
        <v>0</v>
      </c>
      <c r="AR149" s="88">
        <v>0</v>
      </c>
      <c r="AS149" s="88">
        <v>0</v>
      </c>
      <c r="AT149" s="88">
        <v>0</v>
      </c>
      <c r="AU149" s="88">
        <v>0</v>
      </c>
      <c r="AV149" s="88">
        <v>0</v>
      </c>
      <c r="AW149" s="88">
        <v>0</v>
      </c>
      <c r="AX149" s="88">
        <v>0</v>
      </c>
      <c r="AY149" s="87">
        <v>0</v>
      </c>
      <c r="AZ149" s="87">
        <v>0</v>
      </c>
      <c r="BA149" s="87">
        <v>0</v>
      </c>
      <c r="BB149" s="87">
        <v>0</v>
      </c>
      <c r="BC149" s="87">
        <v>0</v>
      </c>
      <c r="BD149" s="87">
        <v>0</v>
      </c>
      <c r="BE149" s="87">
        <v>0</v>
      </c>
      <c r="BF149" s="87">
        <v>0</v>
      </c>
      <c r="BG149" s="88">
        <v>0</v>
      </c>
      <c r="BH149" s="88">
        <v>0</v>
      </c>
      <c r="BI149" s="88">
        <v>0</v>
      </c>
      <c r="BJ149" s="88">
        <v>0</v>
      </c>
      <c r="BK149" s="88">
        <v>0</v>
      </c>
      <c r="BL149" s="88">
        <v>0</v>
      </c>
      <c r="BM149" s="88">
        <v>0</v>
      </c>
      <c r="BN149" s="590">
        <v>0</v>
      </c>
      <c r="BO149" s="171">
        <v>2023</v>
      </c>
      <c r="BP149" s="171">
        <v>1</v>
      </c>
      <c r="BQ149" s="171">
        <v>19</v>
      </c>
      <c r="BS149" s="76" t="str">
        <f t="shared" si="4"/>
        <v>○</v>
      </c>
    </row>
    <row r="150" spans="1:71" x14ac:dyDescent="0.2">
      <c r="A150" s="210">
        <v>1339</v>
      </c>
      <c r="B150" s="211"/>
      <c r="C150" s="212"/>
      <c r="D150" s="211"/>
      <c r="E150" s="212"/>
      <c r="F150" s="211"/>
      <c r="G150" s="211"/>
      <c r="H150" s="212"/>
      <c r="I150" s="211"/>
      <c r="J150" s="211"/>
      <c r="K150" s="211"/>
      <c r="L150" s="171"/>
      <c r="M150" s="171" t="s">
        <v>525</v>
      </c>
      <c r="N150" s="171" t="s">
        <v>313</v>
      </c>
      <c r="O150" s="171" t="s">
        <v>328</v>
      </c>
      <c r="P150" s="171" t="s">
        <v>916</v>
      </c>
      <c r="Q150" s="75"/>
      <c r="R150" s="213">
        <v>42000</v>
      </c>
      <c r="S150" s="87">
        <v>0</v>
      </c>
      <c r="T150" s="87">
        <v>0</v>
      </c>
      <c r="U150" s="87">
        <v>0</v>
      </c>
      <c r="V150" s="87">
        <v>0</v>
      </c>
      <c r="W150" s="87">
        <v>0</v>
      </c>
      <c r="X150" s="87">
        <v>0</v>
      </c>
      <c r="Y150" s="87">
        <v>0</v>
      </c>
      <c r="Z150" s="87">
        <v>0</v>
      </c>
      <c r="AA150" s="214">
        <v>0</v>
      </c>
      <c r="AB150" s="214">
        <v>0</v>
      </c>
      <c r="AC150" s="214">
        <v>0</v>
      </c>
      <c r="AD150" s="214">
        <v>0</v>
      </c>
      <c r="AE150" s="214">
        <v>0</v>
      </c>
      <c r="AF150" s="214">
        <v>0</v>
      </c>
      <c r="AG150" s="214">
        <v>0</v>
      </c>
      <c r="AH150" s="214">
        <v>0</v>
      </c>
      <c r="AI150" s="87">
        <v>42240</v>
      </c>
      <c r="AJ150" s="87">
        <v>0</v>
      </c>
      <c r="AK150" s="87">
        <v>42240</v>
      </c>
      <c r="AL150" s="87">
        <v>42240</v>
      </c>
      <c r="AM150" s="87">
        <v>6264000</v>
      </c>
      <c r="AN150" s="87">
        <v>42240</v>
      </c>
      <c r="AO150" s="87">
        <v>42240</v>
      </c>
      <c r="AP150" s="87">
        <v>42000</v>
      </c>
      <c r="AQ150" s="88">
        <v>0</v>
      </c>
      <c r="AR150" s="88">
        <v>0</v>
      </c>
      <c r="AS150" s="88">
        <v>0</v>
      </c>
      <c r="AT150" s="88">
        <v>0</v>
      </c>
      <c r="AU150" s="88">
        <v>0</v>
      </c>
      <c r="AV150" s="88">
        <v>0</v>
      </c>
      <c r="AW150" s="88">
        <v>0</v>
      </c>
      <c r="AX150" s="88">
        <v>0</v>
      </c>
      <c r="AY150" s="87">
        <v>0</v>
      </c>
      <c r="AZ150" s="87">
        <v>0</v>
      </c>
      <c r="BA150" s="87">
        <v>0</v>
      </c>
      <c r="BB150" s="87">
        <v>0</v>
      </c>
      <c r="BC150" s="87">
        <v>0</v>
      </c>
      <c r="BD150" s="87">
        <v>0</v>
      </c>
      <c r="BE150" s="87">
        <v>0</v>
      </c>
      <c r="BF150" s="87">
        <v>0</v>
      </c>
      <c r="BG150" s="88">
        <v>0</v>
      </c>
      <c r="BH150" s="88">
        <v>0</v>
      </c>
      <c r="BI150" s="88">
        <v>0</v>
      </c>
      <c r="BJ150" s="88">
        <v>0</v>
      </c>
      <c r="BK150" s="88">
        <v>0</v>
      </c>
      <c r="BL150" s="88">
        <v>0</v>
      </c>
      <c r="BM150" s="88">
        <v>0</v>
      </c>
      <c r="BN150" s="590">
        <v>0</v>
      </c>
      <c r="BO150" s="171">
        <v>2023</v>
      </c>
      <c r="BP150" s="171">
        <v>1</v>
      </c>
      <c r="BQ150" s="171">
        <v>19</v>
      </c>
      <c r="BS150" s="76" t="str">
        <f t="shared" si="4"/>
        <v>○</v>
      </c>
    </row>
    <row r="151" spans="1:71" s="81" customFormat="1" x14ac:dyDescent="0.2">
      <c r="A151" s="210">
        <v>1340</v>
      </c>
      <c r="B151" s="211"/>
      <c r="C151" s="212"/>
      <c r="D151" s="211"/>
      <c r="E151" s="212"/>
      <c r="F151" s="211"/>
      <c r="G151" s="211"/>
      <c r="H151" s="212"/>
      <c r="I151" s="211"/>
      <c r="J151" s="211"/>
      <c r="K151" s="211"/>
      <c r="L151" s="171"/>
      <c r="M151" s="171" t="s">
        <v>293</v>
      </c>
      <c r="N151" s="171" t="s">
        <v>289</v>
      </c>
      <c r="O151" s="171" t="s">
        <v>294</v>
      </c>
      <c r="P151" s="171" t="s">
        <v>916</v>
      </c>
      <c r="Q151" s="171"/>
      <c r="R151" s="213">
        <v>500000</v>
      </c>
      <c r="S151" s="87">
        <v>0</v>
      </c>
      <c r="T151" s="87">
        <v>0</v>
      </c>
      <c r="U151" s="87">
        <v>0</v>
      </c>
      <c r="V151" s="87">
        <v>0</v>
      </c>
      <c r="W151" s="87">
        <v>0</v>
      </c>
      <c r="X151" s="87">
        <v>0</v>
      </c>
      <c r="Y151" s="87">
        <v>0</v>
      </c>
      <c r="Z151" s="87">
        <v>0</v>
      </c>
      <c r="AA151" s="214">
        <v>0</v>
      </c>
      <c r="AB151" s="214">
        <v>0</v>
      </c>
      <c r="AC151" s="214">
        <v>0</v>
      </c>
      <c r="AD151" s="214">
        <v>0</v>
      </c>
      <c r="AE151" s="214">
        <v>0</v>
      </c>
      <c r="AF151" s="214">
        <v>0</v>
      </c>
      <c r="AG151" s="214">
        <v>0</v>
      </c>
      <c r="AH151" s="214">
        <v>0</v>
      </c>
      <c r="AI151" s="87">
        <v>500190</v>
      </c>
      <c r="AJ151" s="87">
        <v>0</v>
      </c>
      <c r="AK151" s="87">
        <v>500190</v>
      </c>
      <c r="AL151" s="87">
        <v>500190</v>
      </c>
      <c r="AM151" s="87">
        <v>4284000</v>
      </c>
      <c r="AN151" s="87">
        <v>500190</v>
      </c>
      <c r="AO151" s="87">
        <v>500190</v>
      </c>
      <c r="AP151" s="87">
        <v>500000</v>
      </c>
      <c r="AQ151" s="88">
        <v>0</v>
      </c>
      <c r="AR151" s="88">
        <v>0</v>
      </c>
      <c r="AS151" s="88">
        <v>0</v>
      </c>
      <c r="AT151" s="88">
        <v>0</v>
      </c>
      <c r="AU151" s="88">
        <v>0</v>
      </c>
      <c r="AV151" s="88">
        <v>0</v>
      </c>
      <c r="AW151" s="88">
        <v>0</v>
      </c>
      <c r="AX151" s="88">
        <v>0</v>
      </c>
      <c r="AY151" s="87">
        <v>0</v>
      </c>
      <c r="AZ151" s="87">
        <v>0</v>
      </c>
      <c r="BA151" s="87">
        <v>0</v>
      </c>
      <c r="BB151" s="87">
        <v>0</v>
      </c>
      <c r="BC151" s="87">
        <v>0</v>
      </c>
      <c r="BD151" s="87">
        <v>0</v>
      </c>
      <c r="BE151" s="87">
        <v>0</v>
      </c>
      <c r="BF151" s="87">
        <v>0</v>
      </c>
      <c r="BG151" s="88">
        <v>0</v>
      </c>
      <c r="BH151" s="88">
        <v>0</v>
      </c>
      <c r="BI151" s="88">
        <v>0</v>
      </c>
      <c r="BJ151" s="88">
        <v>0</v>
      </c>
      <c r="BK151" s="88">
        <v>0</v>
      </c>
      <c r="BL151" s="88">
        <v>0</v>
      </c>
      <c r="BM151" s="88">
        <v>0</v>
      </c>
      <c r="BN151" s="590">
        <v>0</v>
      </c>
      <c r="BO151" s="171">
        <v>2023</v>
      </c>
      <c r="BP151" s="171">
        <v>1</v>
      </c>
      <c r="BQ151" s="171">
        <v>19</v>
      </c>
      <c r="BR151" s="77"/>
      <c r="BS151" s="76" t="str">
        <f t="shared" si="4"/>
        <v>○</v>
      </c>
    </row>
    <row r="152" spans="1:71" x14ac:dyDescent="0.2">
      <c r="A152" s="210">
        <v>1341</v>
      </c>
      <c r="B152" s="211"/>
      <c r="C152" s="212"/>
      <c r="D152" s="211"/>
      <c r="E152" s="212"/>
      <c r="F152" s="211"/>
      <c r="G152" s="211"/>
      <c r="H152" s="212"/>
      <c r="I152" s="211"/>
      <c r="J152" s="211"/>
      <c r="K152" s="211"/>
      <c r="L152" s="171"/>
      <c r="M152" s="171" t="s">
        <v>526</v>
      </c>
      <c r="N152" s="171" t="s">
        <v>302</v>
      </c>
      <c r="O152" s="171" t="s">
        <v>316</v>
      </c>
      <c r="P152" s="171" t="s">
        <v>916</v>
      </c>
      <c r="Q152" s="171"/>
      <c r="R152" s="213">
        <v>731000</v>
      </c>
      <c r="S152" s="87">
        <v>0</v>
      </c>
      <c r="T152" s="87">
        <v>0</v>
      </c>
      <c r="U152" s="87">
        <v>0</v>
      </c>
      <c r="V152" s="87">
        <v>0</v>
      </c>
      <c r="W152" s="87">
        <v>0</v>
      </c>
      <c r="X152" s="87">
        <v>0</v>
      </c>
      <c r="Y152" s="87">
        <v>0</v>
      </c>
      <c r="Z152" s="87">
        <v>0</v>
      </c>
      <c r="AA152" s="214">
        <v>0</v>
      </c>
      <c r="AB152" s="214">
        <v>0</v>
      </c>
      <c r="AC152" s="214">
        <v>0</v>
      </c>
      <c r="AD152" s="214">
        <v>0</v>
      </c>
      <c r="AE152" s="214">
        <v>0</v>
      </c>
      <c r="AF152" s="214">
        <v>0</v>
      </c>
      <c r="AG152" s="214">
        <v>0</v>
      </c>
      <c r="AH152" s="214">
        <v>0</v>
      </c>
      <c r="AI152" s="87">
        <v>731160</v>
      </c>
      <c r="AJ152" s="87">
        <v>0</v>
      </c>
      <c r="AK152" s="87">
        <v>731160</v>
      </c>
      <c r="AL152" s="87">
        <v>731160</v>
      </c>
      <c r="AM152" s="87">
        <v>1360800</v>
      </c>
      <c r="AN152" s="87">
        <v>731160</v>
      </c>
      <c r="AO152" s="87">
        <v>731160</v>
      </c>
      <c r="AP152" s="87">
        <v>731000</v>
      </c>
      <c r="AQ152" s="88">
        <v>0</v>
      </c>
      <c r="AR152" s="88">
        <v>0</v>
      </c>
      <c r="AS152" s="88">
        <v>0</v>
      </c>
      <c r="AT152" s="88">
        <v>0</v>
      </c>
      <c r="AU152" s="88">
        <v>0</v>
      </c>
      <c r="AV152" s="88">
        <v>0</v>
      </c>
      <c r="AW152" s="88">
        <v>0</v>
      </c>
      <c r="AX152" s="88">
        <v>0</v>
      </c>
      <c r="AY152" s="87">
        <v>0</v>
      </c>
      <c r="AZ152" s="87">
        <v>0</v>
      </c>
      <c r="BA152" s="87">
        <v>0</v>
      </c>
      <c r="BB152" s="87">
        <v>0</v>
      </c>
      <c r="BC152" s="87">
        <v>0</v>
      </c>
      <c r="BD152" s="87">
        <v>0</v>
      </c>
      <c r="BE152" s="87">
        <v>0</v>
      </c>
      <c r="BF152" s="87">
        <v>0</v>
      </c>
      <c r="BG152" s="88">
        <v>0</v>
      </c>
      <c r="BH152" s="88">
        <v>0</v>
      </c>
      <c r="BI152" s="88">
        <v>0</v>
      </c>
      <c r="BJ152" s="88">
        <v>0</v>
      </c>
      <c r="BK152" s="88">
        <v>0</v>
      </c>
      <c r="BL152" s="88">
        <v>0</v>
      </c>
      <c r="BM152" s="88">
        <v>0</v>
      </c>
      <c r="BN152" s="590">
        <v>0</v>
      </c>
      <c r="BO152" s="171">
        <v>2023</v>
      </c>
      <c r="BP152" s="171">
        <v>1</v>
      </c>
      <c r="BQ152" s="171">
        <v>19</v>
      </c>
      <c r="BR152" s="81"/>
      <c r="BS152" s="76" t="str">
        <f t="shared" si="4"/>
        <v>○</v>
      </c>
    </row>
    <row r="153" spans="1:71" x14ac:dyDescent="0.2">
      <c r="A153" s="210">
        <v>1342</v>
      </c>
      <c r="B153" s="211"/>
      <c r="C153" s="212"/>
      <c r="D153" s="211"/>
      <c r="E153" s="212"/>
      <c r="F153" s="211"/>
      <c r="G153" s="211"/>
      <c r="H153" s="212"/>
      <c r="I153" s="211"/>
      <c r="J153" s="211"/>
      <c r="K153" s="211"/>
      <c r="L153" s="171"/>
      <c r="M153" s="171" t="s">
        <v>402</v>
      </c>
      <c r="N153" s="171" t="s">
        <v>354</v>
      </c>
      <c r="O153" s="171" t="s">
        <v>270</v>
      </c>
      <c r="P153" s="171" t="s">
        <v>916</v>
      </c>
      <c r="Q153" s="171"/>
      <c r="R153" s="213">
        <v>345000</v>
      </c>
      <c r="S153" s="87">
        <v>0</v>
      </c>
      <c r="T153" s="87">
        <v>0</v>
      </c>
      <c r="U153" s="87">
        <v>0</v>
      </c>
      <c r="V153" s="87">
        <v>0</v>
      </c>
      <c r="W153" s="87">
        <v>0</v>
      </c>
      <c r="X153" s="87">
        <v>0</v>
      </c>
      <c r="Y153" s="87">
        <v>0</v>
      </c>
      <c r="Z153" s="87">
        <v>0</v>
      </c>
      <c r="AA153" s="214">
        <v>0</v>
      </c>
      <c r="AB153" s="214">
        <v>0</v>
      </c>
      <c r="AC153" s="214">
        <v>0</v>
      </c>
      <c r="AD153" s="214">
        <v>0</v>
      </c>
      <c r="AE153" s="214">
        <v>0</v>
      </c>
      <c r="AF153" s="214">
        <v>0</v>
      </c>
      <c r="AG153" s="214">
        <v>0</v>
      </c>
      <c r="AH153" s="214">
        <v>0</v>
      </c>
      <c r="AI153" s="87">
        <v>345299</v>
      </c>
      <c r="AJ153" s="87">
        <v>0</v>
      </c>
      <c r="AK153" s="87">
        <v>345299</v>
      </c>
      <c r="AL153" s="87">
        <v>345299</v>
      </c>
      <c r="AM153" s="87">
        <v>1029600</v>
      </c>
      <c r="AN153" s="87">
        <v>345299</v>
      </c>
      <c r="AO153" s="87">
        <v>345299</v>
      </c>
      <c r="AP153" s="87">
        <v>345000</v>
      </c>
      <c r="AQ153" s="88">
        <v>0</v>
      </c>
      <c r="AR153" s="88">
        <v>0</v>
      </c>
      <c r="AS153" s="88">
        <v>0</v>
      </c>
      <c r="AT153" s="88">
        <v>0</v>
      </c>
      <c r="AU153" s="88">
        <v>0</v>
      </c>
      <c r="AV153" s="88">
        <v>0</v>
      </c>
      <c r="AW153" s="88">
        <v>0</v>
      </c>
      <c r="AX153" s="88">
        <v>0</v>
      </c>
      <c r="AY153" s="87">
        <v>0</v>
      </c>
      <c r="AZ153" s="87">
        <v>0</v>
      </c>
      <c r="BA153" s="87">
        <v>0</v>
      </c>
      <c r="BB153" s="87">
        <v>0</v>
      </c>
      <c r="BC153" s="87">
        <v>0</v>
      </c>
      <c r="BD153" s="87">
        <v>0</v>
      </c>
      <c r="BE153" s="87">
        <v>0</v>
      </c>
      <c r="BF153" s="87">
        <v>0</v>
      </c>
      <c r="BG153" s="88">
        <v>0</v>
      </c>
      <c r="BH153" s="88">
        <v>0</v>
      </c>
      <c r="BI153" s="88">
        <v>0</v>
      </c>
      <c r="BJ153" s="88">
        <v>0</v>
      </c>
      <c r="BK153" s="88">
        <v>0</v>
      </c>
      <c r="BL153" s="88">
        <v>0</v>
      </c>
      <c r="BM153" s="88">
        <v>0</v>
      </c>
      <c r="BN153" s="590">
        <v>0</v>
      </c>
      <c r="BO153" s="171">
        <v>2023</v>
      </c>
      <c r="BP153" s="171">
        <v>1</v>
      </c>
      <c r="BQ153" s="171">
        <v>19</v>
      </c>
      <c r="BS153" s="76" t="str">
        <f t="shared" si="4"/>
        <v>○</v>
      </c>
    </row>
    <row r="154" spans="1:71" x14ac:dyDescent="0.2">
      <c r="A154" s="210">
        <v>1343</v>
      </c>
      <c r="B154" s="211"/>
      <c r="C154" s="212"/>
      <c r="D154" s="211"/>
      <c r="E154" s="212"/>
      <c r="F154" s="211"/>
      <c r="G154" s="211"/>
      <c r="H154" s="212"/>
      <c r="I154" s="211"/>
      <c r="J154" s="211"/>
      <c r="K154" s="211"/>
      <c r="L154" s="171"/>
      <c r="M154" s="171" t="s">
        <v>527</v>
      </c>
      <c r="N154" s="171" t="s">
        <v>269</v>
      </c>
      <c r="O154" s="171" t="s">
        <v>528</v>
      </c>
      <c r="P154" s="171" t="s">
        <v>916</v>
      </c>
      <c r="Q154" s="171"/>
      <c r="R154" s="213">
        <v>600000</v>
      </c>
      <c r="S154" s="87">
        <v>0</v>
      </c>
      <c r="T154" s="87">
        <v>0</v>
      </c>
      <c r="U154" s="87">
        <v>0</v>
      </c>
      <c r="V154" s="87">
        <v>0</v>
      </c>
      <c r="W154" s="87">
        <v>0</v>
      </c>
      <c r="X154" s="87">
        <v>0</v>
      </c>
      <c r="Y154" s="87">
        <v>0</v>
      </c>
      <c r="Z154" s="87">
        <v>0</v>
      </c>
      <c r="AA154" s="214">
        <v>0</v>
      </c>
      <c r="AB154" s="214">
        <v>0</v>
      </c>
      <c r="AC154" s="214">
        <v>0</v>
      </c>
      <c r="AD154" s="214">
        <v>0</v>
      </c>
      <c r="AE154" s="214">
        <v>0</v>
      </c>
      <c r="AF154" s="214">
        <v>0</v>
      </c>
      <c r="AG154" s="214">
        <v>0</v>
      </c>
      <c r="AH154" s="214">
        <v>0</v>
      </c>
      <c r="AI154" s="87">
        <v>600304</v>
      </c>
      <c r="AJ154" s="87">
        <v>0</v>
      </c>
      <c r="AK154" s="87">
        <v>600304</v>
      </c>
      <c r="AL154" s="87">
        <v>600304</v>
      </c>
      <c r="AM154" s="87">
        <v>1684800</v>
      </c>
      <c r="AN154" s="87">
        <v>600304</v>
      </c>
      <c r="AO154" s="87">
        <v>600304</v>
      </c>
      <c r="AP154" s="87">
        <v>600000</v>
      </c>
      <c r="AQ154" s="88">
        <v>0</v>
      </c>
      <c r="AR154" s="88">
        <v>0</v>
      </c>
      <c r="AS154" s="88">
        <v>0</v>
      </c>
      <c r="AT154" s="88">
        <v>0</v>
      </c>
      <c r="AU154" s="88">
        <v>0</v>
      </c>
      <c r="AV154" s="88">
        <v>0</v>
      </c>
      <c r="AW154" s="88">
        <v>0</v>
      </c>
      <c r="AX154" s="88">
        <v>0</v>
      </c>
      <c r="AY154" s="87">
        <v>0</v>
      </c>
      <c r="AZ154" s="87">
        <v>0</v>
      </c>
      <c r="BA154" s="87">
        <v>0</v>
      </c>
      <c r="BB154" s="87">
        <v>0</v>
      </c>
      <c r="BC154" s="87">
        <v>0</v>
      </c>
      <c r="BD154" s="87">
        <v>0</v>
      </c>
      <c r="BE154" s="87">
        <v>0</v>
      </c>
      <c r="BF154" s="87">
        <v>0</v>
      </c>
      <c r="BG154" s="88">
        <v>0</v>
      </c>
      <c r="BH154" s="88">
        <v>0</v>
      </c>
      <c r="BI154" s="88">
        <v>0</v>
      </c>
      <c r="BJ154" s="88">
        <v>0</v>
      </c>
      <c r="BK154" s="88">
        <v>0</v>
      </c>
      <c r="BL154" s="88">
        <v>0</v>
      </c>
      <c r="BM154" s="88">
        <v>0</v>
      </c>
      <c r="BN154" s="590">
        <v>0</v>
      </c>
      <c r="BO154" s="171">
        <v>2023</v>
      </c>
      <c r="BP154" s="171">
        <v>1</v>
      </c>
      <c r="BQ154" s="171">
        <v>19</v>
      </c>
      <c r="BS154" s="76" t="str">
        <f t="shared" si="4"/>
        <v>○</v>
      </c>
    </row>
    <row r="155" spans="1:71" x14ac:dyDescent="0.2">
      <c r="A155" s="210">
        <v>1344</v>
      </c>
      <c r="B155" s="211"/>
      <c r="C155" s="212"/>
      <c r="D155" s="211"/>
      <c r="E155" s="212"/>
      <c r="F155" s="211"/>
      <c r="G155" s="211"/>
      <c r="H155" s="212"/>
      <c r="I155" s="211"/>
      <c r="J155" s="211"/>
      <c r="K155" s="211"/>
      <c r="L155" s="171"/>
      <c r="M155" s="171" t="s">
        <v>527</v>
      </c>
      <c r="N155" s="171" t="s">
        <v>269</v>
      </c>
      <c r="O155" s="171" t="s">
        <v>528</v>
      </c>
      <c r="P155" s="171" t="s">
        <v>916</v>
      </c>
      <c r="Q155" s="171"/>
      <c r="R155" s="213">
        <v>237000</v>
      </c>
      <c r="S155" s="87">
        <v>0</v>
      </c>
      <c r="T155" s="87">
        <v>0</v>
      </c>
      <c r="U155" s="87">
        <v>0</v>
      </c>
      <c r="V155" s="87">
        <v>0</v>
      </c>
      <c r="W155" s="87">
        <v>0</v>
      </c>
      <c r="X155" s="87">
        <v>0</v>
      </c>
      <c r="Y155" s="87">
        <v>0</v>
      </c>
      <c r="Z155" s="87">
        <v>0</v>
      </c>
      <c r="AA155" s="214">
        <v>0</v>
      </c>
      <c r="AB155" s="214">
        <v>0</v>
      </c>
      <c r="AC155" s="214">
        <v>0</v>
      </c>
      <c r="AD155" s="214">
        <v>0</v>
      </c>
      <c r="AE155" s="214">
        <v>0</v>
      </c>
      <c r="AF155" s="214">
        <v>0</v>
      </c>
      <c r="AG155" s="214">
        <v>0</v>
      </c>
      <c r="AH155" s="214">
        <v>0</v>
      </c>
      <c r="AI155" s="87">
        <v>237600</v>
      </c>
      <c r="AJ155" s="87">
        <v>0</v>
      </c>
      <c r="AK155" s="87">
        <v>237600</v>
      </c>
      <c r="AL155" s="87">
        <v>237600</v>
      </c>
      <c r="AM155" s="87">
        <v>1328400</v>
      </c>
      <c r="AN155" s="87">
        <v>237600</v>
      </c>
      <c r="AO155" s="87">
        <v>237600</v>
      </c>
      <c r="AP155" s="87">
        <v>237000</v>
      </c>
      <c r="AQ155" s="88">
        <v>0</v>
      </c>
      <c r="AR155" s="88">
        <v>0</v>
      </c>
      <c r="AS155" s="88">
        <v>0</v>
      </c>
      <c r="AT155" s="88">
        <v>0</v>
      </c>
      <c r="AU155" s="88">
        <v>0</v>
      </c>
      <c r="AV155" s="88">
        <v>0</v>
      </c>
      <c r="AW155" s="88">
        <v>0</v>
      </c>
      <c r="AX155" s="88">
        <v>0</v>
      </c>
      <c r="AY155" s="87">
        <v>0</v>
      </c>
      <c r="AZ155" s="87">
        <v>0</v>
      </c>
      <c r="BA155" s="87">
        <v>0</v>
      </c>
      <c r="BB155" s="87">
        <v>0</v>
      </c>
      <c r="BC155" s="87">
        <v>0</v>
      </c>
      <c r="BD155" s="87">
        <v>0</v>
      </c>
      <c r="BE155" s="87">
        <v>0</v>
      </c>
      <c r="BF155" s="87">
        <v>0</v>
      </c>
      <c r="BG155" s="88">
        <v>0</v>
      </c>
      <c r="BH155" s="88">
        <v>0</v>
      </c>
      <c r="BI155" s="88">
        <v>0</v>
      </c>
      <c r="BJ155" s="88">
        <v>0</v>
      </c>
      <c r="BK155" s="88">
        <v>0</v>
      </c>
      <c r="BL155" s="88">
        <v>0</v>
      </c>
      <c r="BM155" s="88">
        <v>0</v>
      </c>
      <c r="BN155" s="590">
        <v>0</v>
      </c>
      <c r="BO155" s="171">
        <v>2023</v>
      </c>
      <c r="BP155" s="171">
        <v>1</v>
      </c>
      <c r="BQ155" s="171">
        <v>19</v>
      </c>
      <c r="BS155" s="76" t="str">
        <f t="shared" si="4"/>
        <v>○</v>
      </c>
    </row>
    <row r="156" spans="1:71" x14ac:dyDescent="0.2">
      <c r="A156" s="210">
        <v>1345</v>
      </c>
      <c r="B156" s="211"/>
      <c r="C156" s="212"/>
      <c r="D156" s="211"/>
      <c r="E156" s="212"/>
      <c r="F156" s="211"/>
      <c r="G156" s="211"/>
      <c r="H156" s="212"/>
      <c r="I156" s="211"/>
      <c r="J156" s="211"/>
      <c r="K156" s="211"/>
      <c r="L156" s="171"/>
      <c r="M156" s="171" t="s">
        <v>455</v>
      </c>
      <c r="N156" s="171" t="s">
        <v>313</v>
      </c>
      <c r="O156" s="171" t="s">
        <v>270</v>
      </c>
      <c r="P156" s="171" t="s">
        <v>916</v>
      </c>
      <c r="Q156" s="171"/>
      <c r="R156" s="213">
        <v>221000</v>
      </c>
      <c r="S156" s="87">
        <v>0</v>
      </c>
      <c r="T156" s="87">
        <v>0</v>
      </c>
      <c r="U156" s="87">
        <v>0</v>
      </c>
      <c r="V156" s="87">
        <v>0</v>
      </c>
      <c r="W156" s="87">
        <v>0</v>
      </c>
      <c r="X156" s="87">
        <v>0</v>
      </c>
      <c r="Y156" s="87">
        <v>0</v>
      </c>
      <c r="Z156" s="87">
        <v>0</v>
      </c>
      <c r="AA156" s="214">
        <v>0</v>
      </c>
      <c r="AB156" s="214">
        <v>0</v>
      </c>
      <c r="AC156" s="214">
        <v>0</v>
      </c>
      <c r="AD156" s="214">
        <v>0</v>
      </c>
      <c r="AE156" s="214">
        <v>0</v>
      </c>
      <c r="AF156" s="214">
        <v>0</v>
      </c>
      <c r="AG156" s="214">
        <v>0</v>
      </c>
      <c r="AH156" s="214">
        <v>0</v>
      </c>
      <c r="AI156" s="87">
        <v>221200</v>
      </c>
      <c r="AJ156" s="87">
        <v>0</v>
      </c>
      <c r="AK156" s="87">
        <v>221200</v>
      </c>
      <c r="AL156" s="87">
        <v>221200</v>
      </c>
      <c r="AM156" s="87">
        <v>6480000</v>
      </c>
      <c r="AN156" s="87">
        <v>221200</v>
      </c>
      <c r="AO156" s="87">
        <v>221200</v>
      </c>
      <c r="AP156" s="87">
        <v>221000</v>
      </c>
      <c r="AQ156" s="88">
        <v>0</v>
      </c>
      <c r="AR156" s="88">
        <v>0</v>
      </c>
      <c r="AS156" s="88">
        <v>0</v>
      </c>
      <c r="AT156" s="88">
        <v>0</v>
      </c>
      <c r="AU156" s="88">
        <v>0</v>
      </c>
      <c r="AV156" s="88">
        <v>0</v>
      </c>
      <c r="AW156" s="88">
        <v>0</v>
      </c>
      <c r="AX156" s="88">
        <v>0</v>
      </c>
      <c r="AY156" s="87">
        <v>0</v>
      </c>
      <c r="AZ156" s="87">
        <v>0</v>
      </c>
      <c r="BA156" s="87">
        <v>0</v>
      </c>
      <c r="BB156" s="87">
        <v>0</v>
      </c>
      <c r="BC156" s="87">
        <v>0</v>
      </c>
      <c r="BD156" s="87">
        <v>0</v>
      </c>
      <c r="BE156" s="87">
        <v>0</v>
      </c>
      <c r="BF156" s="87">
        <v>0</v>
      </c>
      <c r="BG156" s="88">
        <v>0</v>
      </c>
      <c r="BH156" s="88">
        <v>0</v>
      </c>
      <c r="BI156" s="88">
        <v>0</v>
      </c>
      <c r="BJ156" s="88">
        <v>0</v>
      </c>
      <c r="BK156" s="88">
        <v>0</v>
      </c>
      <c r="BL156" s="88">
        <v>0</v>
      </c>
      <c r="BM156" s="88">
        <v>0</v>
      </c>
      <c r="BN156" s="590">
        <v>0</v>
      </c>
      <c r="BO156" s="171">
        <v>2023</v>
      </c>
      <c r="BP156" s="171">
        <v>1</v>
      </c>
      <c r="BQ156" s="171">
        <v>19</v>
      </c>
      <c r="BS156" s="76" t="str">
        <f t="shared" si="4"/>
        <v>○</v>
      </c>
    </row>
    <row r="157" spans="1:71" x14ac:dyDescent="0.2">
      <c r="A157" s="210">
        <v>1346</v>
      </c>
      <c r="B157" s="211"/>
      <c r="C157" s="212"/>
      <c r="D157" s="211"/>
      <c r="E157" s="212"/>
      <c r="F157" s="211"/>
      <c r="G157" s="211"/>
      <c r="H157" s="212"/>
      <c r="I157" s="211"/>
      <c r="J157" s="211"/>
      <c r="K157" s="211"/>
      <c r="L157" s="171"/>
      <c r="M157" s="171" t="s">
        <v>347</v>
      </c>
      <c r="N157" s="171" t="s">
        <v>348</v>
      </c>
      <c r="O157" s="171" t="s">
        <v>279</v>
      </c>
      <c r="P157" s="171" t="s">
        <v>916</v>
      </c>
      <c r="Q157" s="171"/>
      <c r="R157" s="213">
        <v>122000</v>
      </c>
      <c r="S157" s="87">
        <v>0</v>
      </c>
      <c r="T157" s="87">
        <v>0</v>
      </c>
      <c r="U157" s="87">
        <v>0</v>
      </c>
      <c r="V157" s="87">
        <v>0</v>
      </c>
      <c r="W157" s="87">
        <v>0</v>
      </c>
      <c r="X157" s="87">
        <v>0</v>
      </c>
      <c r="Y157" s="87">
        <v>0</v>
      </c>
      <c r="Z157" s="87">
        <v>0</v>
      </c>
      <c r="AA157" s="214">
        <v>0</v>
      </c>
      <c r="AB157" s="214">
        <v>0</v>
      </c>
      <c r="AC157" s="214">
        <v>0</v>
      </c>
      <c r="AD157" s="214">
        <v>0</v>
      </c>
      <c r="AE157" s="214">
        <v>0</v>
      </c>
      <c r="AF157" s="214">
        <v>0</v>
      </c>
      <c r="AG157" s="214">
        <v>0</v>
      </c>
      <c r="AH157" s="214">
        <v>0</v>
      </c>
      <c r="AI157" s="87">
        <v>122364</v>
      </c>
      <c r="AJ157" s="87">
        <v>0</v>
      </c>
      <c r="AK157" s="87">
        <v>122364</v>
      </c>
      <c r="AL157" s="87">
        <v>122364</v>
      </c>
      <c r="AM157" s="87">
        <v>2635200</v>
      </c>
      <c r="AN157" s="87">
        <v>122364</v>
      </c>
      <c r="AO157" s="87">
        <v>122364</v>
      </c>
      <c r="AP157" s="87">
        <v>122000</v>
      </c>
      <c r="AQ157" s="88">
        <v>0</v>
      </c>
      <c r="AR157" s="88">
        <v>0</v>
      </c>
      <c r="AS157" s="88">
        <v>0</v>
      </c>
      <c r="AT157" s="88">
        <v>0</v>
      </c>
      <c r="AU157" s="88">
        <v>0</v>
      </c>
      <c r="AV157" s="88">
        <v>0</v>
      </c>
      <c r="AW157" s="88">
        <v>0</v>
      </c>
      <c r="AX157" s="88">
        <v>0</v>
      </c>
      <c r="AY157" s="87">
        <v>0</v>
      </c>
      <c r="AZ157" s="87">
        <v>0</v>
      </c>
      <c r="BA157" s="87">
        <v>0</v>
      </c>
      <c r="BB157" s="87">
        <v>0</v>
      </c>
      <c r="BC157" s="87">
        <v>0</v>
      </c>
      <c r="BD157" s="87">
        <v>0</v>
      </c>
      <c r="BE157" s="87">
        <v>0</v>
      </c>
      <c r="BF157" s="87">
        <v>0</v>
      </c>
      <c r="BG157" s="88">
        <v>0</v>
      </c>
      <c r="BH157" s="88">
        <v>0</v>
      </c>
      <c r="BI157" s="88">
        <v>0</v>
      </c>
      <c r="BJ157" s="88">
        <v>0</v>
      </c>
      <c r="BK157" s="88">
        <v>0</v>
      </c>
      <c r="BL157" s="88">
        <v>0</v>
      </c>
      <c r="BM157" s="88">
        <v>0</v>
      </c>
      <c r="BN157" s="590">
        <v>0</v>
      </c>
      <c r="BO157" s="171">
        <v>2023</v>
      </c>
      <c r="BP157" s="171">
        <v>1</v>
      </c>
      <c r="BQ157" s="171">
        <v>19</v>
      </c>
      <c r="BS157" s="76" t="str">
        <f t="shared" si="4"/>
        <v>○</v>
      </c>
    </row>
    <row r="158" spans="1:71" x14ac:dyDescent="0.2">
      <c r="A158" s="210">
        <v>1347</v>
      </c>
      <c r="B158" s="211"/>
      <c r="C158" s="212"/>
      <c r="D158" s="211"/>
      <c r="E158" s="212"/>
      <c r="F158" s="211"/>
      <c r="G158" s="211"/>
      <c r="H158" s="212"/>
      <c r="I158" s="211"/>
      <c r="J158" s="211"/>
      <c r="K158" s="211"/>
      <c r="L158" s="171"/>
      <c r="M158" s="171" t="s">
        <v>529</v>
      </c>
      <c r="N158" s="171" t="s">
        <v>493</v>
      </c>
      <c r="O158" s="171" t="s">
        <v>530</v>
      </c>
      <c r="P158" s="171" t="s">
        <v>916</v>
      </c>
      <c r="Q158" s="171"/>
      <c r="R158" s="213">
        <v>272000</v>
      </c>
      <c r="S158" s="87">
        <v>0</v>
      </c>
      <c r="T158" s="87">
        <v>0</v>
      </c>
      <c r="U158" s="87">
        <v>0</v>
      </c>
      <c r="V158" s="87">
        <v>0</v>
      </c>
      <c r="W158" s="87">
        <v>0</v>
      </c>
      <c r="X158" s="87">
        <v>0</v>
      </c>
      <c r="Y158" s="87">
        <v>0</v>
      </c>
      <c r="Z158" s="87">
        <v>0</v>
      </c>
      <c r="AA158" s="214">
        <v>0</v>
      </c>
      <c r="AB158" s="214">
        <v>0</v>
      </c>
      <c r="AC158" s="214">
        <v>0</v>
      </c>
      <c r="AD158" s="214">
        <v>0</v>
      </c>
      <c r="AE158" s="214">
        <v>0</v>
      </c>
      <c r="AF158" s="214">
        <v>0</v>
      </c>
      <c r="AG158" s="214">
        <v>0</v>
      </c>
      <c r="AH158" s="214">
        <v>0</v>
      </c>
      <c r="AI158" s="87">
        <v>272700</v>
      </c>
      <c r="AJ158" s="87">
        <v>0</v>
      </c>
      <c r="AK158" s="87">
        <v>272700</v>
      </c>
      <c r="AL158" s="87">
        <v>272700</v>
      </c>
      <c r="AM158" s="87">
        <v>1285200</v>
      </c>
      <c r="AN158" s="87">
        <v>272700</v>
      </c>
      <c r="AO158" s="87">
        <v>272700</v>
      </c>
      <c r="AP158" s="87">
        <v>272000</v>
      </c>
      <c r="AQ158" s="88">
        <v>0</v>
      </c>
      <c r="AR158" s="88">
        <v>0</v>
      </c>
      <c r="AS158" s="88">
        <v>0</v>
      </c>
      <c r="AT158" s="88">
        <v>0</v>
      </c>
      <c r="AU158" s="88">
        <v>0</v>
      </c>
      <c r="AV158" s="88">
        <v>0</v>
      </c>
      <c r="AW158" s="88">
        <v>0</v>
      </c>
      <c r="AX158" s="88">
        <v>0</v>
      </c>
      <c r="AY158" s="87">
        <v>0</v>
      </c>
      <c r="AZ158" s="87">
        <v>0</v>
      </c>
      <c r="BA158" s="87">
        <v>0</v>
      </c>
      <c r="BB158" s="87">
        <v>0</v>
      </c>
      <c r="BC158" s="87">
        <v>0</v>
      </c>
      <c r="BD158" s="87">
        <v>0</v>
      </c>
      <c r="BE158" s="87">
        <v>0</v>
      </c>
      <c r="BF158" s="87">
        <v>0</v>
      </c>
      <c r="BG158" s="88">
        <v>0</v>
      </c>
      <c r="BH158" s="88">
        <v>0</v>
      </c>
      <c r="BI158" s="88">
        <v>0</v>
      </c>
      <c r="BJ158" s="88">
        <v>0</v>
      </c>
      <c r="BK158" s="88">
        <v>0</v>
      </c>
      <c r="BL158" s="88">
        <v>0</v>
      </c>
      <c r="BM158" s="88">
        <v>0</v>
      </c>
      <c r="BN158" s="590">
        <v>0</v>
      </c>
      <c r="BO158" s="171">
        <v>2023</v>
      </c>
      <c r="BP158" s="171">
        <v>1</v>
      </c>
      <c r="BQ158" s="171">
        <v>19</v>
      </c>
      <c r="BS158" s="76" t="str">
        <f t="shared" si="4"/>
        <v>○</v>
      </c>
    </row>
    <row r="159" spans="1:71" x14ac:dyDescent="0.2">
      <c r="A159" s="210">
        <v>1348</v>
      </c>
      <c r="B159" s="211"/>
      <c r="C159" s="212"/>
      <c r="D159" s="211"/>
      <c r="E159" s="212"/>
      <c r="F159" s="211"/>
      <c r="G159" s="211"/>
      <c r="H159" s="212"/>
      <c r="I159" s="211"/>
      <c r="J159" s="211"/>
      <c r="K159" s="211"/>
      <c r="L159" s="171"/>
      <c r="M159" s="171" t="s">
        <v>531</v>
      </c>
      <c r="N159" s="171" t="s">
        <v>532</v>
      </c>
      <c r="O159" s="171" t="s">
        <v>533</v>
      </c>
      <c r="P159" s="171" t="s">
        <v>916</v>
      </c>
      <c r="Q159" s="171"/>
      <c r="R159" s="213">
        <v>190000</v>
      </c>
      <c r="S159" s="87">
        <v>0</v>
      </c>
      <c r="T159" s="87">
        <v>0</v>
      </c>
      <c r="U159" s="87">
        <v>0</v>
      </c>
      <c r="V159" s="87">
        <v>0</v>
      </c>
      <c r="W159" s="87">
        <v>0</v>
      </c>
      <c r="X159" s="87">
        <v>0</v>
      </c>
      <c r="Y159" s="87">
        <v>0</v>
      </c>
      <c r="Z159" s="87">
        <v>0</v>
      </c>
      <c r="AA159" s="214">
        <v>0</v>
      </c>
      <c r="AB159" s="214">
        <v>0</v>
      </c>
      <c r="AC159" s="214">
        <v>0</v>
      </c>
      <c r="AD159" s="214">
        <v>0</v>
      </c>
      <c r="AE159" s="214">
        <v>0</v>
      </c>
      <c r="AF159" s="214">
        <v>0</v>
      </c>
      <c r="AG159" s="214">
        <v>0</v>
      </c>
      <c r="AH159" s="214">
        <v>0</v>
      </c>
      <c r="AI159" s="87">
        <v>190428</v>
      </c>
      <c r="AJ159" s="87">
        <v>0</v>
      </c>
      <c r="AK159" s="87">
        <v>190428</v>
      </c>
      <c r="AL159" s="87">
        <v>190428</v>
      </c>
      <c r="AM159" s="87">
        <v>1555200</v>
      </c>
      <c r="AN159" s="87">
        <v>190428</v>
      </c>
      <c r="AO159" s="87">
        <v>190428</v>
      </c>
      <c r="AP159" s="87">
        <v>190000</v>
      </c>
      <c r="AQ159" s="88">
        <v>0</v>
      </c>
      <c r="AR159" s="88">
        <v>0</v>
      </c>
      <c r="AS159" s="88">
        <v>0</v>
      </c>
      <c r="AT159" s="88">
        <v>0</v>
      </c>
      <c r="AU159" s="88">
        <v>0</v>
      </c>
      <c r="AV159" s="88">
        <v>0</v>
      </c>
      <c r="AW159" s="88">
        <v>0</v>
      </c>
      <c r="AX159" s="88">
        <v>0</v>
      </c>
      <c r="AY159" s="87">
        <v>0</v>
      </c>
      <c r="AZ159" s="87">
        <v>0</v>
      </c>
      <c r="BA159" s="87">
        <v>0</v>
      </c>
      <c r="BB159" s="87">
        <v>0</v>
      </c>
      <c r="BC159" s="87">
        <v>0</v>
      </c>
      <c r="BD159" s="87">
        <v>0</v>
      </c>
      <c r="BE159" s="87">
        <v>0</v>
      </c>
      <c r="BF159" s="87">
        <v>0</v>
      </c>
      <c r="BG159" s="88">
        <v>0</v>
      </c>
      <c r="BH159" s="88">
        <v>0</v>
      </c>
      <c r="BI159" s="88">
        <v>0</v>
      </c>
      <c r="BJ159" s="88">
        <v>0</v>
      </c>
      <c r="BK159" s="88">
        <v>0</v>
      </c>
      <c r="BL159" s="88">
        <v>0</v>
      </c>
      <c r="BM159" s="88">
        <v>0</v>
      </c>
      <c r="BN159" s="590">
        <v>0</v>
      </c>
      <c r="BO159" s="171">
        <v>2023</v>
      </c>
      <c r="BP159" s="171">
        <v>1</v>
      </c>
      <c r="BQ159" s="171">
        <v>19</v>
      </c>
      <c r="BS159" s="76" t="str">
        <f t="shared" si="4"/>
        <v>○</v>
      </c>
    </row>
    <row r="160" spans="1:71" x14ac:dyDescent="0.2">
      <c r="A160" s="210">
        <v>1349</v>
      </c>
      <c r="B160" s="211"/>
      <c r="C160" s="212"/>
      <c r="D160" s="211"/>
      <c r="E160" s="212"/>
      <c r="F160" s="211"/>
      <c r="G160" s="211"/>
      <c r="H160" s="212"/>
      <c r="I160" s="211"/>
      <c r="J160" s="211"/>
      <c r="K160" s="211"/>
      <c r="L160" s="171"/>
      <c r="M160" s="171" t="s">
        <v>534</v>
      </c>
      <c r="N160" s="171" t="s">
        <v>275</v>
      </c>
      <c r="O160" s="171" t="s">
        <v>396</v>
      </c>
      <c r="P160" s="171" t="s">
        <v>916</v>
      </c>
      <c r="Q160" s="171"/>
      <c r="R160" s="213">
        <v>251000</v>
      </c>
      <c r="S160" s="87">
        <v>0</v>
      </c>
      <c r="T160" s="87">
        <v>0</v>
      </c>
      <c r="U160" s="87">
        <v>0</v>
      </c>
      <c r="V160" s="87">
        <v>0</v>
      </c>
      <c r="W160" s="87">
        <v>0</v>
      </c>
      <c r="X160" s="87">
        <v>0</v>
      </c>
      <c r="Y160" s="87">
        <v>0</v>
      </c>
      <c r="Z160" s="87">
        <v>0</v>
      </c>
      <c r="AA160" s="214">
        <v>0</v>
      </c>
      <c r="AB160" s="214">
        <v>0</v>
      </c>
      <c r="AC160" s="214">
        <v>0</v>
      </c>
      <c r="AD160" s="214">
        <v>0</v>
      </c>
      <c r="AE160" s="214">
        <v>0</v>
      </c>
      <c r="AF160" s="214">
        <v>0</v>
      </c>
      <c r="AG160" s="214">
        <v>0</v>
      </c>
      <c r="AH160" s="214">
        <v>0</v>
      </c>
      <c r="AI160" s="87">
        <v>251575</v>
      </c>
      <c r="AJ160" s="87">
        <v>0</v>
      </c>
      <c r="AK160" s="87">
        <v>251575</v>
      </c>
      <c r="AL160" s="87">
        <v>251575</v>
      </c>
      <c r="AM160" s="87">
        <v>1728000</v>
      </c>
      <c r="AN160" s="87">
        <v>251575</v>
      </c>
      <c r="AO160" s="87">
        <v>251575</v>
      </c>
      <c r="AP160" s="87">
        <v>251000</v>
      </c>
      <c r="AQ160" s="88">
        <v>0</v>
      </c>
      <c r="AR160" s="88">
        <v>0</v>
      </c>
      <c r="AS160" s="88">
        <v>0</v>
      </c>
      <c r="AT160" s="88">
        <v>0</v>
      </c>
      <c r="AU160" s="88">
        <v>0</v>
      </c>
      <c r="AV160" s="88">
        <v>0</v>
      </c>
      <c r="AW160" s="88">
        <v>0</v>
      </c>
      <c r="AX160" s="88">
        <v>0</v>
      </c>
      <c r="AY160" s="87">
        <v>0</v>
      </c>
      <c r="AZ160" s="87">
        <v>0</v>
      </c>
      <c r="BA160" s="87">
        <v>0</v>
      </c>
      <c r="BB160" s="87">
        <v>0</v>
      </c>
      <c r="BC160" s="87">
        <v>0</v>
      </c>
      <c r="BD160" s="87">
        <v>0</v>
      </c>
      <c r="BE160" s="87">
        <v>0</v>
      </c>
      <c r="BF160" s="87">
        <v>0</v>
      </c>
      <c r="BG160" s="88">
        <v>0</v>
      </c>
      <c r="BH160" s="88">
        <v>0</v>
      </c>
      <c r="BI160" s="88">
        <v>0</v>
      </c>
      <c r="BJ160" s="88">
        <v>0</v>
      </c>
      <c r="BK160" s="88">
        <v>0</v>
      </c>
      <c r="BL160" s="88">
        <v>0</v>
      </c>
      <c r="BM160" s="88">
        <v>0</v>
      </c>
      <c r="BN160" s="590">
        <v>0</v>
      </c>
      <c r="BO160" s="171">
        <v>2023</v>
      </c>
      <c r="BP160" s="171">
        <v>1</v>
      </c>
      <c r="BQ160" s="171">
        <v>19</v>
      </c>
      <c r="BS160" s="76" t="str">
        <f t="shared" si="4"/>
        <v>○</v>
      </c>
    </row>
    <row r="161" spans="1:71" x14ac:dyDescent="0.2">
      <c r="A161" s="210">
        <v>1350</v>
      </c>
      <c r="B161" s="211"/>
      <c r="C161" s="212"/>
      <c r="D161" s="211"/>
      <c r="E161" s="212"/>
      <c r="F161" s="211"/>
      <c r="G161" s="211"/>
      <c r="H161" s="212"/>
      <c r="I161" s="211"/>
      <c r="J161" s="211"/>
      <c r="K161" s="211"/>
      <c r="L161" s="171"/>
      <c r="M161" s="171" t="s">
        <v>535</v>
      </c>
      <c r="N161" s="171" t="s">
        <v>299</v>
      </c>
      <c r="O161" s="171" t="s">
        <v>536</v>
      </c>
      <c r="P161" s="171" t="s">
        <v>916</v>
      </c>
      <c r="Q161" s="171"/>
      <c r="R161" s="213">
        <v>1274000</v>
      </c>
      <c r="S161" s="87">
        <v>0</v>
      </c>
      <c r="T161" s="87">
        <v>0</v>
      </c>
      <c r="U161" s="87">
        <v>0</v>
      </c>
      <c r="V161" s="87">
        <v>0</v>
      </c>
      <c r="W161" s="87">
        <v>0</v>
      </c>
      <c r="X161" s="87">
        <v>0</v>
      </c>
      <c r="Y161" s="87">
        <v>0</v>
      </c>
      <c r="Z161" s="87">
        <v>0</v>
      </c>
      <c r="AA161" s="214">
        <v>0</v>
      </c>
      <c r="AB161" s="214">
        <v>0</v>
      </c>
      <c r="AC161" s="214">
        <v>0</v>
      </c>
      <c r="AD161" s="214">
        <v>0</v>
      </c>
      <c r="AE161" s="214">
        <v>0</v>
      </c>
      <c r="AF161" s="214">
        <v>0</v>
      </c>
      <c r="AG161" s="214">
        <v>0</v>
      </c>
      <c r="AH161" s="214">
        <v>0</v>
      </c>
      <c r="AI161" s="87">
        <v>1274060</v>
      </c>
      <c r="AJ161" s="87">
        <v>0</v>
      </c>
      <c r="AK161" s="87">
        <v>1274060</v>
      </c>
      <c r="AL161" s="87">
        <v>1274060</v>
      </c>
      <c r="AM161" s="87">
        <v>3628800</v>
      </c>
      <c r="AN161" s="87">
        <v>1274060</v>
      </c>
      <c r="AO161" s="87">
        <v>1274060</v>
      </c>
      <c r="AP161" s="87">
        <v>1274000</v>
      </c>
      <c r="AQ161" s="88">
        <v>0</v>
      </c>
      <c r="AR161" s="88">
        <v>0</v>
      </c>
      <c r="AS161" s="88">
        <v>0</v>
      </c>
      <c r="AT161" s="88">
        <v>0</v>
      </c>
      <c r="AU161" s="88">
        <v>0</v>
      </c>
      <c r="AV161" s="88">
        <v>0</v>
      </c>
      <c r="AW161" s="88">
        <v>0</v>
      </c>
      <c r="AX161" s="88">
        <v>0</v>
      </c>
      <c r="AY161" s="87">
        <v>0</v>
      </c>
      <c r="AZ161" s="87">
        <v>0</v>
      </c>
      <c r="BA161" s="87">
        <v>0</v>
      </c>
      <c r="BB161" s="87">
        <v>0</v>
      </c>
      <c r="BC161" s="87">
        <v>0</v>
      </c>
      <c r="BD161" s="87">
        <v>0</v>
      </c>
      <c r="BE161" s="87">
        <v>0</v>
      </c>
      <c r="BF161" s="87">
        <v>0</v>
      </c>
      <c r="BG161" s="88">
        <v>0</v>
      </c>
      <c r="BH161" s="88">
        <v>0</v>
      </c>
      <c r="BI161" s="88">
        <v>0</v>
      </c>
      <c r="BJ161" s="88">
        <v>0</v>
      </c>
      <c r="BK161" s="88">
        <v>0</v>
      </c>
      <c r="BL161" s="88">
        <v>0</v>
      </c>
      <c r="BM161" s="88">
        <v>0</v>
      </c>
      <c r="BN161" s="590">
        <v>0</v>
      </c>
      <c r="BO161" s="171">
        <v>2023</v>
      </c>
      <c r="BP161" s="171">
        <v>1</v>
      </c>
      <c r="BQ161" s="171">
        <v>19</v>
      </c>
      <c r="BS161" s="76" t="str">
        <f t="shared" si="4"/>
        <v>○</v>
      </c>
    </row>
    <row r="162" spans="1:71" x14ac:dyDescent="0.2">
      <c r="A162" s="210">
        <v>1351</v>
      </c>
      <c r="B162" s="211"/>
      <c r="C162" s="212"/>
      <c r="D162" s="211"/>
      <c r="E162" s="212"/>
      <c r="F162" s="211"/>
      <c r="G162" s="211"/>
      <c r="H162" s="212"/>
      <c r="I162" s="211"/>
      <c r="J162" s="211"/>
      <c r="K162" s="211"/>
      <c r="L162" s="171"/>
      <c r="M162" s="171" t="s">
        <v>537</v>
      </c>
      <c r="N162" s="171" t="s">
        <v>416</v>
      </c>
      <c r="O162" s="171" t="s">
        <v>538</v>
      </c>
      <c r="P162" s="171" t="s">
        <v>916</v>
      </c>
      <c r="Q162" s="171"/>
      <c r="R162" s="213">
        <v>176000</v>
      </c>
      <c r="S162" s="87">
        <v>0</v>
      </c>
      <c r="T162" s="87">
        <v>0</v>
      </c>
      <c r="U162" s="87">
        <v>0</v>
      </c>
      <c r="V162" s="87">
        <v>0</v>
      </c>
      <c r="W162" s="87">
        <v>0</v>
      </c>
      <c r="X162" s="87">
        <v>0</v>
      </c>
      <c r="Y162" s="87">
        <v>0</v>
      </c>
      <c r="Z162" s="87">
        <v>0</v>
      </c>
      <c r="AA162" s="214">
        <v>0</v>
      </c>
      <c r="AB162" s="214">
        <v>0</v>
      </c>
      <c r="AC162" s="214">
        <v>0</v>
      </c>
      <c r="AD162" s="214">
        <v>0</v>
      </c>
      <c r="AE162" s="214">
        <v>0</v>
      </c>
      <c r="AF162" s="214">
        <v>0</v>
      </c>
      <c r="AG162" s="214">
        <v>0</v>
      </c>
      <c r="AH162" s="214">
        <v>0</v>
      </c>
      <c r="AI162" s="87">
        <v>176860</v>
      </c>
      <c r="AJ162" s="87">
        <v>0</v>
      </c>
      <c r="AK162" s="87">
        <v>176860</v>
      </c>
      <c r="AL162" s="87">
        <v>176860</v>
      </c>
      <c r="AM162" s="87">
        <v>2059200</v>
      </c>
      <c r="AN162" s="87">
        <v>176860</v>
      </c>
      <c r="AO162" s="87">
        <v>176860</v>
      </c>
      <c r="AP162" s="87">
        <v>176000</v>
      </c>
      <c r="AQ162" s="88">
        <v>0</v>
      </c>
      <c r="AR162" s="88">
        <v>0</v>
      </c>
      <c r="AS162" s="88">
        <v>0</v>
      </c>
      <c r="AT162" s="88">
        <v>0</v>
      </c>
      <c r="AU162" s="88">
        <v>0</v>
      </c>
      <c r="AV162" s="88">
        <v>0</v>
      </c>
      <c r="AW162" s="88">
        <v>0</v>
      </c>
      <c r="AX162" s="88">
        <v>0</v>
      </c>
      <c r="AY162" s="87">
        <v>0</v>
      </c>
      <c r="AZ162" s="87">
        <v>0</v>
      </c>
      <c r="BA162" s="87">
        <v>0</v>
      </c>
      <c r="BB162" s="87">
        <v>0</v>
      </c>
      <c r="BC162" s="87">
        <v>0</v>
      </c>
      <c r="BD162" s="87">
        <v>0</v>
      </c>
      <c r="BE162" s="87">
        <v>0</v>
      </c>
      <c r="BF162" s="87">
        <v>0</v>
      </c>
      <c r="BG162" s="88">
        <v>0</v>
      </c>
      <c r="BH162" s="88">
        <v>0</v>
      </c>
      <c r="BI162" s="88">
        <v>0</v>
      </c>
      <c r="BJ162" s="88">
        <v>0</v>
      </c>
      <c r="BK162" s="88">
        <v>0</v>
      </c>
      <c r="BL162" s="88">
        <v>0</v>
      </c>
      <c r="BM162" s="88">
        <v>0</v>
      </c>
      <c r="BN162" s="590">
        <v>0</v>
      </c>
      <c r="BO162" s="171">
        <v>2023</v>
      </c>
      <c r="BP162" s="171">
        <v>1</v>
      </c>
      <c r="BQ162" s="171">
        <v>19</v>
      </c>
      <c r="BS162" s="76" t="str">
        <f t="shared" si="4"/>
        <v>○</v>
      </c>
    </row>
    <row r="163" spans="1:71" x14ac:dyDescent="0.2">
      <c r="A163" s="210">
        <v>1352</v>
      </c>
      <c r="B163" s="211"/>
      <c r="C163" s="212"/>
      <c r="D163" s="211"/>
      <c r="E163" s="212"/>
      <c r="F163" s="211"/>
      <c r="G163" s="211"/>
      <c r="H163" s="212"/>
      <c r="I163" s="211"/>
      <c r="J163" s="211"/>
      <c r="K163" s="211"/>
      <c r="L163" s="171"/>
      <c r="M163" s="171" t="s">
        <v>460</v>
      </c>
      <c r="N163" s="171" t="s">
        <v>289</v>
      </c>
      <c r="O163" s="171" t="s">
        <v>461</v>
      </c>
      <c r="P163" s="171" t="s">
        <v>916</v>
      </c>
      <c r="Q163" s="171"/>
      <c r="R163" s="213">
        <v>380000</v>
      </c>
      <c r="S163" s="87">
        <v>0</v>
      </c>
      <c r="T163" s="87">
        <v>0</v>
      </c>
      <c r="U163" s="87">
        <v>0</v>
      </c>
      <c r="V163" s="87">
        <v>0</v>
      </c>
      <c r="W163" s="87">
        <v>0</v>
      </c>
      <c r="X163" s="87">
        <v>0</v>
      </c>
      <c r="Y163" s="87">
        <v>0</v>
      </c>
      <c r="Z163" s="87">
        <v>0</v>
      </c>
      <c r="AA163" s="214">
        <v>0</v>
      </c>
      <c r="AB163" s="214">
        <v>0</v>
      </c>
      <c r="AC163" s="214">
        <v>0</v>
      </c>
      <c r="AD163" s="214">
        <v>0</v>
      </c>
      <c r="AE163" s="214">
        <v>0</v>
      </c>
      <c r="AF163" s="214">
        <v>0</v>
      </c>
      <c r="AG163" s="214">
        <v>0</v>
      </c>
      <c r="AH163" s="214">
        <v>0</v>
      </c>
      <c r="AI163" s="87">
        <v>380160</v>
      </c>
      <c r="AJ163" s="87">
        <v>0</v>
      </c>
      <c r="AK163" s="87">
        <v>380160</v>
      </c>
      <c r="AL163" s="87">
        <v>380160</v>
      </c>
      <c r="AM163" s="87">
        <v>2196000</v>
      </c>
      <c r="AN163" s="87">
        <v>380160</v>
      </c>
      <c r="AO163" s="87">
        <v>380160</v>
      </c>
      <c r="AP163" s="87">
        <v>380000</v>
      </c>
      <c r="AQ163" s="88">
        <v>0</v>
      </c>
      <c r="AR163" s="88">
        <v>0</v>
      </c>
      <c r="AS163" s="88">
        <v>0</v>
      </c>
      <c r="AT163" s="88">
        <v>0</v>
      </c>
      <c r="AU163" s="88">
        <v>0</v>
      </c>
      <c r="AV163" s="88">
        <v>0</v>
      </c>
      <c r="AW163" s="88">
        <v>0</v>
      </c>
      <c r="AX163" s="88">
        <v>0</v>
      </c>
      <c r="AY163" s="87">
        <v>0</v>
      </c>
      <c r="AZ163" s="87">
        <v>0</v>
      </c>
      <c r="BA163" s="87">
        <v>0</v>
      </c>
      <c r="BB163" s="87">
        <v>0</v>
      </c>
      <c r="BC163" s="87">
        <v>0</v>
      </c>
      <c r="BD163" s="87">
        <v>0</v>
      </c>
      <c r="BE163" s="87">
        <v>0</v>
      </c>
      <c r="BF163" s="87">
        <v>0</v>
      </c>
      <c r="BG163" s="88">
        <v>0</v>
      </c>
      <c r="BH163" s="88">
        <v>0</v>
      </c>
      <c r="BI163" s="88">
        <v>0</v>
      </c>
      <c r="BJ163" s="88">
        <v>0</v>
      </c>
      <c r="BK163" s="88">
        <v>0</v>
      </c>
      <c r="BL163" s="88">
        <v>0</v>
      </c>
      <c r="BM163" s="88">
        <v>0</v>
      </c>
      <c r="BN163" s="590">
        <v>0</v>
      </c>
      <c r="BO163" s="171">
        <v>2023</v>
      </c>
      <c r="BP163" s="171">
        <v>1</v>
      </c>
      <c r="BQ163" s="171">
        <v>19</v>
      </c>
      <c r="BS163" s="76" t="str">
        <f t="shared" si="4"/>
        <v>○</v>
      </c>
    </row>
    <row r="164" spans="1:71" x14ac:dyDescent="0.2">
      <c r="A164" s="210">
        <v>1353</v>
      </c>
      <c r="B164" s="211"/>
      <c r="C164" s="212"/>
      <c r="D164" s="211"/>
      <c r="E164" s="212"/>
      <c r="F164" s="211"/>
      <c r="G164" s="211"/>
      <c r="H164" s="212"/>
      <c r="I164" s="211"/>
      <c r="J164" s="211"/>
      <c r="K164" s="211"/>
      <c r="L164" s="171"/>
      <c r="M164" s="171" t="s">
        <v>539</v>
      </c>
      <c r="N164" s="171" t="s">
        <v>269</v>
      </c>
      <c r="O164" s="171" t="s">
        <v>540</v>
      </c>
      <c r="P164" s="171" t="s">
        <v>916</v>
      </c>
      <c r="Q164" s="171"/>
      <c r="R164" s="213">
        <v>727000</v>
      </c>
      <c r="S164" s="87">
        <v>0</v>
      </c>
      <c r="T164" s="87">
        <v>0</v>
      </c>
      <c r="U164" s="87">
        <v>0</v>
      </c>
      <c r="V164" s="87">
        <v>0</v>
      </c>
      <c r="W164" s="87">
        <v>0</v>
      </c>
      <c r="X164" s="87">
        <v>0</v>
      </c>
      <c r="Y164" s="87">
        <v>0</v>
      </c>
      <c r="Z164" s="87">
        <v>0</v>
      </c>
      <c r="AA164" s="214">
        <v>0</v>
      </c>
      <c r="AB164" s="214">
        <v>0</v>
      </c>
      <c r="AC164" s="214">
        <v>0</v>
      </c>
      <c r="AD164" s="214">
        <v>0</v>
      </c>
      <c r="AE164" s="214">
        <v>0</v>
      </c>
      <c r="AF164" s="214">
        <v>0</v>
      </c>
      <c r="AG164" s="214">
        <v>0</v>
      </c>
      <c r="AH164" s="214">
        <v>0</v>
      </c>
      <c r="AI164" s="87">
        <v>727650</v>
      </c>
      <c r="AJ164" s="87">
        <v>0</v>
      </c>
      <c r="AK164" s="87">
        <v>727650</v>
      </c>
      <c r="AL164" s="87">
        <v>727650</v>
      </c>
      <c r="AM164" s="87">
        <v>6552000</v>
      </c>
      <c r="AN164" s="87">
        <v>727650</v>
      </c>
      <c r="AO164" s="87">
        <v>727650</v>
      </c>
      <c r="AP164" s="87">
        <v>727000</v>
      </c>
      <c r="AQ164" s="88">
        <v>0</v>
      </c>
      <c r="AR164" s="88">
        <v>0</v>
      </c>
      <c r="AS164" s="88">
        <v>0</v>
      </c>
      <c r="AT164" s="88">
        <v>0</v>
      </c>
      <c r="AU164" s="88">
        <v>0</v>
      </c>
      <c r="AV164" s="88">
        <v>0</v>
      </c>
      <c r="AW164" s="88">
        <v>0</v>
      </c>
      <c r="AX164" s="88">
        <v>0</v>
      </c>
      <c r="AY164" s="87">
        <v>0</v>
      </c>
      <c r="AZ164" s="87">
        <v>0</v>
      </c>
      <c r="BA164" s="87">
        <v>0</v>
      </c>
      <c r="BB164" s="87">
        <v>0</v>
      </c>
      <c r="BC164" s="87">
        <v>0</v>
      </c>
      <c r="BD164" s="87">
        <v>0</v>
      </c>
      <c r="BE164" s="87">
        <v>0</v>
      </c>
      <c r="BF164" s="87">
        <v>0</v>
      </c>
      <c r="BG164" s="88">
        <v>0</v>
      </c>
      <c r="BH164" s="88">
        <v>0</v>
      </c>
      <c r="BI164" s="88">
        <v>0</v>
      </c>
      <c r="BJ164" s="88">
        <v>0</v>
      </c>
      <c r="BK164" s="88">
        <v>0</v>
      </c>
      <c r="BL164" s="88">
        <v>0</v>
      </c>
      <c r="BM164" s="88">
        <v>0</v>
      </c>
      <c r="BN164" s="590">
        <v>0</v>
      </c>
      <c r="BO164" s="171">
        <v>2023</v>
      </c>
      <c r="BP164" s="171">
        <v>1</v>
      </c>
      <c r="BQ164" s="171">
        <v>19</v>
      </c>
      <c r="BS164" s="76" t="str">
        <f t="shared" si="4"/>
        <v>○</v>
      </c>
    </row>
    <row r="165" spans="1:71" x14ac:dyDescent="0.2">
      <c r="A165" s="210">
        <v>1354</v>
      </c>
      <c r="B165" s="211"/>
      <c r="C165" s="212"/>
      <c r="D165" s="211"/>
      <c r="E165" s="212"/>
      <c r="F165" s="211"/>
      <c r="G165" s="211"/>
      <c r="H165" s="212"/>
      <c r="I165" s="211"/>
      <c r="J165" s="211"/>
      <c r="K165" s="211"/>
      <c r="L165" s="171"/>
      <c r="M165" s="171" t="s">
        <v>308</v>
      </c>
      <c r="N165" s="171" t="s">
        <v>272</v>
      </c>
      <c r="O165" s="171" t="s">
        <v>309</v>
      </c>
      <c r="P165" s="171" t="s">
        <v>916</v>
      </c>
      <c r="Q165" s="171"/>
      <c r="R165" s="213">
        <v>33000</v>
      </c>
      <c r="S165" s="87">
        <v>0</v>
      </c>
      <c r="T165" s="87">
        <v>0</v>
      </c>
      <c r="U165" s="87">
        <v>0</v>
      </c>
      <c r="V165" s="87">
        <v>0</v>
      </c>
      <c r="W165" s="87">
        <v>0</v>
      </c>
      <c r="X165" s="87">
        <v>0</v>
      </c>
      <c r="Y165" s="87">
        <v>0</v>
      </c>
      <c r="Z165" s="87">
        <v>0</v>
      </c>
      <c r="AA165" s="214">
        <v>0</v>
      </c>
      <c r="AB165" s="214">
        <v>0</v>
      </c>
      <c r="AC165" s="214">
        <v>0</v>
      </c>
      <c r="AD165" s="214">
        <v>0</v>
      </c>
      <c r="AE165" s="214">
        <v>0</v>
      </c>
      <c r="AF165" s="214">
        <v>0</v>
      </c>
      <c r="AG165" s="214">
        <v>0</v>
      </c>
      <c r="AH165" s="214">
        <v>0</v>
      </c>
      <c r="AI165" s="87">
        <v>33090</v>
      </c>
      <c r="AJ165" s="87">
        <v>0</v>
      </c>
      <c r="AK165" s="87">
        <v>33090</v>
      </c>
      <c r="AL165" s="87">
        <v>33090</v>
      </c>
      <c r="AM165" s="87">
        <v>2592000</v>
      </c>
      <c r="AN165" s="87">
        <v>33090</v>
      </c>
      <c r="AO165" s="87">
        <v>33090</v>
      </c>
      <c r="AP165" s="87">
        <v>33000</v>
      </c>
      <c r="AQ165" s="88">
        <v>0</v>
      </c>
      <c r="AR165" s="88">
        <v>0</v>
      </c>
      <c r="AS165" s="88">
        <v>0</v>
      </c>
      <c r="AT165" s="88">
        <v>0</v>
      </c>
      <c r="AU165" s="88">
        <v>0</v>
      </c>
      <c r="AV165" s="88">
        <v>0</v>
      </c>
      <c r="AW165" s="88">
        <v>0</v>
      </c>
      <c r="AX165" s="88">
        <v>0</v>
      </c>
      <c r="AY165" s="87">
        <v>0</v>
      </c>
      <c r="AZ165" s="87">
        <v>0</v>
      </c>
      <c r="BA165" s="87">
        <v>0</v>
      </c>
      <c r="BB165" s="87">
        <v>0</v>
      </c>
      <c r="BC165" s="87">
        <v>0</v>
      </c>
      <c r="BD165" s="87">
        <v>0</v>
      </c>
      <c r="BE165" s="87">
        <v>0</v>
      </c>
      <c r="BF165" s="87">
        <v>0</v>
      </c>
      <c r="BG165" s="88">
        <v>0</v>
      </c>
      <c r="BH165" s="88">
        <v>0</v>
      </c>
      <c r="BI165" s="88">
        <v>0</v>
      </c>
      <c r="BJ165" s="88">
        <v>0</v>
      </c>
      <c r="BK165" s="88">
        <v>0</v>
      </c>
      <c r="BL165" s="88">
        <v>0</v>
      </c>
      <c r="BM165" s="88">
        <v>0</v>
      </c>
      <c r="BN165" s="590">
        <v>0</v>
      </c>
      <c r="BO165" s="171">
        <v>2023</v>
      </c>
      <c r="BP165" s="171">
        <v>1</v>
      </c>
      <c r="BQ165" s="171">
        <v>19</v>
      </c>
      <c r="BS165" s="76" t="str">
        <f t="shared" si="4"/>
        <v>○</v>
      </c>
    </row>
    <row r="166" spans="1:71" s="81" customFormat="1" x14ac:dyDescent="0.2">
      <c r="A166" s="210">
        <v>1355</v>
      </c>
      <c r="B166" s="211"/>
      <c r="C166" s="212"/>
      <c r="D166" s="211"/>
      <c r="E166" s="212"/>
      <c r="F166" s="211"/>
      <c r="G166" s="211"/>
      <c r="H166" s="212"/>
      <c r="I166" s="211"/>
      <c r="J166" s="211"/>
      <c r="K166" s="211"/>
      <c r="L166" s="171"/>
      <c r="M166" s="171" t="s">
        <v>541</v>
      </c>
      <c r="N166" s="171" t="s">
        <v>313</v>
      </c>
      <c r="O166" s="171" t="s">
        <v>476</v>
      </c>
      <c r="P166" s="171" t="s">
        <v>916</v>
      </c>
      <c r="Q166" s="171"/>
      <c r="R166" s="213">
        <v>120000</v>
      </c>
      <c r="S166" s="87">
        <v>0</v>
      </c>
      <c r="T166" s="87">
        <v>0</v>
      </c>
      <c r="U166" s="87">
        <v>0</v>
      </c>
      <c r="V166" s="87">
        <v>0</v>
      </c>
      <c r="W166" s="87">
        <v>0</v>
      </c>
      <c r="X166" s="87">
        <v>0</v>
      </c>
      <c r="Y166" s="87">
        <v>0</v>
      </c>
      <c r="Z166" s="87">
        <v>0</v>
      </c>
      <c r="AA166" s="214">
        <v>0</v>
      </c>
      <c r="AB166" s="214">
        <v>0</v>
      </c>
      <c r="AC166" s="214">
        <v>0</v>
      </c>
      <c r="AD166" s="214">
        <v>0</v>
      </c>
      <c r="AE166" s="214">
        <v>0</v>
      </c>
      <c r="AF166" s="214">
        <v>0</v>
      </c>
      <c r="AG166" s="214">
        <v>0</v>
      </c>
      <c r="AH166" s="214">
        <v>0</v>
      </c>
      <c r="AI166" s="87">
        <v>120678</v>
      </c>
      <c r="AJ166" s="87">
        <v>0</v>
      </c>
      <c r="AK166" s="87">
        <v>120678</v>
      </c>
      <c r="AL166" s="87">
        <v>120678</v>
      </c>
      <c r="AM166" s="87">
        <v>1317600</v>
      </c>
      <c r="AN166" s="87">
        <v>120678</v>
      </c>
      <c r="AO166" s="87">
        <v>120678</v>
      </c>
      <c r="AP166" s="87">
        <v>120000</v>
      </c>
      <c r="AQ166" s="88">
        <v>0</v>
      </c>
      <c r="AR166" s="88">
        <v>0</v>
      </c>
      <c r="AS166" s="88">
        <v>0</v>
      </c>
      <c r="AT166" s="88">
        <v>0</v>
      </c>
      <c r="AU166" s="88">
        <v>0</v>
      </c>
      <c r="AV166" s="88">
        <v>0</v>
      </c>
      <c r="AW166" s="88">
        <v>0</v>
      </c>
      <c r="AX166" s="88">
        <v>0</v>
      </c>
      <c r="AY166" s="87">
        <v>0</v>
      </c>
      <c r="AZ166" s="87">
        <v>0</v>
      </c>
      <c r="BA166" s="87">
        <v>0</v>
      </c>
      <c r="BB166" s="87">
        <v>0</v>
      </c>
      <c r="BC166" s="87">
        <v>0</v>
      </c>
      <c r="BD166" s="87">
        <v>0</v>
      </c>
      <c r="BE166" s="87">
        <v>0</v>
      </c>
      <c r="BF166" s="87">
        <v>0</v>
      </c>
      <c r="BG166" s="88">
        <v>0</v>
      </c>
      <c r="BH166" s="88">
        <v>0</v>
      </c>
      <c r="BI166" s="88">
        <v>0</v>
      </c>
      <c r="BJ166" s="88">
        <v>0</v>
      </c>
      <c r="BK166" s="88">
        <v>0</v>
      </c>
      <c r="BL166" s="88">
        <v>0</v>
      </c>
      <c r="BM166" s="88">
        <v>0</v>
      </c>
      <c r="BN166" s="590">
        <v>0</v>
      </c>
      <c r="BO166" s="171">
        <v>2023</v>
      </c>
      <c r="BP166" s="171">
        <v>1</v>
      </c>
      <c r="BQ166" s="171">
        <v>19</v>
      </c>
      <c r="BR166" s="77"/>
      <c r="BS166" s="76" t="str">
        <f t="shared" si="4"/>
        <v>○</v>
      </c>
    </row>
    <row r="167" spans="1:71" x14ac:dyDescent="0.2">
      <c r="A167" s="210">
        <v>1356</v>
      </c>
      <c r="B167" s="211"/>
      <c r="C167" s="212"/>
      <c r="D167" s="211"/>
      <c r="E167" s="212"/>
      <c r="F167" s="211"/>
      <c r="G167" s="211"/>
      <c r="H167" s="212"/>
      <c r="I167" s="211"/>
      <c r="J167" s="211"/>
      <c r="K167" s="211"/>
      <c r="L167" s="171"/>
      <c r="M167" s="171" t="s">
        <v>542</v>
      </c>
      <c r="N167" s="171" t="s">
        <v>269</v>
      </c>
      <c r="O167" s="171" t="s">
        <v>364</v>
      </c>
      <c r="P167" s="171" t="s">
        <v>916</v>
      </c>
      <c r="Q167" s="171"/>
      <c r="R167" s="213">
        <v>34000</v>
      </c>
      <c r="S167" s="87">
        <v>0</v>
      </c>
      <c r="T167" s="87">
        <v>0</v>
      </c>
      <c r="U167" s="87">
        <v>0</v>
      </c>
      <c r="V167" s="87">
        <v>0</v>
      </c>
      <c r="W167" s="87">
        <v>0</v>
      </c>
      <c r="X167" s="87">
        <v>0</v>
      </c>
      <c r="Y167" s="87">
        <v>0</v>
      </c>
      <c r="Z167" s="87">
        <v>0</v>
      </c>
      <c r="AA167" s="214">
        <v>0</v>
      </c>
      <c r="AB167" s="214">
        <v>0</v>
      </c>
      <c r="AC167" s="214">
        <v>0</v>
      </c>
      <c r="AD167" s="214">
        <v>0</v>
      </c>
      <c r="AE167" s="214">
        <v>0</v>
      </c>
      <c r="AF167" s="214">
        <v>0</v>
      </c>
      <c r="AG167" s="214">
        <v>0</v>
      </c>
      <c r="AH167" s="214">
        <v>0</v>
      </c>
      <c r="AI167" s="87">
        <v>34065</v>
      </c>
      <c r="AJ167" s="87">
        <v>0</v>
      </c>
      <c r="AK167" s="87">
        <v>34065</v>
      </c>
      <c r="AL167" s="87">
        <v>34065</v>
      </c>
      <c r="AM167" s="87">
        <v>5148000</v>
      </c>
      <c r="AN167" s="87">
        <v>34065</v>
      </c>
      <c r="AO167" s="87">
        <v>34065</v>
      </c>
      <c r="AP167" s="87">
        <v>34000</v>
      </c>
      <c r="AQ167" s="88">
        <v>0</v>
      </c>
      <c r="AR167" s="88">
        <v>0</v>
      </c>
      <c r="AS167" s="88">
        <v>0</v>
      </c>
      <c r="AT167" s="88">
        <v>0</v>
      </c>
      <c r="AU167" s="88">
        <v>0</v>
      </c>
      <c r="AV167" s="88">
        <v>0</v>
      </c>
      <c r="AW167" s="88">
        <v>0</v>
      </c>
      <c r="AX167" s="88">
        <v>0</v>
      </c>
      <c r="AY167" s="87">
        <v>0</v>
      </c>
      <c r="AZ167" s="87">
        <v>0</v>
      </c>
      <c r="BA167" s="87">
        <v>0</v>
      </c>
      <c r="BB167" s="87">
        <v>0</v>
      </c>
      <c r="BC167" s="87">
        <v>0</v>
      </c>
      <c r="BD167" s="87">
        <v>0</v>
      </c>
      <c r="BE167" s="87">
        <v>0</v>
      </c>
      <c r="BF167" s="87">
        <v>0</v>
      </c>
      <c r="BG167" s="88">
        <v>0</v>
      </c>
      <c r="BH167" s="88">
        <v>0</v>
      </c>
      <c r="BI167" s="88">
        <v>0</v>
      </c>
      <c r="BJ167" s="88">
        <v>0</v>
      </c>
      <c r="BK167" s="88">
        <v>0</v>
      </c>
      <c r="BL167" s="88">
        <v>0</v>
      </c>
      <c r="BM167" s="88">
        <v>0</v>
      </c>
      <c r="BN167" s="590">
        <v>0</v>
      </c>
      <c r="BO167" s="171">
        <v>2023</v>
      </c>
      <c r="BP167" s="171">
        <v>1</v>
      </c>
      <c r="BQ167" s="171">
        <v>19</v>
      </c>
      <c r="BR167" s="81"/>
      <c r="BS167" s="76" t="str">
        <f t="shared" si="4"/>
        <v>○</v>
      </c>
    </row>
    <row r="168" spans="1:71" s="81" customFormat="1" x14ac:dyDescent="0.2">
      <c r="A168" s="210">
        <v>1357</v>
      </c>
      <c r="B168" s="211"/>
      <c r="C168" s="212"/>
      <c r="D168" s="211"/>
      <c r="E168" s="212"/>
      <c r="F168" s="211"/>
      <c r="G168" s="211"/>
      <c r="H168" s="212"/>
      <c r="I168" s="211"/>
      <c r="J168" s="211"/>
      <c r="K168" s="211"/>
      <c r="L168" s="171"/>
      <c r="M168" s="171" t="s">
        <v>543</v>
      </c>
      <c r="N168" s="171" t="s">
        <v>269</v>
      </c>
      <c r="O168" s="171" t="s">
        <v>341</v>
      </c>
      <c r="P168" s="171" t="s">
        <v>916</v>
      </c>
      <c r="Q168" s="171"/>
      <c r="R168" s="213">
        <v>482000</v>
      </c>
      <c r="S168" s="87">
        <v>0</v>
      </c>
      <c r="T168" s="87">
        <v>0</v>
      </c>
      <c r="U168" s="87">
        <v>0</v>
      </c>
      <c r="V168" s="87">
        <v>0</v>
      </c>
      <c r="W168" s="87">
        <v>0</v>
      </c>
      <c r="X168" s="87">
        <v>0</v>
      </c>
      <c r="Y168" s="87">
        <v>0</v>
      </c>
      <c r="Z168" s="87">
        <v>0</v>
      </c>
      <c r="AA168" s="214">
        <v>0</v>
      </c>
      <c r="AB168" s="214">
        <v>0</v>
      </c>
      <c r="AC168" s="214">
        <v>0</v>
      </c>
      <c r="AD168" s="214">
        <v>0</v>
      </c>
      <c r="AE168" s="214">
        <v>0</v>
      </c>
      <c r="AF168" s="214">
        <v>0</v>
      </c>
      <c r="AG168" s="214">
        <v>0</v>
      </c>
      <c r="AH168" s="214">
        <v>0</v>
      </c>
      <c r="AI168" s="87">
        <v>482702</v>
      </c>
      <c r="AJ168" s="87">
        <v>0</v>
      </c>
      <c r="AK168" s="87">
        <v>482702</v>
      </c>
      <c r="AL168" s="87">
        <v>482702</v>
      </c>
      <c r="AM168" s="87">
        <v>2700000</v>
      </c>
      <c r="AN168" s="87">
        <v>482702</v>
      </c>
      <c r="AO168" s="87">
        <v>482702</v>
      </c>
      <c r="AP168" s="87">
        <v>482000</v>
      </c>
      <c r="AQ168" s="88">
        <v>0</v>
      </c>
      <c r="AR168" s="88">
        <v>0</v>
      </c>
      <c r="AS168" s="88">
        <v>0</v>
      </c>
      <c r="AT168" s="88">
        <v>0</v>
      </c>
      <c r="AU168" s="88">
        <v>0</v>
      </c>
      <c r="AV168" s="88">
        <v>0</v>
      </c>
      <c r="AW168" s="88">
        <v>0</v>
      </c>
      <c r="AX168" s="88">
        <v>0</v>
      </c>
      <c r="AY168" s="87">
        <v>0</v>
      </c>
      <c r="AZ168" s="87">
        <v>0</v>
      </c>
      <c r="BA168" s="87">
        <v>0</v>
      </c>
      <c r="BB168" s="87">
        <v>0</v>
      </c>
      <c r="BC168" s="87">
        <v>0</v>
      </c>
      <c r="BD168" s="87">
        <v>0</v>
      </c>
      <c r="BE168" s="87">
        <v>0</v>
      </c>
      <c r="BF168" s="87">
        <v>0</v>
      </c>
      <c r="BG168" s="88">
        <v>0</v>
      </c>
      <c r="BH168" s="88">
        <v>0</v>
      </c>
      <c r="BI168" s="88">
        <v>0</v>
      </c>
      <c r="BJ168" s="88">
        <v>0</v>
      </c>
      <c r="BK168" s="88">
        <v>0</v>
      </c>
      <c r="BL168" s="88">
        <v>0</v>
      </c>
      <c r="BM168" s="88">
        <v>0</v>
      </c>
      <c r="BN168" s="590">
        <v>0</v>
      </c>
      <c r="BO168" s="171">
        <v>2023</v>
      </c>
      <c r="BP168" s="171">
        <v>1</v>
      </c>
      <c r="BQ168" s="171">
        <v>19</v>
      </c>
      <c r="BR168" s="77"/>
      <c r="BS168" s="76" t="str">
        <f t="shared" si="4"/>
        <v>○</v>
      </c>
    </row>
    <row r="169" spans="1:71" x14ac:dyDescent="0.2">
      <c r="A169" s="210">
        <v>1358</v>
      </c>
      <c r="B169" s="211"/>
      <c r="C169" s="212"/>
      <c r="D169" s="211"/>
      <c r="E169" s="212"/>
      <c r="F169" s="211"/>
      <c r="G169" s="211"/>
      <c r="H169" s="212"/>
      <c r="I169" s="211"/>
      <c r="J169" s="211"/>
      <c r="K169" s="211"/>
      <c r="L169" s="171"/>
      <c r="M169" s="171" t="s">
        <v>544</v>
      </c>
      <c r="N169" s="171" t="s">
        <v>323</v>
      </c>
      <c r="O169" s="171" t="s">
        <v>545</v>
      </c>
      <c r="P169" s="171" t="s">
        <v>916</v>
      </c>
      <c r="Q169" s="171"/>
      <c r="R169" s="213">
        <v>972000</v>
      </c>
      <c r="S169" s="87">
        <v>0</v>
      </c>
      <c r="T169" s="87">
        <v>0</v>
      </c>
      <c r="U169" s="87">
        <v>0</v>
      </c>
      <c r="V169" s="87">
        <v>0</v>
      </c>
      <c r="W169" s="87">
        <v>0</v>
      </c>
      <c r="X169" s="87">
        <v>0</v>
      </c>
      <c r="Y169" s="87">
        <v>0</v>
      </c>
      <c r="Z169" s="87">
        <v>0</v>
      </c>
      <c r="AA169" s="214">
        <v>0</v>
      </c>
      <c r="AB169" s="214">
        <v>0</v>
      </c>
      <c r="AC169" s="214">
        <v>0</v>
      </c>
      <c r="AD169" s="214">
        <v>0</v>
      </c>
      <c r="AE169" s="214">
        <v>0</v>
      </c>
      <c r="AF169" s="214">
        <v>0</v>
      </c>
      <c r="AG169" s="214">
        <v>0</v>
      </c>
      <c r="AH169" s="214">
        <v>0</v>
      </c>
      <c r="AI169" s="87">
        <v>972050</v>
      </c>
      <c r="AJ169" s="87">
        <v>0</v>
      </c>
      <c r="AK169" s="87">
        <v>972050</v>
      </c>
      <c r="AL169" s="87">
        <v>972050</v>
      </c>
      <c r="AM169" s="87">
        <v>2102400</v>
      </c>
      <c r="AN169" s="87">
        <v>972050</v>
      </c>
      <c r="AO169" s="87">
        <v>972050</v>
      </c>
      <c r="AP169" s="87">
        <v>972000</v>
      </c>
      <c r="AQ169" s="88">
        <v>0</v>
      </c>
      <c r="AR169" s="88">
        <v>0</v>
      </c>
      <c r="AS169" s="88">
        <v>0</v>
      </c>
      <c r="AT169" s="88">
        <v>0</v>
      </c>
      <c r="AU169" s="88">
        <v>0</v>
      </c>
      <c r="AV169" s="88">
        <v>0</v>
      </c>
      <c r="AW169" s="88">
        <v>0</v>
      </c>
      <c r="AX169" s="88">
        <v>0</v>
      </c>
      <c r="AY169" s="87">
        <v>0</v>
      </c>
      <c r="AZ169" s="87">
        <v>0</v>
      </c>
      <c r="BA169" s="87">
        <v>0</v>
      </c>
      <c r="BB169" s="87">
        <v>0</v>
      </c>
      <c r="BC169" s="87">
        <v>0</v>
      </c>
      <c r="BD169" s="87">
        <v>0</v>
      </c>
      <c r="BE169" s="87">
        <v>0</v>
      </c>
      <c r="BF169" s="87">
        <v>0</v>
      </c>
      <c r="BG169" s="88">
        <v>0</v>
      </c>
      <c r="BH169" s="88">
        <v>0</v>
      </c>
      <c r="BI169" s="88">
        <v>0</v>
      </c>
      <c r="BJ169" s="88">
        <v>0</v>
      </c>
      <c r="BK169" s="88">
        <v>0</v>
      </c>
      <c r="BL169" s="88">
        <v>0</v>
      </c>
      <c r="BM169" s="88">
        <v>0</v>
      </c>
      <c r="BN169" s="590">
        <v>0</v>
      </c>
      <c r="BO169" s="171">
        <v>2023</v>
      </c>
      <c r="BP169" s="171">
        <v>1</v>
      </c>
      <c r="BQ169" s="171">
        <v>19</v>
      </c>
      <c r="BR169" s="81"/>
      <c r="BS169" s="76" t="str">
        <f t="shared" si="4"/>
        <v>○</v>
      </c>
    </row>
    <row r="170" spans="1:71" x14ac:dyDescent="0.2">
      <c r="A170" s="210">
        <v>1359</v>
      </c>
      <c r="B170" s="211"/>
      <c r="C170" s="212"/>
      <c r="D170" s="211"/>
      <c r="E170" s="212"/>
      <c r="F170" s="211"/>
      <c r="G170" s="211"/>
      <c r="H170" s="212"/>
      <c r="I170" s="211"/>
      <c r="J170" s="211"/>
      <c r="K170" s="211"/>
      <c r="L170" s="171"/>
      <c r="M170" s="171" t="s">
        <v>546</v>
      </c>
      <c r="N170" s="171" t="s">
        <v>269</v>
      </c>
      <c r="O170" s="171" t="s">
        <v>547</v>
      </c>
      <c r="P170" s="171" t="s">
        <v>916</v>
      </c>
      <c r="Q170" s="171"/>
      <c r="R170" s="213">
        <v>1147000</v>
      </c>
      <c r="S170" s="87">
        <v>0</v>
      </c>
      <c r="T170" s="87">
        <v>0</v>
      </c>
      <c r="U170" s="87">
        <v>0</v>
      </c>
      <c r="V170" s="87">
        <v>0</v>
      </c>
      <c r="W170" s="87">
        <v>0</v>
      </c>
      <c r="X170" s="87">
        <v>0</v>
      </c>
      <c r="Y170" s="87">
        <v>0</v>
      </c>
      <c r="Z170" s="87">
        <v>0</v>
      </c>
      <c r="AA170" s="214">
        <v>0</v>
      </c>
      <c r="AB170" s="214">
        <v>0</v>
      </c>
      <c r="AC170" s="214">
        <v>0</v>
      </c>
      <c r="AD170" s="214">
        <v>0</v>
      </c>
      <c r="AE170" s="214">
        <v>0</v>
      </c>
      <c r="AF170" s="214">
        <v>0</v>
      </c>
      <c r="AG170" s="214">
        <v>0</v>
      </c>
      <c r="AH170" s="214">
        <v>0</v>
      </c>
      <c r="AI170" s="87">
        <v>1147430</v>
      </c>
      <c r="AJ170" s="87">
        <v>0</v>
      </c>
      <c r="AK170" s="87">
        <v>1147430</v>
      </c>
      <c r="AL170" s="87">
        <v>1147430</v>
      </c>
      <c r="AM170" s="87">
        <v>2102400</v>
      </c>
      <c r="AN170" s="87">
        <v>1147430</v>
      </c>
      <c r="AO170" s="87">
        <v>1147430</v>
      </c>
      <c r="AP170" s="87">
        <v>1147000</v>
      </c>
      <c r="AQ170" s="88">
        <v>0</v>
      </c>
      <c r="AR170" s="88">
        <v>0</v>
      </c>
      <c r="AS170" s="88">
        <v>0</v>
      </c>
      <c r="AT170" s="88">
        <v>0</v>
      </c>
      <c r="AU170" s="88">
        <v>0</v>
      </c>
      <c r="AV170" s="88">
        <v>0</v>
      </c>
      <c r="AW170" s="88">
        <v>0</v>
      </c>
      <c r="AX170" s="88">
        <v>0</v>
      </c>
      <c r="AY170" s="87">
        <v>0</v>
      </c>
      <c r="AZ170" s="87">
        <v>0</v>
      </c>
      <c r="BA170" s="87">
        <v>0</v>
      </c>
      <c r="BB170" s="87">
        <v>0</v>
      </c>
      <c r="BC170" s="87">
        <v>0</v>
      </c>
      <c r="BD170" s="87">
        <v>0</v>
      </c>
      <c r="BE170" s="87">
        <v>0</v>
      </c>
      <c r="BF170" s="87">
        <v>0</v>
      </c>
      <c r="BG170" s="88">
        <v>0</v>
      </c>
      <c r="BH170" s="88">
        <v>0</v>
      </c>
      <c r="BI170" s="88">
        <v>0</v>
      </c>
      <c r="BJ170" s="88">
        <v>0</v>
      </c>
      <c r="BK170" s="88">
        <v>0</v>
      </c>
      <c r="BL170" s="88">
        <v>0</v>
      </c>
      <c r="BM170" s="88">
        <v>0</v>
      </c>
      <c r="BN170" s="590">
        <v>0</v>
      </c>
      <c r="BO170" s="171">
        <v>2023</v>
      </c>
      <c r="BP170" s="171">
        <v>1</v>
      </c>
      <c r="BQ170" s="171">
        <v>19</v>
      </c>
      <c r="BS170" s="76" t="str">
        <f t="shared" si="4"/>
        <v>○</v>
      </c>
    </row>
    <row r="171" spans="1:71" x14ac:dyDescent="0.2">
      <c r="A171" s="210">
        <v>1360</v>
      </c>
      <c r="B171" s="211"/>
      <c r="C171" s="212"/>
      <c r="D171" s="211"/>
      <c r="E171" s="212"/>
      <c r="F171" s="211"/>
      <c r="G171" s="211"/>
      <c r="H171" s="212"/>
      <c r="I171" s="211"/>
      <c r="J171" s="211"/>
      <c r="K171" s="211"/>
      <c r="L171" s="171"/>
      <c r="M171" s="171" t="s">
        <v>546</v>
      </c>
      <c r="N171" s="171" t="s">
        <v>269</v>
      </c>
      <c r="O171" s="171" t="s">
        <v>547</v>
      </c>
      <c r="P171" s="171" t="s">
        <v>916</v>
      </c>
      <c r="Q171" s="171"/>
      <c r="R171" s="213">
        <v>379000</v>
      </c>
      <c r="S171" s="87">
        <v>0</v>
      </c>
      <c r="T171" s="87">
        <v>0</v>
      </c>
      <c r="U171" s="87">
        <v>0</v>
      </c>
      <c r="V171" s="87">
        <v>0</v>
      </c>
      <c r="W171" s="87">
        <v>0</v>
      </c>
      <c r="X171" s="87">
        <v>0</v>
      </c>
      <c r="Y171" s="87">
        <v>0</v>
      </c>
      <c r="Z171" s="87">
        <v>0</v>
      </c>
      <c r="AA171" s="214">
        <v>0</v>
      </c>
      <c r="AB171" s="214">
        <v>0</v>
      </c>
      <c r="AC171" s="214">
        <v>0</v>
      </c>
      <c r="AD171" s="214">
        <v>0</v>
      </c>
      <c r="AE171" s="214">
        <v>0</v>
      </c>
      <c r="AF171" s="214">
        <v>0</v>
      </c>
      <c r="AG171" s="214">
        <v>0</v>
      </c>
      <c r="AH171" s="214">
        <v>0</v>
      </c>
      <c r="AI171" s="87">
        <v>379160</v>
      </c>
      <c r="AJ171" s="87">
        <v>0</v>
      </c>
      <c r="AK171" s="87">
        <v>379160</v>
      </c>
      <c r="AL171" s="87">
        <v>379160</v>
      </c>
      <c r="AM171" s="87">
        <v>2462400</v>
      </c>
      <c r="AN171" s="87">
        <v>379160</v>
      </c>
      <c r="AO171" s="87">
        <v>379160</v>
      </c>
      <c r="AP171" s="87">
        <v>379000</v>
      </c>
      <c r="AQ171" s="88">
        <v>0</v>
      </c>
      <c r="AR171" s="88">
        <v>0</v>
      </c>
      <c r="AS171" s="88">
        <v>0</v>
      </c>
      <c r="AT171" s="88">
        <v>0</v>
      </c>
      <c r="AU171" s="88">
        <v>0</v>
      </c>
      <c r="AV171" s="88">
        <v>0</v>
      </c>
      <c r="AW171" s="88">
        <v>0</v>
      </c>
      <c r="AX171" s="88">
        <v>0</v>
      </c>
      <c r="AY171" s="87">
        <v>0</v>
      </c>
      <c r="AZ171" s="87">
        <v>0</v>
      </c>
      <c r="BA171" s="87">
        <v>0</v>
      </c>
      <c r="BB171" s="87">
        <v>0</v>
      </c>
      <c r="BC171" s="87">
        <v>0</v>
      </c>
      <c r="BD171" s="87">
        <v>0</v>
      </c>
      <c r="BE171" s="87">
        <v>0</v>
      </c>
      <c r="BF171" s="87">
        <v>0</v>
      </c>
      <c r="BG171" s="88">
        <v>0</v>
      </c>
      <c r="BH171" s="88">
        <v>0</v>
      </c>
      <c r="BI171" s="88">
        <v>0</v>
      </c>
      <c r="BJ171" s="88">
        <v>0</v>
      </c>
      <c r="BK171" s="88">
        <v>0</v>
      </c>
      <c r="BL171" s="88">
        <v>0</v>
      </c>
      <c r="BM171" s="88">
        <v>0</v>
      </c>
      <c r="BN171" s="590">
        <v>0</v>
      </c>
      <c r="BO171" s="171">
        <v>2023</v>
      </c>
      <c r="BP171" s="171">
        <v>1</v>
      </c>
      <c r="BQ171" s="171">
        <v>19</v>
      </c>
      <c r="BS171" s="76" t="str">
        <f t="shared" si="4"/>
        <v>○</v>
      </c>
    </row>
    <row r="172" spans="1:71" x14ac:dyDescent="0.2">
      <c r="A172" s="210">
        <v>1361</v>
      </c>
      <c r="B172" s="211"/>
      <c r="C172" s="212"/>
      <c r="D172" s="211"/>
      <c r="E172" s="212"/>
      <c r="F172" s="211"/>
      <c r="G172" s="211"/>
      <c r="H172" s="212"/>
      <c r="I172" s="211"/>
      <c r="J172" s="211"/>
      <c r="K172" s="211"/>
      <c r="L172" s="171"/>
      <c r="M172" s="171" t="s">
        <v>548</v>
      </c>
      <c r="N172" s="171" t="s">
        <v>275</v>
      </c>
      <c r="O172" s="171" t="s">
        <v>549</v>
      </c>
      <c r="P172" s="171" t="s">
        <v>916</v>
      </c>
      <c r="Q172" s="171"/>
      <c r="R172" s="213">
        <v>263000</v>
      </c>
      <c r="S172" s="87">
        <v>0</v>
      </c>
      <c r="T172" s="87">
        <v>0</v>
      </c>
      <c r="U172" s="87">
        <v>0</v>
      </c>
      <c r="V172" s="87">
        <v>0</v>
      </c>
      <c r="W172" s="87">
        <v>0</v>
      </c>
      <c r="X172" s="87">
        <v>0</v>
      </c>
      <c r="Y172" s="87">
        <v>0</v>
      </c>
      <c r="Z172" s="87">
        <v>0</v>
      </c>
      <c r="AA172" s="214">
        <v>0</v>
      </c>
      <c r="AB172" s="214">
        <v>0</v>
      </c>
      <c r="AC172" s="214">
        <v>0</v>
      </c>
      <c r="AD172" s="214">
        <v>0</v>
      </c>
      <c r="AE172" s="214">
        <v>0</v>
      </c>
      <c r="AF172" s="214">
        <v>0</v>
      </c>
      <c r="AG172" s="214">
        <v>0</v>
      </c>
      <c r="AH172" s="214">
        <v>0</v>
      </c>
      <c r="AI172" s="87">
        <v>263160</v>
      </c>
      <c r="AJ172" s="87">
        <v>0</v>
      </c>
      <c r="AK172" s="87">
        <v>263160</v>
      </c>
      <c r="AL172" s="87">
        <v>263160</v>
      </c>
      <c r="AM172" s="87">
        <v>2570400</v>
      </c>
      <c r="AN172" s="87">
        <v>263160</v>
      </c>
      <c r="AO172" s="87">
        <v>263160</v>
      </c>
      <c r="AP172" s="87">
        <v>263000</v>
      </c>
      <c r="AQ172" s="88">
        <v>0</v>
      </c>
      <c r="AR172" s="88">
        <v>0</v>
      </c>
      <c r="AS172" s="88">
        <v>0</v>
      </c>
      <c r="AT172" s="88">
        <v>0</v>
      </c>
      <c r="AU172" s="88">
        <v>0</v>
      </c>
      <c r="AV172" s="88">
        <v>0</v>
      </c>
      <c r="AW172" s="88">
        <v>0</v>
      </c>
      <c r="AX172" s="88">
        <v>0</v>
      </c>
      <c r="AY172" s="87">
        <v>0</v>
      </c>
      <c r="AZ172" s="87">
        <v>0</v>
      </c>
      <c r="BA172" s="87">
        <v>0</v>
      </c>
      <c r="BB172" s="87">
        <v>0</v>
      </c>
      <c r="BC172" s="87">
        <v>0</v>
      </c>
      <c r="BD172" s="87">
        <v>0</v>
      </c>
      <c r="BE172" s="87">
        <v>0</v>
      </c>
      <c r="BF172" s="87">
        <v>0</v>
      </c>
      <c r="BG172" s="88">
        <v>0</v>
      </c>
      <c r="BH172" s="88">
        <v>0</v>
      </c>
      <c r="BI172" s="88">
        <v>0</v>
      </c>
      <c r="BJ172" s="88">
        <v>0</v>
      </c>
      <c r="BK172" s="88">
        <v>0</v>
      </c>
      <c r="BL172" s="88">
        <v>0</v>
      </c>
      <c r="BM172" s="88">
        <v>0</v>
      </c>
      <c r="BN172" s="590">
        <v>0</v>
      </c>
      <c r="BO172" s="171">
        <v>2023</v>
      </c>
      <c r="BP172" s="171">
        <v>1</v>
      </c>
      <c r="BQ172" s="171">
        <v>19</v>
      </c>
      <c r="BS172" s="76" t="str">
        <f t="shared" ref="BS172:BS203" si="5">IF(R172=SUM(Z172,AH172,AP172,BF172,BN172),"○","×")</f>
        <v>○</v>
      </c>
    </row>
    <row r="173" spans="1:71" x14ac:dyDescent="0.2">
      <c r="A173" s="210">
        <v>1362</v>
      </c>
      <c r="B173" s="211"/>
      <c r="C173" s="212"/>
      <c r="D173" s="211"/>
      <c r="E173" s="212"/>
      <c r="F173" s="211"/>
      <c r="G173" s="211"/>
      <c r="H173" s="212"/>
      <c r="I173" s="211"/>
      <c r="J173" s="211"/>
      <c r="K173" s="211"/>
      <c r="L173" s="171"/>
      <c r="M173" s="171" t="s">
        <v>550</v>
      </c>
      <c r="N173" s="171" t="s">
        <v>373</v>
      </c>
      <c r="O173" s="171" t="s">
        <v>279</v>
      </c>
      <c r="P173" s="171" t="s">
        <v>917</v>
      </c>
      <c r="Q173" s="171"/>
      <c r="R173" s="213">
        <v>864000</v>
      </c>
      <c r="S173" s="87">
        <v>0</v>
      </c>
      <c r="T173" s="87">
        <v>0</v>
      </c>
      <c r="U173" s="87">
        <v>0</v>
      </c>
      <c r="V173" s="87">
        <v>0</v>
      </c>
      <c r="W173" s="87">
        <v>0</v>
      </c>
      <c r="X173" s="87">
        <v>0</v>
      </c>
      <c r="Y173" s="87">
        <v>0</v>
      </c>
      <c r="Z173" s="87">
        <v>0</v>
      </c>
      <c r="AA173" s="214">
        <v>0</v>
      </c>
      <c r="AB173" s="214">
        <v>0</v>
      </c>
      <c r="AC173" s="214">
        <v>0</v>
      </c>
      <c r="AD173" s="214">
        <v>0</v>
      </c>
      <c r="AE173" s="214">
        <v>0</v>
      </c>
      <c r="AF173" s="214">
        <v>0</v>
      </c>
      <c r="AG173" s="214">
        <v>0</v>
      </c>
      <c r="AH173" s="214">
        <v>0</v>
      </c>
      <c r="AI173" s="87">
        <v>949300</v>
      </c>
      <c r="AJ173" s="87">
        <v>0</v>
      </c>
      <c r="AK173" s="87">
        <v>949300</v>
      </c>
      <c r="AL173" s="87">
        <v>949300</v>
      </c>
      <c r="AM173" s="87">
        <v>864000</v>
      </c>
      <c r="AN173" s="87">
        <v>864000</v>
      </c>
      <c r="AO173" s="87">
        <v>864000</v>
      </c>
      <c r="AP173" s="87">
        <v>864000</v>
      </c>
      <c r="AQ173" s="88">
        <v>0</v>
      </c>
      <c r="AR173" s="88">
        <v>0</v>
      </c>
      <c r="AS173" s="88">
        <v>0</v>
      </c>
      <c r="AT173" s="88">
        <v>0</v>
      </c>
      <c r="AU173" s="88">
        <v>0</v>
      </c>
      <c r="AV173" s="88">
        <v>0</v>
      </c>
      <c r="AW173" s="88">
        <v>0</v>
      </c>
      <c r="AX173" s="88">
        <v>0</v>
      </c>
      <c r="AY173" s="87">
        <v>0</v>
      </c>
      <c r="AZ173" s="87">
        <v>0</v>
      </c>
      <c r="BA173" s="87">
        <v>0</v>
      </c>
      <c r="BB173" s="87">
        <v>0</v>
      </c>
      <c r="BC173" s="87">
        <v>0</v>
      </c>
      <c r="BD173" s="87">
        <v>0</v>
      </c>
      <c r="BE173" s="87">
        <v>0</v>
      </c>
      <c r="BF173" s="87">
        <v>0</v>
      </c>
      <c r="BG173" s="88">
        <v>0</v>
      </c>
      <c r="BH173" s="88">
        <v>0</v>
      </c>
      <c r="BI173" s="88">
        <v>0</v>
      </c>
      <c r="BJ173" s="88">
        <v>0</v>
      </c>
      <c r="BK173" s="88">
        <v>0</v>
      </c>
      <c r="BL173" s="88">
        <v>0</v>
      </c>
      <c r="BM173" s="88">
        <v>0</v>
      </c>
      <c r="BN173" s="590">
        <v>0</v>
      </c>
      <c r="BO173" s="171">
        <v>2023</v>
      </c>
      <c r="BP173" s="171">
        <v>1</v>
      </c>
      <c r="BQ173" s="171">
        <v>19</v>
      </c>
      <c r="BS173" s="76" t="str">
        <f t="shared" si="5"/>
        <v>○</v>
      </c>
    </row>
    <row r="174" spans="1:71" x14ac:dyDescent="0.2">
      <c r="A174" s="210">
        <v>1363</v>
      </c>
      <c r="B174" s="211"/>
      <c r="C174" s="212"/>
      <c r="D174" s="211"/>
      <c r="E174" s="212"/>
      <c r="F174" s="211"/>
      <c r="G174" s="211"/>
      <c r="H174" s="212"/>
      <c r="I174" s="211"/>
      <c r="J174" s="211"/>
      <c r="K174" s="211"/>
      <c r="L174" s="171"/>
      <c r="M174" s="171" t="s">
        <v>551</v>
      </c>
      <c r="N174" s="171" t="s">
        <v>286</v>
      </c>
      <c r="O174" s="171" t="s">
        <v>552</v>
      </c>
      <c r="P174" s="171" t="s">
        <v>916</v>
      </c>
      <c r="Q174" s="171"/>
      <c r="R174" s="213">
        <v>237000</v>
      </c>
      <c r="S174" s="87">
        <v>0</v>
      </c>
      <c r="T174" s="87">
        <v>0</v>
      </c>
      <c r="U174" s="87">
        <v>0</v>
      </c>
      <c r="V174" s="87">
        <v>0</v>
      </c>
      <c r="W174" s="87">
        <v>0</v>
      </c>
      <c r="X174" s="87">
        <v>0</v>
      </c>
      <c r="Y174" s="87">
        <v>0</v>
      </c>
      <c r="Z174" s="87">
        <v>0</v>
      </c>
      <c r="AA174" s="214">
        <v>0</v>
      </c>
      <c r="AB174" s="214">
        <v>0</v>
      </c>
      <c r="AC174" s="214">
        <v>0</v>
      </c>
      <c r="AD174" s="214">
        <v>0</v>
      </c>
      <c r="AE174" s="214">
        <v>0</v>
      </c>
      <c r="AF174" s="214">
        <v>0</v>
      </c>
      <c r="AG174" s="214">
        <v>0</v>
      </c>
      <c r="AH174" s="214">
        <v>0</v>
      </c>
      <c r="AI174" s="87">
        <v>237866</v>
      </c>
      <c r="AJ174" s="87">
        <v>0</v>
      </c>
      <c r="AK174" s="87">
        <v>237866</v>
      </c>
      <c r="AL174" s="87">
        <v>237866</v>
      </c>
      <c r="AM174" s="87">
        <v>4060800</v>
      </c>
      <c r="AN174" s="87">
        <v>237866</v>
      </c>
      <c r="AO174" s="87">
        <v>237866</v>
      </c>
      <c r="AP174" s="87">
        <v>237000</v>
      </c>
      <c r="AQ174" s="88">
        <v>0</v>
      </c>
      <c r="AR174" s="88">
        <v>0</v>
      </c>
      <c r="AS174" s="88">
        <v>0</v>
      </c>
      <c r="AT174" s="88">
        <v>0</v>
      </c>
      <c r="AU174" s="88">
        <v>0</v>
      </c>
      <c r="AV174" s="88">
        <v>0</v>
      </c>
      <c r="AW174" s="88">
        <v>0</v>
      </c>
      <c r="AX174" s="88">
        <v>0</v>
      </c>
      <c r="AY174" s="87">
        <v>0</v>
      </c>
      <c r="AZ174" s="87">
        <v>0</v>
      </c>
      <c r="BA174" s="87">
        <v>0</v>
      </c>
      <c r="BB174" s="87">
        <v>0</v>
      </c>
      <c r="BC174" s="87">
        <v>0</v>
      </c>
      <c r="BD174" s="87">
        <v>0</v>
      </c>
      <c r="BE174" s="87">
        <v>0</v>
      </c>
      <c r="BF174" s="87">
        <v>0</v>
      </c>
      <c r="BG174" s="88">
        <v>0</v>
      </c>
      <c r="BH174" s="88">
        <v>0</v>
      </c>
      <c r="BI174" s="88">
        <v>0</v>
      </c>
      <c r="BJ174" s="88">
        <v>0</v>
      </c>
      <c r="BK174" s="88">
        <v>0</v>
      </c>
      <c r="BL174" s="88">
        <v>0</v>
      </c>
      <c r="BM174" s="88">
        <v>0</v>
      </c>
      <c r="BN174" s="590">
        <v>0</v>
      </c>
      <c r="BO174" s="171">
        <v>2023</v>
      </c>
      <c r="BP174" s="171">
        <v>1</v>
      </c>
      <c r="BQ174" s="171">
        <v>19</v>
      </c>
      <c r="BS174" s="76" t="str">
        <f t="shared" si="5"/>
        <v>○</v>
      </c>
    </row>
    <row r="175" spans="1:71" x14ac:dyDescent="0.2">
      <c r="A175" s="210">
        <v>1364</v>
      </c>
      <c r="B175" s="211"/>
      <c r="C175" s="212"/>
      <c r="D175" s="211"/>
      <c r="E175" s="212"/>
      <c r="F175" s="211"/>
      <c r="G175" s="211"/>
      <c r="H175" s="212"/>
      <c r="I175" s="211"/>
      <c r="J175" s="211"/>
      <c r="K175" s="211"/>
      <c r="L175" s="171"/>
      <c r="M175" s="171" t="s">
        <v>553</v>
      </c>
      <c r="N175" s="171" t="s">
        <v>318</v>
      </c>
      <c r="O175" s="171" t="s">
        <v>505</v>
      </c>
      <c r="P175" s="171" t="s">
        <v>916</v>
      </c>
      <c r="Q175" s="171"/>
      <c r="R175" s="213">
        <v>137000</v>
      </c>
      <c r="S175" s="87">
        <v>0</v>
      </c>
      <c r="T175" s="87">
        <v>0</v>
      </c>
      <c r="U175" s="87">
        <v>0</v>
      </c>
      <c r="V175" s="87">
        <v>0</v>
      </c>
      <c r="W175" s="87">
        <v>0</v>
      </c>
      <c r="X175" s="87">
        <v>0</v>
      </c>
      <c r="Y175" s="87">
        <v>0</v>
      </c>
      <c r="Z175" s="87">
        <v>0</v>
      </c>
      <c r="AA175" s="214">
        <v>0</v>
      </c>
      <c r="AB175" s="214">
        <v>0</v>
      </c>
      <c r="AC175" s="214">
        <v>0</v>
      </c>
      <c r="AD175" s="214">
        <v>0</v>
      </c>
      <c r="AE175" s="214">
        <v>0</v>
      </c>
      <c r="AF175" s="214">
        <v>0</v>
      </c>
      <c r="AG175" s="214">
        <v>0</v>
      </c>
      <c r="AH175" s="214">
        <v>0</v>
      </c>
      <c r="AI175" s="87">
        <v>137249</v>
      </c>
      <c r="AJ175" s="87">
        <v>0</v>
      </c>
      <c r="AK175" s="87">
        <v>137249</v>
      </c>
      <c r="AL175" s="87">
        <v>137249</v>
      </c>
      <c r="AM175" s="87">
        <v>1306800</v>
      </c>
      <c r="AN175" s="87">
        <v>137249</v>
      </c>
      <c r="AO175" s="87">
        <v>137249</v>
      </c>
      <c r="AP175" s="87">
        <v>137000</v>
      </c>
      <c r="AQ175" s="88">
        <v>0</v>
      </c>
      <c r="AR175" s="88">
        <v>0</v>
      </c>
      <c r="AS175" s="88">
        <v>0</v>
      </c>
      <c r="AT175" s="88">
        <v>0</v>
      </c>
      <c r="AU175" s="88">
        <v>0</v>
      </c>
      <c r="AV175" s="88">
        <v>0</v>
      </c>
      <c r="AW175" s="88">
        <v>0</v>
      </c>
      <c r="AX175" s="88">
        <v>0</v>
      </c>
      <c r="AY175" s="87">
        <v>0</v>
      </c>
      <c r="AZ175" s="87">
        <v>0</v>
      </c>
      <c r="BA175" s="87">
        <v>0</v>
      </c>
      <c r="BB175" s="87">
        <v>0</v>
      </c>
      <c r="BC175" s="87">
        <v>0</v>
      </c>
      <c r="BD175" s="87">
        <v>0</v>
      </c>
      <c r="BE175" s="87">
        <v>0</v>
      </c>
      <c r="BF175" s="87">
        <v>0</v>
      </c>
      <c r="BG175" s="88">
        <v>0</v>
      </c>
      <c r="BH175" s="88">
        <v>0</v>
      </c>
      <c r="BI175" s="88">
        <v>0</v>
      </c>
      <c r="BJ175" s="88">
        <v>0</v>
      </c>
      <c r="BK175" s="88">
        <v>0</v>
      </c>
      <c r="BL175" s="88">
        <v>0</v>
      </c>
      <c r="BM175" s="88">
        <v>0</v>
      </c>
      <c r="BN175" s="590">
        <v>0</v>
      </c>
      <c r="BO175" s="171">
        <v>2023</v>
      </c>
      <c r="BP175" s="171">
        <v>1</v>
      </c>
      <c r="BQ175" s="171">
        <v>19</v>
      </c>
      <c r="BS175" s="76" t="str">
        <f t="shared" si="5"/>
        <v>○</v>
      </c>
    </row>
    <row r="176" spans="1:71" x14ac:dyDescent="0.2">
      <c r="A176" s="210">
        <v>1365</v>
      </c>
      <c r="B176" s="211"/>
      <c r="C176" s="212"/>
      <c r="D176" s="211"/>
      <c r="E176" s="212"/>
      <c r="F176" s="211"/>
      <c r="G176" s="211"/>
      <c r="H176" s="212"/>
      <c r="I176" s="211"/>
      <c r="J176" s="211"/>
      <c r="K176" s="211"/>
      <c r="L176" s="171"/>
      <c r="M176" s="171" t="s">
        <v>554</v>
      </c>
      <c r="N176" s="171" t="s">
        <v>306</v>
      </c>
      <c r="O176" s="171" t="s">
        <v>555</v>
      </c>
      <c r="P176" s="171" t="s">
        <v>916</v>
      </c>
      <c r="Q176" s="171"/>
      <c r="R176" s="213">
        <v>1131000</v>
      </c>
      <c r="S176" s="87">
        <v>0</v>
      </c>
      <c r="T176" s="87">
        <v>0</v>
      </c>
      <c r="U176" s="87">
        <v>0</v>
      </c>
      <c r="V176" s="87">
        <v>0</v>
      </c>
      <c r="W176" s="87">
        <v>0</v>
      </c>
      <c r="X176" s="87">
        <v>0</v>
      </c>
      <c r="Y176" s="87">
        <v>0</v>
      </c>
      <c r="Z176" s="87">
        <v>0</v>
      </c>
      <c r="AA176" s="214">
        <v>0</v>
      </c>
      <c r="AB176" s="214">
        <v>0</v>
      </c>
      <c r="AC176" s="214">
        <v>0</v>
      </c>
      <c r="AD176" s="214">
        <v>0</v>
      </c>
      <c r="AE176" s="214">
        <v>0</v>
      </c>
      <c r="AF176" s="214">
        <v>0</v>
      </c>
      <c r="AG176" s="214">
        <v>0</v>
      </c>
      <c r="AH176" s="214">
        <v>0</v>
      </c>
      <c r="AI176" s="87">
        <v>1131260</v>
      </c>
      <c r="AJ176" s="87">
        <v>0</v>
      </c>
      <c r="AK176" s="87">
        <v>1131260</v>
      </c>
      <c r="AL176" s="87">
        <v>1131260</v>
      </c>
      <c r="AM176" s="87">
        <v>2102400</v>
      </c>
      <c r="AN176" s="87">
        <v>1131260</v>
      </c>
      <c r="AO176" s="87">
        <v>1131260</v>
      </c>
      <c r="AP176" s="87">
        <v>1131000</v>
      </c>
      <c r="AQ176" s="88">
        <v>0</v>
      </c>
      <c r="AR176" s="88">
        <v>0</v>
      </c>
      <c r="AS176" s="88">
        <v>0</v>
      </c>
      <c r="AT176" s="88">
        <v>0</v>
      </c>
      <c r="AU176" s="88">
        <v>0</v>
      </c>
      <c r="AV176" s="88">
        <v>0</v>
      </c>
      <c r="AW176" s="88">
        <v>0</v>
      </c>
      <c r="AX176" s="88">
        <v>0</v>
      </c>
      <c r="AY176" s="87">
        <v>0</v>
      </c>
      <c r="AZ176" s="87">
        <v>0</v>
      </c>
      <c r="BA176" s="87">
        <v>0</v>
      </c>
      <c r="BB176" s="87">
        <v>0</v>
      </c>
      <c r="BC176" s="87">
        <v>0</v>
      </c>
      <c r="BD176" s="87">
        <v>0</v>
      </c>
      <c r="BE176" s="87">
        <v>0</v>
      </c>
      <c r="BF176" s="87">
        <v>0</v>
      </c>
      <c r="BG176" s="88">
        <v>0</v>
      </c>
      <c r="BH176" s="88">
        <v>0</v>
      </c>
      <c r="BI176" s="88">
        <v>0</v>
      </c>
      <c r="BJ176" s="88">
        <v>0</v>
      </c>
      <c r="BK176" s="88">
        <v>0</v>
      </c>
      <c r="BL176" s="88">
        <v>0</v>
      </c>
      <c r="BM176" s="88">
        <v>0</v>
      </c>
      <c r="BN176" s="590">
        <v>0</v>
      </c>
      <c r="BO176" s="171">
        <v>2023</v>
      </c>
      <c r="BP176" s="171">
        <v>1</v>
      </c>
      <c r="BQ176" s="171">
        <v>19</v>
      </c>
      <c r="BS176" s="76" t="str">
        <f t="shared" si="5"/>
        <v>○</v>
      </c>
    </row>
    <row r="177" spans="1:71" x14ac:dyDescent="0.2">
      <c r="A177" s="210">
        <v>1366</v>
      </c>
      <c r="B177" s="211"/>
      <c r="C177" s="212"/>
      <c r="D177" s="211"/>
      <c r="E177" s="212"/>
      <c r="F177" s="211"/>
      <c r="G177" s="211"/>
      <c r="H177" s="212"/>
      <c r="I177" s="211"/>
      <c r="J177" s="211"/>
      <c r="K177" s="211"/>
      <c r="L177" s="171"/>
      <c r="M177" s="171" t="s">
        <v>512</v>
      </c>
      <c r="N177" s="171" t="s">
        <v>513</v>
      </c>
      <c r="O177" s="171" t="s">
        <v>514</v>
      </c>
      <c r="P177" s="171" t="s">
        <v>916</v>
      </c>
      <c r="Q177" s="171"/>
      <c r="R177" s="213">
        <v>81000</v>
      </c>
      <c r="S177" s="87">
        <v>0</v>
      </c>
      <c r="T177" s="87">
        <v>0</v>
      </c>
      <c r="U177" s="87">
        <v>0</v>
      </c>
      <c r="V177" s="87">
        <v>0</v>
      </c>
      <c r="W177" s="87">
        <v>0</v>
      </c>
      <c r="X177" s="87">
        <v>0</v>
      </c>
      <c r="Y177" s="87">
        <v>0</v>
      </c>
      <c r="Z177" s="87">
        <v>0</v>
      </c>
      <c r="AA177" s="214">
        <v>0</v>
      </c>
      <c r="AB177" s="214">
        <v>0</v>
      </c>
      <c r="AC177" s="214">
        <v>0</v>
      </c>
      <c r="AD177" s="214">
        <v>0</v>
      </c>
      <c r="AE177" s="214">
        <v>0</v>
      </c>
      <c r="AF177" s="214">
        <v>0</v>
      </c>
      <c r="AG177" s="214">
        <v>0</v>
      </c>
      <c r="AH177" s="214">
        <v>0</v>
      </c>
      <c r="AI177" s="87">
        <v>81558</v>
      </c>
      <c r="AJ177" s="87">
        <v>0</v>
      </c>
      <c r="AK177" s="87">
        <v>81558</v>
      </c>
      <c r="AL177" s="87">
        <v>81558</v>
      </c>
      <c r="AM177" s="87">
        <v>1123200</v>
      </c>
      <c r="AN177" s="87">
        <v>81558</v>
      </c>
      <c r="AO177" s="87">
        <v>81558</v>
      </c>
      <c r="AP177" s="87">
        <v>81000</v>
      </c>
      <c r="AQ177" s="88">
        <v>0</v>
      </c>
      <c r="AR177" s="88">
        <v>0</v>
      </c>
      <c r="AS177" s="88">
        <v>0</v>
      </c>
      <c r="AT177" s="88">
        <v>0</v>
      </c>
      <c r="AU177" s="88">
        <v>0</v>
      </c>
      <c r="AV177" s="88">
        <v>0</v>
      </c>
      <c r="AW177" s="88">
        <v>0</v>
      </c>
      <c r="AX177" s="88">
        <v>0</v>
      </c>
      <c r="AY177" s="87">
        <v>0</v>
      </c>
      <c r="AZ177" s="87">
        <v>0</v>
      </c>
      <c r="BA177" s="87">
        <v>0</v>
      </c>
      <c r="BB177" s="87">
        <v>0</v>
      </c>
      <c r="BC177" s="87">
        <v>0</v>
      </c>
      <c r="BD177" s="87">
        <v>0</v>
      </c>
      <c r="BE177" s="87">
        <v>0</v>
      </c>
      <c r="BF177" s="87">
        <v>0</v>
      </c>
      <c r="BG177" s="88">
        <v>0</v>
      </c>
      <c r="BH177" s="88">
        <v>0</v>
      </c>
      <c r="BI177" s="88">
        <v>0</v>
      </c>
      <c r="BJ177" s="88">
        <v>0</v>
      </c>
      <c r="BK177" s="88">
        <v>0</v>
      </c>
      <c r="BL177" s="88">
        <v>0</v>
      </c>
      <c r="BM177" s="88">
        <v>0</v>
      </c>
      <c r="BN177" s="590">
        <v>0</v>
      </c>
      <c r="BO177" s="171">
        <v>2023</v>
      </c>
      <c r="BP177" s="171">
        <v>1</v>
      </c>
      <c r="BQ177" s="171">
        <v>19</v>
      </c>
      <c r="BS177" s="76" t="str">
        <f t="shared" si="5"/>
        <v>○</v>
      </c>
    </row>
    <row r="178" spans="1:71" x14ac:dyDescent="0.2">
      <c r="A178" s="210">
        <v>1367</v>
      </c>
      <c r="B178" s="211"/>
      <c r="C178" s="212"/>
      <c r="D178" s="211"/>
      <c r="E178" s="212"/>
      <c r="F178" s="211"/>
      <c r="G178" s="211"/>
      <c r="H178" s="212"/>
      <c r="I178" s="211"/>
      <c r="J178" s="211"/>
      <c r="K178" s="211"/>
      <c r="L178" s="171"/>
      <c r="M178" s="171" t="s">
        <v>556</v>
      </c>
      <c r="N178" s="171" t="s">
        <v>354</v>
      </c>
      <c r="O178" s="171" t="s">
        <v>557</v>
      </c>
      <c r="P178" s="171" t="s">
        <v>916</v>
      </c>
      <c r="Q178" s="75"/>
      <c r="R178" s="213">
        <v>308000</v>
      </c>
      <c r="S178" s="87">
        <v>0</v>
      </c>
      <c r="T178" s="87">
        <v>0</v>
      </c>
      <c r="U178" s="87">
        <v>0</v>
      </c>
      <c r="V178" s="87">
        <v>0</v>
      </c>
      <c r="W178" s="87">
        <v>0</v>
      </c>
      <c r="X178" s="87">
        <v>0</v>
      </c>
      <c r="Y178" s="87">
        <v>0</v>
      </c>
      <c r="Z178" s="87">
        <v>0</v>
      </c>
      <c r="AA178" s="214">
        <v>0</v>
      </c>
      <c r="AB178" s="214">
        <v>0</v>
      </c>
      <c r="AC178" s="214">
        <v>0</v>
      </c>
      <c r="AD178" s="214">
        <v>0</v>
      </c>
      <c r="AE178" s="214">
        <v>0</v>
      </c>
      <c r="AF178" s="214">
        <v>0</v>
      </c>
      <c r="AG178" s="214">
        <v>0</v>
      </c>
      <c r="AH178" s="214">
        <v>0</v>
      </c>
      <c r="AI178" s="87">
        <v>308220</v>
      </c>
      <c r="AJ178" s="87">
        <v>0</v>
      </c>
      <c r="AK178" s="87">
        <v>308220</v>
      </c>
      <c r="AL178" s="87">
        <v>308220</v>
      </c>
      <c r="AM178" s="87">
        <v>12542400</v>
      </c>
      <c r="AN178" s="87">
        <v>308220</v>
      </c>
      <c r="AO178" s="87">
        <v>308220</v>
      </c>
      <c r="AP178" s="87">
        <v>308000</v>
      </c>
      <c r="AQ178" s="88">
        <v>0</v>
      </c>
      <c r="AR178" s="88">
        <v>0</v>
      </c>
      <c r="AS178" s="88">
        <v>0</v>
      </c>
      <c r="AT178" s="88">
        <v>0</v>
      </c>
      <c r="AU178" s="88">
        <v>0</v>
      </c>
      <c r="AV178" s="88">
        <v>0</v>
      </c>
      <c r="AW178" s="88">
        <v>0</v>
      </c>
      <c r="AX178" s="88">
        <v>0</v>
      </c>
      <c r="AY178" s="87">
        <v>0</v>
      </c>
      <c r="AZ178" s="87">
        <v>0</v>
      </c>
      <c r="BA178" s="87">
        <v>0</v>
      </c>
      <c r="BB178" s="87">
        <v>0</v>
      </c>
      <c r="BC178" s="87">
        <v>0</v>
      </c>
      <c r="BD178" s="87">
        <v>0</v>
      </c>
      <c r="BE178" s="87">
        <v>0</v>
      </c>
      <c r="BF178" s="87">
        <v>0</v>
      </c>
      <c r="BG178" s="88">
        <v>0</v>
      </c>
      <c r="BH178" s="88">
        <v>0</v>
      </c>
      <c r="BI178" s="88">
        <v>0</v>
      </c>
      <c r="BJ178" s="88">
        <v>0</v>
      </c>
      <c r="BK178" s="88">
        <v>0</v>
      </c>
      <c r="BL178" s="88">
        <v>0</v>
      </c>
      <c r="BM178" s="88">
        <v>0</v>
      </c>
      <c r="BN178" s="590">
        <v>0</v>
      </c>
      <c r="BO178" s="171">
        <v>2023</v>
      </c>
      <c r="BP178" s="171">
        <v>1</v>
      </c>
      <c r="BQ178" s="171">
        <v>19</v>
      </c>
      <c r="BS178" s="76" t="str">
        <f t="shared" si="5"/>
        <v>○</v>
      </c>
    </row>
    <row r="179" spans="1:71" x14ac:dyDescent="0.2">
      <c r="A179" s="210">
        <v>1368</v>
      </c>
      <c r="B179" s="211"/>
      <c r="C179" s="212"/>
      <c r="D179" s="211"/>
      <c r="E179" s="212"/>
      <c r="F179" s="211"/>
      <c r="G179" s="211"/>
      <c r="H179" s="212"/>
      <c r="I179" s="211"/>
      <c r="J179" s="211"/>
      <c r="K179" s="211"/>
      <c r="L179" s="171"/>
      <c r="M179" s="171" t="s">
        <v>544</v>
      </c>
      <c r="N179" s="171" t="s">
        <v>323</v>
      </c>
      <c r="O179" s="171" t="s">
        <v>545</v>
      </c>
      <c r="P179" s="171" t="s">
        <v>916</v>
      </c>
      <c r="Q179" s="171"/>
      <c r="R179" s="213">
        <v>963000</v>
      </c>
      <c r="S179" s="87">
        <v>0</v>
      </c>
      <c r="T179" s="87">
        <v>0</v>
      </c>
      <c r="U179" s="87">
        <v>0</v>
      </c>
      <c r="V179" s="87">
        <v>0</v>
      </c>
      <c r="W179" s="87">
        <v>0</v>
      </c>
      <c r="X179" s="87">
        <v>0</v>
      </c>
      <c r="Y179" s="87">
        <v>0</v>
      </c>
      <c r="Z179" s="87">
        <v>0</v>
      </c>
      <c r="AA179" s="214">
        <v>0</v>
      </c>
      <c r="AB179" s="214">
        <v>0</v>
      </c>
      <c r="AC179" s="214">
        <v>0</v>
      </c>
      <c r="AD179" s="214">
        <v>0</v>
      </c>
      <c r="AE179" s="214">
        <v>0</v>
      </c>
      <c r="AF179" s="214">
        <v>0</v>
      </c>
      <c r="AG179" s="214">
        <v>0</v>
      </c>
      <c r="AH179" s="214">
        <v>0</v>
      </c>
      <c r="AI179" s="87">
        <v>963525</v>
      </c>
      <c r="AJ179" s="87">
        <v>0</v>
      </c>
      <c r="AK179" s="87">
        <v>963525</v>
      </c>
      <c r="AL179" s="87">
        <v>963525</v>
      </c>
      <c r="AM179" s="87">
        <v>2462400</v>
      </c>
      <c r="AN179" s="87">
        <v>963525</v>
      </c>
      <c r="AO179" s="87">
        <v>963525</v>
      </c>
      <c r="AP179" s="87">
        <v>963000</v>
      </c>
      <c r="AQ179" s="88">
        <v>0</v>
      </c>
      <c r="AR179" s="88">
        <v>0</v>
      </c>
      <c r="AS179" s="88">
        <v>0</v>
      </c>
      <c r="AT179" s="88">
        <v>0</v>
      </c>
      <c r="AU179" s="88">
        <v>0</v>
      </c>
      <c r="AV179" s="88">
        <v>0</v>
      </c>
      <c r="AW179" s="88">
        <v>0</v>
      </c>
      <c r="AX179" s="88">
        <v>0</v>
      </c>
      <c r="AY179" s="87">
        <v>0</v>
      </c>
      <c r="AZ179" s="87">
        <v>0</v>
      </c>
      <c r="BA179" s="87">
        <v>0</v>
      </c>
      <c r="BB179" s="87">
        <v>0</v>
      </c>
      <c r="BC179" s="87">
        <v>0</v>
      </c>
      <c r="BD179" s="87">
        <v>0</v>
      </c>
      <c r="BE179" s="87">
        <v>0</v>
      </c>
      <c r="BF179" s="87">
        <v>0</v>
      </c>
      <c r="BG179" s="88">
        <v>0</v>
      </c>
      <c r="BH179" s="88">
        <v>0</v>
      </c>
      <c r="BI179" s="88">
        <v>0</v>
      </c>
      <c r="BJ179" s="88">
        <v>0</v>
      </c>
      <c r="BK179" s="88">
        <v>0</v>
      </c>
      <c r="BL179" s="88">
        <v>0</v>
      </c>
      <c r="BM179" s="88">
        <v>0</v>
      </c>
      <c r="BN179" s="590">
        <v>0</v>
      </c>
      <c r="BO179" s="171">
        <v>2023</v>
      </c>
      <c r="BP179" s="171">
        <v>1</v>
      </c>
      <c r="BQ179" s="171">
        <v>19</v>
      </c>
      <c r="BS179" s="76" t="str">
        <f t="shared" si="5"/>
        <v>○</v>
      </c>
    </row>
    <row r="180" spans="1:71" x14ac:dyDescent="0.2">
      <c r="A180" s="210">
        <v>1369</v>
      </c>
      <c r="B180" s="211"/>
      <c r="C180" s="212"/>
      <c r="D180" s="211"/>
      <c r="E180" s="212"/>
      <c r="F180" s="211"/>
      <c r="G180" s="211"/>
      <c r="H180" s="212"/>
      <c r="I180" s="211"/>
      <c r="J180" s="211"/>
      <c r="K180" s="211"/>
      <c r="L180" s="171"/>
      <c r="M180" s="171" t="s">
        <v>558</v>
      </c>
      <c r="N180" s="171" t="s">
        <v>416</v>
      </c>
      <c r="O180" s="171" t="s">
        <v>559</v>
      </c>
      <c r="P180" s="171" t="s">
        <v>916</v>
      </c>
      <c r="Q180" s="171"/>
      <c r="R180" s="213">
        <v>62000</v>
      </c>
      <c r="S180" s="87">
        <v>0</v>
      </c>
      <c r="T180" s="87">
        <v>0</v>
      </c>
      <c r="U180" s="87">
        <v>0</v>
      </c>
      <c r="V180" s="87">
        <v>0</v>
      </c>
      <c r="W180" s="87">
        <v>0</v>
      </c>
      <c r="X180" s="87">
        <v>0</v>
      </c>
      <c r="Y180" s="87">
        <v>0</v>
      </c>
      <c r="Z180" s="87">
        <v>0</v>
      </c>
      <c r="AA180" s="214">
        <v>0</v>
      </c>
      <c r="AB180" s="214">
        <v>0</v>
      </c>
      <c r="AC180" s="214">
        <v>0</v>
      </c>
      <c r="AD180" s="214">
        <v>0</v>
      </c>
      <c r="AE180" s="214">
        <v>0</v>
      </c>
      <c r="AF180" s="214">
        <v>0</v>
      </c>
      <c r="AG180" s="214">
        <v>0</v>
      </c>
      <c r="AH180" s="214">
        <v>0</v>
      </c>
      <c r="AI180" s="87">
        <v>62700</v>
      </c>
      <c r="AJ180" s="87">
        <v>0</v>
      </c>
      <c r="AK180" s="87">
        <v>62700</v>
      </c>
      <c r="AL180" s="87">
        <v>62700</v>
      </c>
      <c r="AM180" s="87">
        <v>1029600</v>
      </c>
      <c r="AN180" s="87">
        <v>62700</v>
      </c>
      <c r="AO180" s="87">
        <v>62700</v>
      </c>
      <c r="AP180" s="87">
        <v>62000</v>
      </c>
      <c r="AQ180" s="88">
        <v>0</v>
      </c>
      <c r="AR180" s="88">
        <v>0</v>
      </c>
      <c r="AS180" s="88">
        <v>0</v>
      </c>
      <c r="AT180" s="88">
        <v>0</v>
      </c>
      <c r="AU180" s="88">
        <v>0</v>
      </c>
      <c r="AV180" s="88">
        <v>0</v>
      </c>
      <c r="AW180" s="88">
        <v>0</v>
      </c>
      <c r="AX180" s="88">
        <v>0</v>
      </c>
      <c r="AY180" s="87">
        <v>0</v>
      </c>
      <c r="AZ180" s="87">
        <v>0</v>
      </c>
      <c r="BA180" s="87">
        <v>0</v>
      </c>
      <c r="BB180" s="87">
        <v>0</v>
      </c>
      <c r="BC180" s="87">
        <v>0</v>
      </c>
      <c r="BD180" s="87">
        <v>0</v>
      </c>
      <c r="BE180" s="87">
        <v>0</v>
      </c>
      <c r="BF180" s="87">
        <v>0</v>
      </c>
      <c r="BG180" s="88">
        <v>0</v>
      </c>
      <c r="BH180" s="88">
        <v>0</v>
      </c>
      <c r="BI180" s="88">
        <v>0</v>
      </c>
      <c r="BJ180" s="88">
        <v>0</v>
      </c>
      <c r="BK180" s="88">
        <v>0</v>
      </c>
      <c r="BL180" s="88">
        <v>0</v>
      </c>
      <c r="BM180" s="88">
        <v>0</v>
      </c>
      <c r="BN180" s="590">
        <v>0</v>
      </c>
      <c r="BO180" s="171">
        <v>2023</v>
      </c>
      <c r="BP180" s="171">
        <v>1</v>
      </c>
      <c r="BQ180" s="171">
        <v>19</v>
      </c>
      <c r="BS180" s="76" t="str">
        <f t="shared" si="5"/>
        <v>○</v>
      </c>
    </row>
    <row r="181" spans="1:71" x14ac:dyDescent="0.2">
      <c r="A181" s="210">
        <v>1370</v>
      </c>
      <c r="B181" s="211"/>
      <c r="C181" s="212"/>
      <c r="D181" s="211"/>
      <c r="E181" s="212"/>
      <c r="F181" s="211"/>
      <c r="G181" s="211"/>
      <c r="H181" s="212"/>
      <c r="I181" s="211"/>
      <c r="J181" s="211"/>
      <c r="K181" s="211"/>
      <c r="L181" s="171"/>
      <c r="M181" s="171" t="s">
        <v>560</v>
      </c>
      <c r="N181" s="171" t="s">
        <v>269</v>
      </c>
      <c r="O181" s="171" t="s">
        <v>561</v>
      </c>
      <c r="P181" s="171" t="s">
        <v>916</v>
      </c>
      <c r="Q181" s="171"/>
      <c r="R181" s="213">
        <v>84000</v>
      </c>
      <c r="S181" s="87">
        <v>0</v>
      </c>
      <c r="T181" s="87">
        <v>0</v>
      </c>
      <c r="U181" s="87">
        <v>0</v>
      </c>
      <c r="V181" s="87">
        <v>0</v>
      </c>
      <c r="W181" s="87">
        <v>0</v>
      </c>
      <c r="X181" s="87">
        <v>0</v>
      </c>
      <c r="Y181" s="87">
        <v>0</v>
      </c>
      <c r="Z181" s="87">
        <v>0</v>
      </c>
      <c r="AA181" s="214">
        <v>0</v>
      </c>
      <c r="AB181" s="214">
        <v>0</v>
      </c>
      <c r="AC181" s="214">
        <v>0</v>
      </c>
      <c r="AD181" s="214">
        <v>0</v>
      </c>
      <c r="AE181" s="214">
        <v>0</v>
      </c>
      <c r="AF181" s="214">
        <v>0</v>
      </c>
      <c r="AG181" s="214">
        <v>0</v>
      </c>
      <c r="AH181" s="214">
        <v>0</v>
      </c>
      <c r="AI181" s="87">
        <v>84029</v>
      </c>
      <c r="AJ181" s="87">
        <v>0</v>
      </c>
      <c r="AK181" s="87">
        <v>84029</v>
      </c>
      <c r="AL181" s="87">
        <v>84029</v>
      </c>
      <c r="AM181" s="87">
        <v>1587600</v>
      </c>
      <c r="AN181" s="87">
        <v>84029</v>
      </c>
      <c r="AO181" s="87">
        <v>84029</v>
      </c>
      <c r="AP181" s="87">
        <v>84000</v>
      </c>
      <c r="AQ181" s="88">
        <v>0</v>
      </c>
      <c r="AR181" s="88">
        <v>0</v>
      </c>
      <c r="AS181" s="88">
        <v>0</v>
      </c>
      <c r="AT181" s="88">
        <v>0</v>
      </c>
      <c r="AU181" s="88">
        <v>0</v>
      </c>
      <c r="AV181" s="88">
        <v>0</v>
      </c>
      <c r="AW181" s="88">
        <v>0</v>
      </c>
      <c r="AX181" s="88">
        <v>0</v>
      </c>
      <c r="AY181" s="87">
        <v>0</v>
      </c>
      <c r="AZ181" s="87">
        <v>0</v>
      </c>
      <c r="BA181" s="87">
        <v>0</v>
      </c>
      <c r="BB181" s="87">
        <v>0</v>
      </c>
      <c r="BC181" s="87">
        <v>0</v>
      </c>
      <c r="BD181" s="87">
        <v>0</v>
      </c>
      <c r="BE181" s="87">
        <v>0</v>
      </c>
      <c r="BF181" s="87">
        <v>0</v>
      </c>
      <c r="BG181" s="88">
        <v>0</v>
      </c>
      <c r="BH181" s="88">
        <v>0</v>
      </c>
      <c r="BI181" s="88">
        <v>0</v>
      </c>
      <c r="BJ181" s="88">
        <v>0</v>
      </c>
      <c r="BK181" s="88">
        <v>0</v>
      </c>
      <c r="BL181" s="88">
        <v>0</v>
      </c>
      <c r="BM181" s="88">
        <v>0</v>
      </c>
      <c r="BN181" s="590">
        <v>0</v>
      </c>
      <c r="BO181" s="171">
        <v>2023</v>
      </c>
      <c r="BP181" s="171">
        <v>1</v>
      </c>
      <c r="BQ181" s="171">
        <v>19</v>
      </c>
      <c r="BS181" s="76" t="str">
        <f t="shared" si="5"/>
        <v>○</v>
      </c>
    </row>
    <row r="182" spans="1:71" x14ac:dyDescent="0.2">
      <c r="A182" s="210">
        <v>1371</v>
      </c>
      <c r="B182" s="211"/>
      <c r="C182" s="212"/>
      <c r="D182" s="211"/>
      <c r="E182" s="212"/>
      <c r="F182" s="211"/>
      <c r="G182" s="211"/>
      <c r="H182" s="212"/>
      <c r="I182" s="211"/>
      <c r="J182" s="211"/>
      <c r="K182" s="211"/>
      <c r="L182" s="171"/>
      <c r="M182" s="171" t="s">
        <v>562</v>
      </c>
      <c r="N182" s="171" t="s">
        <v>269</v>
      </c>
      <c r="O182" s="171" t="s">
        <v>563</v>
      </c>
      <c r="P182" s="171" t="s">
        <v>916</v>
      </c>
      <c r="Q182" s="171"/>
      <c r="R182" s="213">
        <v>67000</v>
      </c>
      <c r="S182" s="87">
        <v>0</v>
      </c>
      <c r="T182" s="87">
        <v>0</v>
      </c>
      <c r="U182" s="87">
        <v>0</v>
      </c>
      <c r="V182" s="87">
        <v>0</v>
      </c>
      <c r="W182" s="87">
        <v>0</v>
      </c>
      <c r="X182" s="87">
        <v>0</v>
      </c>
      <c r="Y182" s="87">
        <v>0</v>
      </c>
      <c r="Z182" s="87">
        <v>0</v>
      </c>
      <c r="AA182" s="214">
        <v>0</v>
      </c>
      <c r="AB182" s="214">
        <v>0</v>
      </c>
      <c r="AC182" s="214">
        <v>0</v>
      </c>
      <c r="AD182" s="214">
        <v>0</v>
      </c>
      <c r="AE182" s="214">
        <v>0</v>
      </c>
      <c r="AF182" s="214">
        <v>0</v>
      </c>
      <c r="AG182" s="214">
        <v>0</v>
      </c>
      <c r="AH182" s="214">
        <v>0</v>
      </c>
      <c r="AI182" s="87">
        <v>67860</v>
      </c>
      <c r="AJ182" s="87">
        <v>0</v>
      </c>
      <c r="AK182" s="87">
        <v>67860</v>
      </c>
      <c r="AL182" s="87">
        <v>67860</v>
      </c>
      <c r="AM182" s="87">
        <v>2088000</v>
      </c>
      <c r="AN182" s="87">
        <v>67860</v>
      </c>
      <c r="AO182" s="87">
        <v>67860</v>
      </c>
      <c r="AP182" s="87">
        <v>67000</v>
      </c>
      <c r="AQ182" s="88">
        <v>0</v>
      </c>
      <c r="AR182" s="88">
        <v>0</v>
      </c>
      <c r="AS182" s="88">
        <v>0</v>
      </c>
      <c r="AT182" s="88">
        <v>0</v>
      </c>
      <c r="AU182" s="88">
        <v>0</v>
      </c>
      <c r="AV182" s="88">
        <v>0</v>
      </c>
      <c r="AW182" s="88">
        <v>0</v>
      </c>
      <c r="AX182" s="88">
        <v>0</v>
      </c>
      <c r="AY182" s="87">
        <v>0</v>
      </c>
      <c r="AZ182" s="87">
        <v>0</v>
      </c>
      <c r="BA182" s="87">
        <v>0</v>
      </c>
      <c r="BB182" s="87">
        <v>0</v>
      </c>
      <c r="BC182" s="87">
        <v>0</v>
      </c>
      <c r="BD182" s="87">
        <v>0</v>
      </c>
      <c r="BE182" s="87">
        <v>0</v>
      </c>
      <c r="BF182" s="87">
        <v>0</v>
      </c>
      <c r="BG182" s="88">
        <v>0</v>
      </c>
      <c r="BH182" s="88">
        <v>0</v>
      </c>
      <c r="BI182" s="88">
        <v>0</v>
      </c>
      <c r="BJ182" s="88">
        <v>0</v>
      </c>
      <c r="BK182" s="88">
        <v>0</v>
      </c>
      <c r="BL182" s="88">
        <v>0</v>
      </c>
      <c r="BM182" s="88">
        <v>0</v>
      </c>
      <c r="BN182" s="590">
        <v>0</v>
      </c>
      <c r="BO182" s="171">
        <v>2023</v>
      </c>
      <c r="BP182" s="171">
        <v>1</v>
      </c>
      <c r="BQ182" s="171">
        <v>19</v>
      </c>
      <c r="BS182" s="76" t="str">
        <f t="shared" si="5"/>
        <v>○</v>
      </c>
    </row>
    <row r="183" spans="1:71" x14ac:dyDescent="0.2">
      <c r="A183" s="210">
        <v>1372</v>
      </c>
      <c r="B183" s="211"/>
      <c r="C183" s="212"/>
      <c r="D183" s="211"/>
      <c r="E183" s="212"/>
      <c r="F183" s="211"/>
      <c r="G183" s="211"/>
      <c r="H183" s="212"/>
      <c r="I183" s="211"/>
      <c r="J183" s="211"/>
      <c r="K183" s="211"/>
      <c r="L183" s="171"/>
      <c r="M183" s="171" t="s">
        <v>512</v>
      </c>
      <c r="N183" s="171" t="s">
        <v>513</v>
      </c>
      <c r="O183" s="171" t="s">
        <v>514</v>
      </c>
      <c r="P183" s="171" t="s">
        <v>916</v>
      </c>
      <c r="Q183" s="171"/>
      <c r="R183" s="213">
        <v>87000</v>
      </c>
      <c r="S183" s="87">
        <v>0</v>
      </c>
      <c r="T183" s="87">
        <v>0</v>
      </c>
      <c r="U183" s="87">
        <v>0</v>
      </c>
      <c r="V183" s="87">
        <v>0</v>
      </c>
      <c r="W183" s="87">
        <v>0</v>
      </c>
      <c r="X183" s="87">
        <v>0</v>
      </c>
      <c r="Y183" s="87">
        <v>0</v>
      </c>
      <c r="Z183" s="87">
        <v>0</v>
      </c>
      <c r="AA183" s="214">
        <v>0</v>
      </c>
      <c r="AB183" s="214">
        <v>0</v>
      </c>
      <c r="AC183" s="214">
        <v>0</v>
      </c>
      <c r="AD183" s="214">
        <v>0</v>
      </c>
      <c r="AE183" s="214">
        <v>0</v>
      </c>
      <c r="AF183" s="214">
        <v>0</v>
      </c>
      <c r="AG183" s="214">
        <v>0</v>
      </c>
      <c r="AH183" s="214">
        <v>0</v>
      </c>
      <c r="AI183" s="87">
        <v>87918</v>
      </c>
      <c r="AJ183" s="87">
        <v>0</v>
      </c>
      <c r="AK183" s="87">
        <v>87918</v>
      </c>
      <c r="AL183" s="87">
        <v>87918</v>
      </c>
      <c r="AM183" s="87">
        <v>1123200</v>
      </c>
      <c r="AN183" s="87">
        <v>87918</v>
      </c>
      <c r="AO183" s="87">
        <v>87918</v>
      </c>
      <c r="AP183" s="87">
        <v>87000</v>
      </c>
      <c r="AQ183" s="88">
        <v>0</v>
      </c>
      <c r="AR183" s="88">
        <v>0</v>
      </c>
      <c r="AS183" s="88">
        <v>0</v>
      </c>
      <c r="AT183" s="88">
        <v>0</v>
      </c>
      <c r="AU183" s="88">
        <v>0</v>
      </c>
      <c r="AV183" s="88">
        <v>0</v>
      </c>
      <c r="AW183" s="88">
        <v>0</v>
      </c>
      <c r="AX183" s="88">
        <v>0</v>
      </c>
      <c r="AY183" s="87">
        <v>0</v>
      </c>
      <c r="AZ183" s="87">
        <v>0</v>
      </c>
      <c r="BA183" s="87">
        <v>0</v>
      </c>
      <c r="BB183" s="87">
        <v>0</v>
      </c>
      <c r="BC183" s="87">
        <v>0</v>
      </c>
      <c r="BD183" s="87">
        <v>0</v>
      </c>
      <c r="BE183" s="87">
        <v>0</v>
      </c>
      <c r="BF183" s="87">
        <v>0</v>
      </c>
      <c r="BG183" s="88">
        <v>0</v>
      </c>
      <c r="BH183" s="88">
        <v>0</v>
      </c>
      <c r="BI183" s="88">
        <v>0</v>
      </c>
      <c r="BJ183" s="88">
        <v>0</v>
      </c>
      <c r="BK183" s="88">
        <v>0</v>
      </c>
      <c r="BL183" s="88">
        <v>0</v>
      </c>
      <c r="BM183" s="88">
        <v>0</v>
      </c>
      <c r="BN183" s="590">
        <v>0</v>
      </c>
      <c r="BO183" s="171">
        <v>2023</v>
      </c>
      <c r="BP183" s="171">
        <v>1</v>
      </c>
      <c r="BQ183" s="171">
        <v>19</v>
      </c>
      <c r="BS183" s="76" t="str">
        <f t="shared" si="5"/>
        <v>○</v>
      </c>
    </row>
    <row r="184" spans="1:71" x14ac:dyDescent="0.2">
      <c r="A184" s="210">
        <v>1373</v>
      </c>
      <c r="B184" s="211"/>
      <c r="C184" s="212"/>
      <c r="D184" s="211"/>
      <c r="E184" s="212"/>
      <c r="F184" s="211"/>
      <c r="G184" s="211"/>
      <c r="H184" s="212"/>
      <c r="I184" s="211"/>
      <c r="J184" s="211"/>
      <c r="K184" s="211"/>
      <c r="L184" s="171"/>
      <c r="M184" s="171" t="s">
        <v>564</v>
      </c>
      <c r="N184" s="171" t="s">
        <v>275</v>
      </c>
      <c r="O184" s="171" t="s">
        <v>565</v>
      </c>
      <c r="P184" s="171" t="s">
        <v>916</v>
      </c>
      <c r="Q184" s="171"/>
      <c r="R184" s="213">
        <v>1372000</v>
      </c>
      <c r="S184" s="87">
        <v>0</v>
      </c>
      <c r="T184" s="87">
        <v>0</v>
      </c>
      <c r="U184" s="87">
        <v>0</v>
      </c>
      <c r="V184" s="87">
        <v>0</v>
      </c>
      <c r="W184" s="87">
        <v>0</v>
      </c>
      <c r="X184" s="87">
        <v>0</v>
      </c>
      <c r="Y184" s="87">
        <v>0</v>
      </c>
      <c r="Z184" s="87">
        <v>0</v>
      </c>
      <c r="AA184" s="214">
        <v>0</v>
      </c>
      <c r="AB184" s="214">
        <v>0</v>
      </c>
      <c r="AC184" s="214">
        <v>0</v>
      </c>
      <c r="AD184" s="214">
        <v>0</v>
      </c>
      <c r="AE184" s="214">
        <v>0</v>
      </c>
      <c r="AF184" s="214">
        <v>0</v>
      </c>
      <c r="AG184" s="214">
        <v>0</v>
      </c>
      <c r="AH184" s="214">
        <v>0</v>
      </c>
      <c r="AI184" s="87">
        <v>1372664</v>
      </c>
      <c r="AJ184" s="87">
        <v>0</v>
      </c>
      <c r="AK184" s="87">
        <v>1372664</v>
      </c>
      <c r="AL184" s="87">
        <v>1372664</v>
      </c>
      <c r="AM184" s="87">
        <v>5227200</v>
      </c>
      <c r="AN184" s="87">
        <v>1372664</v>
      </c>
      <c r="AO184" s="87">
        <v>1372664</v>
      </c>
      <c r="AP184" s="87">
        <v>1372000</v>
      </c>
      <c r="AQ184" s="88">
        <v>0</v>
      </c>
      <c r="AR184" s="88">
        <v>0</v>
      </c>
      <c r="AS184" s="88">
        <v>0</v>
      </c>
      <c r="AT184" s="88">
        <v>0</v>
      </c>
      <c r="AU184" s="88">
        <v>0</v>
      </c>
      <c r="AV184" s="88">
        <v>0</v>
      </c>
      <c r="AW184" s="88">
        <v>0</v>
      </c>
      <c r="AX184" s="88">
        <v>0</v>
      </c>
      <c r="AY184" s="87">
        <v>0</v>
      </c>
      <c r="AZ184" s="87">
        <v>0</v>
      </c>
      <c r="BA184" s="87">
        <v>0</v>
      </c>
      <c r="BB184" s="87">
        <v>0</v>
      </c>
      <c r="BC184" s="87">
        <v>0</v>
      </c>
      <c r="BD184" s="87">
        <v>0</v>
      </c>
      <c r="BE184" s="87">
        <v>0</v>
      </c>
      <c r="BF184" s="87">
        <v>0</v>
      </c>
      <c r="BG184" s="88">
        <v>0</v>
      </c>
      <c r="BH184" s="88">
        <v>0</v>
      </c>
      <c r="BI184" s="88">
        <v>0</v>
      </c>
      <c r="BJ184" s="88">
        <v>0</v>
      </c>
      <c r="BK184" s="88">
        <v>0</v>
      </c>
      <c r="BL184" s="88">
        <v>0</v>
      </c>
      <c r="BM184" s="88">
        <v>0</v>
      </c>
      <c r="BN184" s="590">
        <v>0</v>
      </c>
      <c r="BO184" s="171">
        <v>2023</v>
      </c>
      <c r="BP184" s="171">
        <v>1</v>
      </c>
      <c r="BQ184" s="171">
        <v>19</v>
      </c>
      <c r="BS184" s="76" t="str">
        <f t="shared" si="5"/>
        <v>○</v>
      </c>
    </row>
    <row r="185" spans="1:71" s="81" customFormat="1" x14ac:dyDescent="0.2">
      <c r="A185" s="210">
        <v>1374</v>
      </c>
      <c r="B185" s="211"/>
      <c r="C185" s="212"/>
      <c r="D185" s="211"/>
      <c r="E185" s="212"/>
      <c r="F185" s="211"/>
      <c r="G185" s="211"/>
      <c r="H185" s="212"/>
      <c r="I185" s="211"/>
      <c r="J185" s="211"/>
      <c r="K185" s="211"/>
      <c r="L185" s="171"/>
      <c r="M185" s="171" t="s">
        <v>566</v>
      </c>
      <c r="N185" s="171" t="s">
        <v>354</v>
      </c>
      <c r="O185" s="171" t="s">
        <v>567</v>
      </c>
      <c r="P185" s="171" t="s">
        <v>916</v>
      </c>
      <c r="Q185" s="171"/>
      <c r="R185" s="213">
        <v>196000</v>
      </c>
      <c r="S185" s="87">
        <v>0</v>
      </c>
      <c r="T185" s="87">
        <v>0</v>
      </c>
      <c r="U185" s="87">
        <v>0</v>
      </c>
      <c r="V185" s="87">
        <v>0</v>
      </c>
      <c r="W185" s="87">
        <v>0</v>
      </c>
      <c r="X185" s="87">
        <v>0</v>
      </c>
      <c r="Y185" s="87">
        <v>0</v>
      </c>
      <c r="Z185" s="87">
        <v>0</v>
      </c>
      <c r="AA185" s="214">
        <v>0</v>
      </c>
      <c r="AB185" s="214">
        <v>0</v>
      </c>
      <c r="AC185" s="214">
        <v>0</v>
      </c>
      <c r="AD185" s="214">
        <v>0</v>
      </c>
      <c r="AE185" s="214">
        <v>0</v>
      </c>
      <c r="AF185" s="214">
        <v>0</v>
      </c>
      <c r="AG185" s="214">
        <v>0</v>
      </c>
      <c r="AH185" s="214">
        <v>0</v>
      </c>
      <c r="AI185" s="87">
        <v>196971</v>
      </c>
      <c r="AJ185" s="87">
        <v>0</v>
      </c>
      <c r="AK185" s="87">
        <v>196971</v>
      </c>
      <c r="AL185" s="87">
        <v>196971</v>
      </c>
      <c r="AM185" s="87">
        <v>10296000</v>
      </c>
      <c r="AN185" s="87">
        <v>196971</v>
      </c>
      <c r="AO185" s="87">
        <v>196971</v>
      </c>
      <c r="AP185" s="87">
        <v>196000</v>
      </c>
      <c r="AQ185" s="88">
        <v>0</v>
      </c>
      <c r="AR185" s="88">
        <v>0</v>
      </c>
      <c r="AS185" s="88">
        <v>0</v>
      </c>
      <c r="AT185" s="88">
        <v>0</v>
      </c>
      <c r="AU185" s="88">
        <v>0</v>
      </c>
      <c r="AV185" s="88">
        <v>0</v>
      </c>
      <c r="AW185" s="88">
        <v>0</v>
      </c>
      <c r="AX185" s="88">
        <v>0</v>
      </c>
      <c r="AY185" s="87">
        <v>0</v>
      </c>
      <c r="AZ185" s="87">
        <v>0</v>
      </c>
      <c r="BA185" s="87">
        <v>0</v>
      </c>
      <c r="BB185" s="87">
        <v>0</v>
      </c>
      <c r="BC185" s="87">
        <v>0</v>
      </c>
      <c r="BD185" s="87">
        <v>0</v>
      </c>
      <c r="BE185" s="87">
        <v>0</v>
      </c>
      <c r="BF185" s="87">
        <v>0</v>
      </c>
      <c r="BG185" s="88">
        <v>0</v>
      </c>
      <c r="BH185" s="88">
        <v>0</v>
      </c>
      <c r="BI185" s="88">
        <v>0</v>
      </c>
      <c r="BJ185" s="88">
        <v>0</v>
      </c>
      <c r="BK185" s="88">
        <v>0</v>
      </c>
      <c r="BL185" s="88">
        <v>0</v>
      </c>
      <c r="BM185" s="88">
        <v>0</v>
      </c>
      <c r="BN185" s="590">
        <v>0</v>
      </c>
      <c r="BO185" s="171">
        <v>2023</v>
      </c>
      <c r="BP185" s="171">
        <v>1</v>
      </c>
      <c r="BQ185" s="171">
        <v>19</v>
      </c>
      <c r="BR185" s="77"/>
      <c r="BS185" s="76" t="str">
        <f t="shared" si="5"/>
        <v>○</v>
      </c>
    </row>
    <row r="186" spans="1:71" x14ac:dyDescent="0.2">
      <c r="A186" s="210">
        <v>1375</v>
      </c>
      <c r="B186" s="211"/>
      <c r="C186" s="212"/>
      <c r="D186" s="211"/>
      <c r="E186" s="212"/>
      <c r="F186" s="211"/>
      <c r="G186" s="211"/>
      <c r="H186" s="212"/>
      <c r="I186" s="211"/>
      <c r="J186" s="211"/>
      <c r="K186" s="211"/>
      <c r="L186" s="171"/>
      <c r="M186" s="171" t="s">
        <v>568</v>
      </c>
      <c r="N186" s="171" t="s">
        <v>275</v>
      </c>
      <c r="O186" s="171" t="s">
        <v>369</v>
      </c>
      <c r="P186" s="171" t="s">
        <v>916</v>
      </c>
      <c r="Q186" s="171"/>
      <c r="R186" s="213">
        <v>659000</v>
      </c>
      <c r="S186" s="87">
        <v>0</v>
      </c>
      <c r="T186" s="87">
        <v>0</v>
      </c>
      <c r="U186" s="87">
        <v>0</v>
      </c>
      <c r="V186" s="87">
        <v>0</v>
      </c>
      <c r="W186" s="87">
        <v>0</v>
      </c>
      <c r="X186" s="87">
        <v>0</v>
      </c>
      <c r="Y186" s="87">
        <v>0</v>
      </c>
      <c r="Z186" s="87">
        <v>0</v>
      </c>
      <c r="AA186" s="214">
        <v>0</v>
      </c>
      <c r="AB186" s="214">
        <v>0</v>
      </c>
      <c r="AC186" s="214">
        <v>0</v>
      </c>
      <c r="AD186" s="214">
        <v>0</v>
      </c>
      <c r="AE186" s="214">
        <v>0</v>
      </c>
      <c r="AF186" s="214">
        <v>0</v>
      </c>
      <c r="AG186" s="214">
        <v>0</v>
      </c>
      <c r="AH186" s="214">
        <v>0</v>
      </c>
      <c r="AI186" s="87">
        <v>659120</v>
      </c>
      <c r="AJ186" s="87">
        <v>0</v>
      </c>
      <c r="AK186" s="87">
        <v>659120</v>
      </c>
      <c r="AL186" s="87">
        <v>659120</v>
      </c>
      <c r="AM186" s="87">
        <v>7776000</v>
      </c>
      <c r="AN186" s="87">
        <v>659120</v>
      </c>
      <c r="AO186" s="87">
        <v>659120</v>
      </c>
      <c r="AP186" s="87">
        <v>659000</v>
      </c>
      <c r="AQ186" s="88">
        <v>0</v>
      </c>
      <c r="AR186" s="88">
        <v>0</v>
      </c>
      <c r="AS186" s="88">
        <v>0</v>
      </c>
      <c r="AT186" s="88">
        <v>0</v>
      </c>
      <c r="AU186" s="88">
        <v>0</v>
      </c>
      <c r="AV186" s="88">
        <v>0</v>
      </c>
      <c r="AW186" s="88">
        <v>0</v>
      </c>
      <c r="AX186" s="88">
        <v>0</v>
      </c>
      <c r="AY186" s="87">
        <v>0</v>
      </c>
      <c r="AZ186" s="87">
        <v>0</v>
      </c>
      <c r="BA186" s="87">
        <v>0</v>
      </c>
      <c r="BB186" s="87">
        <v>0</v>
      </c>
      <c r="BC186" s="87">
        <v>0</v>
      </c>
      <c r="BD186" s="87">
        <v>0</v>
      </c>
      <c r="BE186" s="87">
        <v>0</v>
      </c>
      <c r="BF186" s="87">
        <v>0</v>
      </c>
      <c r="BG186" s="88">
        <v>0</v>
      </c>
      <c r="BH186" s="88">
        <v>0</v>
      </c>
      <c r="BI186" s="88">
        <v>0</v>
      </c>
      <c r="BJ186" s="88">
        <v>0</v>
      </c>
      <c r="BK186" s="88">
        <v>0</v>
      </c>
      <c r="BL186" s="88">
        <v>0</v>
      </c>
      <c r="BM186" s="88">
        <v>0</v>
      </c>
      <c r="BN186" s="590">
        <v>0</v>
      </c>
      <c r="BO186" s="171">
        <v>2023</v>
      </c>
      <c r="BP186" s="171">
        <v>1</v>
      </c>
      <c r="BQ186" s="171">
        <v>19</v>
      </c>
      <c r="BR186" s="81"/>
      <c r="BS186" s="76" t="str">
        <f t="shared" si="5"/>
        <v>○</v>
      </c>
    </row>
    <row r="187" spans="1:71" x14ac:dyDescent="0.2">
      <c r="A187" s="210">
        <v>1376</v>
      </c>
      <c r="B187" s="211"/>
      <c r="C187" s="212"/>
      <c r="D187" s="211"/>
      <c r="E187" s="212"/>
      <c r="F187" s="211"/>
      <c r="G187" s="211"/>
      <c r="H187" s="212"/>
      <c r="I187" s="211"/>
      <c r="J187" s="211"/>
      <c r="K187" s="211"/>
      <c r="L187" s="171"/>
      <c r="M187" s="171" t="s">
        <v>569</v>
      </c>
      <c r="N187" s="171" t="s">
        <v>299</v>
      </c>
      <c r="O187" s="171" t="s">
        <v>341</v>
      </c>
      <c r="P187" s="171" t="s">
        <v>917</v>
      </c>
      <c r="Q187" s="171"/>
      <c r="R187" s="213">
        <v>160000</v>
      </c>
      <c r="S187" s="87">
        <v>0</v>
      </c>
      <c r="T187" s="87">
        <v>0</v>
      </c>
      <c r="U187" s="87">
        <v>0</v>
      </c>
      <c r="V187" s="87">
        <v>0</v>
      </c>
      <c r="W187" s="87">
        <v>0</v>
      </c>
      <c r="X187" s="87">
        <v>0</v>
      </c>
      <c r="Y187" s="87">
        <v>0</v>
      </c>
      <c r="Z187" s="87">
        <v>0</v>
      </c>
      <c r="AA187" s="214">
        <v>0</v>
      </c>
      <c r="AB187" s="214">
        <v>0</v>
      </c>
      <c r="AC187" s="214">
        <v>0</v>
      </c>
      <c r="AD187" s="214">
        <v>0</v>
      </c>
      <c r="AE187" s="214">
        <v>0</v>
      </c>
      <c r="AF187" s="214">
        <v>0</v>
      </c>
      <c r="AG187" s="214">
        <v>0</v>
      </c>
      <c r="AH187" s="214">
        <v>0</v>
      </c>
      <c r="AI187" s="87">
        <v>160270</v>
      </c>
      <c r="AJ187" s="87">
        <v>0</v>
      </c>
      <c r="AK187" s="87">
        <v>160270</v>
      </c>
      <c r="AL187" s="87">
        <v>160270</v>
      </c>
      <c r="AM187" s="87">
        <v>1544400</v>
      </c>
      <c r="AN187" s="87">
        <v>160270</v>
      </c>
      <c r="AO187" s="87">
        <v>160270</v>
      </c>
      <c r="AP187" s="87">
        <v>160000</v>
      </c>
      <c r="AQ187" s="88">
        <v>0</v>
      </c>
      <c r="AR187" s="88">
        <v>0</v>
      </c>
      <c r="AS187" s="88">
        <v>0</v>
      </c>
      <c r="AT187" s="88">
        <v>0</v>
      </c>
      <c r="AU187" s="88">
        <v>0</v>
      </c>
      <c r="AV187" s="88">
        <v>0</v>
      </c>
      <c r="AW187" s="88">
        <v>0</v>
      </c>
      <c r="AX187" s="88">
        <v>0</v>
      </c>
      <c r="AY187" s="87">
        <v>0</v>
      </c>
      <c r="AZ187" s="87">
        <v>0</v>
      </c>
      <c r="BA187" s="87">
        <v>0</v>
      </c>
      <c r="BB187" s="87">
        <v>0</v>
      </c>
      <c r="BC187" s="87">
        <v>0</v>
      </c>
      <c r="BD187" s="87">
        <v>0</v>
      </c>
      <c r="BE187" s="87">
        <v>0</v>
      </c>
      <c r="BF187" s="87">
        <v>0</v>
      </c>
      <c r="BG187" s="88">
        <v>0</v>
      </c>
      <c r="BH187" s="88">
        <v>0</v>
      </c>
      <c r="BI187" s="88">
        <v>0</v>
      </c>
      <c r="BJ187" s="88">
        <v>0</v>
      </c>
      <c r="BK187" s="88">
        <v>0</v>
      </c>
      <c r="BL187" s="88">
        <v>0</v>
      </c>
      <c r="BM187" s="88">
        <v>0</v>
      </c>
      <c r="BN187" s="590">
        <v>0</v>
      </c>
      <c r="BO187" s="171">
        <v>2023</v>
      </c>
      <c r="BP187" s="171">
        <v>1</v>
      </c>
      <c r="BQ187" s="171">
        <v>19</v>
      </c>
      <c r="BS187" s="76" t="str">
        <f t="shared" si="5"/>
        <v>○</v>
      </c>
    </row>
    <row r="188" spans="1:71" x14ac:dyDescent="0.2">
      <c r="A188" s="210">
        <v>1377</v>
      </c>
      <c r="B188" s="211"/>
      <c r="C188" s="212"/>
      <c r="D188" s="211"/>
      <c r="E188" s="212"/>
      <c r="F188" s="211"/>
      <c r="G188" s="211"/>
      <c r="H188" s="212"/>
      <c r="I188" s="211"/>
      <c r="J188" s="211"/>
      <c r="K188" s="211"/>
      <c r="L188" s="171"/>
      <c r="M188" s="171" t="s">
        <v>401</v>
      </c>
      <c r="N188" s="171" t="s">
        <v>269</v>
      </c>
      <c r="O188" s="171" t="s">
        <v>385</v>
      </c>
      <c r="P188" s="171" t="s">
        <v>916</v>
      </c>
      <c r="Q188" s="171"/>
      <c r="R188" s="213">
        <v>742000</v>
      </c>
      <c r="S188" s="87">
        <v>0</v>
      </c>
      <c r="T188" s="87">
        <v>0</v>
      </c>
      <c r="U188" s="87">
        <v>0</v>
      </c>
      <c r="V188" s="87">
        <v>0</v>
      </c>
      <c r="W188" s="87">
        <v>0</v>
      </c>
      <c r="X188" s="87">
        <v>0</v>
      </c>
      <c r="Y188" s="87">
        <v>0</v>
      </c>
      <c r="Z188" s="87">
        <v>0</v>
      </c>
      <c r="AA188" s="214">
        <v>0</v>
      </c>
      <c r="AB188" s="214">
        <v>0</v>
      </c>
      <c r="AC188" s="214">
        <v>0</v>
      </c>
      <c r="AD188" s="214">
        <v>0</v>
      </c>
      <c r="AE188" s="214">
        <v>0</v>
      </c>
      <c r="AF188" s="214">
        <v>0</v>
      </c>
      <c r="AG188" s="214">
        <v>0</v>
      </c>
      <c r="AH188" s="214">
        <v>0</v>
      </c>
      <c r="AI188" s="87">
        <v>742060</v>
      </c>
      <c r="AJ188" s="87">
        <v>0</v>
      </c>
      <c r="AK188" s="87">
        <v>742060</v>
      </c>
      <c r="AL188" s="87">
        <v>742060</v>
      </c>
      <c r="AM188" s="87">
        <v>2035296</v>
      </c>
      <c r="AN188" s="87">
        <v>742060</v>
      </c>
      <c r="AO188" s="87">
        <v>742060</v>
      </c>
      <c r="AP188" s="87">
        <v>742000</v>
      </c>
      <c r="AQ188" s="88">
        <v>0</v>
      </c>
      <c r="AR188" s="88">
        <v>0</v>
      </c>
      <c r="AS188" s="88">
        <v>0</v>
      </c>
      <c r="AT188" s="88">
        <v>0</v>
      </c>
      <c r="AU188" s="88">
        <v>0</v>
      </c>
      <c r="AV188" s="88">
        <v>0</v>
      </c>
      <c r="AW188" s="88">
        <v>0</v>
      </c>
      <c r="AX188" s="88">
        <v>0</v>
      </c>
      <c r="AY188" s="87">
        <v>0</v>
      </c>
      <c r="AZ188" s="87">
        <v>0</v>
      </c>
      <c r="BA188" s="87">
        <v>0</v>
      </c>
      <c r="BB188" s="87">
        <v>0</v>
      </c>
      <c r="BC188" s="87">
        <v>0</v>
      </c>
      <c r="BD188" s="87">
        <v>0</v>
      </c>
      <c r="BE188" s="87">
        <v>0</v>
      </c>
      <c r="BF188" s="87">
        <v>0</v>
      </c>
      <c r="BG188" s="88">
        <v>0</v>
      </c>
      <c r="BH188" s="88">
        <v>0</v>
      </c>
      <c r="BI188" s="88">
        <v>0</v>
      </c>
      <c r="BJ188" s="88">
        <v>0</v>
      </c>
      <c r="BK188" s="88">
        <v>0</v>
      </c>
      <c r="BL188" s="88">
        <v>0</v>
      </c>
      <c r="BM188" s="88">
        <v>0</v>
      </c>
      <c r="BN188" s="590">
        <v>0</v>
      </c>
      <c r="BO188" s="171">
        <v>2023</v>
      </c>
      <c r="BP188" s="171">
        <v>1</v>
      </c>
      <c r="BQ188" s="171">
        <v>19</v>
      </c>
      <c r="BS188" s="76" t="str">
        <f t="shared" si="5"/>
        <v>○</v>
      </c>
    </row>
    <row r="189" spans="1:71" x14ac:dyDescent="0.2">
      <c r="A189" s="210">
        <v>1378</v>
      </c>
      <c r="B189" s="211"/>
      <c r="C189" s="212"/>
      <c r="D189" s="211"/>
      <c r="E189" s="212"/>
      <c r="F189" s="211"/>
      <c r="G189" s="211"/>
      <c r="H189" s="212"/>
      <c r="I189" s="211"/>
      <c r="J189" s="211"/>
      <c r="K189" s="211"/>
      <c r="L189" s="171"/>
      <c r="M189" s="171" t="s">
        <v>570</v>
      </c>
      <c r="N189" s="171" t="s">
        <v>269</v>
      </c>
      <c r="O189" s="171" t="s">
        <v>571</v>
      </c>
      <c r="P189" s="171" t="s">
        <v>916</v>
      </c>
      <c r="Q189" s="171"/>
      <c r="R189" s="213">
        <v>58000</v>
      </c>
      <c r="S189" s="87">
        <v>0</v>
      </c>
      <c r="T189" s="87">
        <v>0</v>
      </c>
      <c r="U189" s="87">
        <v>0</v>
      </c>
      <c r="V189" s="87">
        <v>0</v>
      </c>
      <c r="W189" s="87">
        <v>0</v>
      </c>
      <c r="X189" s="87">
        <v>0</v>
      </c>
      <c r="Y189" s="87">
        <v>0</v>
      </c>
      <c r="Z189" s="87">
        <v>0</v>
      </c>
      <c r="AA189" s="214">
        <v>0</v>
      </c>
      <c r="AB189" s="214">
        <v>0</v>
      </c>
      <c r="AC189" s="214">
        <v>0</v>
      </c>
      <c r="AD189" s="214">
        <v>0</v>
      </c>
      <c r="AE189" s="214">
        <v>0</v>
      </c>
      <c r="AF189" s="214">
        <v>0</v>
      </c>
      <c r="AG189" s="214">
        <v>0</v>
      </c>
      <c r="AH189" s="214">
        <v>0</v>
      </c>
      <c r="AI189" s="87">
        <v>58080</v>
      </c>
      <c r="AJ189" s="87">
        <v>0</v>
      </c>
      <c r="AK189" s="87">
        <v>58080</v>
      </c>
      <c r="AL189" s="87">
        <v>58080</v>
      </c>
      <c r="AM189" s="87">
        <v>1566000</v>
      </c>
      <c r="AN189" s="87">
        <v>58080</v>
      </c>
      <c r="AO189" s="87">
        <v>58080</v>
      </c>
      <c r="AP189" s="87">
        <v>58000</v>
      </c>
      <c r="AQ189" s="88">
        <v>0</v>
      </c>
      <c r="AR189" s="88">
        <v>0</v>
      </c>
      <c r="AS189" s="88">
        <v>0</v>
      </c>
      <c r="AT189" s="88">
        <v>0</v>
      </c>
      <c r="AU189" s="88">
        <v>0</v>
      </c>
      <c r="AV189" s="88">
        <v>0</v>
      </c>
      <c r="AW189" s="88">
        <v>0</v>
      </c>
      <c r="AX189" s="88">
        <v>0</v>
      </c>
      <c r="AY189" s="87">
        <v>0</v>
      </c>
      <c r="AZ189" s="87">
        <v>0</v>
      </c>
      <c r="BA189" s="87">
        <v>0</v>
      </c>
      <c r="BB189" s="87">
        <v>0</v>
      </c>
      <c r="BC189" s="87">
        <v>0</v>
      </c>
      <c r="BD189" s="87">
        <v>0</v>
      </c>
      <c r="BE189" s="87">
        <v>0</v>
      </c>
      <c r="BF189" s="87">
        <v>0</v>
      </c>
      <c r="BG189" s="88">
        <v>0</v>
      </c>
      <c r="BH189" s="88">
        <v>0</v>
      </c>
      <c r="BI189" s="88">
        <v>0</v>
      </c>
      <c r="BJ189" s="88">
        <v>0</v>
      </c>
      <c r="BK189" s="88">
        <v>0</v>
      </c>
      <c r="BL189" s="88">
        <v>0</v>
      </c>
      <c r="BM189" s="88">
        <v>0</v>
      </c>
      <c r="BN189" s="590">
        <v>0</v>
      </c>
      <c r="BO189" s="171">
        <v>2023</v>
      </c>
      <c r="BP189" s="171">
        <v>1</v>
      </c>
      <c r="BQ189" s="171">
        <v>19</v>
      </c>
      <c r="BS189" s="76" t="str">
        <f t="shared" si="5"/>
        <v>○</v>
      </c>
    </row>
    <row r="190" spans="1:71" x14ac:dyDescent="0.2">
      <c r="A190" s="210">
        <v>1379</v>
      </c>
      <c r="B190" s="211"/>
      <c r="C190" s="212"/>
      <c r="D190" s="211"/>
      <c r="E190" s="212"/>
      <c r="F190" s="211"/>
      <c r="G190" s="211"/>
      <c r="H190" s="212"/>
      <c r="I190" s="211"/>
      <c r="J190" s="211"/>
      <c r="K190" s="211"/>
      <c r="L190" s="171"/>
      <c r="M190" s="171" t="s">
        <v>572</v>
      </c>
      <c r="N190" s="171" t="s">
        <v>269</v>
      </c>
      <c r="O190" s="171" t="s">
        <v>297</v>
      </c>
      <c r="P190" s="171" t="s">
        <v>916</v>
      </c>
      <c r="Q190" s="171"/>
      <c r="R190" s="213">
        <v>385000</v>
      </c>
      <c r="S190" s="87">
        <v>0</v>
      </c>
      <c r="T190" s="87">
        <v>0</v>
      </c>
      <c r="U190" s="87">
        <v>0</v>
      </c>
      <c r="V190" s="87">
        <v>0</v>
      </c>
      <c r="W190" s="87">
        <v>0</v>
      </c>
      <c r="X190" s="87">
        <v>0</v>
      </c>
      <c r="Y190" s="87">
        <v>0</v>
      </c>
      <c r="Z190" s="87">
        <v>0</v>
      </c>
      <c r="AA190" s="214">
        <v>0</v>
      </c>
      <c r="AB190" s="214">
        <v>0</v>
      </c>
      <c r="AC190" s="214">
        <v>0</v>
      </c>
      <c r="AD190" s="214">
        <v>0</v>
      </c>
      <c r="AE190" s="214">
        <v>0</v>
      </c>
      <c r="AF190" s="214">
        <v>0</v>
      </c>
      <c r="AG190" s="214">
        <v>0</v>
      </c>
      <c r="AH190" s="214">
        <v>0</v>
      </c>
      <c r="AI190" s="87">
        <v>385979</v>
      </c>
      <c r="AJ190" s="87">
        <v>0</v>
      </c>
      <c r="AK190" s="87">
        <v>385979</v>
      </c>
      <c r="AL190" s="87">
        <v>385979</v>
      </c>
      <c r="AM190" s="87">
        <v>1555200</v>
      </c>
      <c r="AN190" s="87">
        <v>385979</v>
      </c>
      <c r="AO190" s="87">
        <v>385979</v>
      </c>
      <c r="AP190" s="87">
        <v>385000</v>
      </c>
      <c r="AQ190" s="88">
        <v>0</v>
      </c>
      <c r="AR190" s="88">
        <v>0</v>
      </c>
      <c r="AS190" s="88">
        <v>0</v>
      </c>
      <c r="AT190" s="88">
        <v>0</v>
      </c>
      <c r="AU190" s="88">
        <v>0</v>
      </c>
      <c r="AV190" s="88">
        <v>0</v>
      </c>
      <c r="AW190" s="88">
        <v>0</v>
      </c>
      <c r="AX190" s="88">
        <v>0</v>
      </c>
      <c r="AY190" s="87">
        <v>0</v>
      </c>
      <c r="AZ190" s="87">
        <v>0</v>
      </c>
      <c r="BA190" s="87">
        <v>0</v>
      </c>
      <c r="BB190" s="87">
        <v>0</v>
      </c>
      <c r="BC190" s="87">
        <v>0</v>
      </c>
      <c r="BD190" s="87">
        <v>0</v>
      </c>
      <c r="BE190" s="87">
        <v>0</v>
      </c>
      <c r="BF190" s="87">
        <v>0</v>
      </c>
      <c r="BG190" s="88">
        <v>0</v>
      </c>
      <c r="BH190" s="88">
        <v>0</v>
      </c>
      <c r="BI190" s="88">
        <v>0</v>
      </c>
      <c r="BJ190" s="88">
        <v>0</v>
      </c>
      <c r="BK190" s="88">
        <v>0</v>
      </c>
      <c r="BL190" s="88">
        <v>0</v>
      </c>
      <c r="BM190" s="88">
        <v>0</v>
      </c>
      <c r="BN190" s="590">
        <v>0</v>
      </c>
      <c r="BO190" s="171">
        <v>2023</v>
      </c>
      <c r="BP190" s="171">
        <v>1</v>
      </c>
      <c r="BQ190" s="171">
        <v>19</v>
      </c>
      <c r="BS190" s="76" t="str">
        <f t="shared" si="5"/>
        <v>○</v>
      </c>
    </row>
    <row r="191" spans="1:71" x14ac:dyDescent="0.2">
      <c r="A191" s="210">
        <v>1380</v>
      </c>
      <c r="B191" s="211"/>
      <c r="C191" s="212"/>
      <c r="D191" s="211"/>
      <c r="E191" s="212"/>
      <c r="F191" s="211"/>
      <c r="G191" s="211"/>
      <c r="H191" s="212"/>
      <c r="I191" s="211"/>
      <c r="J191" s="211"/>
      <c r="K191" s="211"/>
      <c r="L191" s="171"/>
      <c r="M191" s="171" t="s">
        <v>546</v>
      </c>
      <c r="N191" s="171" t="s">
        <v>269</v>
      </c>
      <c r="O191" s="171" t="s">
        <v>547</v>
      </c>
      <c r="P191" s="171" t="s">
        <v>916</v>
      </c>
      <c r="Q191" s="171"/>
      <c r="R191" s="213">
        <v>159000</v>
      </c>
      <c r="S191" s="87">
        <v>0</v>
      </c>
      <c r="T191" s="87">
        <v>0</v>
      </c>
      <c r="U191" s="87">
        <v>0</v>
      </c>
      <c r="V191" s="87">
        <v>0</v>
      </c>
      <c r="W191" s="87">
        <v>0</v>
      </c>
      <c r="X191" s="87">
        <v>0</v>
      </c>
      <c r="Y191" s="87">
        <v>0</v>
      </c>
      <c r="Z191" s="87">
        <v>0</v>
      </c>
      <c r="AA191" s="214">
        <v>0</v>
      </c>
      <c r="AB191" s="214">
        <v>0</v>
      </c>
      <c r="AC191" s="214">
        <v>0</v>
      </c>
      <c r="AD191" s="214">
        <v>0</v>
      </c>
      <c r="AE191" s="214">
        <v>0</v>
      </c>
      <c r="AF191" s="214">
        <v>0</v>
      </c>
      <c r="AG191" s="214">
        <v>0</v>
      </c>
      <c r="AH191" s="214">
        <v>0</v>
      </c>
      <c r="AI191" s="87">
        <v>159215</v>
      </c>
      <c r="AJ191" s="87">
        <v>0</v>
      </c>
      <c r="AK191" s="87">
        <v>159215</v>
      </c>
      <c r="AL191" s="87">
        <v>159215</v>
      </c>
      <c r="AM191" s="87">
        <v>1800000</v>
      </c>
      <c r="AN191" s="87">
        <v>159215</v>
      </c>
      <c r="AO191" s="87">
        <v>159215</v>
      </c>
      <c r="AP191" s="87">
        <v>159000</v>
      </c>
      <c r="AQ191" s="88">
        <v>0</v>
      </c>
      <c r="AR191" s="88">
        <v>0</v>
      </c>
      <c r="AS191" s="88">
        <v>0</v>
      </c>
      <c r="AT191" s="88">
        <v>0</v>
      </c>
      <c r="AU191" s="88">
        <v>0</v>
      </c>
      <c r="AV191" s="88">
        <v>0</v>
      </c>
      <c r="AW191" s="88">
        <v>0</v>
      </c>
      <c r="AX191" s="88">
        <v>0</v>
      </c>
      <c r="AY191" s="87">
        <v>0</v>
      </c>
      <c r="AZ191" s="87">
        <v>0</v>
      </c>
      <c r="BA191" s="87">
        <v>0</v>
      </c>
      <c r="BB191" s="87">
        <v>0</v>
      </c>
      <c r="BC191" s="87">
        <v>0</v>
      </c>
      <c r="BD191" s="87">
        <v>0</v>
      </c>
      <c r="BE191" s="87">
        <v>0</v>
      </c>
      <c r="BF191" s="87">
        <v>0</v>
      </c>
      <c r="BG191" s="88">
        <v>0</v>
      </c>
      <c r="BH191" s="88">
        <v>0</v>
      </c>
      <c r="BI191" s="88">
        <v>0</v>
      </c>
      <c r="BJ191" s="88">
        <v>0</v>
      </c>
      <c r="BK191" s="88">
        <v>0</v>
      </c>
      <c r="BL191" s="88">
        <v>0</v>
      </c>
      <c r="BM191" s="88">
        <v>0</v>
      </c>
      <c r="BN191" s="590">
        <v>0</v>
      </c>
      <c r="BO191" s="171">
        <v>2023</v>
      </c>
      <c r="BP191" s="171">
        <v>1</v>
      </c>
      <c r="BQ191" s="171">
        <v>19</v>
      </c>
      <c r="BS191" s="76" t="str">
        <f t="shared" si="5"/>
        <v>○</v>
      </c>
    </row>
    <row r="192" spans="1:71" x14ac:dyDescent="0.2">
      <c r="A192" s="210">
        <v>1381</v>
      </c>
      <c r="B192" s="211"/>
      <c r="C192" s="212"/>
      <c r="D192" s="211"/>
      <c r="E192" s="212"/>
      <c r="F192" s="211"/>
      <c r="G192" s="211"/>
      <c r="H192" s="212"/>
      <c r="I192" s="211"/>
      <c r="J192" s="211"/>
      <c r="K192" s="211"/>
      <c r="L192" s="171"/>
      <c r="M192" s="171" t="s">
        <v>573</v>
      </c>
      <c r="N192" s="171" t="s">
        <v>278</v>
      </c>
      <c r="O192" s="171" t="s">
        <v>574</v>
      </c>
      <c r="P192" s="171" t="s">
        <v>916</v>
      </c>
      <c r="Q192" s="171"/>
      <c r="R192" s="213">
        <v>222000</v>
      </c>
      <c r="S192" s="87">
        <v>0</v>
      </c>
      <c r="T192" s="87">
        <v>0</v>
      </c>
      <c r="U192" s="87">
        <v>0</v>
      </c>
      <c r="V192" s="87">
        <v>0</v>
      </c>
      <c r="W192" s="87">
        <v>0</v>
      </c>
      <c r="X192" s="87">
        <v>0</v>
      </c>
      <c r="Y192" s="87">
        <v>0</v>
      </c>
      <c r="Z192" s="87">
        <v>0</v>
      </c>
      <c r="AA192" s="214">
        <v>0</v>
      </c>
      <c r="AB192" s="214">
        <v>0</v>
      </c>
      <c r="AC192" s="214">
        <v>0</v>
      </c>
      <c r="AD192" s="214">
        <v>0</v>
      </c>
      <c r="AE192" s="214">
        <v>0</v>
      </c>
      <c r="AF192" s="214">
        <v>0</v>
      </c>
      <c r="AG192" s="214">
        <v>0</v>
      </c>
      <c r="AH192" s="214">
        <v>0</v>
      </c>
      <c r="AI192" s="87">
        <v>222738</v>
      </c>
      <c r="AJ192" s="87">
        <v>0</v>
      </c>
      <c r="AK192" s="87">
        <v>222738</v>
      </c>
      <c r="AL192" s="87">
        <v>222738</v>
      </c>
      <c r="AM192" s="87">
        <v>2073600</v>
      </c>
      <c r="AN192" s="87">
        <v>222738</v>
      </c>
      <c r="AO192" s="87">
        <v>222738</v>
      </c>
      <c r="AP192" s="87">
        <v>222000</v>
      </c>
      <c r="AQ192" s="88">
        <v>0</v>
      </c>
      <c r="AR192" s="88">
        <v>0</v>
      </c>
      <c r="AS192" s="88">
        <v>0</v>
      </c>
      <c r="AT192" s="88">
        <v>0</v>
      </c>
      <c r="AU192" s="88">
        <v>0</v>
      </c>
      <c r="AV192" s="88">
        <v>0</v>
      </c>
      <c r="AW192" s="88">
        <v>0</v>
      </c>
      <c r="AX192" s="88">
        <v>0</v>
      </c>
      <c r="AY192" s="87">
        <v>0</v>
      </c>
      <c r="AZ192" s="87">
        <v>0</v>
      </c>
      <c r="BA192" s="87">
        <v>0</v>
      </c>
      <c r="BB192" s="87">
        <v>0</v>
      </c>
      <c r="BC192" s="87">
        <v>0</v>
      </c>
      <c r="BD192" s="87">
        <v>0</v>
      </c>
      <c r="BE192" s="87">
        <v>0</v>
      </c>
      <c r="BF192" s="87">
        <v>0</v>
      </c>
      <c r="BG192" s="88">
        <v>0</v>
      </c>
      <c r="BH192" s="88">
        <v>0</v>
      </c>
      <c r="BI192" s="88">
        <v>0</v>
      </c>
      <c r="BJ192" s="88">
        <v>0</v>
      </c>
      <c r="BK192" s="88">
        <v>0</v>
      </c>
      <c r="BL192" s="88">
        <v>0</v>
      </c>
      <c r="BM192" s="88">
        <v>0</v>
      </c>
      <c r="BN192" s="590">
        <v>0</v>
      </c>
      <c r="BO192" s="171">
        <v>2023</v>
      </c>
      <c r="BP192" s="171">
        <v>1</v>
      </c>
      <c r="BQ192" s="171">
        <v>19</v>
      </c>
      <c r="BS192" s="76" t="str">
        <f t="shared" si="5"/>
        <v>○</v>
      </c>
    </row>
    <row r="193" spans="1:71" x14ac:dyDescent="0.2">
      <c r="A193" s="210">
        <v>1382</v>
      </c>
      <c r="B193" s="211"/>
      <c r="C193" s="212"/>
      <c r="D193" s="211"/>
      <c r="E193" s="212"/>
      <c r="F193" s="211"/>
      <c r="G193" s="211"/>
      <c r="H193" s="212"/>
      <c r="I193" s="211"/>
      <c r="J193" s="211"/>
      <c r="K193" s="211"/>
      <c r="L193" s="171"/>
      <c r="M193" s="171" t="s">
        <v>575</v>
      </c>
      <c r="N193" s="171" t="s">
        <v>493</v>
      </c>
      <c r="O193" s="171" t="s">
        <v>576</v>
      </c>
      <c r="P193" s="171" t="s">
        <v>916</v>
      </c>
      <c r="Q193" s="75"/>
      <c r="R193" s="213">
        <v>20000</v>
      </c>
      <c r="S193" s="87">
        <v>0</v>
      </c>
      <c r="T193" s="87">
        <v>0</v>
      </c>
      <c r="U193" s="87">
        <v>0</v>
      </c>
      <c r="V193" s="87">
        <v>0</v>
      </c>
      <c r="W193" s="87">
        <v>0</v>
      </c>
      <c r="X193" s="87">
        <v>0</v>
      </c>
      <c r="Y193" s="87">
        <v>0</v>
      </c>
      <c r="Z193" s="87">
        <v>0</v>
      </c>
      <c r="AA193" s="214">
        <v>0</v>
      </c>
      <c r="AB193" s="214">
        <v>0</v>
      </c>
      <c r="AC193" s="214">
        <v>0</v>
      </c>
      <c r="AD193" s="214">
        <v>0</v>
      </c>
      <c r="AE193" s="214">
        <v>0</v>
      </c>
      <c r="AF193" s="214">
        <v>0</v>
      </c>
      <c r="AG193" s="214">
        <v>0</v>
      </c>
      <c r="AH193" s="214">
        <v>0</v>
      </c>
      <c r="AI193" s="87">
        <v>20456</v>
      </c>
      <c r="AJ193" s="87">
        <v>0</v>
      </c>
      <c r="AK193" s="87">
        <v>20456</v>
      </c>
      <c r="AL193" s="87">
        <v>20456</v>
      </c>
      <c r="AM193" s="87">
        <v>720000</v>
      </c>
      <c r="AN193" s="87">
        <v>20456</v>
      </c>
      <c r="AO193" s="87">
        <v>20456</v>
      </c>
      <c r="AP193" s="87">
        <v>20000</v>
      </c>
      <c r="AQ193" s="88">
        <v>0</v>
      </c>
      <c r="AR193" s="88">
        <v>0</v>
      </c>
      <c r="AS193" s="88">
        <v>0</v>
      </c>
      <c r="AT193" s="88">
        <v>0</v>
      </c>
      <c r="AU193" s="88">
        <v>0</v>
      </c>
      <c r="AV193" s="88">
        <v>0</v>
      </c>
      <c r="AW193" s="88">
        <v>0</v>
      </c>
      <c r="AX193" s="88">
        <v>0</v>
      </c>
      <c r="AY193" s="87">
        <v>0</v>
      </c>
      <c r="AZ193" s="87">
        <v>0</v>
      </c>
      <c r="BA193" s="87">
        <v>0</v>
      </c>
      <c r="BB193" s="87">
        <v>0</v>
      </c>
      <c r="BC193" s="87">
        <v>0</v>
      </c>
      <c r="BD193" s="87">
        <v>0</v>
      </c>
      <c r="BE193" s="87">
        <v>0</v>
      </c>
      <c r="BF193" s="87">
        <v>0</v>
      </c>
      <c r="BG193" s="88">
        <v>0</v>
      </c>
      <c r="BH193" s="88">
        <v>0</v>
      </c>
      <c r="BI193" s="88">
        <v>0</v>
      </c>
      <c r="BJ193" s="88">
        <v>0</v>
      </c>
      <c r="BK193" s="88">
        <v>0</v>
      </c>
      <c r="BL193" s="88">
        <v>0</v>
      </c>
      <c r="BM193" s="88">
        <v>0</v>
      </c>
      <c r="BN193" s="590">
        <v>0</v>
      </c>
      <c r="BO193" s="171">
        <v>2023</v>
      </c>
      <c r="BP193" s="171">
        <v>1</v>
      </c>
      <c r="BQ193" s="171">
        <v>19</v>
      </c>
      <c r="BS193" s="76" t="str">
        <f t="shared" si="5"/>
        <v>○</v>
      </c>
    </row>
    <row r="194" spans="1:71" x14ac:dyDescent="0.2">
      <c r="A194" s="210">
        <v>1383</v>
      </c>
      <c r="B194" s="211"/>
      <c r="C194" s="212"/>
      <c r="D194" s="211"/>
      <c r="E194" s="212"/>
      <c r="F194" s="211"/>
      <c r="G194" s="211"/>
      <c r="H194" s="212"/>
      <c r="I194" s="211"/>
      <c r="J194" s="211"/>
      <c r="K194" s="211"/>
      <c r="L194" s="171"/>
      <c r="M194" s="171" t="s">
        <v>577</v>
      </c>
      <c r="N194" s="171" t="s">
        <v>354</v>
      </c>
      <c r="O194" s="171" t="s">
        <v>578</v>
      </c>
      <c r="P194" s="171" t="s">
        <v>916</v>
      </c>
      <c r="Q194" s="171"/>
      <c r="R194" s="213">
        <v>864000</v>
      </c>
      <c r="S194" s="87">
        <v>0</v>
      </c>
      <c r="T194" s="87">
        <v>0</v>
      </c>
      <c r="U194" s="87">
        <v>0</v>
      </c>
      <c r="V194" s="87">
        <v>0</v>
      </c>
      <c r="W194" s="87">
        <v>0</v>
      </c>
      <c r="X194" s="87">
        <v>0</v>
      </c>
      <c r="Y194" s="87">
        <v>0</v>
      </c>
      <c r="Z194" s="87">
        <v>0</v>
      </c>
      <c r="AA194" s="214">
        <v>0</v>
      </c>
      <c r="AB194" s="214">
        <v>0</v>
      </c>
      <c r="AC194" s="214">
        <v>0</v>
      </c>
      <c r="AD194" s="214">
        <v>0</v>
      </c>
      <c r="AE194" s="214">
        <v>0</v>
      </c>
      <c r="AF194" s="214">
        <v>0</v>
      </c>
      <c r="AG194" s="214">
        <v>0</v>
      </c>
      <c r="AH194" s="214">
        <v>0</v>
      </c>
      <c r="AI194" s="87">
        <v>908160</v>
      </c>
      <c r="AJ194" s="87">
        <v>0</v>
      </c>
      <c r="AK194" s="87">
        <v>908160</v>
      </c>
      <c r="AL194" s="87">
        <v>908160</v>
      </c>
      <c r="AM194" s="87">
        <v>864000</v>
      </c>
      <c r="AN194" s="87">
        <v>864000</v>
      </c>
      <c r="AO194" s="87">
        <v>864000</v>
      </c>
      <c r="AP194" s="87">
        <v>864000</v>
      </c>
      <c r="AQ194" s="88">
        <v>0</v>
      </c>
      <c r="AR194" s="88">
        <v>0</v>
      </c>
      <c r="AS194" s="88">
        <v>0</v>
      </c>
      <c r="AT194" s="88">
        <v>0</v>
      </c>
      <c r="AU194" s="88">
        <v>0</v>
      </c>
      <c r="AV194" s="88">
        <v>0</v>
      </c>
      <c r="AW194" s="88">
        <v>0</v>
      </c>
      <c r="AX194" s="88">
        <v>0</v>
      </c>
      <c r="AY194" s="87">
        <v>0</v>
      </c>
      <c r="AZ194" s="87">
        <v>0</v>
      </c>
      <c r="BA194" s="87">
        <v>0</v>
      </c>
      <c r="BB194" s="87">
        <v>0</v>
      </c>
      <c r="BC194" s="87">
        <v>0</v>
      </c>
      <c r="BD194" s="87">
        <v>0</v>
      </c>
      <c r="BE194" s="87">
        <v>0</v>
      </c>
      <c r="BF194" s="87">
        <v>0</v>
      </c>
      <c r="BG194" s="88">
        <v>0</v>
      </c>
      <c r="BH194" s="88">
        <v>0</v>
      </c>
      <c r="BI194" s="88">
        <v>0</v>
      </c>
      <c r="BJ194" s="88">
        <v>0</v>
      </c>
      <c r="BK194" s="88">
        <v>0</v>
      </c>
      <c r="BL194" s="88">
        <v>0</v>
      </c>
      <c r="BM194" s="88">
        <v>0</v>
      </c>
      <c r="BN194" s="590">
        <v>0</v>
      </c>
      <c r="BO194" s="171">
        <v>2023</v>
      </c>
      <c r="BP194" s="171">
        <v>1</v>
      </c>
      <c r="BQ194" s="171">
        <v>19</v>
      </c>
      <c r="BS194" s="76" t="str">
        <f t="shared" si="5"/>
        <v>○</v>
      </c>
    </row>
    <row r="195" spans="1:71" x14ac:dyDescent="0.2">
      <c r="A195" s="210">
        <v>1384</v>
      </c>
      <c r="B195" s="211"/>
      <c r="C195" s="212"/>
      <c r="D195" s="211"/>
      <c r="E195" s="212"/>
      <c r="F195" s="211"/>
      <c r="G195" s="211"/>
      <c r="H195" s="212"/>
      <c r="I195" s="211"/>
      <c r="J195" s="211"/>
      <c r="K195" s="211"/>
      <c r="L195" s="171"/>
      <c r="M195" s="171" t="s">
        <v>542</v>
      </c>
      <c r="N195" s="171" t="s">
        <v>269</v>
      </c>
      <c r="O195" s="171" t="s">
        <v>364</v>
      </c>
      <c r="P195" s="171" t="s">
        <v>916</v>
      </c>
      <c r="Q195" s="75"/>
      <c r="R195" s="213">
        <v>10000</v>
      </c>
      <c r="S195" s="87">
        <v>0</v>
      </c>
      <c r="T195" s="87">
        <v>0</v>
      </c>
      <c r="U195" s="87">
        <v>0</v>
      </c>
      <c r="V195" s="87">
        <v>0</v>
      </c>
      <c r="W195" s="87">
        <v>0</v>
      </c>
      <c r="X195" s="87">
        <v>0</v>
      </c>
      <c r="Y195" s="87">
        <v>0</v>
      </c>
      <c r="Z195" s="87">
        <v>0</v>
      </c>
      <c r="AA195" s="214">
        <v>0</v>
      </c>
      <c r="AB195" s="214">
        <v>0</v>
      </c>
      <c r="AC195" s="214">
        <v>0</v>
      </c>
      <c r="AD195" s="214">
        <v>0</v>
      </c>
      <c r="AE195" s="214">
        <v>0</v>
      </c>
      <c r="AF195" s="214">
        <v>0</v>
      </c>
      <c r="AG195" s="214">
        <v>0</v>
      </c>
      <c r="AH195" s="214">
        <v>0</v>
      </c>
      <c r="AI195" s="87">
        <v>10643</v>
      </c>
      <c r="AJ195" s="87">
        <v>0</v>
      </c>
      <c r="AK195" s="87">
        <v>10643</v>
      </c>
      <c r="AL195" s="87">
        <v>10643</v>
      </c>
      <c r="AM195" s="87">
        <v>1382400</v>
      </c>
      <c r="AN195" s="87">
        <v>10643</v>
      </c>
      <c r="AO195" s="87">
        <v>10643</v>
      </c>
      <c r="AP195" s="87">
        <v>10000</v>
      </c>
      <c r="AQ195" s="88">
        <v>0</v>
      </c>
      <c r="AR195" s="88">
        <v>0</v>
      </c>
      <c r="AS195" s="88">
        <v>0</v>
      </c>
      <c r="AT195" s="88">
        <v>0</v>
      </c>
      <c r="AU195" s="88">
        <v>0</v>
      </c>
      <c r="AV195" s="88">
        <v>0</v>
      </c>
      <c r="AW195" s="88">
        <v>0</v>
      </c>
      <c r="AX195" s="88">
        <v>0</v>
      </c>
      <c r="AY195" s="87">
        <v>0</v>
      </c>
      <c r="AZ195" s="87">
        <v>0</v>
      </c>
      <c r="BA195" s="87">
        <v>0</v>
      </c>
      <c r="BB195" s="87">
        <v>0</v>
      </c>
      <c r="BC195" s="87">
        <v>0</v>
      </c>
      <c r="BD195" s="87">
        <v>0</v>
      </c>
      <c r="BE195" s="87">
        <v>0</v>
      </c>
      <c r="BF195" s="87">
        <v>0</v>
      </c>
      <c r="BG195" s="88">
        <v>0</v>
      </c>
      <c r="BH195" s="88">
        <v>0</v>
      </c>
      <c r="BI195" s="88">
        <v>0</v>
      </c>
      <c r="BJ195" s="88">
        <v>0</v>
      </c>
      <c r="BK195" s="88">
        <v>0</v>
      </c>
      <c r="BL195" s="88">
        <v>0</v>
      </c>
      <c r="BM195" s="88">
        <v>0</v>
      </c>
      <c r="BN195" s="590">
        <v>0</v>
      </c>
      <c r="BO195" s="171">
        <v>2023</v>
      </c>
      <c r="BP195" s="171">
        <v>1</v>
      </c>
      <c r="BQ195" s="171">
        <v>19</v>
      </c>
      <c r="BS195" s="76" t="str">
        <f t="shared" si="5"/>
        <v>○</v>
      </c>
    </row>
    <row r="196" spans="1:71" x14ac:dyDescent="0.2">
      <c r="A196" s="210">
        <v>1385</v>
      </c>
      <c r="B196" s="211"/>
      <c r="C196" s="212"/>
      <c r="D196" s="211"/>
      <c r="E196" s="212"/>
      <c r="F196" s="211"/>
      <c r="G196" s="211"/>
      <c r="H196" s="212"/>
      <c r="I196" s="211"/>
      <c r="J196" s="211"/>
      <c r="K196" s="211"/>
      <c r="L196" s="171"/>
      <c r="M196" s="171" t="s">
        <v>579</v>
      </c>
      <c r="N196" s="171" t="s">
        <v>269</v>
      </c>
      <c r="O196" s="171" t="s">
        <v>580</v>
      </c>
      <c r="P196" s="171" t="s">
        <v>916</v>
      </c>
      <c r="Q196" s="171"/>
      <c r="R196" s="213">
        <v>266000</v>
      </c>
      <c r="S196" s="87">
        <v>0</v>
      </c>
      <c r="T196" s="87">
        <v>0</v>
      </c>
      <c r="U196" s="87">
        <v>0</v>
      </c>
      <c r="V196" s="87">
        <v>0</v>
      </c>
      <c r="W196" s="87">
        <v>0</v>
      </c>
      <c r="X196" s="87">
        <v>0</v>
      </c>
      <c r="Y196" s="87">
        <v>0</v>
      </c>
      <c r="Z196" s="87">
        <v>0</v>
      </c>
      <c r="AA196" s="214">
        <v>0</v>
      </c>
      <c r="AB196" s="214">
        <v>0</v>
      </c>
      <c r="AC196" s="214">
        <v>0</v>
      </c>
      <c r="AD196" s="214">
        <v>0</v>
      </c>
      <c r="AE196" s="214">
        <v>0</v>
      </c>
      <c r="AF196" s="214">
        <v>0</v>
      </c>
      <c r="AG196" s="214">
        <v>0</v>
      </c>
      <c r="AH196" s="214">
        <v>0</v>
      </c>
      <c r="AI196" s="87">
        <v>266722</v>
      </c>
      <c r="AJ196" s="87">
        <v>0</v>
      </c>
      <c r="AK196" s="87">
        <v>266722</v>
      </c>
      <c r="AL196" s="87">
        <v>266722</v>
      </c>
      <c r="AM196" s="87">
        <v>1998000</v>
      </c>
      <c r="AN196" s="87">
        <v>266722</v>
      </c>
      <c r="AO196" s="87">
        <v>266722</v>
      </c>
      <c r="AP196" s="87">
        <v>266000</v>
      </c>
      <c r="AQ196" s="88">
        <v>0</v>
      </c>
      <c r="AR196" s="88">
        <v>0</v>
      </c>
      <c r="AS196" s="88">
        <v>0</v>
      </c>
      <c r="AT196" s="88">
        <v>0</v>
      </c>
      <c r="AU196" s="88">
        <v>0</v>
      </c>
      <c r="AV196" s="88">
        <v>0</v>
      </c>
      <c r="AW196" s="88">
        <v>0</v>
      </c>
      <c r="AX196" s="88">
        <v>0</v>
      </c>
      <c r="AY196" s="87">
        <v>0</v>
      </c>
      <c r="AZ196" s="87">
        <v>0</v>
      </c>
      <c r="BA196" s="87">
        <v>0</v>
      </c>
      <c r="BB196" s="87">
        <v>0</v>
      </c>
      <c r="BC196" s="87">
        <v>0</v>
      </c>
      <c r="BD196" s="87">
        <v>0</v>
      </c>
      <c r="BE196" s="87">
        <v>0</v>
      </c>
      <c r="BF196" s="87">
        <v>0</v>
      </c>
      <c r="BG196" s="88">
        <v>0</v>
      </c>
      <c r="BH196" s="88">
        <v>0</v>
      </c>
      <c r="BI196" s="88">
        <v>0</v>
      </c>
      <c r="BJ196" s="88">
        <v>0</v>
      </c>
      <c r="BK196" s="88">
        <v>0</v>
      </c>
      <c r="BL196" s="88">
        <v>0</v>
      </c>
      <c r="BM196" s="88">
        <v>0</v>
      </c>
      <c r="BN196" s="590">
        <v>0</v>
      </c>
      <c r="BO196" s="171">
        <v>2023</v>
      </c>
      <c r="BP196" s="171">
        <v>1</v>
      </c>
      <c r="BQ196" s="171">
        <v>19</v>
      </c>
      <c r="BS196" s="76" t="str">
        <f t="shared" si="5"/>
        <v>○</v>
      </c>
    </row>
    <row r="197" spans="1:71" x14ac:dyDescent="0.2">
      <c r="A197" s="210">
        <v>1386</v>
      </c>
      <c r="B197" s="211"/>
      <c r="C197" s="212"/>
      <c r="D197" s="211"/>
      <c r="E197" s="212"/>
      <c r="F197" s="211"/>
      <c r="G197" s="211"/>
      <c r="H197" s="212"/>
      <c r="I197" s="211"/>
      <c r="J197" s="211"/>
      <c r="K197" s="211"/>
      <c r="L197" s="171"/>
      <c r="M197" s="171" t="s">
        <v>581</v>
      </c>
      <c r="N197" s="171" t="s">
        <v>278</v>
      </c>
      <c r="O197" s="171" t="s">
        <v>582</v>
      </c>
      <c r="P197" s="171" t="s">
        <v>916</v>
      </c>
      <c r="Q197" s="171"/>
      <c r="R197" s="213">
        <v>180000</v>
      </c>
      <c r="S197" s="87">
        <v>0</v>
      </c>
      <c r="T197" s="87">
        <v>0</v>
      </c>
      <c r="U197" s="87">
        <v>0</v>
      </c>
      <c r="V197" s="87">
        <v>0</v>
      </c>
      <c r="W197" s="87">
        <v>0</v>
      </c>
      <c r="X197" s="87">
        <v>0</v>
      </c>
      <c r="Y197" s="87">
        <v>0</v>
      </c>
      <c r="Z197" s="87">
        <v>0</v>
      </c>
      <c r="AA197" s="214">
        <v>0</v>
      </c>
      <c r="AB197" s="214">
        <v>0</v>
      </c>
      <c r="AC197" s="214">
        <v>0</v>
      </c>
      <c r="AD197" s="214">
        <v>0</v>
      </c>
      <c r="AE197" s="214">
        <v>0</v>
      </c>
      <c r="AF197" s="214">
        <v>0</v>
      </c>
      <c r="AG197" s="214">
        <v>0</v>
      </c>
      <c r="AH197" s="214">
        <v>0</v>
      </c>
      <c r="AI197" s="87">
        <v>180250</v>
      </c>
      <c r="AJ197" s="87">
        <v>0</v>
      </c>
      <c r="AK197" s="87">
        <v>180250</v>
      </c>
      <c r="AL197" s="87">
        <v>180250</v>
      </c>
      <c r="AM197" s="87">
        <v>1317600</v>
      </c>
      <c r="AN197" s="87">
        <v>180250</v>
      </c>
      <c r="AO197" s="87">
        <v>180250</v>
      </c>
      <c r="AP197" s="87">
        <v>180000</v>
      </c>
      <c r="AQ197" s="88">
        <v>0</v>
      </c>
      <c r="AR197" s="88">
        <v>0</v>
      </c>
      <c r="AS197" s="88">
        <v>0</v>
      </c>
      <c r="AT197" s="88">
        <v>0</v>
      </c>
      <c r="AU197" s="88">
        <v>0</v>
      </c>
      <c r="AV197" s="88">
        <v>0</v>
      </c>
      <c r="AW197" s="88">
        <v>0</v>
      </c>
      <c r="AX197" s="88">
        <v>0</v>
      </c>
      <c r="AY197" s="87">
        <v>0</v>
      </c>
      <c r="AZ197" s="87">
        <v>0</v>
      </c>
      <c r="BA197" s="87">
        <v>0</v>
      </c>
      <c r="BB197" s="87">
        <v>0</v>
      </c>
      <c r="BC197" s="87">
        <v>0</v>
      </c>
      <c r="BD197" s="87">
        <v>0</v>
      </c>
      <c r="BE197" s="87">
        <v>0</v>
      </c>
      <c r="BF197" s="87">
        <v>0</v>
      </c>
      <c r="BG197" s="88">
        <v>0</v>
      </c>
      <c r="BH197" s="88">
        <v>0</v>
      </c>
      <c r="BI197" s="88">
        <v>0</v>
      </c>
      <c r="BJ197" s="88">
        <v>0</v>
      </c>
      <c r="BK197" s="88">
        <v>0</v>
      </c>
      <c r="BL197" s="88">
        <v>0</v>
      </c>
      <c r="BM197" s="88">
        <v>0</v>
      </c>
      <c r="BN197" s="590">
        <v>0</v>
      </c>
      <c r="BO197" s="171">
        <v>2023</v>
      </c>
      <c r="BP197" s="171">
        <v>1</v>
      </c>
      <c r="BQ197" s="171">
        <v>19</v>
      </c>
      <c r="BS197" s="76" t="str">
        <f t="shared" si="5"/>
        <v>○</v>
      </c>
    </row>
    <row r="198" spans="1:71" x14ac:dyDescent="0.2">
      <c r="A198" s="210">
        <v>1387</v>
      </c>
      <c r="B198" s="211"/>
      <c r="C198" s="212"/>
      <c r="D198" s="211"/>
      <c r="E198" s="212"/>
      <c r="F198" s="211"/>
      <c r="G198" s="211"/>
      <c r="H198" s="212"/>
      <c r="I198" s="211"/>
      <c r="J198" s="211"/>
      <c r="K198" s="211"/>
      <c r="L198" s="171"/>
      <c r="M198" s="171" t="s">
        <v>583</v>
      </c>
      <c r="N198" s="171" t="s">
        <v>299</v>
      </c>
      <c r="O198" s="171" t="s">
        <v>584</v>
      </c>
      <c r="P198" s="171" t="s">
        <v>916</v>
      </c>
      <c r="Q198" s="171"/>
      <c r="R198" s="213">
        <v>104000</v>
      </c>
      <c r="S198" s="87">
        <v>0</v>
      </c>
      <c r="T198" s="87">
        <v>0</v>
      </c>
      <c r="U198" s="87">
        <v>0</v>
      </c>
      <c r="V198" s="87">
        <v>0</v>
      </c>
      <c r="W198" s="87">
        <v>0</v>
      </c>
      <c r="X198" s="87">
        <v>0</v>
      </c>
      <c r="Y198" s="87">
        <v>0</v>
      </c>
      <c r="Z198" s="87">
        <v>0</v>
      </c>
      <c r="AA198" s="214">
        <v>0</v>
      </c>
      <c r="AB198" s="214">
        <v>0</v>
      </c>
      <c r="AC198" s="214">
        <v>0</v>
      </c>
      <c r="AD198" s="214">
        <v>0</v>
      </c>
      <c r="AE198" s="214">
        <v>0</v>
      </c>
      <c r="AF198" s="214">
        <v>0</v>
      </c>
      <c r="AG198" s="214">
        <v>0</v>
      </c>
      <c r="AH198" s="214">
        <v>0</v>
      </c>
      <c r="AI198" s="87">
        <v>104165</v>
      </c>
      <c r="AJ198" s="87">
        <v>0</v>
      </c>
      <c r="AK198" s="87">
        <v>104165</v>
      </c>
      <c r="AL198" s="87">
        <v>104165</v>
      </c>
      <c r="AM198" s="87">
        <v>2973600</v>
      </c>
      <c r="AN198" s="87">
        <v>104165</v>
      </c>
      <c r="AO198" s="87">
        <v>104165</v>
      </c>
      <c r="AP198" s="87">
        <v>104000</v>
      </c>
      <c r="AQ198" s="88">
        <v>0</v>
      </c>
      <c r="AR198" s="88">
        <v>0</v>
      </c>
      <c r="AS198" s="88">
        <v>0</v>
      </c>
      <c r="AT198" s="88">
        <v>0</v>
      </c>
      <c r="AU198" s="88">
        <v>0</v>
      </c>
      <c r="AV198" s="88">
        <v>0</v>
      </c>
      <c r="AW198" s="88">
        <v>0</v>
      </c>
      <c r="AX198" s="88">
        <v>0</v>
      </c>
      <c r="AY198" s="87">
        <v>0</v>
      </c>
      <c r="AZ198" s="87">
        <v>0</v>
      </c>
      <c r="BA198" s="87">
        <v>0</v>
      </c>
      <c r="BB198" s="87">
        <v>0</v>
      </c>
      <c r="BC198" s="87">
        <v>0</v>
      </c>
      <c r="BD198" s="87">
        <v>0</v>
      </c>
      <c r="BE198" s="87">
        <v>0</v>
      </c>
      <c r="BF198" s="87">
        <v>0</v>
      </c>
      <c r="BG198" s="88">
        <v>0</v>
      </c>
      <c r="BH198" s="88">
        <v>0</v>
      </c>
      <c r="BI198" s="88">
        <v>0</v>
      </c>
      <c r="BJ198" s="88">
        <v>0</v>
      </c>
      <c r="BK198" s="88">
        <v>0</v>
      </c>
      <c r="BL198" s="88">
        <v>0</v>
      </c>
      <c r="BM198" s="88">
        <v>0</v>
      </c>
      <c r="BN198" s="590">
        <v>0</v>
      </c>
      <c r="BO198" s="171">
        <v>2023</v>
      </c>
      <c r="BP198" s="171">
        <v>1</v>
      </c>
      <c r="BQ198" s="171">
        <v>19</v>
      </c>
      <c r="BS198" s="76" t="str">
        <f t="shared" si="5"/>
        <v>○</v>
      </c>
    </row>
    <row r="199" spans="1:71" x14ac:dyDescent="0.2">
      <c r="A199" s="210">
        <v>1388</v>
      </c>
      <c r="B199" s="211"/>
      <c r="C199" s="212"/>
      <c r="D199" s="211"/>
      <c r="E199" s="212"/>
      <c r="F199" s="211"/>
      <c r="G199" s="211"/>
      <c r="H199" s="212"/>
      <c r="I199" s="211"/>
      <c r="J199" s="211"/>
      <c r="K199" s="211"/>
      <c r="L199" s="171"/>
      <c r="M199" s="171" t="s">
        <v>268</v>
      </c>
      <c r="N199" s="171" t="s">
        <v>269</v>
      </c>
      <c r="O199" s="171" t="s">
        <v>270</v>
      </c>
      <c r="P199" s="171" t="s">
        <v>916</v>
      </c>
      <c r="Q199" s="171"/>
      <c r="R199" s="213">
        <v>212000</v>
      </c>
      <c r="S199" s="87">
        <v>0</v>
      </c>
      <c r="T199" s="87">
        <v>0</v>
      </c>
      <c r="U199" s="87">
        <v>0</v>
      </c>
      <c r="V199" s="87">
        <v>0</v>
      </c>
      <c r="W199" s="87">
        <v>0</v>
      </c>
      <c r="X199" s="87">
        <v>0</v>
      </c>
      <c r="Y199" s="87">
        <v>0</v>
      </c>
      <c r="Z199" s="87">
        <v>0</v>
      </c>
      <c r="AA199" s="214">
        <v>0</v>
      </c>
      <c r="AB199" s="214">
        <v>0</v>
      </c>
      <c r="AC199" s="214">
        <v>0</v>
      </c>
      <c r="AD199" s="214">
        <v>0</v>
      </c>
      <c r="AE199" s="214">
        <v>0</v>
      </c>
      <c r="AF199" s="214">
        <v>0</v>
      </c>
      <c r="AG199" s="214">
        <v>0</v>
      </c>
      <c r="AH199" s="214">
        <v>0</v>
      </c>
      <c r="AI199" s="87">
        <v>212588</v>
      </c>
      <c r="AJ199" s="87">
        <v>0</v>
      </c>
      <c r="AK199" s="87">
        <v>212588</v>
      </c>
      <c r="AL199" s="87">
        <v>212588</v>
      </c>
      <c r="AM199" s="87">
        <v>1188000</v>
      </c>
      <c r="AN199" s="87">
        <v>212588</v>
      </c>
      <c r="AO199" s="87">
        <v>212588</v>
      </c>
      <c r="AP199" s="87">
        <v>212000</v>
      </c>
      <c r="AQ199" s="88">
        <v>0</v>
      </c>
      <c r="AR199" s="88">
        <v>0</v>
      </c>
      <c r="AS199" s="88">
        <v>0</v>
      </c>
      <c r="AT199" s="88">
        <v>0</v>
      </c>
      <c r="AU199" s="88">
        <v>0</v>
      </c>
      <c r="AV199" s="88">
        <v>0</v>
      </c>
      <c r="AW199" s="88">
        <v>0</v>
      </c>
      <c r="AX199" s="88">
        <v>0</v>
      </c>
      <c r="AY199" s="87">
        <v>0</v>
      </c>
      <c r="AZ199" s="87">
        <v>0</v>
      </c>
      <c r="BA199" s="87">
        <v>0</v>
      </c>
      <c r="BB199" s="87">
        <v>0</v>
      </c>
      <c r="BC199" s="87">
        <v>0</v>
      </c>
      <c r="BD199" s="87">
        <v>0</v>
      </c>
      <c r="BE199" s="87">
        <v>0</v>
      </c>
      <c r="BF199" s="87">
        <v>0</v>
      </c>
      <c r="BG199" s="88">
        <v>0</v>
      </c>
      <c r="BH199" s="88">
        <v>0</v>
      </c>
      <c r="BI199" s="88">
        <v>0</v>
      </c>
      <c r="BJ199" s="88">
        <v>0</v>
      </c>
      <c r="BK199" s="88">
        <v>0</v>
      </c>
      <c r="BL199" s="88">
        <v>0</v>
      </c>
      <c r="BM199" s="88">
        <v>0</v>
      </c>
      <c r="BN199" s="590">
        <v>0</v>
      </c>
      <c r="BO199" s="171">
        <v>2023</v>
      </c>
      <c r="BP199" s="171">
        <v>1</v>
      </c>
      <c r="BQ199" s="171">
        <v>19</v>
      </c>
      <c r="BS199" s="76" t="str">
        <f t="shared" si="5"/>
        <v>○</v>
      </c>
    </row>
    <row r="200" spans="1:71" x14ac:dyDescent="0.2">
      <c r="A200" s="210">
        <v>1389</v>
      </c>
      <c r="B200" s="211"/>
      <c r="C200" s="212"/>
      <c r="D200" s="211"/>
      <c r="E200" s="212"/>
      <c r="F200" s="211"/>
      <c r="G200" s="211"/>
      <c r="H200" s="212"/>
      <c r="I200" s="211"/>
      <c r="J200" s="211"/>
      <c r="K200" s="211"/>
      <c r="L200" s="171"/>
      <c r="M200" s="171" t="s">
        <v>277</v>
      </c>
      <c r="N200" s="171" t="s">
        <v>278</v>
      </c>
      <c r="O200" s="171" t="s">
        <v>279</v>
      </c>
      <c r="P200" s="171" t="s">
        <v>916</v>
      </c>
      <c r="Q200" s="171"/>
      <c r="R200" s="213">
        <v>192000</v>
      </c>
      <c r="S200" s="87">
        <v>0</v>
      </c>
      <c r="T200" s="87">
        <v>0</v>
      </c>
      <c r="U200" s="87">
        <v>0</v>
      </c>
      <c r="V200" s="87">
        <v>0</v>
      </c>
      <c r="W200" s="87">
        <v>0</v>
      </c>
      <c r="X200" s="87">
        <v>0</v>
      </c>
      <c r="Y200" s="87">
        <v>0</v>
      </c>
      <c r="Z200" s="87">
        <v>0</v>
      </c>
      <c r="AA200" s="214">
        <v>0</v>
      </c>
      <c r="AB200" s="214">
        <v>0</v>
      </c>
      <c r="AC200" s="214">
        <v>0</v>
      </c>
      <c r="AD200" s="214">
        <v>0</v>
      </c>
      <c r="AE200" s="214">
        <v>0</v>
      </c>
      <c r="AF200" s="214">
        <v>0</v>
      </c>
      <c r="AG200" s="214">
        <v>0</v>
      </c>
      <c r="AH200" s="214">
        <v>0</v>
      </c>
      <c r="AI200" s="87">
        <v>192100</v>
      </c>
      <c r="AJ200" s="87">
        <v>0</v>
      </c>
      <c r="AK200" s="87">
        <v>192100</v>
      </c>
      <c r="AL200" s="87">
        <v>192100</v>
      </c>
      <c r="AM200" s="87">
        <v>5184000</v>
      </c>
      <c r="AN200" s="87">
        <v>192100</v>
      </c>
      <c r="AO200" s="87">
        <v>192100</v>
      </c>
      <c r="AP200" s="87">
        <v>192000</v>
      </c>
      <c r="AQ200" s="88">
        <v>0</v>
      </c>
      <c r="AR200" s="88">
        <v>0</v>
      </c>
      <c r="AS200" s="88">
        <v>0</v>
      </c>
      <c r="AT200" s="88">
        <v>0</v>
      </c>
      <c r="AU200" s="88">
        <v>0</v>
      </c>
      <c r="AV200" s="88">
        <v>0</v>
      </c>
      <c r="AW200" s="88">
        <v>0</v>
      </c>
      <c r="AX200" s="88">
        <v>0</v>
      </c>
      <c r="AY200" s="87">
        <v>0</v>
      </c>
      <c r="AZ200" s="87">
        <v>0</v>
      </c>
      <c r="BA200" s="87">
        <v>0</v>
      </c>
      <c r="BB200" s="87">
        <v>0</v>
      </c>
      <c r="BC200" s="87">
        <v>0</v>
      </c>
      <c r="BD200" s="87">
        <v>0</v>
      </c>
      <c r="BE200" s="87">
        <v>0</v>
      </c>
      <c r="BF200" s="87">
        <v>0</v>
      </c>
      <c r="BG200" s="88">
        <v>0</v>
      </c>
      <c r="BH200" s="88">
        <v>0</v>
      </c>
      <c r="BI200" s="88">
        <v>0</v>
      </c>
      <c r="BJ200" s="88">
        <v>0</v>
      </c>
      <c r="BK200" s="88">
        <v>0</v>
      </c>
      <c r="BL200" s="88">
        <v>0</v>
      </c>
      <c r="BM200" s="88">
        <v>0</v>
      </c>
      <c r="BN200" s="590">
        <v>0</v>
      </c>
      <c r="BO200" s="171">
        <v>2023</v>
      </c>
      <c r="BP200" s="171">
        <v>1</v>
      </c>
      <c r="BQ200" s="171">
        <v>19</v>
      </c>
      <c r="BS200" s="76" t="str">
        <f t="shared" si="5"/>
        <v>○</v>
      </c>
    </row>
    <row r="201" spans="1:71" x14ac:dyDescent="0.2">
      <c r="A201" s="210">
        <v>1390</v>
      </c>
      <c r="B201" s="211"/>
      <c r="C201" s="212"/>
      <c r="D201" s="211"/>
      <c r="E201" s="212"/>
      <c r="F201" s="211"/>
      <c r="G201" s="211"/>
      <c r="H201" s="212"/>
      <c r="I201" s="211"/>
      <c r="J201" s="211"/>
      <c r="K201" s="211"/>
      <c r="L201" s="171"/>
      <c r="M201" s="171" t="s">
        <v>405</v>
      </c>
      <c r="N201" s="171" t="s">
        <v>313</v>
      </c>
      <c r="O201" s="171" t="s">
        <v>406</v>
      </c>
      <c r="P201" s="171" t="s">
        <v>916</v>
      </c>
      <c r="Q201" s="171"/>
      <c r="R201" s="213">
        <v>277000</v>
      </c>
      <c r="S201" s="87">
        <v>0</v>
      </c>
      <c r="T201" s="87">
        <v>0</v>
      </c>
      <c r="U201" s="87">
        <v>0</v>
      </c>
      <c r="V201" s="87">
        <v>0</v>
      </c>
      <c r="W201" s="87">
        <v>0</v>
      </c>
      <c r="X201" s="87">
        <v>0</v>
      </c>
      <c r="Y201" s="87">
        <v>0</v>
      </c>
      <c r="Z201" s="87">
        <v>0</v>
      </c>
      <c r="AA201" s="214">
        <v>0</v>
      </c>
      <c r="AB201" s="214">
        <v>0</v>
      </c>
      <c r="AC201" s="214">
        <v>0</v>
      </c>
      <c r="AD201" s="214">
        <v>0</v>
      </c>
      <c r="AE201" s="214">
        <v>0</v>
      </c>
      <c r="AF201" s="214">
        <v>0</v>
      </c>
      <c r="AG201" s="214">
        <v>0</v>
      </c>
      <c r="AH201" s="214">
        <v>0</v>
      </c>
      <c r="AI201" s="87">
        <v>277264</v>
      </c>
      <c r="AJ201" s="87">
        <v>0</v>
      </c>
      <c r="AK201" s="87">
        <v>277264</v>
      </c>
      <c r="AL201" s="87">
        <v>277264</v>
      </c>
      <c r="AM201" s="87">
        <v>5702400</v>
      </c>
      <c r="AN201" s="87">
        <v>277264</v>
      </c>
      <c r="AO201" s="87">
        <v>277264</v>
      </c>
      <c r="AP201" s="87">
        <v>277000</v>
      </c>
      <c r="AQ201" s="88">
        <v>0</v>
      </c>
      <c r="AR201" s="88">
        <v>0</v>
      </c>
      <c r="AS201" s="88">
        <v>0</v>
      </c>
      <c r="AT201" s="88">
        <v>0</v>
      </c>
      <c r="AU201" s="88">
        <v>0</v>
      </c>
      <c r="AV201" s="88">
        <v>0</v>
      </c>
      <c r="AW201" s="88">
        <v>0</v>
      </c>
      <c r="AX201" s="88">
        <v>0</v>
      </c>
      <c r="AY201" s="87">
        <v>0</v>
      </c>
      <c r="AZ201" s="87">
        <v>0</v>
      </c>
      <c r="BA201" s="87">
        <v>0</v>
      </c>
      <c r="BB201" s="87">
        <v>0</v>
      </c>
      <c r="BC201" s="87">
        <v>0</v>
      </c>
      <c r="BD201" s="87">
        <v>0</v>
      </c>
      <c r="BE201" s="87">
        <v>0</v>
      </c>
      <c r="BF201" s="87">
        <v>0</v>
      </c>
      <c r="BG201" s="88">
        <v>0</v>
      </c>
      <c r="BH201" s="88">
        <v>0</v>
      </c>
      <c r="BI201" s="88">
        <v>0</v>
      </c>
      <c r="BJ201" s="88">
        <v>0</v>
      </c>
      <c r="BK201" s="88">
        <v>0</v>
      </c>
      <c r="BL201" s="88">
        <v>0</v>
      </c>
      <c r="BM201" s="88">
        <v>0</v>
      </c>
      <c r="BN201" s="590">
        <v>0</v>
      </c>
      <c r="BO201" s="171">
        <v>2023</v>
      </c>
      <c r="BP201" s="171">
        <v>1</v>
      </c>
      <c r="BQ201" s="171">
        <v>19</v>
      </c>
      <c r="BS201" s="76" t="str">
        <f t="shared" si="5"/>
        <v>○</v>
      </c>
    </row>
    <row r="202" spans="1:71" x14ac:dyDescent="0.2">
      <c r="A202" s="210">
        <v>1391</v>
      </c>
      <c r="B202" s="211"/>
      <c r="C202" s="212"/>
      <c r="D202" s="211"/>
      <c r="E202" s="212"/>
      <c r="F202" s="211"/>
      <c r="G202" s="211"/>
      <c r="H202" s="212"/>
      <c r="I202" s="211"/>
      <c r="J202" s="211"/>
      <c r="K202" s="211"/>
      <c r="L202" s="171"/>
      <c r="M202" s="171" t="s">
        <v>585</v>
      </c>
      <c r="N202" s="171" t="s">
        <v>272</v>
      </c>
      <c r="O202" s="171" t="s">
        <v>284</v>
      </c>
      <c r="P202" s="171" t="s">
        <v>916</v>
      </c>
      <c r="Q202" s="171"/>
      <c r="R202" s="213">
        <v>57000</v>
      </c>
      <c r="S202" s="87">
        <v>0</v>
      </c>
      <c r="T202" s="87">
        <v>0</v>
      </c>
      <c r="U202" s="87">
        <v>0</v>
      </c>
      <c r="V202" s="87">
        <v>0</v>
      </c>
      <c r="W202" s="87">
        <v>0</v>
      </c>
      <c r="X202" s="87">
        <v>0</v>
      </c>
      <c r="Y202" s="87">
        <v>0</v>
      </c>
      <c r="Z202" s="87">
        <v>0</v>
      </c>
      <c r="AA202" s="214">
        <v>0</v>
      </c>
      <c r="AB202" s="214">
        <v>0</v>
      </c>
      <c r="AC202" s="214">
        <v>0</v>
      </c>
      <c r="AD202" s="214">
        <v>0</v>
      </c>
      <c r="AE202" s="214">
        <v>0</v>
      </c>
      <c r="AF202" s="214">
        <v>0</v>
      </c>
      <c r="AG202" s="214">
        <v>0</v>
      </c>
      <c r="AH202" s="214">
        <v>0</v>
      </c>
      <c r="AI202" s="87">
        <v>57420</v>
      </c>
      <c r="AJ202" s="87">
        <v>0</v>
      </c>
      <c r="AK202" s="87">
        <v>57420</v>
      </c>
      <c r="AL202" s="87">
        <v>57420</v>
      </c>
      <c r="AM202" s="87">
        <v>6426000</v>
      </c>
      <c r="AN202" s="87">
        <v>57420</v>
      </c>
      <c r="AO202" s="87">
        <v>57420</v>
      </c>
      <c r="AP202" s="87">
        <v>57000</v>
      </c>
      <c r="AQ202" s="88">
        <v>0</v>
      </c>
      <c r="AR202" s="88">
        <v>0</v>
      </c>
      <c r="AS202" s="88">
        <v>0</v>
      </c>
      <c r="AT202" s="88">
        <v>0</v>
      </c>
      <c r="AU202" s="88">
        <v>0</v>
      </c>
      <c r="AV202" s="88">
        <v>0</v>
      </c>
      <c r="AW202" s="88">
        <v>0</v>
      </c>
      <c r="AX202" s="88">
        <v>0</v>
      </c>
      <c r="AY202" s="87">
        <v>0</v>
      </c>
      <c r="AZ202" s="87">
        <v>0</v>
      </c>
      <c r="BA202" s="87">
        <v>0</v>
      </c>
      <c r="BB202" s="87">
        <v>0</v>
      </c>
      <c r="BC202" s="87">
        <v>0</v>
      </c>
      <c r="BD202" s="87">
        <v>0</v>
      </c>
      <c r="BE202" s="87">
        <v>0</v>
      </c>
      <c r="BF202" s="87">
        <v>0</v>
      </c>
      <c r="BG202" s="88">
        <v>0</v>
      </c>
      <c r="BH202" s="88">
        <v>0</v>
      </c>
      <c r="BI202" s="88">
        <v>0</v>
      </c>
      <c r="BJ202" s="88">
        <v>0</v>
      </c>
      <c r="BK202" s="88">
        <v>0</v>
      </c>
      <c r="BL202" s="88">
        <v>0</v>
      </c>
      <c r="BM202" s="88">
        <v>0</v>
      </c>
      <c r="BN202" s="590">
        <v>0</v>
      </c>
      <c r="BO202" s="171">
        <v>2023</v>
      </c>
      <c r="BP202" s="171">
        <v>1</v>
      </c>
      <c r="BQ202" s="171">
        <v>19</v>
      </c>
      <c r="BS202" s="76" t="str">
        <f t="shared" si="5"/>
        <v>○</v>
      </c>
    </row>
    <row r="203" spans="1:71" x14ac:dyDescent="0.2">
      <c r="A203" s="210">
        <v>1392</v>
      </c>
      <c r="B203" s="211"/>
      <c r="C203" s="212"/>
      <c r="D203" s="211"/>
      <c r="E203" s="212"/>
      <c r="F203" s="211"/>
      <c r="G203" s="211"/>
      <c r="H203" s="212"/>
      <c r="I203" s="211"/>
      <c r="J203" s="211"/>
      <c r="K203" s="211"/>
      <c r="L203" s="171"/>
      <c r="M203" s="171" t="s">
        <v>586</v>
      </c>
      <c r="N203" s="171" t="s">
        <v>286</v>
      </c>
      <c r="O203" s="171" t="s">
        <v>519</v>
      </c>
      <c r="P203" s="171" t="s">
        <v>916</v>
      </c>
      <c r="Q203" s="171"/>
      <c r="R203" s="213">
        <v>80000</v>
      </c>
      <c r="S203" s="87">
        <v>0</v>
      </c>
      <c r="T203" s="87">
        <v>0</v>
      </c>
      <c r="U203" s="87">
        <v>0</v>
      </c>
      <c r="V203" s="87">
        <v>0</v>
      </c>
      <c r="W203" s="87">
        <v>0</v>
      </c>
      <c r="X203" s="87">
        <v>0</v>
      </c>
      <c r="Y203" s="87">
        <v>0</v>
      </c>
      <c r="Z203" s="87">
        <v>0</v>
      </c>
      <c r="AA203" s="214">
        <v>0</v>
      </c>
      <c r="AB203" s="214">
        <v>0</v>
      </c>
      <c r="AC203" s="214">
        <v>0</v>
      </c>
      <c r="AD203" s="214">
        <v>0</v>
      </c>
      <c r="AE203" s="214">
        <v>0</v>
      </c>
      <c r="AF203" s="214">
        <v>0</v>
      </c>
      <c r="AG203" s="214">
        <v>0</v>
      </c>
      <c r="AH203" s="214">
        <v>0</v>
      </c>
      <c r="AI203" s="87">
        <v>80880</v>
      </c>
      <c r="AJ203" s="87">
        <v>0</v>
      </c>
      <c r="AK203" s="87">
        <v>80880</v>
      </c>
      <c r="AL203" s="87">
        <v>80880</v>
      </c>
      <c r="AM203" s="87">
        <v>1728000</v>
      </c>
      <c r="AN203" s="87">
        <v>80880</v>
      </c>
      <c r="AO203" s="87">
        <v>80880</v>
      </c>
      <c r="AP203" s="87">
        <v>80000</v>
      </c>
      <c r="AQ203" s="88">
        <v>0</v>
      </c>
      <c r="AR203" s="88">
        <v>0</v>
      </c>
      <c r="AS203" s="88">
        <v>0</v>
      </c>
      <c r="AT203" s="88">
        <v>0</v>
      </c>
      <c r="AU203" s="88">
        <v>0</v>
      </c>
      <c r="AV203" s="88">
        <v>0</v>
      </c>
      <c r="AW203" s="88">
        <v>0</v>
      </c>
      <c r="AX203" s="88">
        <v>0</v>
      </c>
      <c r="AY203" s="87">
        <v>0</v>
      </c>
      <c r="AZ203" s="87">
        <v>0</v>
      </c>
      <c r="BA203" s="87">
        <v>0</v>
      </c>
      <c r="BB203" s="87">
        <v>0</v>
      </c>
      <c r="BC203" s="87">
        <v>0</v>
      </c>
      <c r="BD203" s="87">
        <v>0</v>
      </c>
      <c r="BE203" s="87">
        <v>0</v>
      </c>
      <c r="BF203" s="87">
        <v>0</v>
      </c>
      <c r="BG203" s="88">
        <v>0</v>
      </c>
      <c r="BH203" s="88">
        <v>0</v>
      </c>
      <c r="BI203" s="88">
        <v>0</v>
      </c>
      <c r="BJ203" s="88">
        <v>0</v>
      </c>
      <c r="BK203" s="88">
        <v>0</v>
      </c>
      <c r="BL203" s="88">
        <v>0</v>
      </c>
      <c r="BM203" s="88">
        <v>0</v>
      </c>
      <c r="BN203" s="590">
        <v>0</v>
      </c>
      <c r="BO203" s="171">
        <v>2023</v>
      </c>
      <c r="BP203" s="171">
        <v>1</v>
      </c>
      <c r="BQ203" s="171">
        <v>19</v>
      </c>
      <c r="BS203" s="76" t="str">
        <f t="shared" si="5"/>
        <v>○</v>
      </c>
    </row>
    <row r="204" spans="1:71" x14ac:dyDescent="0.2">
      <c r="A204" s="210">
        <v>1393</v>
      </c>
      <c r="B204" s="211"/>
      <c r="C204" s="212"/>
      <c r="D204" s="211"/>
      <c r="E204" s="212"/>
      <c r="F204" s="211"/>
      <c r="G204" s="211"/>
      <c r="H204" s="212"/>
      <c r="I204" s="211"/>
      <c r="J204" s="211"/>
      <c r="K204" s="211"/>
      <c r="L204" s="171"/>
      <c r="M204" s="171" t="s">
        <v>587</v>
      </c>
      <c r="N204" s="171" t="s">
        <v>269</v>
      </c>
      <c r="O204" s="171" t="s">
        <v>588</v>
      </c>
      <c r="P204" s="171" t="s">
        <v>916</v>
      </c>
      <c r="Q204" s="171"/>
      <c r="R204" s="213">
        <v>97000</v>
      </c>
      <c r="S204" s="87">
        <v>0</v>
      </c>
      <c r="T204" s="87">
        <v>0</v>
      </c>
      <c r="U204" s="87">
        <v>0</v>
      </c>
      <c r="V204" s="87">
        <v>0</v>
      </c>
      <c r="W204" s="87">
        <v>0</v>
      </c>
      <c r="X204" s="87">
        <v>0</v>
      </c>
      <c r="Y204" s="87">
        <v>0</v>
      </c>
      <c r="Z204" s="87">
        <v>0</v>
      </c>
      <c r="AA204" s="214">
        <v>0</v>
      </c>
      <c r="AB204" s="214">
        <v>0</v>
      </c>
      <c r="AC204" s="214">
        <v>0</v>
      </c>
      <c r="AD204" s="214">
        <v>0</v>
      </c>
      <c r="AE204" s="214">
        <v>0</v>
      </c>
      <c r="AF204" s="214">
        <v>0</v>
      </c>
      <c r="AG204" s="214">
        <v>0</v>
      </c>
      <c r="AH204" s="214">
        <v>0</v>
      </c>
      <c r="AI204" s="87">
        <v>97470</v>
      </c>
      <c r="AJ204" s="87">
        <v>0</v>
      </c>
      <c r="AK204" s="87">
        <v>97470</v>
      </c>
      <c r="AL204" s="87">
        <v>97470</v>
      </c>
      <c r="AM204" s="87">
        <v>5961600</v>
      </c>
      <c r="AN204" s="87">
        <v>97470</v>
      </c>
      <c r="AO204" s="87">
        <v>97470</v>
      </c>
      <c r="AP204" s="87">
        <v>97000</v>
      </c>
      <c r="AQ204" s="88">
        <v>0</v>
      </c>
      <c r="AR204" s="88">
        <v>0</v>
      </c>
      <c r="AS204" s="88">
        <v>0</v>
      </c>
      <c r="AT204" s="88">
        <v>0</v>
      </c>
      <c r="AU204" s="88">
        <v>0</v>
      </c>
      <c r="AV204" s="88">
        <v>0</v>
      </c>
      <c r="AW204" s="88">
        <v>0</v>
      </c>
      <c r="AX204" s="88">
        <v>0</v>
      </c>
      <c r="AY204" s="87">
        <v>0</v>
      </c>
      <c r="AZ204" s="87">
        <v>0</v>
      </c>
      <c r="BA204" s="87">
        <v>0</v>
      </c>
      <c r="BB204" s="87">
        <v>0</v>
      </c>
      <c r="BC204" s="87">
        <v>0</v>
      </c>
      <c r="BD204" s="87">
        <v>0</v>
      </c>
      <c r="BE204" s="87">
        <v>0</v>
      </c>
      <c r="BF204" s="87">
        <v>0</v>
      </c>
      <c r="BG204" s="88">
        <v>0</v>
      </c>
      <c r="BH204" s="88">
        <v>0</v>
      </c>
      <c r="BI204" s="88">
        <v>0</v>
      </c>
      <c r="BJ204" s="88">
        <v>0</v>
      </c>
      <c r="BK204" s="88">
        <v>0</v>
      </c>
      <c r="BL204" s="88">
        <v>0</v>
      </c>
      <c r="BM204" s="88">
        <v>0</v>
      </c>
      <c r="BN204" s="590">
        <v>0</v>
      </c>
      <c r="BO204" s="171">
        <v>2023</v>
      </c>
      <c r="BP204" s="171">
        <v>1</v>
      </c>
      <c r="BQ204" s="171">
        <v>19</v>
      </c>
      <c r="BS204" s="76" t="str">
        <f t="shared" ref="BS204:BS220" si="6">IF(R204=SUM(Z204,AH204,AP204,BF204,BN204),"○","×")</f>
        <v>○</v>
      </c>
    </row>
    <row r="205" spans="1:71" x14ac:dyDescent="0.2">
      <c r="A205" s="210">
        <v>1394</v>
      </c>
      <c r="B205" s="211"/>
      <c r="C205" s="212"/>
      <c r="D205" s="211"/>
      <c r="E205" s="212"/>
      <c r="F205" s="211"/>
      <c r="G205" s="211"/>
      <c r="H205" s="212"/>
      <c r="I205" s="211"/>
      <c r="J205" s="211"/>
      <c r="K205" s="211"/>
      <c r="L205" s="171"/>
      <c r="M205" s="171" t="s">
        <v>589</v>
      </c>
      <c r="N205" s="171" t="s">
        <v>286</v>
      </c>
      <c r="O205" s="171" t="s">
        <v>590</v>
      </c>
      <c r="P205" s="171" t="s">
        <v>916</v>
      </c>
      <c r="Q205" s="171"/>
      <c r="R205" s="213">
        <v>186000</v>
      </c>
      <c r="S205" s="87">
        <v>0</v>
      </c>
      <c r="T205" s="87">
        <v>0</v>
      </c>
      <c r="U205" s="87">
        <v>0</v>
      </c>
      <c r="V205" s="87">
        <v>0</v>
      </c>
      <c r="W205" s="87">
        <v>0</v>
      </c>
      <c r="X205" s="87">
        <v>0</v>
      </c>
      <c r="Y205" s="87">
        <v>0</v>
      </c>
      <c r="Z205" s="87">
        <v>0</v>
      </c>
      <c r="AA205" s="214">
        <v>0</v>
      </c>
      <c r="AB205" s="214">
        <v>0</v>
      </c>
      <c r="AC205" s="214">
        <v>0</v>
      </c>
      <c r="AD205" s="214">
        <v>0</v>
      </c>
      <c r="AE205" s="214">
        <v>0</v>
      </c>
      <c r="AF205" s="214">
        <v>0</v>
      </c>
      <c r="AG205" s="214">
        <v>0</v>
      </c>
      <c r="AH205" s="214">
        <v>0</v>
      </c>
      <c r="AI205" s="87">
        <v>186450</v>
      </c>
      <c r="AJ205" s="87">
        <v>0</v>
      </c>
      <c r="AK205" s="87">
        <v>186450</v>
      </c>
      <c r="AL205" s="87">
        <v>186450</v>
      </c>
      <c r="AM205" s="87">
        <v>1555200</v>
      </c>
      <c r="AN205" s="87">
        <v>186450</v>
      </c>
      <c r="AO205" s="87">
        <v>186450</v>
      </c>
      <c r="AP205" s="87">
        <v>186000</v>
      </c>
      <c r="AQ205" s="88">
        <v>0</v>
      </c>
      <c r="AR205" s="88">
        <v>0</v>
      </c>
      <c r="AS205" s="88">
        <v>0</v>
      </c>
      <c r="AT205" s="88">
        <v>0</v>
      </c>
      <c r="AU205" s="88">
        <v>0</v>
      </c>
      <c r="AV205" s="88">
        <v>0</v>
      </c>
      <c r="AW205" s="88">
        <v>0</v>
      </c>
      <c r="AX205" s="88">
        <v>0</v>
      </c>
      <c r="AY205" s="87">
        <v>0</v>
      </c>
      <c r="AZ205" s="87">
        <v>0</v>
      </c>
      <c r="BA205" s="87">
        <v>0</v>
      </c>
      <c r="BB205" s="87">
        <v>0</v>
      </c>
      <c r="BC205" s="87">
        <v>0</v>
      </c>
      <c r="BD205" s="87">
        <v>0</v>
      </c>
      <c r="BE205" s="87">
        <v>0</v>
      </c>
      <c r="BF205" s="87">
        <v>0</v>
      </c>
      <c r="BG205" s="88">
        <v>0</v>
      </c>
      <c r="BH205" s="88">
        <v>0</v>
      </c>
      <c r="BI205" s="88">
        <v>0</v>
      </c>
      <c r="BJ205" s="88">
        <v>0</v>
      </c>
      <c r="BK205" s="88">
        <v>0</v>
      </c>
      <c r="BL205" s="88">
        <v>0</v>
      </c>
      <c r="BM205" s="88">
        <v>0</v>
      </c>
      <c r="BN205" s="590">
        <v>0</v>
      </c>
      <c r="BO205" s="171">
        <v>2023</v>
      </c>
      <c r="BP205" s="171">
        <v>1</v>
      </c>
      <c r="BQ205" s="171">
        <v>19</v>
      </c>
      <c r="BS205" s="76" t="str">
        <f t="shared" si="6"/>
        <v>○</v>
      </c>
    </row>
    <row r="206" spans="1:71" x14ac:dyDescent="0.2">
      <c r="A206" s="210">
        <v>1395</v>
      </c>
      <c r="B206" s="211"/>
      <c r="C206" s="212"/>
      <c r="D206" s="211"/>
      <c r="E206" s="212"/>
      <c r="F206" s="211"/>
      <c r="G206" s="211"/>
      <c r="H206" s="212"/>
      <c r="I206" s="211"/>
      <c r="J206" s="211"/>
      <c r="K206" s="211"/>
      <c r="L206" s="171"/>
      <c r="M206" s="171" t="s">
        <v>591</v>
      </c>
      <c r="N206" s="171" t="s">
        <v>354</v>
      </c>
      <c r="O206" s="171" t="s">
        <v>592</v>
      </c>
      <c r="P206" s="171" t="s">
        <v>916</v>
      </c>
      <c r="Q206" s="171"/>
      <c r="R206" s="213">
        <v>288000</v>
      </c>
      <c r="S206" s="87">
        <v>0</v>
      </c>
      <c r="T206" s="87">
        <v>0</v>
      </c>
      <c r="U206" s="87">
        <v>0</v>
      </c>
      <c r="V206" s="87">
        <v>0</v>
      </c>
      <c r="W206" s="87">
        <v>0</v>
      </c>
      <c r="X206" s="87">
        <v>0</v>
      </c>
      <c r="Y206" s="87">
        <v>0</v>
      </c>
      <c r="Z206" s="87">
        <v>0</v>
      </c>
      <c r="AA206" s="214">
        <v>0</v>
      </c>
      <c r="AB206" s="214">
        <v>0</v>
      </c>
      <c r="AC206" s="214">
        <v>0</v>
      </c>
      <c r="AD206" s="214">
        <v>0</v>
      </c>
      <c r="AE206" s="214">
        <v>0</v>
      </c>
      <c r="AF206" s="214">
        <v>0</v>
      </c>
      <c r="AG206" s="214">
        <v>0</v>
      </c>
      <c r="AH206" s="214">
        <v>0</v>
      </c>
      <c r="AI206" s="87">
        <v>288520</v>
      </c>
      <c r="AJ206" s="87">
        <v>0</v>
      </c>
      <c r="AK206" s="87">
        <v>288520</v>
      </c>
      <c r="AL206" s="87">
        <v>288520</v>
      </c>
      <c r="AM206" s="87">
        <v>2592000</v>
      </c>
      <c r="AN206" s="87">
        <v>288520</v>
      </c>
      <c r="AO206" s="87">
        <v>288520</v>
      </c>
      <c r="AP206" s="87">
        <v>288000</v>
      </c>
      <c r="AQ206" s="88">
        <v>0</v>
      </c>
      <c r="AR206" s="88">
        <v>0</v>
      </c>
      <c r="AS206" s="88">
        <v>0</v>
      </c>
      <c r="AT206" s="88">
        <v>0</v>
      </c>
      <c r="AU206" s="88">
        <v>0</v>
      </c>
      <c r="AV206" s="88">
        <v>0</v>
      </c>
      <c r="AW206" s="88">
        <v>0</v>
      </c>
      <c r="AX206" s="88">
        <v>0</v>
      </c>
      <c r="AY206" s="87">
        <v>0</v>
      </c>
      <c r="AZ206" s="87">
        <v>0</v>
      </c>
      <c r="BA206" s="87">
        <v>0</v>
      </c>
      <c r="BB206" s="87">
        <v>0</v>
      </c>
      <c r="BC206" s="87">
        <v>0</v>
      </c>
      <c r="BD206" s="87">
        <v>0</v>
      </c>
      <c r="BE206" s="87">
        <v>0</v>
      </c>
      <c r="BF206" s="87">
        <v>0</v>
      </c>
      <c r="BG206" s="88">
        <v>0</v>
      </c>
      <c r="BH206" s="88">
        <v>0</v>
      </c>
      <c r="BI206" s="88">
        <v>0</v>
      </c>
      <c r="BJ206" s="88">
        <v>0</v>
      </c>
      <c r="BK206" s="88">
        <v>0</v>
      </c>
      <c r="BL206" s="88">
        <v>0</v>
      </c>
      <c r="BM206" s="88">
        <v>0</v>
      </c>
      <c r="BN206" s="590">
        <v>0</v>
      </c>
      <c r="BO206" s="171">
        <v>2023</v>
      </c>
      <c r="BP206" s="171">
        <v>1</v>
      </c>
      <c r="BQ206" s="171">
        <v>19</v>
      </c>
      <c r="BS206" s="76" t="str">
        <f t="shared" si="6"/>
        <v>○</v>
      </c>
    </row>
    <row r="207" spans="1:71" x14ac:dyDescent="0.2">
      <c r="A207" s="210">
        <v>1396</v>
      </c>
      <c r="B207" s="211"/>
      <c r="C207" s="212"/>
      <c r="D207" s="211"/>
      <c r="E207" s="212"/>
      <c r="F207" s="211"/>
      <c r="G207" s="211"/>
      <c r="H207" s="212"/>
      <c r="I207" s="211"/>
      <c r="J207" s="211"/>
      <c r="K207" s="211"/>
      <c r="L207" s="171"/>
      <c r="M207" s="171">
        <v>1530038</v>
      </c>
      <c r="N207" s="171" t="s">
        <v>299</v>
      </c>
      <c r="O207" s="171" t="s">
        <v>304</v>
      </c>
      <c r="P207" s="171" t="s">
        <v>916</v>
      </c>
      <c r="Q207" s="171"/>
      <c r="R207" s="213">
        <v>390000</v>
      </c>
      <c r="S207" s="87">
        <v>0</v>
      </c>
      <c r="T207" s="87">
        <v>0</v>
      </c>
      <c r="U207" s="87">
        <v>0</v>
      </c>
      <c r="V207" s="87">
        <v>0</v>
      </c>
      <c r="W207" s="87">
        <v>0</v>
      </c>
      <c r="X207" s="87">
        <v>0</v>
      </c>
      <c r="Y207" s="87">
        <v>0</v>
      </c>
      <c r="Z207" s="87">
        <v>0</v>
      </c>
      <c r="AA207" s="214">
        <v>0</v>
      </c>
      <c r="AB207" s="214">
        <v>0</v>
      </c>
      <c r="AC207" s="214">
        <v>0</v>
      </c>
      <c r="AD207" s="214">
        <v>0</v>
      </c>
      <c r="AE207" s="214">
        <v>0</v>
      </c>
      <c r="AF207" s="214">
        <v>0</v>
      </c>
      <c r="AG207" s="214">
        <v>0</v>
      </c>
      <c r="AH207" s="214">
        <v>0</v>
      </c>
      <c r="AI207" s="87">
        <v>390180</v>
      </c>
      <c r="AJ207" s="87">
        <v>0</v>
      </c>
      <c r="AK207" s="87">
        <v>390180</v>
      </c>
      <c r="AL207" s="87">
        <v>390180</v>
      </c>
      <c r="AM207" s="87">
        <v>3888000</v>
      </c>
      <c r="AN207" s="87">
        <v>390180</v>
      </c>
      <c r="AO207" s="87">
        <v>390180</v>
      </c>
      <c r="AP207" s="87">
        <v>390000</v>
      </c>
      <c r="AQ207" s="88">
        <v>0</v>
      </c>
      <c r="AR207" s="88">
        <v>0</v>
      </c>
      <c r="AS207" s="88">
        <v>0</v>
      </c>
      <c r="AT207" s="88">
        <v>0</v>
      </c>
      <c r="AU207" s="88">
        <v>0</v>
      </c>
      <c r="AV207" s="88">
        <v>0</v>
      </c>
      <c r="AW207" s="88">
        <v>0</v>
      </c>
      <c r="AX207" s="88">
        <v>0</v>
      </c>
      <c r="AY207" s="87">
        <v>0</v>
      </c>
      <c r="AZ207" s="87">
        <v>0</v>
      </c>
      <c r="BA207" s="87">
        <v>0</v>
      </c>
      <c r="BB207" s="87">
        <v>0</v>
      </c>
      <c r="BC207" s="87">
        <v>0</v>
      </c>
      <c r="BD207" s="87">
        <v>0</v>
      </c>
      <c r="BE207" s="87">
        <v>0</v>
      </c>
      <c r="BF207" s="87">
        <v>0</v>
      </c>
      <c r="BG207" s="88">
        <v>0</v>
      </c>
      <c r="BH207" s="88">
        <v>0</v>
      </c>
      <c r="BI207" s="88">
        <v>0</v>
      </c>
      <c r="BJ207" s="88">
        <v>0</v>
      </c>
      <c r="BK207" s="88">
        <v>0</v>
      </c>
      <c r="BL207" s="88">
        <v>0</v>
      </c>
      <c r="BM207" s="88">
        <v>0</v>
      </c>
      <c r="BN207" s="590">
        <v>0</v>
      </c>
      <c r="BO207" s="171">
        <v>2023</v>
      </c>
      <c r="BP207" s="171">
        <v>1</v>
      </c>
      <c r="BQ207" s="171">
        <v>19</v>
      </c>
      <c r="BS207" s="76" t="str">
        <f t="shared" si="6"/>
        <v>○</v>
      </c>
    </row>
    <row r="208" spans="1:71" x14ac:dyDescent="0.2">
      <c r="A208" s="210">
        <v>1397</v>
      </c>
      <c r="B208" s="211"/>
      <c r="C208" s="212"/>
      <c r="D208" s="211"/>
      <c r="E208" s="212"/>
      <c r="F208" s="211"/>
      <c r="G208" s="211"/>
      <c r="H208" s="212"/>
      <c r="I208" s="211"/>
      <c r="J208" s="211"/>
      <c r="K208" s="211"/>
      <c r="L208" s="171"/>
      <c r="M208" s="171" t="s">
        <v>515</v>
      </c>
      <c r="N208" s="171" t="s">
        <v>286</v>
      </c>
      <c r="O208" s="171" t="s">
        <v>279</v>
      </c>
      <c r="P208" s="171" t="s">
        <v>916</v>
      </c>
      <c r="Q208" s="171"/>
      <c r="R208" s="213">
        <v>91000</v>
      </c>
      <c r="S208" s="87">
        <v>0</v>
      </c>
      <c r="T208" s="87">
        <v>0</v>
      </c>
      <c r="U208" s="87">
        <v>0</v>
      </c>
      <c r="V208" s="87">
        <v>0</v>
      </c>
      <c r="W208" s="87">
        <v>0</v>
      </c>
      <c r="X208" s="87">
        <v>0</v>
      </c>
      <c r="Y208" s="87">
        <v>0</v>
      </c>
      <c r="Z208" s="87">
        <v>0</v>
      </c>
      <c r="AA208" s="214">
        <v>0</v>
      </c>
      <c r="AB208" s="214">
        <v>0</v>
      </c>
      <c r="AC208" s="214">
        <v>0</v>
      </c>
      <c r="AD208" s="214">
        <v>0</v>
      </c>
      <c r="AE208" s="214">
        <v>0</v>
      </c>
      <c r="AF208" s="214">
        <v>0</v>
      </c>
      <c r="AG208" s="214">
        <v>0</v>
      </c>
      <c r="AH208" s="214">
        <v>0</v>
      </c>
      <c r="AI208" s="87">
        <v>91982</v>
      </c>
      <c r="AJ208" s="87">
        <v>0</v>
      </c>
      <c r="AK208" s="87">
        <v>91982</v>
      </c>
      <c r="AL208" s="87">
        <v>91982</v>
      </c>
      <c r="AM208" s="87">
        <v>1425600</v>
      </c>
      <c r="AN208" s="87">
        <v>91982</v>
      </c>
      <c r="AO208" s="87">
        <v>91982</v>
      </c>
      <c r="AP208" s="87">
        <v>91000</v>
      </c>
      <c r="AQ208" s="88">
        <v>0</v>
      </c>
      <c r="AR208" s="88">
        <v>0</v>
      </c>
      <c r="AS208" s="88">
        <v>0</v>
      </c>
      <c r="AT208" s="88">
        <v>0</v>
      </c>
      <c r="AU208" s="88">
        <v>0</v>
      </c>
      <c r="AV208" s="88">
        <v>0</v>
      </c>
      <c r="AW208" s="88">
        <v>0</v>
      </c>
      <c r="AX208" s="88">
        <v>0</v>
      </c>
      <c r="AY208" s="87">
        <v>0</v>
      </c>
      <c r="AZ208" s="87">
        <v>0</v>
      </c>
      <c r="BA208" s="87">
        <v>0</v>
      </c>
      <c r="BB208" s="87">
        <v>0</v>
      </c>
      <c r="BC208" s="87">
        <v>0</v>
      </c>
      <c r="BD208" s="87">
        <v>0</v>
      </c>
      <c r="BE208" s="87">
        <v>0</v>
      </c>
      <c r="BF208" s="87">
        <v>0</v>
      </c>
      <c r="BG208" s="88">
        <v>0</v>
      </c>
      <c r="BH208" s="88">
        <v>0</v>
      </c>
      <c r="BI208" s="88">
        <v>0</v>
      </c>
      <c r="BJ208" s="88">
        <v>0</v>
      </c>
      <c r="BK208" s="88">
        <v>0</v>
      </c>
      <c r="BL208" s="88">
        <v>0</v>
      </c>
      <c r="BM208" s="88">
        <v>0</v>
      </c>
      <c r="BN208" s="590">
        <v>0</v>
      </c>
      <c r="BO208" s="171">
        <v>2023</v>
      </c>
      <c r="BP208" s="171">
        <v>1</v>
      </c>
      <c r="BQ208" s="171">
        <v>19</v>
      </c>
      <c r="BS208" s="76" t="str">
        <f t="shared" si="6"/>
        <v>○</v>
      </c>
    </row>
    <row r="209" spans="1:71" x14ac:dyDescent="0.2">
      <c r="A209" s="210">
        <v>1398</v>
      </c>
      <c r="B209" s="211"/>
      <c r="C209" s="212"/>
      <c r="D209" s="211"/>
      <c r="E209" s="212"/>
      <c r="F209" s="211"/>
      <c r="G209" s="211"/>
      <c r="H209" s="212"/>
      <c r="I209" s="211"/>
      <c r="J209" s="211"/>
      <c r="K209" s="211"/>
      <c r="L209" s="171"/>
      <c r="M209" s="171" t="s">
        <v>288</v>
      </c>
      <c r="N209" s="171" t="s">
        <v>289</v>
      </c>
      <c r="O209" s="171" t="s">
        <v>290</v>
      </c>
      <c r="P209" s="171" t="s">
        <v>916</v>
      </c>
      <c r="Q209" s="171"/>
      <c r="R209" s="213">
        <v>110000</v>
      </c>
      <c r="S209" s="87">
        <v>0</v>
      </c>
      <c r="T209" s="87">
        <v>0</v>
      </c>
      <c r="U209" s="87">
        <v>0</v>
      </c>
      <c r="V209" s="87">
        <v>0</v>
      </c>
      <c r="W209" s="87">
        <v>0</v>
      </c>
      <c r="X209" s="87">
        <v>0</v>
      </c>
      <c r="Y209" s="87">
        <v>0</v>
      </c>
      <c r="Z209" s="87">
        <v>0</v>
      </c>
      <c r="AA209" s="214">
        <v>0</v>
      </c>
      <c r="AB209" s="214">
        <v>0</v>
      </c>
      <c r="AC209" s="214">
        <v>0</v>
      </c>
      <c r="AD209" s="214">
        <v>0</v>
      </c>
      <c r="AE209" s="214">
        <v>0</v>
      </c>
      <c r="AF209" s="214">
        <v>0</v>
      </c>
      <c r="AG209" s="214">
        <v>0</v>
      </c>
      <c r="AH209" s="214">
        <v>0</v>
      </c>
      <c r="AI209" s="87">
        <v>110278</v>
      </c>
      <c r="AJ209" s="87">
        <v>0</v>
      </c>
      <c r="AK209" s="87">
        <v>110278</v>
      </c>
      <c r="AL209" s="87">
        <v>110278</v>
      </c>
      <c r="AM209" s="87">
        <v>864000</v>
      </c>
      <c r="AN209" s="87">
        <v>110278</v>
      </c>
      <c r="AO209" s="87">
        <v>110278</v>
      </c>
      <c r="AP209" s="87">
        <v>110000</v>
      </c>
      <c r="AQ209" s="88">
        <v>0</v>
      </c>
      <c r="AR209" s="88">
        <v>0</v>
      </c>
      <c r="AS209" s="88">
        <v>0</v>
      </c>
      <c r="AT209" s="88">
        <v>0</v>
      </c>
      <c r="AU209" s="88">
        <v>0</v>
      </c>
      <c r="AV209" s="88">
        <v>0</v>
      </c>
      <c r="AW209" s="88">
        <v>0</v>
      </c>
      <c r="AX209" s="88">
        <v>0</v>
      </c>
      <c r="AY209" s="87">
        <v>0</v>
      </c>
      <c r="AZ209" s="87">
        <v>0</v>
      </c>
      <c r="BA209" s="87">
        <v>0</v>
      </c>
      <c r="BB209" s="87">
        <v>0</v>
      </c>
      <c r="BC209" s="87">
        <v>0</v>
      </c>
      <c r="BD209" s="87">
        <v>0</v>
      </c>
      <c r="BE209" s="87">
        <v>0</v>
      </c>
      <c r="BF209" s="87">
        <v>0</v>
      </c>
      <c r="BG209" s="88">
        <v>0</v>
      </c>
      <c r="BH209" s="88">
        <v>0</v>
      </c>
      <c r="BI209" s="88">
        <v>0</v>
      </c>
      <c r="BJ209" s="88">
        <v>0</v>
      </c>
      <c r="BK209" s="88">
        <v>0</v>
      </c>
      <c r="BL209" s="88">
        <v>0</v>
      </c>
      <c r="BM209" s="88">
        <v>0</v>
      </c>
      <c r="BN209" s="590">
        <v>0</v>
      </c>
      <c r="BO209" s="171">
        <v>2023</v>
      </c>
      <c r="BP209" s="171">
        <v>1</v>
      </c>
      <c r="BQ209" s="171">
        <v>19</v>
      </c>
      <c r="BS209" s="76" t="str">
        <f t="shared" si="6"/>
        <v>○</v>
      </c>
    </row>
    <row r="210" spans="1:71" x14ac:dyDescent="0.2">
      <c r="A210" s="210">
        <v>1399</v>
      </c>
      <c r="B210" s="211"/>
      <c r="C210" s="212"/>
      <c r="D210" s="211"/>
      <c r="E210" s="212"/>
      <c r="F210" s="211"/>
      <c r="G210" s="211"/>
      <c r="H210" s="212"/>
      <c r="I210" s="211"/>
      <c r="J210" s="211"/>
      <c r="K210" s="211"/>
      <c r="L210" s="171"/>
      <c r="M210" s="171" t="s">
        <v>593</v>
      </c>
      <c r="N210" s="171" t="s">
        <v>278</v>
      </c>
      <c r="O210" s="171" t="s">
        <v>383</v>
      </c>
      <c r="P210" s="171" t="s">
        <v>916</v>
      </c>
      <c r="Q210" s="171"/>
      <c r="R210" s="213">
        <v>376000</v>
      </c>
      <c r="S210" s="87">
        <v>0</v>
      </c>
      <c r="T210" s="87">
        <v>0</v>
      </c>
      <c r="U210" s="87">
        <v>0</v>
      </c>
      <c r="V210" s="87">
        <v>0</v>
      </c>
      <c r="W210" s="87">
        <v>0</v>
      </c>
      <c r="X210" s="87">
        <v>0</v>
      </c>
      <c r="Y210" s="87">
        <v>0</v>
      </c>
      <c r="Z210" s="87">
        <v>0</v>
      </c>
      <c r="AA210" s="214">
        <v>0</v>
      </c>
      <c r="AB210" s="214">
        <v>0</v>
      </c>
      <c r="AC210" s="214">
        <v>0</v>
      </c>
      <c r="AD210" s="214">
        <v>0</v>
      </c>
      <c r="AE210" s="214">
        <v>0</v>
      </c>
      <c r="AF210" s="214">
        <v>0</v>
      </c>
      <c r="AG210" s="214">
        <v>0</v>
      </c>
      <c r="AH210" s="214">
        <v>0</v>
      </c>
      <c r="AI210" s="87">
        <v>376770</v>
      </c>
      <c r="AJ210" s="87">
        <v>0</v>
      </c>
      <c r="AK210" s="87">
        <v>376770</v>
      </c>
      <c r="AL210" s="87">
        <v>376770</v>
      </c>
      <c r="AM210" s="87">
        <v>6480000</v>
      </c>
      <c r="AN210" s="87">
        <v>376770</v>
      </c>
      <c r="AO210" s="87">
        <v>376770</v>
      </c>
      <c r="AP210" s="87">
        <v>376000</v>
      </c>
      <c r="AQ210" s="88">
        <v>0</v>
      </c>
      <c r="AR210" s="88">
        <v>0</v>
      </c>
      <c r="AS210" s="88">
        <v>0</v>
      </c>
      <c r="AT210" s="88">
        <v>0</v>
      </c>
      <c r="AU210" s="88">
        <v>0</v>
      </c>
      <c r="AV210" s="88">
        <v>0</v>
      </c>
      <c r="AW210" s="88">
        <v>0</v>
      </c>
      <c r="AX210" s="88">
        <v>0</v>
      </c>
      <c r="AY210" s="87">
        <v>0</v>
      </c>
      <c r="AZ210" s="87">
        <v>0</v>
      </c>
      <c r="BA210" s="87">
        <v>0</v>
      </c>
      <c r="BB210" s="87">
        <v>0</v>
      </c>
      <c r="BC210" s="87">
        <v>0</v>
      </c>
      <c r="BD210" s="87">
        <v>0</v>
      </c>
      <c r="BE210" s="87">
        <v>0</v>
      </c>
      <c r="BF210" s="87">
        <v>0</v>
      </c>
      <c r="BG210" s="88">
        <v>0</v>
      </c>
      <c r="BH210" s="88">
        <v>0</v>
      </c>
      <c r="BI210" s="88">
        <v>0</v>
      </c>
      <c r="BJ210" s="88">
        <v>0</v>
      </c>
      <c r="BK210" s="88">
        <v>0</v>
      </c>
      <c r="BL210" s="88">
        <v>0</v>
      </c>
      <c r="BM210" s="88">
        <v>0</v>
      </c>
      <c r="BN210" s="590">
        <v>0</v>
      </c>
      <c r="BO210" s="171">
        <v>2023</v>
      </c>
      <c r="BP210" s="171">
        <v>1</v>
      </c>
      <c r="BQ210" s="171">
        <v>19</v>
      </c>
      <c r="BS210" s="76" t="str">
        <f t="shared" si="6"/>
        <v>○</v>
      </c>
    </row>
    <row r="211" spans="1:71" x14ac:dyDescent="0.2">
      <c r="A211" s="210">
        <v>1400</v>
      </c>
      <c r="B211" s="211"/>
      <c r="C211" s="212"/>
      <c r="D211" s="211"/>
      <c r="E211" s="212"/>
      <c r="F211" s="211"/>
      <c r="G211" s="211"/>
      <c r="H211" s="212"/>
      <c r="I211" s="211"/>
      <c r="J211" s="211"/>
      <c r="K211" s="211"/>
      <c r="L211" s="171"/>
      <c r="M211" s="171" t="s">
        <v>407</v>
      </c>
      <c r="N211" s="171" t="s">
        <v>269</v>
      </c>
      <c r="O211" s="171" t="s">
        <v>408</v>
      </c>
      <c r="P211" s="171" t="s">
        <v>916</v>
      </c>
      <c r="Q211" s="171"/>
      <c r="R211" s="213">
        <v>371000</v>
      </c>
      <c r="S211" s="87">
        <v>0</v>
      </c>
      <c r="T211" s="87">
        <v>0</v>
      </c>
      <c r="U211" s="87">
        <v>0</v>
      </c>
      <c r="V211" s="87">
        <v>0</v>
      </c>
      <c r="W211" s="87">
        <v>0</v>
      </c>
      <c r="X211" s="87">
        <v>0</v>
      </c>
      <c r="Y211" s="87">
        <v>0</v>
      </c>
      <c r="Z211" s="87">
        <v>0</v>
      </c>
      <c r="AA211" s="214">
        <v>0</v>
      </c>
      <c r="AB211" s="214">
        <v>0</v>
      </c>
      <c r="AC211" s="214">
        <v>0</v>
      </c>
      <c r="AD211" s="214">
        <v>0</v>
      </c>
      <c r="AE211" s="214">
        <v>0</v>
      </c>
      <c r="AF211" s="214">
        <v>0</v>
      </c>
      <c r="AG211" s="214">
        <v>0</v>
      </c>
      <c r="AH211" s="214">
        <v>0</v>
      </c>
      <c r="AI211" s="87">
        <v>371740</v>
      </c>
      <c r="AJ211" s="87">
        <v>0</v>
      </c>
      <c r="AK211" s="87">
        <v>371740</v>
      </c>
      <c r="AL211" s="87">
        <v>371740</v>
      </c>
      <c r="AM211" s="87">
        <v>2592000</v>
      </c>
      <c r="AN211" s="87">
        <v>371740</v>
      </c>
      <c r="AO211" s="87">
        <v>371740</v>
      </c>
      <c r="AP211" s="87">
        <v>371000</v>
      </c>
      <c r="AQ211" s="88">
        <v>0</v>
      </c>
      <c r="AR211" s="88">
        <v>0</v>
      </c>
      <c r="AS211" s="88">
        <v>0</v>
      </c>
      <c r="AT211" s="88">
        <v>0</v>
      </c>
      <c r="AU211" s="88">
        <v>0</v>
      </c>
      <c r="AV211" s="88">
        <v>0</v>
      </c>
      <c r="AW211" s="88">
        <v>0</v>
      </c>
      <c r="AX211" s="88">
        <v>0</v>
      </c>
      <c r="AY211" s="87">
        <v>0</v>
      </c>
      <c r="AZ211" s="87">
        <v>0</v>
      </c>
      <c r="BA211" s="87">
        <v>0</v>
      </c>
      <c r="BB211" s="87">
        <v>0</v>
      </c>
      <c r="BC211" s="87">
        <v>0</v>
      </c>
      <c r="BD211" s="87">
        <v>0</v>
      </c>
      <c r="BE211" s="87">
        <v>0</v>
      </c>
      <c r="BF211" s="87">
        <v>0</v>
      </c>
      <c r="BG211" s="88">
        <v>0</v>
      </c>
      <c r="BH211" s="88">
        <v>0</v>
      </c>
      <c r="BI211" s="88">
        <v>0</v>
      </c>
      <c r="BJ211" s="88">
        <v>0</v>
      </c>
      <c r="BK211" s="88">
        <v>0</v>
      </c>
      <c r="BL211" s="88">
        <v>0</v>
      </c>
      <c r="BM211" s="88">
        <v>0</v>
      </c>
      <c r="BN211" s="590">
        <v>0</v>
      </c>
      <c r="BO211" s="171">
        <v>2023</v>
      </c>
      <c r="BP211" s="171">
        <v>1</v>
      </c>
      <c r="BQ211" s="171">
        <v>19</v>
      </c>
      <c r="BS211" s="76" t="str">
        <f t="shared" si="6"/>
        <v>○</v>
      </c>
    </row>
    <row r="212" spans="1:71" x14ac:dyDescent="0.2">
      <c r="A212" s="210">
        <v>1401</v>
      </c>
      <c r="B212" s="211"/>
      <c r="C212" s="212"/>
      <c r="D212" s="211"/>
      <c r="E212" s="212"/>
      <c r="F212" s="211"/>
      <c r="G212" s="211"/>
      <c r="H212" s="212"/>
      <c r="I212" s="211"/>
      <c r="J212" s="211"/>
      <c r="K212" s="211"/>
      <c r="L212" s="171"/>
      <c r="M212" s="171" t="s">
        <v>594</v>
      </c>
      <c r="N212" s="171" t="s">
        <v>302</v>
      </c>
      <c r="O212" s="171" t="s">
        <v>307</v>
      </c>
      <c r="P212" s="171" t="s">
        <v>916</v>
      </c>
      <c r="Q212" s="75"/>
      <c r="R212" s="213">
        <v>918000</v>
      </c>
      <c r="S212" s="87">
        <v>0</v>
      </c>
      <c r="T212" s="87">
        <v>0</v>
      </c>
      <c r="U212" s="87">
        <v>0</v>
      </c>
      <c r="V212" s="87">
        <v>0</v>
      </c>
      <c r="W212" s="87">
        <v>0</v>
      </c>
      <c r="X212" s="87">
        <v>0</v>
      </c>
      <c r="Y212" s="87">
        <v>0</v>
      </c>
      <c r="Z212" s="87">
        <v>0</v>
      </c>
      <c r="AA212" s="214">
        <v>0</v>
      </c>
      <c r="AB212" s="214">
        <v>0</v>
      </c>
      <c r="AC212" s="214">
        <v>0</v>
      </c>
      <c r="AD212" s="214">
        <v>0</v>
      </c>
      <c r="AE212" s="214">
        <v>0</v>
      </c>
      <c r="AF212" s="214">
        <v>0</v>
      </c>
      <c r="AG212" s="214">
        <v>0</v>
      </c>
      <c r="AH212" s="214">
        <v>0</v>
      </c>
      <c r="AI212" s="87">
        <v>918240</v>
      </c>
      <c r="AJ212" s="87">
        <v>0</v>
      </c>
      <c r="AK212" s="87">
        <v>918240</v>
      </c>
      <c r="AL212" s="87">
        <v>918240</v>
      </c>
      <c r="AM212" s="87">
        <v>1044000</v>
      </c>
      <c r="AN212" s="87">
        <v>918240</v>
      </c>
      <c r="AO212" s="87">
        <v>918240</v>
      </c>
      <c r="AP212" s="87">
        <v>918000</v>
      </c>
      <c r="AQ212" s="88">
        <v>0</v>
      </c>
      <c r="AR212" s="88">
        <v>0</v>
      </c>
      <c r="AS212" s="88">
        <v>0</v>
      </c>
      <c r="AT212" s="88">
        <v>0</v>
      </c>
      <c r="AU212" s="88">
        <v>0</v>
      </c>
      <c r="AV212" s="88">
        <v>0</v>
      </c>
      <c r="AW212" s="88">
        <v>0</v>
      </c>
      <c r="AX212" s="88">
        <v>0</v>
      </c>
      <c r="AY212" s="87">
        <v>0</v>
      </c>
      <c r="AZ212" s="87">
        <v>0</v>
      </c>
      <c r="BA212" s="87">
        <v>0</v>
      </c>
      <c r="BB212" s="87">
        <v>0</v>
      </c>
      <c r="BC212" s="87">
        <v>0</v>
      </c>
      <c r="BD212" s="87">
        <v>0</v>
      </c>
      <c r="BE212" s="87">
        <v>0</v>
      </c>
      <c r="BF212" s="87">
        <v>0</v>
      </c>
      <c r="BG212" s="88">
        <v>0</v>
      </c>
      <c r="BH212" s="88">
        <v>0</v>
      </c>
      <c r="BI212" s="88">
        <v>0</v>
      </c>
      <c r="BJ212" s="88">
        <v>0</v>
      </c>
      <c r="BK212" s="88">
        <v>0</v>
      </c>
      <c r="BL212" s="88">
        <v>0</v>
      </c>
      <c r="BM212" s="88">
        <v>0</v>
      </c>
      <c r="BN212" s="590">
        <v>0</v>
      </c>
      <c r="BO212" s="171">
        <v>2023</v>
      </c>
      <c r="BP212" s="171">
        <v>1</v>
      </c>
      <c r="BQ212" s="171">
        <v>19</v>
      </c>
      <c r="BS212" s="76" t="str">
        <f t="shared" si="6"/>
        <v>○</v>
      </c>
    </row>
    <row r="213" spans="1:71" x14ac:dyDescent="0.2">
      <c r="A213" s="210">
        <v>1402</v>
      </c>
      <c r="B213" s="211"/>
      <c r="C213" s="212"/>
      <c r="D213" s="211"/>
      <c r="E213" s="212"/>
      <c r="F213" s="211"/>
      <c r="G213" s="211"/>
      <c r="H213" s="212"/>
      <c r="I213" s="211"/>
      <c r="J213" s="211"/>
      <c r="K213" s="211"/>
      <c r="L213" s="171"/>
      <c r="M213" s="171" t="s">
        <v>595</v>
      </c>
      <c r="N213" s="171" t="s">
        <v>275</v>
      </c>
      <c r="O213" s="171" t="s">
        <v>596</v>
      </c>
      <c r="P213" s="171" t="s">
        <v>916</v>
      </c>
      <c r="Q213" s="171"/>
      <c r="R213" s="213">
        <v>96000</v>
      </c>
      <c r="S213" s="87">
        <v>0</v>
      </c>
      <c r="T213" s="87">
        <v>0</v>
      </c>
      <c r="U213" s="87">
        <v>0</v>
      </c>
      <c r="V213" s="87">
        <v>0</v>
      </c>
      <c r="W213" s="87">
        <v>0</v>
      </c>
      <c r="X213" s="87">
        <v>0</v>
      </c>
      <c r="Y213" s="87">
        <v>0</v>
      </c>
      <c r="Z213" s="87">
        <v>0</v>
      </c>
      <c r="AA213" s="214">
        <v>0</v>
      </c>
      <c r="AB213" s="214">
        <v>0</v>
      </c>
      <c r="AC213" s="214">
        <v>0</v>
      </c>
      <c r="AD213" s="214">
        <v>0</v>
      </c>
      <c r="AE213" s="214">
        <v>0</v>
      </c>
      <c r="AF213" s="214">
        <v>0</v>
      </c>
      <c r="AG213" s="214">
        <v>0</v>
      </c>
      <c r="AH213" s="214">
        <v>0</v>
      </c>
      <c r="AI213" s="87">
        <v>96360</v>
      </c>
      <c r="AJ213" s="87">
        <v>0</v>
      </c>
      <c r="AK213" s="87">
        <v>96360</v>
      </c>
      <c r="AL213" s="87">
        <v>96360</v>
      </c>
      <c r="AM213" s="87">
        <v>4089600</v>
      </c>
      <c r="AN213" s="87">
        <v>96360</v>
      </c>
      <c r="AO213" s="87">
        <v>96360</v>
      </c>
      <c r="AP213" s="87">
        <v>96000</v>
      </c>
      <c r="AQ213" s="88">
        <v>0</v>
      </c>
      <c r="AR213" s="88">
        <v>0</v>
      </c>
      <c r="AS213" s="88">
        <v>0</v>
      </c>
      <c r="AT213" s="88">
        <v>0</v>
      </c>
      <c r="AU213" s="88">
        <v>0</v>
      </c>
      <c r="AV213" s="88">
        <v>0</v>
      </c>
      <c r="AW213" s="88">
        <v>0</v>
      </c>
      <c r="AX213" s="88">
        <v>0</v>
      </c>
      <c r="AY213" s="87">
        <v>0</v>
      </c>
      <c r="AZ213" s="87">
        <v>0</v>
      </c>
      <c r="BA213" s="87">
        <v>0</v>
      </c>
      <c r="BB213" s="87">
        <v>0</v>
      </c>
      <c r="BC213" s="87">
        <v>0</v>
      </c>
      <c r="BD213" s="87">
        <v>0</v>
      </c>
      <c r="BE213" s="87">
        <v>0</v>
      </c>
      <c r="BF213" s="87">
        <v>0</v>
      </c>
      <c r="BG213" s="88">
        <v>0</v>
      </c>
      <c r="BH213" s="88">
        <v>0</v>
      </c>
      <c r="BI213" s="88">
        <v>0</v>
      </c>
      <c r="BJ213" s="88">
        <v>0</v>
      </c>
      <c r="BK213" s="88">
        <v>0</v>
      </c>
      <c r="BL213" s="88">
        <v>0</v>
      </c>
      <c r="BM213" s="88">
        <v>0</v>
      </c>
      <c r="BN213" s="590">
        <v>0</v>
      </c>
      <c r="BO213" s="171">
        <v>2023</v>
      </c>
      <c r="BP213" s="171">
        <v>1</v>
      </c>
      <c r="BQ213" s="171">
        <v>19</v>
      </c>
      <c r="BS213" s="76" t="str">
        <f t="shared" si="6"/>
        <v>○</v>
      </c>
    </row>
    <row r="214" spans="1:71" x14ac:dyDescent="0.2">
      <c r="A214" s="210">
        <v>1403</v>
      </c>
      <c r="B214" s="211"/>
      <c r="C214" s="212"/>
      <c r="D214" s="211"/>
      <c r="E214" s="212"/>
      <c r="F214" s="211"/>
      <c r="G214" s="211"/>
      <c r="H214" s="212"/>
      <c r="I214" s="211"/>
      <c r="J214" s="211"/>
      <c r="K214" s="211"/>
      <c r="L214" s="171"/>
      <c r="M214" s="171" t="s">
        <v>597</v>
      </c>
      <c r="N214" s="171" t="s">
        <v>354</v>
      </c>
      <c r="O214" s="171" t="s">
        <v>598</v>
      </c>
      <c r="P214" s="171" t="s">
        <v>916</v>
      </c>
      <c r="Q214" s="171"/>
      <c r="R214" s="213">
        <v>296000</v>
      </c>
      <c r="S214" s="87">
        <v>0</v>
      </c>
      <c r="T214" s="87">
        <v>0</v>
      </c>
      <c r="U214" s="87">
        <v>0</v>
      </c>
      <c r="V214" s="87">
        <v>0</v>
      </c>
      <c r="W214" s="87">
        <v>0</v>
      </c>
      <c r="X214" s="87">
        <v>0</v>
      </c>
      <c r="Y214" s="87">
        <v>0</v>
      </c>
      <c r="Z214" s="87">
        <v>0</v>
      </c>
      <c r="AA214" s="214">
        <v>0</v>
      </c>
      <c r="AB214" s="214">
        <v>0</v>
      </c>
      <c r="AC214" s="214">
        <v>0</v>
      </c>
      <c r="AD214" s="214">
        <v>0</v>
      </c>
      <c r="AE214" s="214">
        <v>0</v>
      </c>
      <c r="AF214" s="214">
        <v>0</v>
      </c>
      <c r="AG214" s="214">
        <v>0</v>
      </c>
      <c r="AH214" s="214">
        <v>0</v>
      </c>
      <c r="AI214" s="87">
        <v>296610</v>
      </c>
      <c r="AJ214" s="87">
        <v>0</v>
      </c>
      <c r="AK214" s="87">
        <v>296610</v>
      </c>
      <c r="AL214" s="87">
        <v>296610</v>
      </c>
      <c r="AM214" s="87">
        <v>2178000</v>
      </c>
      <c r="AN214" s="87">
        <v>296610</v>
      </c>
      <c r="AO214" s="87">
        <v>296610</v>
      </c>
      <c r="AP214" s="87">
        <v>296000</v>
      </c>
      <c r="AQ214" s="88">
        <v>0</v>
      </c>
      <c r="AR214" s="88">
        <v>0</v>
      </c>
      <c r="AS214" s="88">
        <v>0</v>
      </c>
      <c r="AT214" s="88">
        <v>0</v>
      </c>
      <c r="AU214" s="88">
        <v>0</v>
      </c>
      <c r="AV214" s="88">
        <v>0</v>
      </c>
      <c r="AW214" s="88">
        <v>0</v>
      </c>
      <c r="AX214" s="88">
        <v>0</v>
      </c>
      <c r="AY214" s="87">
        <v>0</v>
      </c>
      <c r="AZ214" s="87">
        <v>0</v>
      </c>
      <c r="BA214" s="87">
        <v>0</v>
      </c>
      <c r="BB214" s="87">
        <v>0</v>
      </c>
      <c r="BC214" s="87">
        <v>0</v>
      </c>
      <c r="BD214" s="87">
        <v>0</v>
      </c>
      <c r="BE214" s="87">
        <v>0</v>
      </c>
      <c r="BF214" s="87">
        <v>0</v>
      </c>
      <c r="BG214" s="88">
        <v>0</v>
      </c>
      <c r="BH214" s="88">
        <v>0</v>
      </c>
      <c r="BI214" s="88">
        <v>0</v>
      </c>
      <c r="BJ214" s="88">
        <v>0</v>
      </c>
      <c r="BK214" s="88">
        <v>0</v>
      </c>
      <c r="BL214" s="88">
        <v>0</v>
      </c>
      <c r="BM214" s="88">
        <v>0</v>
      </c>
      <c r="BN214" s="590">
        <v>0</v>
      </c>
      <c r="BO214" s="171">
        <v>2023</v>
      </c>
      <c r="BP214" s="171">
        <v>1</v>
      </c>
      <c r="BQ214" s="171">
        <v>19</v>
      </c>
      <c r="BS214" s="76" t="str">
        <f t="shared" si="6"/>
        <v>○</v>
      </c>
    </row>
    <row r="215" spans="1:71" x14ac:dyDescent="0.2">
      <c r="A215" s="210">
        <v>1404</v>
      </c>
      <c r="B215" s="211"/>
      <c r="C215" s="212"/>
      <c r="D215" s="211"/>
      <c r="E215" s="212"/>
      <c r="F215" s="211"/>
      <c r="G215" s="211"/>
      <c r="H215" s="212"/>
      <c r="I215" s="211"/>
      <c r="J215" s="211"/>
      <c r="K215" s="211"/>
      <c r="L215" s="171"/>
      <c r="M215" s="171" t="s">
        <v>349</v>
      </c>
      <c r="N215" s="171" t="s">
        <v>318</v>
      </c>
      <c r="O215" s="171" t="s">
        <v>350</v>
      </c>
      <c r="P215" s="171" t="s">
        <v>916</v>
      </c>
      <c r="Q215" s="171"/>
      <c r="R215" s="213">
        <v>14000</v>
      </c>
      <c r="S215" s="87">
        <v>0</v>
      </c>
      <c r="T215" s="87">
        <v>0</v>
      </c>
      <c r="U215" s="87">
        <v>0</v>
      </c>
      <c r="V215" s="87">
        <v>0</v>
      </c>
      <c r="W215" s="87">
        <v>0</v>
      </c>
      <c r="X215" s="87">
        <v>0</v>
      </c>
      <c r="Y215" s="87">
        <v>0</v>
      </c>
      <c r="Z215" s="87">
        <v>0</v>
      </c>
      <c r="AA215" s="214">
        <v>0</v>
      </c>
      <c r="AB215" s="214">
        <v>0</v>
      </c>
      <c r="AC215" s="214">
        <v>0</v>
      </c>
      <c r="AD215" s="214">
        <v>0</v>
      </c>
      <c r="AE215" s="214">
        <v>0</v>
      </c>
      <c r="AF215" s="214">
        <v>0</v>
      </c>
      <c r="AG215" s="214">
        <v>0</v>
      </c>
      <c r="AH215" s="214">
        <v>0</v>
      </c>
      <c r="AI215" s="87">
        <v>14760</v>
      </c>
      <c r="AJ215" s="87">
        <v>0</v>
      </c>
      <c r="AK215" s="87">
        <v>14760</v>
      </c>
      <c r="AL215" s="87">
        <v>14760</v>
      </c>
      <c r="AM215" s="87">
        <v>2574000</v>
      </c>
      <c r="AN215" s="87">
        <v>14760</v>
      </c>
      <c r="AO215" s="87">
        <v>14760</v>
      </c>
      <c r="AP215" s="87">
        <v>14000</v>
      </c>
      <c r="AQ215" s="88">
        <v>0</v>
      </c>
      <c r="AR215" s="88">
        <v>0</v>
      </c>
      <c r="AS215" s="88">
        <v>0</v>
      </c>
      <c r="AT215" s="88">
        <v>0</v>
      </c>
      <c r="AU215" s="88">
        <v>0</v>
      </c>
      <c r="AV215" s="88">
        <v>0</v>
      </c>
      <c r="AW215" s="88">
        <v>0</v>
      </c>
      <c r="AX215" s="88">
        <v>0</v>
      </c>
      <c r="AY215" s="87">
        <v>0</v>
      </c>
      <c r="AZ215" s="87">
        <v>0</v>
      </c>
      <c r="BA215" s="87">
        <v>0</v>
      </c>
      <c r="BB215" s="87">
        <v>0</v>
      </c>
      <c r="BC215" s="87">
        <v>0</v>
      </c>
      <c r="BD215" s="87">
        <v>0</v>
      </c>
      <c r="BE215" s="87">
        <v>0</v>
      </c>
      <c r="BF215" s="87">
        <v>0</v>
      </c>
      <c r="BG215" s="88">
        <v>0</v>
      </c>
      <c r="BH215" s="88">
        <v>0</v>
      </c>
      <c r="BI215" s="88">
        <v>0</v>
      </c>
      <c r="BJ215" s="88">
        <v>0</v>
      </c>
      <c r="BK215" s="88">
        <v>0</v>
      </c>
      <c r="BL215" s="88">
        <v>0</v>
      </c>
      <c r="BM215" s="88">
        <v>0</v>
      </c>
      <c r="BN215" s="590">
        <v>0</v>
      </c>
      <c r="BO215" s="171">
        <v>2023</v>
      </c>
      <c r="BP215" s="171">
        <v>1</v>
      </c>
      <c r="BQ215" s="171">
        <v>19</v>
      </c>
      <c r="BS215" s="76" t="str">
        <f t="shared" si="6"/>
        <v>○</v>
      </c>
    </row>
    <row r="216" spans="1:71" x14ac:dyDescent="0.2">
      <c r="A216" s="210">
        <v>1405</v>
      </c>
      <c r="B216" s="211"/>
      <c r="C216" s="212"/>
      <c r="D216" s="211"/>
      <c r="E216" s="212"/>
      <c r="F216" s="211"/>
      <c r="G216" s="211"/>
      <c r="H216" s="212"/>
      <c r="I216" s="211"/>
      <c r="J216" s="211"/>
      <c r="K216" s="211"/>
      <c r="L216" s="171"/>
      <c r="M216" s="171" t="s">
        <v>498</v>
      </c>
      <c r="N216" s="171" t="s">
        <v>299</v>
      </c>
      <c r="O216" s="171" t="s">
        <v>292</v>
      </c>
      <c r="P216" s="171" t="s">
        <v>916</v>
      </c>
      <c r="Q216" s="171"/>
      <c r="R216" s="213">
        <v>100000</v>
      </c>
      <c r="S216" s="87">
        <v>0</v>
      </c>
      <c r="T216" s="87">
        <v>0</v>
      </c>
      <c r="U216" s="87">
        <v>0</v>
      </c>
      <c r="V216" s="87">
        <v>0</v>
      </c>
      <c r="W216" s="87">
        <v>0</v>
      </c>
      <c r="X216" s="87">
        <v>0</v>
      </c>
      <c r="Y216" s="87">
        <v>0</v>
      </c>
      <c r="Z216" s="87">
        <v>0</v>
      </c>
      <c r="AA216" s="214">
        <v>0</v>
      </c>
      <c r="AB216" s="214">
        <v>0</v>
      </c>
      <c r="AC216" s="214">
        <v>0</v>
      </c>
      <c r="AD216" s="214">
        <v>0</v>
      </c>
      <c r="AE216" s="214">
        <v>0</v>
      </c>
      <c r="AF216" s="214">
        <v>0</v>
      </c>
      <c r="AG216" s="214">
        <v>0</v>
      </c>
      <c r="AH216" s="214">
        <v>0</v>
      </c>
      <c r="AI216" s="87">
        <v>100255</v>
      </c>
      <c r="AJ216" s="87">
        <v>0</v>
      </c>
      <c r="AK216" s="87">
        <v>100255</v>
      </c>
      <c r="AL216" s="87">
        <v>100255</v>
      </c>
      <c r="AM216" s="87">
        <v>7128000</v>
      </c>
      <c r="AN216" s="87">
        <v>100255</v>
      </c>
      <c r="AO216" s="87">
        <v>100255</v>
      </c>
      <c r="AP216" s="87">
        <v>100000</v>
      </c>
      <c r="AQ216" s="88">
        <v>0</v>
      </c>
      <c r="AR216" s="88">
        <v>0</v>
      </c>
      <c r="AS216" s="88">
        <v>0</v>
      </c>
      <c r="AT216" s="88">
        <v>0</v>
      </c>
      <c r="AU216" s="88">
        <v>0</v>
      </c>
      <c r="AV216" s="88">
        <v>0</v>
      </c>
      <c r="AW216" s="88">
        <v>0</v>
      </c>
      <c r="AX216" s="88">
        <v>0</v>
      </c>
      <c r="AY216" s="87">
        <v>0</v>
      </c>
      <c r="AZ216" s="87">
        <v>0</v>
      </c>
      <c r="BA216" s="87">
        <v>0</v>
      </c>
      <c r="BB216" s="87">
        <v>0</v>
      </c>
      <c r="BC216" s="87">
        <v>0</v>
      </c>
      <c r="BD216" s="87">
        <v>0</v>
      </c>
      <c r="BE216" s="87">
        <v>0</v>
      </c>
      <c r="BF216" s="87">
        <v>0</v>
      </c>
      <c r="BG216" s="88">
        <v>0</v>
      </c>
      <c r="BH216" s="88">
        <v>0</v>
      </c>
      <c r="BI216" s="88">
        <v>0</v>
      </c>
      <c r="BJ216" s="88">
        <v>0</v>
      </c>
      <c r="BK216" s="88">
        <v>0</v>
      </c>
      <c r="BL216" s="88">
        <v>0</v>
      </c>
      <c r="BM216" s="88">
        <v>0</v>
      </c>
      <c r="BN216" s="590">
        <v>0</v>
      </c>
      <c r="BO216" s="171">
        <v>2023</v>
      </c>
      <c r="BP216" s="171">
        <v>1</v>
      </c>
      <c r="BQ216" s="171">
        <v>19</v>
      </c>
      <c r="BS216" s="76" t="str">
        <f t="shared" si="6"/>
        <v>○</v>
      </c>
    </row>
    <row r="217" spans="1:71" x14ac:dyDescent="0.2">
      <c r="A217" s="210">
        <v>1406</v>
      </c>
      <c r="B217" s="211"/>
      <c r="C217" s="212"/>
      <c r="D217" s="211"/>
      <c r="E217" s="212"/>
      <c r="F217" s="211"/>
      <c r="G217" s="211"/>
      <c r="H217" s="212"/>
      <c r="I217" s="211"/>
      <c r="J217" s="211"/>
      <c r="K217" s="211"/>
      <c r="L217" s="171"/>
      <c r="M217" s="171" t="s">
        <v>599</v>
      </c>
      <c r="N217" s="171" t="s">
        <v>272</v>
      </c>
      <c r="O217" s="171" t="s">
        <v>600</v>
      </c>
      <c r="P217" s="171" t="s">
        <v>916</v>
      </c>
      <c r="Q217" s="171"/>
      <c r="R217" s="213">
        <v>356000</v>
      </c>
      <c r="S217" s="87">
        <v>0</v>
      </c>
      <c r="T217" s="87">
        <v>0</v>
      </c>
      <c r="U217" s="87">
        <v>0</v>
      </c>
      <c r="V217" s="87">
        <v>0</v>
      </c>
      <c r="W217" s="87">
        <v>0</v>
      </c>
      <c r="X217" s="87">
        <v>0</v>
      </c>
      <c r="Y217" s="87">
        <v>0</v>
      </c>
      <c r="Z217" s="87">
        <v>0</v>
      </c>
      <c r="AA217" s="214">
        <v>0</v>
      </c>
      <c r="AB217" s="214">
        <v>0</v>
      </c>
      <c r="AC217" s="214">
        <v>0</v>
      </c>
      <c r="AD217" s="214">
        <v>0</v>
      </c>
      <c r="AE217" s="214">
        <v>0</v>
      </c>
      <c r="AF217" s="214">
        <v>0</v>
      </c>
      <c r="AG217" s="214">
        <v>0</v>
      </c>
      <c r="AH217" s="214">
        <v>0</v>
      </c>
      <c r="AI217" s="87">
        <v>356960</v>
      </c>
      <c r="AJ217" s="87">
        <v>0</v>
      </c>
      <c r="AK217" s="87">
        <v>356960</v>
      </c>
      <c r="AL217" s="87">
        <v>356960</v>
      </c>
      <c r="AM217" s="87">
        <v>1044000</v>
      </c>
      <c r="AN217" s="87">
        <v>356960</v>
      </c>
      <c r="AO217" s="87">
        <v>356960</v>
      </c>
      <c r="AP217" s="87">
        <v>356000</v>
      </c>
      <c r="AQ217" s="88">
        <v>0</v>
      </c>
      <c r="AR217" s="88">
        <v>0</v>
      </c>
      <c r="AS217" s="88">
        <v>0</v>
      </c>
      <c r="AT217" s="88">
        <v>0</v>
      </c>
      <c r="AU217" s="88">
        <v>0</v>
      </c>
      <c r="AV217" s="88">
        <v>0</v>
      </c>
      <c r="AW217" s="88">
        <v>0</v>
      </c>
      <c r="AX217" s="88">
        <v>0</v>
      </c>
      <c r="AY217" s="87">
        <v>0</v>
      </c>
      <c r="AZ217" s="87">
        <v>0</v>
      </c>
      <c r="BA217" s="87">
        <v>0</v>
      </c>
      <c r="BB217" s="87">
        <v>0</v>
      </c>
      <c r="BC217" s="87">
        <v>0</v>
      </c>
      <c r="BD217" s="87">
        <v>0</v>
      </c>
      <c r="BE217" s="87">
        <v>0</v>
      </c>
      <c r="BF217" s="87">
        <v>0</v>
      </c>
      <c r="BG217" s="88">
        <v>0</v>
      </c>
      <c r="BH217" s="88">
        <v>0</v>
      </c>
      <c r="BI217" s="88">
        <v>0</v>
      </c>
      <c r="BJ217" s="88">
        <v>0</v>
      </c>
      <c r="BK217" s="88">
        <v>0</v>
      </c>
      <c r="BL217" s="88">
        <v>0</v>
      </c>
      <c r="BM217" s="88">
        <v>0</v>
      </c>
      <c r="BN217" s="590">
        <v>0</v>
      </c>
      <c r="BO217" s="171">
        <v>2023</v>
      </c>
      <c r="BP217" s="171">
        <v>1</v>
      </c>
      <c r="BQ217" s="171">
        <v>19</v>
      </c>
      <c r="BS217" s="76" t="str">
        <f t="shared" si="6"/>
        <v>○</v>
      </c>
    </row>
    <row r="218" spans="1:71" x14ac:dyDescent="0.2">
      <c r="A218" s="210">
        <v>1407</v>
      </c>
      <c r="B218" s="211"/>
      <c r="C218" s="212"/>
      <c r="D218" s="211"/>
      <c r="E218" s="212"/>
      <c r="F218" s="211"/>
      <c r="G218" s="211"/>
      <c r="H218" s="212"/>
      <c r="I218" s="211"/>
      <c r="J218" s="211"/>
      <c r="K218" s="211"/>
      <c r="L218" s="171"/>
      <c r="M218" s="171" t="s">
        <v>366</v>
      </c>
      <c r="N218" s="171" t="s">
        <v>272</v>
      </c>
      <c r="O218" s="171" t="s">
        <v>367</v>
      </c>
      <c r="P218" s="171" t="s">
        <v>916</v>
      </c>
      <c r="Q218" s="171"/>
      <c r="R218" s="213">
        <v>794000</v>
      </c>
      <c r="S218" s="87">
        <v>0</v>
      </c>
      <c r="T218" s="87">
        <v>0</v>
      </c>
      <c r="U218" s="87">
        <v>0</v>
      </c>
      <c r="V218" s="87">
        <v>0</v>
      </c>
      <c r="W218" s="87">
        <v>0</v>
      </c>
      <c r="X218" s="87">
        <v>0</v>
      </c>
      <c r="Y218" s="87">
        <v>0</v>
      </c>
      <c r="Z218" s="87">
        <v>0</v>
      </c>
      <c r="AA218" s="214">
        <v>0</v>
      </c>
      <c r="AB218" s="214">
        <v>0</v>
      </c>
      <c r="AC218" s="214">
        <v>0</v>
      </c>
      <c r="AD218" s="214">
        <v>0</v>
      </c>
      <c r="AE218" s="214">
        <v>0</v>
      </c>
      <c r="AF218" s="214">
        <v>0</v>
      </c>
      <c r="AG218" s="214">
        <v>0</v>
      </c>
      <c r="AH218" s="214">
        <v>0</v>
      </c>
      <c r="AI218" s="87">
        <v>794640</v>
      </c>
      <c r="AJ218" s="87">
        <v>0</v>
      </c>
      <c r="AK218" s="87">
        <v>794640</v>
      </c>
      <c r="AL218" s="87">
        <v>794640</v>
      </c>
      <c r="AM218" s="87">
        <v>856800</v>
      </c>
      <c r="AN218" s="87">
        <v>794640</v>
      </c>
      <c r="AO218" s="87">
        <v>794640</v>
      </c>
      <c r="AP218" s="87">
        <v>794000</v>
      </c>
      <c r="AQ218" s="88">
        <v>0</v>
      </c>
      <c r="AR218" s="88">
        <v>0</v>
      </c>
      <c r="AS218" s="88">
        <v>0</v>
      </c>
      <c r="AT218" s="88">
        <v>0</v>
      </c>
      <c r="AU218" s="88">
        <v>0</v>
      </c>
      <c r="AV218" s="88">
        <v>0</v>
      </c>
      <c r="AW218" s="88">
        <v>0</v>
      </c>
      <c r="AX218" s="88">
        <v>0</v>
      </c>
      <c r="AY218" s="87">
        <v>0</v>
      </c>
      <c r="AZ218" s="87">
        <v>0</v>
      </c>
      <c r="BA218" s="87">
        <v>0</v>
      </c>
      <c r="BB218" s="87">
        <v>0</v>
      </c>
      <c r="BC218" s="87">
        <v>0</v>
      </c>
      <c r="BD218" s="87">
        <v>0</v>
      </c>
      <c r="BE218" s="87">
        <v>0</v>
      </c>
      <c r="BF218" s="87">
        <v>0</v>
      </c>
      <c r="BG218" s="88">
        <v>0</v>
      </c>
      <c r="BH218" s="88">
        <v>0</v>
      </c>
      <c r="BI218" s="88">
        <v>0</v>
      </c>
      <c r="BJ218" s="88">
        <v>0</v>
      </c>
      <c r="BK218" s="88">
        <v>0</v>
      </c>
      <c r="BL218" s="88">
        <v>0</v>
      </c>
      <c r="BM218" s="88">
        <v>0</v>
      </c>
      <c r="BN218" s="590">
        <v>0</v>
      </c>
      <c r="BO218" s="171">
        <v>2023</v>
      </c>
      <c r="BP218" s="171">
        <v>1</v>
      </c>
      <c r="BQ218" s="171">
        <v>19</v>
      </c>
      <c r="BS218" s="76" t="str">
        <f t="shared" si="6"/>
        <v>○</v>
      </c>
    </row>
    <row r="219" spans="1:71" x14ac:dyDescent="0.2">
      <c r="A219" s="210">
        <v>1408</v>
      </c>
      <c r="B219" s="211"/>
      <c r="C219" s="212"/>
      <c r="D219" s="211"/>
      <c r="E219" s="212"/>
      <c r="F219" s="211"/>
      <c r="G219" s="211"/>
      <c r="H219" s="212"/>
      <c r="I219" s="211"/>
      <c r="J219" s="211"/>
      <c r="K219" s="211"/>
      <c r="L219" s="171"/>
      <c r="M219" s="171" t="s">
        <v>601</v>
      </c>
      <c r="N219" s="171" t="s">
        <v>289</v>
      </c>
      <c r="O219" s="171" t="s">
        <v>282</v>
      </c>
      <c r="P219" s="171" t="s">
        <v>916</v>
      </c>
      <c r="Q219" s="171"/>
      <c r="R219" s="213">
        <v>1731000</v>
      </c>
      <c r="S219" s="87">
        <v>0</v>
      </c>
      <c r="T219" s="87">
        <v>0</v>
      </c>
      <c r="U219" s="87">
        <v>0</v>
      </c>
      <c r="V219" s="87">
        <v>0</v>
      </c>
      <c r="W219" s="87">
        <v>0</v>
      </c>
      <c r="X219" s="87">
        <v>0</v>
      </c>
      <c r="Y219" s="87">
        <v>0</v>
      </c>
      <c r="Z219" s="87">
        <v>0</v>
      </c>
      <c r="AA219" s="214">
        <v>0</v>
      </c>
      <c r="AB219" s="214">
        <v>0</v>
      </c>
      <c r="AC219" s="214">
        <v>0</v>
      </c>
      <c r="AD219" s="214">
        <v>0</v>
      </c>
      <c r="AE219" s="214">
        <v>0</v>
      </c>
      <c r="AF219" s="214">
        <v>0</v>
      </c>
      <c r="AG219" s="214">
        <v>0</v>
      </c>
      <c r="AH219" s="214">
        <v>0</v>
      </c>
      <c r="AI219" s="87">
        <v>1731959</v>
      </c>
      <c r="AJ219" s="87">
        <v>0</v>
      </c>
      <c r="AK219" s="87">
        <v>1731959</v>
      </c>
      <c r="AL219" s="87">
        <v>1731959</v>
      </c>
      <c r="AM219" s="87">
        <v>4320000</v>
      </c>
      <c r="AN219" s="87">
        <v>1731959</v>
      </c>
      <c r="AO219" s="87">
        <v>1731959</v>
      </c>
      <c r="AP219" s="87">
        <v>1731000</v>
      </c>
      <c r="AQ219" s="88">
        <v>0</v>
      </c>
      <c r="AR219" s="88">
        <v>0</v>
      </c>
      <c r="AS219" s="88">
        <v>0</v>
      </c>
      <c r="AT219" s="88">
        <v>0</v>
      </c>
      <c r="AU219" s="88">
        <v>0</v>
      </c>
      <c r="AV219" s="88">
        <v>0</v>
      </c>
      <c r="AW219" s="88">
        <v>0</v>
      </c>
      <c r="AX219" s="88">
        <v>0</v>
      </c>
      <c r="AY219" s="87">
        <v>0</v>
      </c>
      <c r="AZ219" s="87">
        <v>0</v>
      </c>
      <c r="BA219" s="87">
        <v>0</v>
      </c>
      <c r="BB219" s="87">
        <v>0</v>
      </c>
      <c r="BC219" s="87">
        <v>0</v>
      </c>
      <c r="BD219" s="87">
        <v>0</v>
      </c>
      <c r="BE219" s="87">
        <v>0</v>
      </c>
      <c r="BF219" s="87">
        <v>0</v>
      </c>
      <c r="BG219" s="88">
        <v>0</v>
      </c>
      <c r="BH219" s="88">
        <v>0</v>
      </c>
      <c r="BI219" s="88">
        <v>0</v>
      </c>
      <c r="BJ219" s="88">
        <v>0</v>
      </c>
      <c r="BK219" s="88">
        <v>0</v>
      </c>
      <c r="BL219" s="88">
        <v>0</v>
      </c>
      <c r="BM219" s="88">
        <v>0</v>
      </c>
      <c r="BN219" s="590">
        <v>0</v>
      </c>
      <c r="BO219" s="171">
        <v>2023</v>
      </c>
      <c r="BP219" s="171">
        <v>1</v>
      </c>
      <c r="BQ219" s="171">
        <v>19</v>
      </c>
      <c r="BS219" s="76" t="str">
        <f t="shared" si="6"/>
        <v>○</v>
      </c>
    </row>
    <row r="220" spans="1:71" x14ac:dyDescent="0.2">
      <c r="A220" s="210">
        <v>1409</v>
      </c>
      <c r="B220" s="211"/>
      <c r="C220" s="212"/>
      <c r="D220" s="211"/>
      <c r="E220" s="212"/>
      <c r="F220" s="211"/>
      <c r="G220" s="211"/>
      <c r="H220" s="212"/>
      <c r="I220" s="211"/>
      <c r="J220" s="211"/>
      <c r="K220" s="211"/>
      <c r="L220" s="171"/>
      <c r="M220" s="171" t="s">
        <v>602</v>
      </c>
      <c r="N220" s="171" t="s">
        <v>603</v>
      </c>
      <c r="O220" s="171" t="s">
        <v>604</v>
      </c>
      <c r="P220" s="171" t="s">
        <v>916</v>
      </c>
      <c r="Q220" s="171"/>
      <c r="R220" s="213">
        <v>368000</v>
      </c>
      <c r="S220" s="87">
        <v>0</v>
      </c>
      <c r="T220" s="87">
        <v>0</v>
      </c>
      <c r="U220" s="87">
        <v>0</v>
      </c>
      <c r="V220" s="87">
        <v>0</v>
      </c>
      <c r="W220" s="87">
        <v>0</v>
      </c>
      <c r="X220" s="87">
        <v>0</v>
      </c>
      <c r="Y220" s="87">
        <v>0</v>
      </c>
      <c r="Z220" s="87">
        <v>0</v>
      </c>
      <c r="AA220" s="214">
        <v>0</v>
      </c>
      <c r="AB220" s="214">
        <v>0</v>
      </c>
      <c r="AC220" s="214">
        <v>0</v>
      </c>
      <c r="AD220" s="214">
        <v>0</v>
      </c>
      <c r="AE220" s="214">
        <v>0</v>
      </c>
      <c r="AF220" s="214">
        <v>0</v>
      </c>
      <c r="AG220" s="214">
        <v>0</v>
      </c>
      <c r="AH220" s="214">
        <v>0</v>
      </c>
      <c r="AI220" s="87">
        <v>368530</v>
      </c>
      <c r="AJ220" s="87">
        <v>0</v>
      </c>
      <c r="AK220" s="87">
        <v>368530</v>
      </c>
      <c r="AL220" s="87">
        <v>368530</v>
      </c>
      <c r="AM220" s="87">
        <v>5292000</v>
      </c>
      <c r="AN220" s="87">
        <v>368530</v>
      </c>
      <c r="AO220" s="87">
        <v>368530</v>
      </c>
      <c r="AP220" s="87">
        <v>368000</v>
      </c>
      <c r="AQ220" s="88">
        <v>0</v>
      </c>
      <c r="AR220" s="88">
        <v>0</v>
      </c>
      <c r="AS220" s="88">
        <v>0</v>
      </c>
      <c r="AT220" s="88">
        <v>0</v>
      </c>
      <c r="AU220" s="88">
        <v>0</v>
      </c>
      <c r="AV220" s="88">
        <v>0</v>
      </c>
      <c r="AW220" s="88">
        <v>0</v>
      </c>
      <c r="AX220" s="88">
        <v>0</v>
      </c>
      <c r="AY220" s="87">
        <v>0</v>
      </c>
      <c r="AZ220" s="87">
        <v>0</v>
      </c>
      <c r="BA220" s="87">
        <v>0</v>
      </c>
      <c r="BB220" s="87">
        <v>0</v>
      </c>
      <c r="BC220" s="87">
        <v>0</v>
      </c>
      <c r="BD220" s="87">
        <v>0</v>
      </c>
      <c r="BE220" s="87">
        <v>0</v>
      </c>
      <c r="BF220" s="87">
        <v>0</v>
      </c>
      <c r="BG220" s="88">
        <v>0</v>
      </c>
      <c r="BH220" s="88">
        <v>0</v>
      </c>
      <c r="BI220" s="88">
        <v>0</v>
      </c>
      <c r="BJ220" s="88">
        <v>0</v>
      </c>
      <c r="BK220" s="88">
        <v>0</v>
      </c>
      <c r="BL220" s="88">
        <v>0</v>
      </c>
      <c r="BM220" s="88">
        <v>0</v>
      </c>
      <c r="BN220" s="590">
        <v>0</v>
      </c>
      <c r="BO220" s="171">
        <v>2023</v>
      </c>
      <c r="BP220" s="171">
        <v>1</v>
      </c>
      <c r="BQ220" s="171">
        <v>19</v>
      </c>
      <c r="BS220" s="76" t="str">
        <f t="shared" si="6"/>
        <v>○</v>
      </c>
    </row>
    <row r="221" spans="1:71" s="222" customFormat="1" x14ac:dyDescent="0.2">
      <c r="A221" s="216">
        <v>1410</v>
      </c>
      <c r="B221" s="217"/>
      <c r="C221" s="218"/>
      <c r="D221" s="217"/>
      <c r="E221" s="218"/>
      <c r="F221" s="217"/>
      <c r="G221" s="217"/>
      <c r="H221" s="218"/>
      <c r="I221" s="217"/>
      <c r="J221" s="217"/>
      <c r="K221" s="217"/>
      <c r="L221" s="219"/>
      <c r="M221" s="219" t="s">
        <v>605</v>
      </c>
      <c r="N221" s="219" t="s">
        <v>269</v>
      </c>
      <c r="O221" s="220" t="s">
        <v>606</v>
      </c>
      <c r="P221" s="219" t="s">
        <v>916</v>
      </c>
      <c r="Q221" s="220"/>
      <c r="R221" s="86">
        <v>198000</v>
      </c>
      <c r="S221" s="221">
        <v>0</v>
      </c>
      <c r="T221" s="221">
        <v>0</v>
      </c>
      <c r="U221" s="221">
        <v>0</v>
      </c>
      <c r="V221" s="221">
        <v>0</v>
      </c>
      <c r="W221" s="221">
        <v>0</v>
      </c>
      <c r="X221" s="221">
        <v>0</v>
      </c>
      <c r="Y221" s="221">
        <v>0</v>
      </c>
      <c r="Z221" s="221">
        <v>0</v>
      </c>
      <c r="AA221" s="86">
        <v>0</v>
      </c>
      <c r="AB221" s="86">
        <v>0</v>
      </c>
      <c r="AC221" s="86">
        <v>0</v>
      </c>
      <c r="AD221" s="86">
        <v>0</v>
      </c>
      <c r="AE221" s="86">
        <v>0</v>
      </c>
      <c r="AF221" s="86">
        <v>0</v>
      </c>
      <c r="AG221" s="86">
        <v>0</v>
      </c>
      <c r="AH221" s="86">
        <v>0</v>
      </c>
      <c r="AI221" s="221">
        <v>198124</v>
      </c>
      <c r="AJ221" s="221">
        <v>0</v>
      </c>
      <c r="AK221" s="221">
        <v>198124</v>
      </c>
      <c r="AL221" s="221">
        <v>198124</v>
      </c>
      <c r="AM221" s="221">
        <v>3456000</v>
      </c>
      <c r="AN221" s="221">
        <v>198124</v>
      </c>
      <c r="AO221" s="221">
        <v>198124</v>
      </c>
      <c r="AP221" s="221">
        <v>198000</v>
      </c>
      <c r="AQ221" s="86">
        <v>0</v>
      </c>
      <c r="AR221" s="86">
        <v>0</v>
      </c>
      <c r="AS221" s="86">
        <v>0</v>
      </c>
      <c r="AT221" s="86">
        <v>0</v>
      </c>
      <c r="AU221" s="86">
        <v>0</v>
      </c>
      <c r="AV221" s="86">
        <v>0</v>
      </c>
      <c r="AW221" s="86">
        <v>0</v>
      </c>
      <c r="AX221" s="86">
        <v>0</v>
      </c>
      <c r="AY221" s="221">
        <v>0</v>
      </c>
      <c r="AZ221" s="221">
        <v>0</v>
      </c>
      <c r="BA221" s="221">
        <v>0</v>
      </c>
      <c r="BB221" s="221">
        <v>0</v>
      </c>
      <c r="BC221" s="221">
        <v>0</v>
      </c>
      <c r="BD221" s="221">
        <v>0</v>
      </c>
      <c r="BE221" s="221">
        <v>0</v>
      </c>
      <c r="BF221" s="221">
        <v>0</v>
      </c>
      <c r="BG221" s="86">
        <v>0</v>
      </c>
      <c r="BH221" s="86">
        <v>0</v>
      </c>
      <c r="BI221" s="86">
        <v>0</v>
      </c>
      <c r="BJ221" s="86">
        <v>0</v>
      </c>
      <c r="BK221" s="86">
        <v>0</v>
      </c>
      <c r="BL221" s="86">
        <v>0</v>
      </c>
      <c r="BM221" s="86">
        <v>0</v>
      </c>
      <c r="BN221" s="591">
        <v>0</v>
      </c>
      <c r="BO221" s="219">
        <v>2023</v>
      </c>
      <c r="BP221" s="219">
        <v>3</v>
      </c>
      <c r="BQ221" s="219">
        <v>30</v>
      </c>
    </row>
    <row r="222" spans="1:71" x14ac:dyDescent="0.2">
      <c r="A222" s="210">
        <v>1411</v>
      </c>
      <c r="B222" s="211"/>
      <c r="C222" s="212"/>
      <c r="D222" s="211"/>
      <c r="E222" s="212"/>
      <c r="F222" s="211"/>
      <c r="G222" s="211"/>
      <c r="H222" s="212"/>
      <c r="I222" s="211"/>
      <c r="J222" s="211"/>
      <c r="K222" s="211"/>
      <c r="L222" s="171"/>
      <c r="M222" s="171" t="s">
        <v>456</v>
      </c>
      <c r="N222" s="171" t="s">
        <v>302</v>
      </c>
      <c r="O222" s="171" t="s">
        <v>270</v>
      </c>
      <c r="P222" s="171" t="s">
        <v>916</v>
      </c>
      <c r="Q222" s="171"/>
      <c r="R222" s="213">
        <v>66000</v>
      </c>
      <c r="S222" s="87">
        <v>0</v>
      </c>
      <c r="T222" s="87">
        <v>0</v>
      </c>
      <c r="U222" s="87">
        <v>0</v>
      </c>
      <c r="V222" s="87">
        <v>0</v>
      </c>
      <c r="W222" s="87">
        <v>0</v>
      </c>
      <c r="X222" s="87">
        <v>0</v>
      </c>
      <c r="Y222" s="87">
        <v>0</v>
      </c>
      <c r="Z222" s="87">
        <v>0</v>
      </c>
      <c r="AA222" s="214">
        <v>0</v>
      </c>
      <c r="AB222" s="214">
        <v>0</v>
      </c>
      <c r="AC222" s="214">
        <v>0</v>
      </c>
      <c r="AD222" s="214">
        <v>0</v>
      </c>
      <c r="AE222" s="214">
        <v>0</v>
      </c>
      <c r="AF222" s="214">
        <v>0</v>
      </c>
      <c r="AG222" s="214">
        <v>0</v>
      </c>
      <c r="AH222" s="214">
        <v>0</v>
      </c>
      <c r="AI222" s="87">
        <v>66748</v>
      </c>
      <c r="AJ222" s="87">
        <v>0</v>
      </c>
      <c r="AK222" s="87">
        <v>66748</v>
      </c>
      <c r="AL222" s="87">
        <v>66748</v>
      </c>
      <c r="AM222" s="87">
        <v>3654000</v>
      </c>
      <c r="AN222" s="87">
        <v>66748</v>
      </c>
      <c r="AO222" s="87">
        <v>66748</v>
      </c>
      <c r="AP222" s="87">
        <v>66000</v>
      </c>
      <c r="AQ222" s="88">
        <v>0</v>
      </c>
      <c r="AR222" s="88">
        <v>0</v>
      </c>
      <c r="AS222" s="88">
        <v>0</v>
      </c>
      <c r="AT222" s="88">
        <v>0</v>
      </c>
      <c r="AU222" s="88">
        <v>0</v>
      </c>
      <c r="AV222" s="88">
        <v>0</v>
      </c>
      <c r="AW222" s="88">
        <v>0</v>
      </c>
      <c r="AX222" s="88">
        <v>0</v>
      </c>
      <c r="AY222" s="87">
        <v>0</v>
      </c>
      <c r="AZ222" s="87">
        <v>0</v>
      </c>
      <c r="BA222" s="87">
        <v>0</v>
      </c>
      <c r="BB222" s="87">
        <v>0</v>
      </c>
      <c r="BC222" s="87">
        <v>0</v>
      </c>
      <c r="BD222" s="87">
        <v>0</v>
      </c>
      <c r="BE222" s="87">
        <v>0</v>
      </c>
      <c r="BF222" s="87">
        <v>0</v>
      </c>
      <c r="BG222" s="88">
        <v>0</v>
      </c>
      <c r="BH222" s="88">
        <v>0</v>
      </c>
      <c r="BI222" s="88">
        <v>0</v>
      </c>
      <c r="BJ222" s="88">
        <v>0</v>
      </c>
      <c r="BK222" s="88">
        <v>0</v>
      </c>
      <c r="BL222" s="88">
        <v>0</v>
      </c>
      <c r="BM222" s="88">
        <v>0</v>
      </c>
      <c r="BN222" s="590">
        <v>0</v>
      </c>
      <c r="BO222" s="171">
        <v>2023</v>
      </c>
      <c r="BP222" s="171">
        <v>1</v>
      </c>
      <c r="BQ222" s="171">
        <v>19</v>
      </c>
      <c r="BS222" s="76" t="str">
        <f t="shared" ref="BS222:BS253" si="7">IF(R222=SUM(Z222,AH222,AP222,BF222,BN222),"○","×")</f>
        <v>○</v>
      </c>
    </row>
    <row r="223" spans="1:71" x14ac:dyDescent="0.2">
      <c r="A223" s="210">
        <v>1412</v>
      </c>
      <c r="B223" s="211"/>
      <c r="C223" s="212"/>
      <c r="D223" s="211"/>
      <c r="E223" s="212"/>
      <c r="F223" s="211"/>
      <c r="G223" s="211"/>
      <c r="H223" s="212"/>
      <c r="I223" s="211"/>
      <c r="J223" s="211"/>
      <c r="K223" s="211"/>
      <c r="L223" s="171"/>
      <c r="M223" s="171" t="s">
        <v>607</v>
      </c>
      <c r="N223" s="171" t="s">
        <v>286</v>
      </c>
      <c r="O223" s="171" t="s">
        <v>608</v>
      </c>
      <c r="P223" s="171" t="s">
        <v>916</v>
      </c>
      <c r="Q223" s="171"/>
      <c r="R223" s="213">
        <v>209000</v>
      </c>
      <c r="S223" s="87">
        <v>0</v>
      </c>
      <c r="T223" s="87">
        <v>0</v>
      </c>
      <c r="U223" s="87">
        <v>0</v>
      </c>
      <c r="V223" s="87">
        <v>0</v>
      </c>
      <c r="W223" s="87">
        <v>0</v>
      </c>
      <c r="X223" s="87">
        <v>0</v>
      </c>
      <c r="Y223" s="87">
        <v>0</v>
      </c>
      <c r="Z223" s="87">
        <v>0</v>
      </c>
      <c r="AA223" s="214">
        <v>0</v>
      </c>
      <c r="AB223" s="214">
        <v>0</v>
      </c>
      <c r="AC223" s="214">
        <v>0</v>
      </c>
      <c r="AD223" s="214">
        <v>0</v>
      </c>
      <c r="AE223" s="214">
        <v>0</v>
      </c>
      <c r="AF223" s="214">
        <v>0</v>
      </c>
      <c r="AG223" s="214">
        <v>0</v>
      </c>
      <c r="AH223" s="214">
        <v>0</v>
      </c>
      <c r="AI223" s="87">
        <v>209998</v>
      </c>
      <c r="AJ223" s="87">
        <v>0</v>
      </c>
      <c r="AK223" s="87">
        <v>209998</v>
      </c>
      <c r="AL223" s="87">
        <v>209998</v>
      </c>
      <c r="AM223" s="87">
        <v>986400</v>
      </c>
      <c r="AN223" s="87">
        <v>209998</v>
      </c>
      <c r="AO223" s="87">
        <v>209998</v>
      </c>
      <c r="AP223" s="87">
        <v>209000</v>
      </c>
      <c r="AQ223" s="88">
        <v>0</v>
      </c>
      <c r="AR223" s="88">
        <v>0</v>
      </c>
      <c r="AS223" s="88">
        <v>0</v>
      </c>
      <c r="AT223" s="88">
        <v>0</v>
      </c>
      <c r="AU223" s="88">
        <v>0</v>
      </c>
      <c r="AV223" s="88">
        <v>0</v>
      </c>
      <c r="AW223" s="88">
        <v>0</v>
      </c>
      <c r="AX223" s="88">
        <v>0</v>
      </c>
      <c r="AY223" s="87">
        <v>0</v>
      </c>
      <c r="AZ223" s="87">
        <v>0</v>
      </c>
      <c r="BA223" s="87">
        <v>0</v>
      </c>
      <c r="BB223" s="87">
        <v>0</v>
      </c>
      <c r="BC223" s="87">
        <v>0</v>
      </c>
      <c r="BD223" s="87">
        <v>0</v>
      </c>
      <c r="BE223" s="87">
        <v>0</v>
      </c>
      <c r="BF223" s="87">
        <v>0</v>
      </c>
      <c r="BG223" s="88">
        <v>0</v>
      </c>
      <c r="BH223" s="88">
        <v>0</v>
      </c>
      <c r="BI223" s="88">
        <v>0</v>
      </c>
      <c r="BJ223" s="88">
        <v>0</v>
      </c>
      <c r="BK223" s="88">
        <v>0</v>
      </c>
      <c r="BL223" s="88">
        <v>0</v>
      </c>
      <c r="BM223" s="88">
        <v>0</v>
      </c>
      <c r="BN223" s="590">
        <v>0</v>
      </c>
      <c r="BO223" s="171">
        <v>2023</v>
      </c>
      <c r="BP223" s="171">
        <v>1</v>
      </c>
      <c r="BQ223" s="171">
        <v>19</v>
      </c>
      <c r="BS223" s="76" t="str">
        <f t="shared" si="7"/>
        <v>○</v>
      </c>
    </row>
    <row r="224" spans="1:71" x14ac:dyDescent="0.2">
      <c r="A224" s="210">
        <v>1413</v>
      </c>
      <c r="B224" s="211"/>
      <c r="C224" s="212"/>
      <c r="D224" s="211"/>
      <c r="E224" s="212"/>
      <c r="F224" s="211"/>
      <c r="G224" s="211"/>
      <c r="H224" s="212"/>
      <c r="I224" s="211"/>
      <c r="J224" s="211"/>
      <c r="K224" s="211"/>
      <c r="L224" s="171"/>
      <c r="M224" s="171" t="s">
        <v>609</v>
      </c>
      <c r="N224" s="171" t="s">
        <v>313</v>
      </c>
      <c r="O224" s="171" t="s">
        <v>452</v>
      </c>
      <c r="P224" s="171" t="s">
        <v>916</v>
      </c>
      <c r="Q224" s="171"/>
      <c r="R224" s="213">
        <v>1044000</v>
      </c>
      <c r="S224" s="87">
        <v>0</v>
      </c>
      <c r="T224" s="87">
        <v>0</v>
      </c>
      <c r="U224" s="87">
        <v>0</v>
      </c>
      <c r="V224" s="87">
        <v>0</v>
      </c>
      <c r="W224" s="87">
        <v>0</v>
      </c>
      <c r="X224" s="87">
        <v>0</v>
      </c>
      <c r="Y224" s="87">
        <v>0</v>
      </c>
      <c r="Z224" s="87">
        <v>0</v>
      </c>
      <c r="AA224" s="214">
        <v>0</v>
      </c>
      <c r="AB224" s="214">
        <v>0</v>
      </c>
      <c r="AC224" s="214">
        <v>0</v>
      </c>
      <c r="AD224" s="214">
        <v>0</v>
      </c>
      <c r="AE224" s="214">
        <v>0</v>
      </c>
      <c r="AF224" s="214">
        <v>0</v>
      </c>
      <c r="AG224" s="214">
        <v>0</v>
      </c>
      <c r="AH224" s="214">
        <v>0</v>
      </c>
      <c r="AI224" s="87">
        <v>1044340</v>
      </c>
      <c r="AJ224" s="87">
        <v>0</v>
      </c>
      <c r="AK224" s="87">
        <v>1044340</v>
      </c>
      <c r="AL224" s="87">
        <v>1044340</v>
      </c>
      <c r="AM224" s="87">
        <v>1499400</v>
      </c>
      <c r="AN224" s="87">
        <v>1044340</v>
      </c>
      <c r="AO224" s="87">
        <v>1044340</v>
      </c>
      <c r="AP224" s="87">
        <v>1044000</v>
      </c>
      <c r="AQ224" s="88">
        <v>0</v>
      </c>
      <c r="AR224" s="88">
        <v>0</v>
      </c>
      <c r="AS224" s="88">
        <v>0</v>
      </c>
      <c r="AT224" s="88">
        <v>0</v>
      </c>
      <c r="AU224" s="88">
        <v>0</v>
      </c>
      <c r="AV224" s="88">
        <v>0</v>
      </c>
      <c r="AW224" s="88">
        <v>0</v>
      </c>
      <c r="AX224" s="88">
        <v>0</v>
      </c>
      <c r="AY224" s="87">
        <v>0</v>
      </c>
      <c r="AZ224" s="87">
        <v>0</v>
      </c>
      <c r="BA224" s="87">
        <v>0</v>
      </c>
      <c r="BB224" s="87">
        <v>0</v>
      </c>
      <c r="BC224" s="87">
        <v>0</v>
      </c>
      <c r="BD224" s="87">
        <v>0</v>
      </c>
      <c r="BE224" s="87">
        <v>0</v>
      </c>
      <c r="BF224" s="87">
        <v>0</v>
      </c>
      <c r="BG224" s="88">
        <v>0</v>
      </c>
      <c r="BH224" s="88">
        <v>0</v>
      </c>
      <c r="BI224" s="88">
        <v>0</v>
      </c>
      <c r="BJ224" s="88">
        <v>0</v>
      </c>
      <c r="BK224" s="88">
        <v>0</v>
      </c>
      <c r="BL224" s="88">
        <v>0</v>
      </c>
      <c r="BM224" s="88">
        <v>0</v>
      </c>
      <c r="BN224" s="590">
        <v>0</v>
      </c>
      <c r="BO224" s="171">
        <v>2023</v>
      </c>
      <c r="BP224" s="171">
        <v>1</v>
      </c>
      <c r="BQ224" s="171">
        <v>19</v>
      </c>
      <c r="BS224" s="76" t="str">
        <f t="shared" si="7"/>
        <v>○</v>
      </c>
    </row>
    <row r="225" spans="1:71" x14ac:dyDescent="0.2">
      <c r="A225" s="210">
        <v>1414</v>
      </c>
      <c r="B225" s="211"/>
      <c r="C225" s="212"/>
      <c r="D225" s="211"/>
      <c r="E225" s="212"/>
      <c r="F225" s="211"/>
      <c r="G225" s="211"/>
      <c r="H225" s="212"/>
      <c r="I225" s="211"/>
      <c r="J225" s="211"/>
      <c r="K225" s="211"/>
      <c r="L225" s="171"/>
      <c r="M225" s="171" t="s">
        <v>610</v>
      </c>
      <c r="N225" s="171" t="s">
        <v>269</v>
      </c>
      <c r="O225" s="171" t="s">
        <v>476</v>
      </c>
      <c r="P225" s="171" t="s">
        <v>916</v>
      </c>
      <c r="Q225" s="171"/>
      <c r="R225" s="213">
        <v>325000</v>
      </c>
      <c r="S225" s="87">
        <v>0</v>
      </c>
      <c r="T225" s="87">
        <v>0</v>
      </c>
      <c r="U225" s="87">
        <v>0</v>
      </c>
      <c r="V225" s="87">
        <v>0</v>
      </c>
      <c r="W225" s="87">
        <v>0</v>
      </c>
      <c r="X225" s="87">
        <v>0</v>
      </c>
      <c r="Y225" s="87">
        <v>0</v>
      </c>
      <c r="Z225" s="87">
        <v>0</v>
      </c>
      <c r="AA225" s="214">
        <v>0</v>
      </c>
      <c r="AB225" s="214">
        <v>0</v>
      </c>
      <c r="AC225" s="214">
        <v>0</v>
      </c>
      <c r="AD225" s="214">
        <v>0</v>
      </c>
      <c r="AE225" s="214">
        <v>0</v>
      </c>
      <c r="AF225" s="214">
        <v>0</v>
      </c>
      <c r="AG225" s="214">
        <v>0</v>
      </c>
      <c r="AH225" s="214">
        <v>0</v>
      </c>
      <c r="AI225" s="87">
        <v>325490</v>
      </c>
      <c r="AJ225" s="87">
        <v>0</v>
      </c>
      <c r="AK225" s="87">
        <v>325490</v>
      </c>
      <c r="AL225" s="87">
        <v>325490</v>
      </c>
      <c r="AM225" s="87">
        <v>2592000</v>
      </c>
      <c r="AN225" s="87">
        <v>325490</v>
      </c>
      <c r="AO225" s="87">
        <v>325490</v>
      </c>
      <c r="AP225" s="87">
        <v>325000</v>
      </c>
      <c r="AQ225" s="88">
        <v>0</v>
      </c>
      <c r="AR225" s="88">
        <v>0</v>
      </c>
      <c r="AS225" s="88">
        <v>0</v>
      </c>
      <c r="AT225" s="88">
        <v>0</v>
      </c>
      <c r="AU225" s="88">
        <v>0</v>
      </c>
      <c r="AV225" s="88">
        <v>0</v>
      </c>
      <c r="AW225" s="88">
        <v>0</v>
      </c>
      <c r="AX225" s="88">
        <v>0</v>
      </c>
      <c r="AY225" s="87">
        <v>0</v>
      </c>
      <c r="AZ225" s="87">
        <v>0</v>
      </c>
      <c r="BA225" s="87">
        <v>0</v>
      </c>
      <c r="BB225" s="87">
        <v>0</v>
      </c>
      <c r="BC225" s="87">
        <v>0</v>
      </c>
      <c r="BD225" s="87">
        <v>0</v>
      </c>
      <c r="BE225" s="87">
        <v>0</v>
      </c>
      <c r="BF225" s="87">
        <v>0</v>
      </c>
      <c r="BG225" s="88">
        <v>0</v>
      </c>
      <c r="BH225" s="88">
        <v>0</v>
      </c>
      <c r="BI225" s="88">
        <v>0</v>
      </c>
      <c r="BJ225" s="88">
        <v>0</v>
      </c>
      <c r="BK225" s="88">
        <v>0</v>
      </c>
      <c r="BL225" s="88">
        <v>0</v>
      </c>
      <c r="BM225" s="88">
        <v>0</v>
      </c>
      <c r="BN225" s="590">
        <v>0</v>
      </c>
      <c r="BO225" s="171">
        <v>2023</v>
      </c>
      <c r="BP225" s="171">
        <v>1</v>
      </c>
      <c r="BQ225" s="171">
        <v>19</v>
      </c>
      <c r="BS225" s="76" t="str">
        <f t="shared" si="7"/>
        <v>○</v>
      </c>
    </row>
    <row r="226" spans="1:71" x14ac:dyDescent="0.2">
      <c r="A226" s="210">
        <v>1415</v>
      </c>
      <c r="B226" s="211"/>
      <c r="C226" s="212"/>
      <c r="D226" s="211"/>
      <c r="E226" s="212"/>
      <c r="F226" s="211"/>
      <c r="G226" s="211"/>
      <c r="H226" s="212"/>
      <c r="I226" s="211"/>
      <c r="J226" s="211"/>
      <c r="K226" s="211"/>
      <c r="L226" s="171"/>
      <c r="M226" s="171" t="s">
        <v>611</v>
      </c>
      <c r="N226" s="171" t="s">
        <v>302</v>
      </c>
      <c r="O226" s="171" t="s">
        <v>410</v>
      </c>
      <c r="P226" s="171" t="s">
        <v>916</v>
      </c>
      <c r="Q226" s="171"/>
      <c r="R226" s="213">
        <v>38000</v>
      </c>
      <c r="S226" s="87">
        <v>0</v>
      </c>
      <c r="T226" s="87">
        <v>0</v>
      </c>
      <c r="U226" s="87">
        <v>0</v>
      </c>
      <c r="V226" s="87">
        <v>0</v>
      </c>
      <c r="W226" s="87">
        <v>0</v>
      </c>
      <c r="X226" s="87">
        <v>0</v>
      </c>
      <c r="Y226" s="87">
        <v>0</v>
      </c>
      <c r="Z226" s="87">
        <v>0</v>
      </c>
      <c r="AA226" s="214">
        <v>0</v>
      </c>
      <c r="AB226" s="214">
        <v>0</v>
      </c>
      <c r="AC226" s="214">
        <v>0</v>
      </c>
      <c r="AD226" s="214">
        <v>0</v>
      </c>
      <c r="AE226" s="214">
        <v>0</v>
      </c>
      <c r="AF226" s="214">
        <v>0</v>
      </c>
      <c r="AG226" s="214">
        <v>0</v>
      </c>
      <c r="AH226" s="214">
        <v>0</v>
      </c>
      <c r="AI226" s="87">
        <v>38066</v>
      </c>
      <c r="AJ226" s="87">
        <v>0</v>
      </c>
      <c r="AK226" s="87">
        <v>38066</v>
      </c>
      <c r="AL226" s="87">
        <v>38066</v>
      </c>
      <c r="AM226" s="87">
        <v>1620000</v>
      </c>
      <c r="AN226" s="87">
        <v>38066</v>
      </c>
      <c r="AO226" s="87">
        <v>38066</v>
      </c>
      <c r="AP226" s="87">
        <v>38000</v>
      </c>
      <c r="AQ226" s="88">
        <v>0</v>
      </c>
      <c r="AR226" s="88">
        <v>0</v>
      </c>
      <c r="AS226" s="88">
        <v>0</v>
      </c>
      <c r="AT226" s="88">
        <v>0</v>
      </c>
      <c r="AU226" s="88">
        <v>0</v>
      </c>
      <c r="AV226" s="88">
        <v>0</v>
      </c>
      <c r="AW226" s="88">
        <v>0</v>
      </c>
      <c r="AX226" s="88">
        <v>0</v>
      </c>
      <c r="AY226" s="87">
        <v>0</v>
      </c>
      <c r="AZ226" s="87">
        <v>0</v>
      </c>
      <c r="BA226" s="87">
        <v>0</v>
      </c>
      <c r="BB226" s="87">
        <v>0</v>
      </c>
      <c r="BC226" s="87">
        <v>0</v>
      </c>
      <c r="BD226" s="87">
        <v>0</v>
      </c>
      <c r="BE226" s="87">
        <v>0</v>
      </c>
      <c r="BF226" s="87">
        <v>0</v>
      </c>
      <c r="BG226" s="88">
        <v>0</v>
      </c>
      <c r="BH226" s="88">
        <v>0</v>
      </c>
      <c r="BI226" s="88">
        <v>0</v>
      </c>
      <c r="BJ226" s="88">
        <v>0</v>
      </c>
      <c r="BK226" s="88">
        <v>0</v>
      </c>
      <c r="BL226" s="88">
        <v>0</v>
      </c>
      <c r="BM226" s="88">
        <v>0</v>
      </c>
      <c r="BN226" s="590">
        <v>0</v>
      </c>
      <c r="BO226" s="171">
        <v>2023</v>
      </c>
      <c r="BP226" s="171">
        <v>1</v>
      </c>
      <c r="BQ226" s="171">
        <v>19</v>
      </c>
      <c r="BS226" s="76" t="str">
        <f t="shared" si="7"/>
        <v>○</v>
      </c>
    </row>
    <row r="227" spans="1:71" x14ac:dyDescent="0.2">
      <c r="A227" s="210">
        <v>1416</v>
      </c>
      <c r="B227" s="211"/>
      <c r="C227" s="212"/>
      <c r="D227" s="211"/>
      <c r="E227" s="212"/>
      <c r="F227" s="211"/>
      <c r="G227" s="211"/>
      <c r="H227" s="212"/>
      <c r="I227" s="211"/>
      <c r="J227" s="211"/>
      <c r="K227" s="211"/>
      <c r="L227" s="171"/>
      <c r="M227" s="171" t="s">
        <v>612</v>
      </c>
      <c r="N227" s="171" t="s">
        <v>286</v>
      </c>
      <c r="O227" s="171" t="s">
        <v>613</v>
      </c>
      <c r="P227" s="171" t="s">
        <v>916</v>
      </c>
      <c r="Q227" s="171"/>
      <c r="R227" s="213">
        <v>540000</v>
      </c>
      <c r="S227" s="87">
        <v>0</v>
      </c>
      <c r="T227" s="87">
        <v>0</v>
      </c>
      <c r="U227" s="87">
        <v>0</v>
      </c>
      <c r="V227" s="87">
        <v>0</v>
      </c>
      <c r="W227" s="87">
        <v>0</v>
      </c>
      <c r="X227" s="87">
        <v>0</v>
      </c>
      <c r="Y227" s="87">
        <v>0</v>
      </c>
      <c r="Z227" s="87">
        <v>0</v>
      </c>
      <c r="AA227" s="214">
        <v>0</v>
      </c>
      <c r="AB227" s="214">
        <v>0</v>
      </c>
      <c r="AC227" s="214">
        <v>0</v>
      </c>
      <c r="AD227" s="214">
        <v>0</v>
      </c>
      <c r="AE227" s="214">
        <v>0</v>
      </c>
      <c r="AF227" s="214">
        <v>0</v>
      </c>
      <c r="AG227" s="214">
        <v>0</v>
      </c>
      <c r="AH227" s="214">
        <v>0</v>
      </c>
      <c r="AI227" s="87">
        <v>540780</v>
      </c>
      <c r="AJ227" s="87">
        <v>0</v>
      </c>
      <c r="AK227" s="87">
        <v>540780</v>
      </c>
      <c r="AL227" s="87">
        <v>540780</v>
      </c>
      <c r="AM227" s="87">
        <v>792000</v>
      </c>
      <c r="AN227" s="87">
        <v>540780</v>
      </c>
      <c r="AO227" s="87">
        <v>540780</v>
      </c>
      <c r="AP227" s="87">
        <v>540000</v>
      </c>
      <c r="AQ227" s="88">
        <v>0</v>
      </c>
      <c r="AR227" s="88">
        <v>0</v>
      </c>
      <c r="AS227" s="88">
        <v>0</v>
      </c>
      <c r="AT227" s="88">
        <v>0</v>
      </c>
      <c r="AU227" s="88">
        <v>0</v>
      </c>
      <c r="AV227" s="88">
        <v>0</v>
      </c>
      <c r="AW227" s="88">
        <v>0</v>
      </c>
      <c r="AX227" s="88">
        <v>0</v>
      </c>
      <c r="AY227" s="87">
        <v>0</v>
      </c>
      <c r="AZ227" s="87">
        <v>0</v>
      </c>
      <c r="BA227" s="87">
        <v>0</v>
      </c>
      <c r="BB227" s="87">
        <v>0</v>
      </c>
      <c r="BC227" s="87">
        <v>0</v>
      </c>
      <c r="BD227" s="87">
        <v>0</v>
      </c>
      <c r="BE227" s="87">
        <v>0</v>
      </c>
      <c r="BF227" s="87">
        <v>0</v>
      </c>
      <c r="BG227" s="88">
        <v>0</v>
      </c>
      <c r="BH227" s="88">
        <v>0</v>
      </c>
      <c r="BI227" s="88">
        <v>0</v>
      </c>
      <c r="BJ227" s="88">
        <v>0</v>
      </c>
      <c r="BK227" s="88">
        <v>0</v>
      </c>
      <c r="BL227" s="88">
        <v>0</v>
      </c>
      <c r="BM227" s="88">
        <v>0</v>
      </c>
      <c r="BN227" s="590">
        <v>0</v>
      </c>
      <c r="BO227" s="171">
        <v>2023</v>
      </c>
      <c r="BP227" s="171">
        <v>1</v>
      </c>
      <c r="BQ227" s="171">
        <v>19</v>
      </c>
      <c r="BS227" s="76" t="str">
        <f t="shared" si="7"/>
        <v>○</v>
      </c>
    </row>
    <row r="228" spans="1:71" x14ac:dyDescent="0.2">
      <c r="A228" s="210">
        <v>1417</v>
      </c>
      <c r="B228" s="211"/>
      <c r="C228" s="212"/>
      <c r="D228" s="211"/>
      <c r="E228" s="212"/>
      <c r="F228" s="211"/>
      <c r="G228" s="211"/>
      <c r="H228" s="212"/>
      <c r="I228" s="211"/>
      <c r="J228" s="211"/>
      <c r="K228" s="211"/>
      <c r="L228" s="171"/>
      <c r="M228" s="171" t="s">
        <v>449</v>
      </c>
      <c r="N228" s="171" t="s">
        <v>275</v>
      </c>
      <c r="O228" s="171" t="s">
        <v>450</v>
      </c>
      <c r="P228" s="171" t="s">
        <v>916</v>
      </c>
      <c r="Q228" s="171"/>
      <c r="R228" s="213">
        <v>86000</v>
      </c>
      <c r="S228" s="87">
        <v>0</v>
      </c>
      <c r="T228" s="87">
        <v>0</v>
      </c>
      <c r="U228" s="87">
        <v>0</v>
      </c>
      <c r="V228" s="87">
        <v>0</v>
      </c>
      <c r="W228" s="87">
        <v>0</v>
      </c>
      <c r="X228" s="87">
        <v>0</v>
      </c>
      <c r="Y228" s="87">
        <v>0</v>
      </c>
      <c r="Z228" s="87">
        <v>0</v>
      </c>
      <c r="AA228" s="214">
        <v>0</v>
      </c>
      <c r="AB228" s="214">
        <v>0</v>
      </c>
      <c r="AC228" s="214">
        <v>0</v>
      </c>
      <c r="AD228" s="214">
        <v>0</v>
      </c>
      <c r="AE228" s="214">
        <v>0</v>
      </c>
      <c r="AF228" s="214">
        <v>0</v>
      </c>
      <c r="AG228" s="214">
        <v>0</v>
      </c>
      <c r="AH228" s="214">
        <v>0</v>
      </c>
      <c r="AI228" s="87">
        <v>86900</v>
      </c>
      <c r="AJ228" s="87">
        <v>0</v>
      </c>
      <c r="AK228" s="87">
        <v>86900</v>
      </c>
      <c r="AL228" s="87">
        <v>86900</v>
      </c>
      <c r="AM228" s="87">
        <v>1872000</v>
      </c>
      <c r="AN228" s="87">
        <v>86900</v>
      </c>
      <c r="AO228" s="87">
        <v>86900</v>
      </c>
      <c r="AP228" s="87">
        <v>86000</v>
      </c>
      <c r="AQ228" s="88">
        <v>0</v>
      </c>
      <c r="AR228" s="88">
        <v>0</v>
      </c>
      <c r="AS228" s="88">
        <v>0</v>
      </c>
      <c r="AT228" s="88">
        <v>0</v>
      </c>
      <c r="AU228" s="88">
        <v>0</v>
      </c>
      <c r="AV228" s="88">
        <v>0</v>
      </c>
      <c r="AW228" s="88">
        <v>0</v>
      </c>
      <c r="AX228" s="88">
        <v>0</v>
      </c>
      <c r="AY228" s="87">
        <v>0</v>
      </c>
      <c r="AZ228" s="87">
        <v>0</v>
      </c>
      <c r="BA228" s="87">
        <v>0</v>
      </c>
      <c r="BB228" s="87">
        <v>0</v>
      </c>
      <c r="BC228" s="87">
        <v>0</v>
      </c>
      <c r="BD228" s="87">
        <v>0</v>
      </c>
      <c r="BE228" s="87">
        <v>0</v>
      </c>
      <c r="BF228" s="87">
        <v>0</v>
      </c>
      <c r="BG228" s="88">
        <v>0</v>
      </c>
      <c r="BH228" s="88">
        <v>0</v>
      </c>
      <c r="BI228" s="88">
        <v>0</v>
      </c>
      <c r="BJ228" s="88">
        <v>0</v>
      </c>
      <c r="BK228" s="88">
        <v>0</v>
      </c>
      <c r="BL228" s="88">
        <v>0</v>
      </c>
      <c r="BM228" s="88">
        <v>0</v>
      </c>
      <c r="BN228" s="590">
        <v>0</v>
      </c>
      <c r="BO228" s="171">
        <v>2023</v>
      </c>
      <c r="BP228" s="171">
        <v>1</v>
      </c>
      <c r="BQ228" s="171">
        <v>19</v>
      </c>
      <c r="BS228" s="76" t="str">
        <f t="shared" si="7"/>
        <v>○</v>
      </c>
    </row>
    <row r="229" spans="1:71" x14ac:dyDescent="0.2">
      <c r="A229" s="210">
        <v>1418</v>
      </c>
      <c r="B229" s="211"/>
      <c r="C229" s="212"/>
      <c r="D229" s="211"/>
      <c r="E229" s="212"/>
      <c r="F229" s="211"/>
      <c r="G229" s="211"/>
      <c r="H229" s="212"/>
      <c r="I229" s="211"/>
      <c r="J229" s="211"/>
      <c r="K229" s="211"/>
      <c r="L229" s="171"/>
      <c r="M229" s="171" t="s">
        <v>614</v>
      </c>
      <c r="N229" s="171" t="s">
        <v>269</v>
      </c>
      <c r="O229" s="171" t="s">
        <v>615</v>
      </c>
      <c r="P229" s="171" t="s">
        <v>916</v>
      </c>
      <c r="Q229" s="171"/>
      <c r="R229" s="213">
        <v>300000</v>
      </c>
      <c r="S229" s="87">
        <v>0</v>
      </c>
      <c r="T229" s="87">
        <v>0</v>
      </c>
      <c r="U229" s="87">
        <v>0</v>
      </c>
      <c r="V229" s="87">
        <v>0</v>
      </c>
      <c r="W229" s="87">
        <v>0</v>
      </c>
      <c r="X229" s="87">
        <v>0</v>
      </c>
      <c r="Y229" s="87">
        <v>0</v>
      </c>
      <c r="Z229" s="87">
        <v>0</v>
      </c>
      <c r="AA229" s="214">
        <v>0</v>
      </c>
      <c r="AB229" s="214">
        <v>0</v>
      </c>
      <c r="AC229" s="214">
        <v>0</v>
      </c>
      <c r="AD229" s="214">
        <v>0</v>
      </c>
      <c r="AE229" s="214">
        <v>0</v>
      </c>
      <c r="AF229" s="214">
        <v>0</v>
      </c>
      <c r="AG229" s="214">
        <v>0</v>
      </c>
      <c r="AH229" s="214">
        <v>0</v>
      </c>
      <c r="AI229" s="87">
        <v>300208</v>
      </c>
      <c r="AJ229" s="87">
        <v>0</v>
      </c>
      <c r="AK229" s="87">
        <v>300208</v>
      </c>
      <c r="AL229" s="87">
        <v>300208</v>
      </c>
      <c r="AM229" s="87">
        <v>2160000</v>
      </c>
      <c r="AN229" s="87">
        <v>300208</v>
      </c>
      <c r="AO229" s="87">
        <v>300208</v>
      </c>
      <c r="AP229" s="87">
        <v>300000</v>
      </c>
      <c r="AQ229" s="88">
        <v>0</v>
      </c>
      <c r="AR229" s="88">
        <v>0</v>
      </c>
      <c r="AS229" s="88">
        <v>0</v>
      </c>
      <c r="AT229" s="88">
        <v>0</v>
      </c>
      <c r="AU229" s="88">
        <v>0</v>
      </c>
      <c r="AV229" s="88">
        <v>0</v>
      </c>
      <c r="AW229" s="88">
        <v>0</v>
      </c>
      <c r="AX229" s="88">
        <v>0</v>
      </c>
      <c r="AY229" s="87">
        <v>0</v>
      </c>
      <c r="AZ229" s="87">
        <v>0</v>
      </c>
      <c r="BA229" s="87">
        <v>0</v>
      </c>
      <c r="BB229" s="87">
        <v>0</v>
      </c>
      <c r="BC229" s="87">
        <v>0</v>
      </c>
      <c r="BD229" s="87">
        <v>0</v>
      </c>
      <c r="BE229" s="87">
        <v>0</v>
      </c>
      <c r="BF229" s="87">
        <v>0</v>
      </c>
      <c r="BG229" s="88">
        <v>0</v>
      </c>
      <c r="BH229" s="88">
        <v>0</v>
      </c>
      <c r="BI229" s="88">
        <v>0</v>
      </c>
      <c r="BJ229" s="88">
        <v>0</v>
      </c>
      <c r="BK229" s="88">
        <v>0</v>
      </c>
      <c r="BL229" s="88">
        <v>0</v>
      </c>
      <c r="BM229" s="88">
        <v>0</v>
      </c>
      <c r="BN229" s="590">
        <v>0</v>
      </c>
      <c r="BO229" s="171">
        <v>2023</v>
      </c>
      <c r="BP229" s="171">
        <v>1</v>
      </c>
      <c r="BQ229" s="171">
        <v>19</v>
      </c>
      <c r="BS229" s="76" t="str">
        <f t="shared" si="7"/>
        <v>○</v>
      </c>
    </row>
    <row r="230" spans="1:71" x14ac:dyDescent="0.2">
      <c r="A230" s="210">
        <v>1419</v>
      </c>
      <c r="B230" s="211"/>
      <c r="C230" s="212"/>
      <c r="D230" s="211"/>
      <c r="E230" s="212"/>
      <c r="F230" s="211"/>
      <c r="G230" s="211"/>
      <c r="H230" s="212"/>
      <c r="I230" s="211"/>
      <c r="J230" s="211"/>
      <c r="K230" s="211"/>
      <c r="L230" s="171"/>
      <c r="M230" s="171" t="s">
        <v>301</v>
      </c>
      <c r="N230" s="171" t="s">
        <v>302</v>
      </c>
      <c r="O230" s="171" t="s">
        <v>303</v>
      </c>
      <c r="P230" s="171" t="s">
        <v>916</v>
      </c>
      <c r="Q230" s="171"/>
      <c r="R230" s="213">
        <v>1613000</v>
      </c>
      <c r="S230" s="87">
        <v>0</v>
      </c>
      <c r="T230" s="87">
        <v>0</v>
      </c>
      <c r="U230" s="87">
        <v>0</v>
      </c>
      <c r="V230" s="87">
        <v>0</v>
      </c>
      <c r="W230" s="87">
        <v>0</v>
      </c>
      <c r="X230" s="87">
        <v>0</v>
      </c>
      <c r="Y230" s="87">
        <v>0</v>
      </c>
      <c r="Z230" s="87">
        <v>0</v>
      </c>
      <c r="AA230" s="214">
        <v>0</v>
      </c>
      <c r="AB230" s="214">
        <v>0</v>
      </c>
      <c r="AC230" s="214">
        <v>0</v>
      </c>
      <c r="AD230" s="214">
        <v>0</v>
      </c>
      <c r="AE230" s="214">
        <v>0</v>
      </c>
      <c r="AF230" s="214">
        <v>0</v>
      </c>
      <c r="AG230" s="214">
        <v>0</v>
      </c>
      <c r="AH230" s="214">
        <v>0</v>
      </c>
      <c r="AI230" s="87">
        <v>1613139</v>
      </c>
      <c r="AJ230" s="87">
        <v>0</v>
      </c>
      <c r="AK230" s="87">
        <v>1613139</v>
      </c>
      <c r="AL230" s="87">
        <v>1613139</v>
      </c>
      <c r="AM230" s="87">
        <v>8712000</v>
      </c>
      <c r="AN230" s="87">
        <v>1613139</v>
      </c>
      <c r="AO230" s="87">
        <v>1613139</v>
      </c>
      <c r="AP230" s="87">
        <v>1613000</v>
      </c>
      <c r="AQ230" s="88">
        <v>0</v>
      </c>
      <c r="AR230" s="88">
        <v>0</v>
      </c>
      <c r="AS230" s="88">
        <v>0</v>
      </c>
      <c r="AT230" s="88">
        <v>0</v>
      </c>
      <c r="AU230" s="88">
        <v>0</v>
      </c>
      <c r="AV230" s="88">
        <v>0</v>
      </c>
      <c r="AW230" s="88">
        <v>0</v>
      </c>
      <c r="AX230" s="88">
        <v>0</v>
      </c>
      <c r="AY230" s="87">
        <v>0</v>
      </c>
      <c r="AZ230" s="87">
        <v>0</v>
      </c>
      <c r="BA230" s="87">
        <v>0</v>
      </c>
      <c r="BB230" s="87">
        <v>0</v>
      </c>
      <c r="BC230" s="87">
        <v>0</v>
      </c>
      <c r="BD230" s="87">
        <v>0</v>
      </c>
      <c r="BE230" s="87">
        <v>0</v>
      </c>
      <c r="BF230" s="87">
        <v>0</v>
      </c>
      <c r="BG230" s="88">
        <v>0</v>
      </c>
      <c r="BH230" s="88">
        <v>0</v>
      </c>
      <c r="BI230" s="88">
        <v>0</v>
      </c>
      <c r="BJ230" s="88">
        <v>0</v>
      </c>
      <c r="BK230" s="88">
        <v>0</v>
      </c>
      <c r="BL230" s="88">
        <v>0</v>
      </c>
      <c r="BM230" s="88">
        <v>0</v>
      </c>
      <c r="BN230" s="590">
        <v>0</v>
      </c>
      <c r="BO230" s="171">
        <v>2023</v>
      </c>
      <c r="BP230" s="171">
        <v>1</v>
      </c>
      <c r="BQ230" s="171">
        <v>19</v>
      </c>
      <c r="BS230" s="76" t="str">
        <f t="shared" si="7"/>
        <v>○</v>
      </c>
    </row>
    <row r="231" spans="1:71" x14ac:dyDescent="0.2">
      <c r="A231" s="210">
        <v>1420</v>
      </c>
      <c r="B231" s="211"/>
      <c r="C231" s="212"/>
      <c r="D231" s="211"/>
      <c r="E231" s="212"/>
      <c r="F231" s="211"/>
      <c r="G231" s="211"/>
      <c r="H231" s="212"/>
      <c r="I231" s="211"/>
      <c r="J231" s="211"/>
      <c r="K231" s="211"/>
      <c r="L231" s="171"/>
      <c r="M231" s="171" t="s">
        <v>301</v>
      </c>
      <c r="N231" s="171" t="s">
        <v>302</v>
      </c>
      <c r="O231" s="171" t="s">
        <v>303</v>
      </c>
      <c r="P231" s="171" t="s">
        <v>916</v>
      </c>
      <c r="Q231" s="171"/>
      <c r="R231" s="213">
        <v>358000</v>
      </c>
      <c r="S231" s="87">
        <v>0</v>
      </c>
      <c r="T231" s="87">
        <v>0</v>
      </c>
      <c r="U231" s="87">
        <v>0</v>
      </c>
      <c r="V231" s="87">
        <v>0</v>
      </c>
      <c r="W231" s="87">
        <v>0</v>
      </c>
      <c r="X231" s="87">
        <v>0</v>
      </c>
      <c r="Y231" s="87">
        <v>0</v>
      </c>
      <c r="Z231" s="87">
        <v>0</v>
      </c>
      <c r="AA231" s="214">
        <v>0</v>
      </c>
      <c r="AB231" s="214">
        <v>0</v>
      </c>
      <c r="AC231" s="214">
        <v>0</v>
      </c>
      <c r="AD231" s="214">
        <v>0</v>
      </c>
      <c r="AE231" s="214">
        <v>0</v>
      </c>
      <c r="AF231" s="214">
        <v>0</v>
      </c>
      <c r="AG231" s="214">
        <v>0</v>
      </c>
      <c r="AH231" s="214">
        <v>0</v>
      </c>
      <c r="AI231" s="87">
        <v>358278</v>
      </c>
      <c r="AJ231" s="87">
        <v>0</v>
      </c>
      <c r="AK231" s="87">
        <v>358278</v>
      </c>
      <c r="AL231" s="87">
        <v>358278</v>
      </c>
      <c r="AM231" s="87">
        <v>3931200</v>
      </c>
      <c r="AN231" s="87">
        <v>358278</v>
      </c>
      <c r="AO231" s="87">
        <v>358278</v>
      </c>
      <c r="AP231" s="87">
        <v>358000</v>
      </c>
      <c r="AQ231" s="88">
        <v>0</v>
      </c>
      <c r="AR231" s="88">
        <v>0</v>
      </c>
      <c r="AS231" s="88">
        <v>0</v>
      </c>
      <c r="AT231" s="88">
        <v>0</v>
      </c>
      <c r="AU231" s="88">
        <v>0</v>
      </c>
      <c r="AV231" s="88">
        <v>0</v>
      </c>
      <c r="AW231" s="88">
        <v>0</v>
      </c>
      <c r="AX231" s="88">
        <v>0</v>
      </c>
      <c r="AY231" s="87">
        <v>0</v>
      </c>
      <c r="AZ231" s="87">
        <v>0</v>
      </c>
      <c r="BA231" s="87">
        <v>0</v>
      </c>
      <c r="BB231" s="87">
        <v>0</v>
      </c>
      <c r="BC231" s="87">
        <v>0</v>
      </c>
      <c r="BD231" s="87">
        <v>0</v>
      </c>
      <c r="BE231" s="87">
        <v>0</v>
      </c>
      <c r="BF231" s="87">
        <v>0</v>
      </c>
      <c r="BG231" s="88">
        <v>0</v>
      </c>
      <c r="BH231" s="88">
        <v>0</v>
      </c>
      <c r="BI231" s="88">
        <v>0</v>
      </c>
      <c r="BJ231" s="88">
        <v>0</v>
      </c>
      <c r="BK231" s="88">
        <v>0</v>
      </c>
      <c r="BL231" s="88">
        <v>0</v>
      </c>
      <c r="BM231" s="88">
        <v>0</v>
      </c>
      <c r="BN231" s="590">
        <v>0</v>
      </c>
      <c r="BO231" s="171">
        <v>2023</v>
      </c>
      <c r="BP231" s="171">
        <v>1</v>
      </c>
      <c r="BQ231" s="171">
        <v>19</v>
      </c>
      <c r="BS231" s="76" t="str">
        <f t="shared" si="7"/>
        <v>○</v>
      </c>
    </row>
    <row r="232" spans="1:71" x14ac:dyDescent="0.2">
      <c r="A232" s="210">
        <v>1421</v>
      </c>
      <c r="B232" s="211"/>
      <c r="C232" s="212"/>
      <c r="D232" s="211"/>
      <c r="E232" s="212"/>
      <c r="F232" s="211"/>
      <c r="G232" s="211"/>
      <c r="H232" s="212"/>
      <c r="I232" s="211"/>
      <c r="J232" s="211"/>
      <c r="K232" s="211"/>
      <c r="L232" s="171"/>
      <c r="M232" s="171" t="s">
        <v>616</v>
      </c>
      <c r="N232" s="171" t="s">
        <v>275</v>
      </c>
      <c r="O232" s="171" t="s">
        <v>617</v>
      </c>
      <c r="P232" s="171" t="s">
        <v>916</v>
      </c>
      <c r="Q232" s="171"/>
      <c r="R232" s="213">
        <v>126000</v>
      </c>
      <c r="S232" s="87">
        <v>0</v>
      </c>
      <c r="T232" s="87">
        <v>0</v>
      </c>
      <c r="U232" s="87">
        <v>0</v>
      </c>
      <c r="V232" s="87">
        <v>0</v>
      </c>
      <c r="W232" s="87">
        <v>0</v>
      </c>
      <c r="X232" s="87">
        <v>0</v>
      </c>
      <c r="Y232" s="87">
        <v>0</v>
      </c>
      <c r="Z232" s="87">
        <v>0</v>
      </c>
      <c r="AA232" s="214">
        <v>0</v>
      </c>
      <c r="AB232" s="214">
        <v>0</v>
      </c>
      <c r="AC232" s="214">
        <v>0</v>
      </c>
      <c r="AD232" s="214">
        <v>0</v>
      </c>
      <c r="AE232" s="214">
        <v>0</v>
      </c>
      <c r="AF232" s="214">
        <v>0</v>
      </c>
      <c r="AG232" s="214">
        <v>0</v>
      </c>
      <c r="AH232" s="214">
        <v>0</v>
      </c>
      <c r="AI232" s="87">
        <v>126720</v>
      </c>
      <c r="AJ232" s="87">
        <v>0</v>
      </c>
      <c r="AK232" s="87">
        <v>126720</v>
      </c>
      <c r="AL232" s="87">
        <v>126720</v>
      </c>
      <c r="AM232" s="87">
        <v>1036800</v>
      </c>
      <c r="AN232" s="87">
        <v>126720</v>
      </c>
      <c r="AO232" s="87">
        <v>126720</v>
      </c>
      <c r="AP232" s="87">
        <v>126000</v>
      </c>
      <c r="AQ232" s="88">
        <v>0</v>
      </c>
      <c r="AR232" s="88">
        <v>0</v>
      </c>
      <c r="AS232" s="88">
        <v>0</v>
      </c>
      <c r="AT232" s="88">
        <v>0</v>
      </c>
      <c r="AU232" s="88">
        <v>0</v>
      </c>
      <c r="AV232" s="88">
        <v>0</v>
      </c>
      <c r="AW232" s="88">
        <v>0</v>
      </c>
      <c r="AX232" s="88">
        <v>0</v>
      </c>
      <c r="AY232" s="87">
        <v>0</v>
      </c>
      <c r="AZ232" s="87">
        <v>0</v>
      </c>
      <c r="BA232" s="87">
        <v>0</v>
      </c>
      <c r="BB232" s="87">
        <v>0</v>
      </c>
      <c r="BC232" s="87">
        <v>0</v>
      </c>
      <c r="BD232" s="87">
        <v>0</v>
      </c>
      <c r="BE232" s="87">
        <v>0</v>
      </c>
      <c r="BF232" s="87">
        <v>0</v>
      </c>
      <c r="BG232" s="88">
        <v>0</v>
      </c>
      <c r="BH232" s="88">
        <v>0</v>
      </c>
      <c r="BI232" s="88">
        <v>0</v>
      </c>
      <c r="BJ232" s="88">
        <v>0</v>
      </c>
      <c r="BK232" s="88">
        <v>0</v>
      </c>
      <c r="BL232" s="88">
        <v>0</v>
      </c>
      <c r="BM232" s="88">
        <v>0</v>
      </c>
      <c r="BN232" s="590">
        <v>0</v>
      </c>
      <c r="BO232" s="171">
        <v>2023</v>
      </c>
      <c r="BP232" s="171">
        <v>1</v>
      </c>
      <c r="BQ232" s="171">
        <v>19</v>
      </c>
      <c r="BS232" s="76" t="str">
        <f t="shared" si="7"/>
        <v>○</v>
      </c>
    </row>
    <row r="233" spans="1:71" x14ac:dyDescent="0.2">
      <c r="A233" s="210">
        <v>1422</v>
      </c>
      <c r="B233" s="211"/>
      <c r="C233" s="212"/>
      <c r="D233" s="211"/>
      <c r="E233" s="212"/>
      <c r="F233" s="211"/>
      <c r="G233" s="211"/>
      <c r="H233" s="212"/>
      <c r="I233" s="211"/>
      <c r="J233" s="211"/>
      <c r="K233" s="211"/>
      <c r="L233" s="171"/>
      <c r="M233" s="171" t="s">
        <v>301</v>
      </c>
      <c r="N233" s="171" t="s">
        <v>302</v>
      </c>
      <c r="O233" s="171" t="s">
        <v>303</v>
      </c>
      <c r="P233" s="171" t="s">
        <v>916</v>
      </c>
      <c r="Q233" s="171"/>
      <c r="R233" s="213">
        <v>2132000</v>
      </c>
      <c r="S233" s="87">
        <v>0</v>
      </c>
      <c r="T233" s="87">
        <v>0</v>
      </c>
      <c r="U233" s="87">
        <v>0</v>
      </c>
      <c r="V233" s="87">
        <v>0</v>
      </c>
      <c r="W233" s="87">
        <v>0</v>
      </c>
      <c r="X233" s="87">
        <v>0</v>
      </c>
      <c r="Y233" s="87">
        <v>0</v>
      </c>
      <c r="Z233" s="87">
        <v>0</v>
      </c>
      <c r="AA233" s="214">
        <v>0</v>
      </c>
      <c r="AB233" s="214">
        <v>0</v>
      </c>
      <c r="AC233" s="214">
        <v>0</v>
      </c>
      <c r="AD233" s="214">
        <v>0</v>
      </c>
      <c r="AE233" s="214">
        <v>0</v>
      </c>
      <c r="AF233" s="214">
        <v>0</v>
      </c>
      <c r="AG233" s="214">
        <v>0</v>
      </c>
      <c r="AH233" s="214">
        <v>0</v>
      </c>
      <c r="AI233" s="87">
        <v>2132020</v>
      </c>
      <c r="AJ233" s="87">
        <v>0</v>
      </c>
      <c r="AK233" s="87">
        <v>2132020</v>
      </c>
      <c r="AL233" s="87">
        <v>2132020</v>
      </c>
      <c r="AM233" s="87">
        <v>13503600</v>
      </c>
      <c r="AN233" s="87">
        <v>2132020</v>
      </c>
      <c r="AO233" s="87">
        <v>2132020</v>
      </c>
      <c r="AP233" s="87">
        <v>2132000</v>
      </c>
      <c r="AQ233" s="88">
        <v>0</v>
      </c>
      <c r="AR233" s="88">
        <v>0</v>
      </c>
      <c r="AS233" s="88">
        <v>0</v>
      </c>
      <c r="AT233" s="88">
        <v>0</v>
      </c>
      <c r="AU233" s="88">
        <v>0</v>
      </c>
      <c r="AV233" s="88">
        <v>0</v>
      </c>
      <c r="AW233" s="88">
        <v>0</v>
      </c>
      <c r="AX233" s="88">
        <v>0</v>
      </c>
      <c r="AY233" s="87">
        <v>0</v>
      </c>
      <c r="AZ233" s="87">
        <v>0</v>
      </c>
      <c r="BA233" s="87">
        <v>0</v>
      </c>
      <c r="BB233" s="87">
        <v>0</v>
      </c>
      <c r="BC233" s="87">
        <v>0</v>
      </c>
      <c r="BD233" s="87">
        <v>0</v>
      </c>
      <c r="BE233" s="87">
        <v>0</v>
      </c>
      <c r="BF233" s="87">
        <v>0</v>
      </c>
      <c r="BG233" s="88">
        <v>0</v>
      </c>
      <c r="BH233" s="88">
        <v>0</v>
      </c>
      <c r="BI233" s="88">
        <v>0</v>
      </c>
      <c r="BJ233" s="88">
        <v>0</v>
      </c>
      <c r="BK233" s="88">
        <v>0</v>
      </c>
      <c r="BL233" s="88">
        <v>0</v>
      </c>
      <c r="BM233" s="88">
        <v>0</v>
      </c>
      <c r="BN233" s="590">
        <v>0</v>
      </c>
      <c r="BO233" s="171">
        <v>2023</v>
      </c>
      <c r="BP233" s="171">
        <v>1</v>
      </c>
      <c r="BQ233" s="171">
        <v>19</v>
      </c>
      <c r="BS233" s="76" t="str">
        <f t="shared" si="7"/>
        <v>○</v>
      </c>
    </row>
    <row r="234" spans="1:71" x14ac:dyDescent="0.2">
      <c r="A234" s="210">
        <v>1424</v>
      </c>
      <c r="B234" s="211"/>
      <c r="C234" s="212"/>
      <c r="D234" s="211"/>
      <c r="E234" s="212"/>
      <c r="F234" s="211"/>
      <c r="G234" s="211"/>
      <c r="H234" s="212"/>
      <c r="I234" s="211"/>
      <c r="J234" s="211"/>
      <c r="K234" s="211"/>
      <c r="L234" s="171"/>
      <c r="M234" s="171" t="s">
        <v>618</v>
      </c>
      <c r="N234" s="171" t="s">
        <v>493</v>
      </c>
      <c r="O234" s="171" t="s">
        <v>598</v>
      </c>
      <c r="P234" s="171" t="s">
        <v>916</v>
      </c>
      <c r="Q234" s="171"/>
      <c r="R234" s="213">
        <v>121000</v>
      </c>
      <c r="S234" s="87">
        <v>0</v>
      </c>
      <c r="T234" s="87">
        <v>0</v>
      </c>
      <c r="U234" s="87">
        <v>0</v>
      </c>
      <c r="V234" s="87">
        <v>0</v>
      </c>
      <c r="W234" s="87">
        <v>0</v>
      </c>
      <c r="X234" s="87">
        <v>0</v>
      </c>
      <c r="Y234" s="87">
        <v>0</v>
      </c>
      <c r="Z234" s="87">
        <v>0</v>
      </c>
      <c r="AA234" s="214">
        <v>0</v>
      </c>
      <c r="AB234" s="214">
        <v>0</v>
      </c>
      <c r="AC234" s="214">
        <v>0</v>
      </c>
      <c r="AD234" s="214">
        <v>0</v>
      </c>
      <c r="AE234" s="214">
        <v>0</v>
      </c>
      <c r="AF234" s="214">
        <v>0</v>
      </c>
      <c r="AG234" s="214">
        <v>0</v>
      </c>
      <c r="AH234" s="214">
        <v>0</v>
      </c>
      <c r="AI234" s="87">
        <v>121935</v>
      </c>
      <c r="AJ234" s="87">
        <v>0</v>
      </c>
      <c r="AK234" s="87">
        <v>121935</v>
      </c>
      <c r="AL234" s="87">
        <v>121935</v>
      </c>
      <c r="AM234" s="87">
        <v>1382400</v>
      </c>
      <c r="AN234" s="87">
        <v>121935</v>
      </c>
      <c r="AO234" s="87">
        <v>121935</v>
      </c>
      <c r="AP234" s="87">
        <v>121000</v>
      </c>
      <c r="AQ234" s="88">
        <v>0</v>
      </c>
      <c r="AR234" s="88">
        <v>0</v>
      </c>
      <c r="AS234" s="88">
        <v>0</v>
      </c>
      <c r="AT234" s="88">
        <v>0</v>
      </c>
      <c r="AU234" s="88">
        <v>0</v>
      </c>
      <c r="AV234" s="88">
        <v>0</v>
      </c>
      <c r="AW234" s="88">
        <v>0</v>
      </c>
      <c r="AX234" s="88">
        <v>0</v>
      </c>
      <c r="AY234" s="87">
        <v>0</v>
      </c>
      <c r="AZ234" s="87">
        <v>0</v>
      </c>
      <c r="BA234" s="87">
        <v>0</v>
      </c>
      <c r="BB234" s="87">
        <v>0</v>
      </c>
      <c r="BC234" s="87">
        <v>0</v>
      </c>
      <c r="BD234" s="87">
        <v>0</v>
      </c>
      <c r="BE234" s="87">
        <v>0</v>
      </c>
      <c r="BF234" s="87">
        <v>0</v>
      </c>
      <c r="BG234" s="88">
        <v>0</v>
      </c>
      <c r="BH234" s="88">
        <v>0</v>
      </c>
      <c r="BI234" s="88">
        <v>0</v>
      </c>
      <c r="BJ234" s="88">
        <v>0</v>
      </c>
      <c r="BK234" s="88">
        <v>0</v>
      </c>
      <c r="BL234" s="88">
        <v>0</v>
      </c>
      <c r="BM234" s="88">
        <v>0</v>
      </c>
      <c r="BN234" s="590">
        <v>0</v>
      </c>
      <c r="BO234" s="171">
        <v>2023</v>
      </c>
      <c r="BP234" s="171">
        <v>1</v>
      </c>
      <c r="BQ234" s="171">
        <v>19</v>
      </c>
      <c r="BS234" s="76" t="str">
        <f t="shared" si="7"/>
        <v>○</v>
      </c>
    </row>
    <row r="235" spans="1:71" x14ac:dyDescent="0.2">
      <c r="A235" s="210">
        <v>1425</v>
      </c>
      <c r="B235" s="211"/>
      <c r="C235" s="212"/>
      <c r="D235" s="211"/>
      <c r="E235" s="212"/>
      <c r="F235" s="211"/>
      <c r="G235" s="211"/>
      <c r="H235" s="212"/>
      <c r="I235" s="211"/>
      <c r="J235" s="211"/>
      <c r="K235" s="211"/>
      <c r="L235" s="171"/>
      <c r="M235" s="171" t="s">
        <v>619</v>
      </c>
      <c r="N235" s="171" t="s">
        <v>272</v>
      </c>
      <c r="O235" s="171" t="s">
        <v>620</v>
      </c>
      <c r="P235" s="171" t="s">
        <v>916</v>
      </c>
      <c r="Q235" s="171"/>
      <c r="R235" s="213">
        <v>351000</v>
      </c>
      <c r="S235" s="87">
        <v>0</v>
      </c>
      <c r="T235" s="87">
        <v>0</v>
      </c>
      <c r="U235" s="87">
        <v>0</v>
      </c>
      <c r="V235" s="87">
        <v>0</v>
      </c>
      <c r="W235" s="87">
        <v>0</v>
      </c>
      <c r="X235" s="87">
        <v>0</v>
      </c>
      <c r="Y235" s="87">
        <v>0</v>
      </c>
      <c r="Z235" s="87">
        <v>0</v>
      </c>
      <c r="AA235" s="214">
        <v>0</v>
      </c>
      <c r="AB235" s="214">
        <v>0</v>
      </c>
      <c r="AC235" s="214">
        <v>0</v>
      </c>
      <c r="AD235" s="214">
        <v>0</v>
      </c>
      <c r="AE235" s="214">
        <v>0</v>
      </c>
      <c r="AF235" s="214">
        <v>0</v>
      </c>
      <c r="AG235" s="214">
        <v>0</v>
      </c>
      <c r="AH235" s="214">
        <v>0</v>
      </c>
      <c r="AI235" s="87">
        <v>351560</v>
      </c>
      <c r="AJ235" s="87">
        <v>0</v>
      </c>
      <c r="AK235" s="87">
        <v>351560</v>
      </c>
      <c r="AL235" s="87">
        <v>351560</v>
      </c>
      <c r="AM235" s="87">
        <v>3024000</v>
      </c>
      <c r="AN235" s="87">
        <v>351560</v>
      </c>
      <c r="AO235" s="87">
        <v>351560</v>
      </c>
      <c r="AP235" s="87">
        <v>351000</v>
      </c>
      <c r="AQ235" s="88">
        <v>0</v>
      </c>
      <c r="AR235" s="88">
        <v>0</v>
      </c>
      <c r="AS235" s="88">
        <v>0</v>
      </c>
      <c r="AT235" s="88">
        <v>0</v>
      </c>
      <c r="AU235" s="88">
        <v>0</v>
      </c>
      <c r="AV235" s="88">
        <v>0</v>
      </c>
      <c r="AW235" s="88">
        <v>0</v>
      </c>
      <c r="AX235" s="88">
        <v>0</v>
      </c>
      <c r="AY235" s="87">
        <v>0</v>
      </c>
      <c r="AZ235" s="87">
        <v>0</v>
      </c>
      <c r="BA235" s="87">
        <v>0</v>
      </c>
      <c r="BB235" s="87">
        <v>0</v>
      </c>
      <c r="BC235" s="87">
        <v>0</v>
      </c>
      <c r="BD235" s="87">
        <v>0</v>
      </c>
      <c r="BE235" s="87">
        <v>0</v>
      </c>
      <c r="BF235" s="87">
        <v>0</v>
      </c>
      <c r="BG235" s="88">
        <v>0</v>
      </c>
      <c r="BH235" s="88">
        <v>0</v>
      </c>
      <c r="BI235" s="88">
        <v>0</v>
      </c>
      <c r="BJ235" s="88">
        <v>0</v>
      </c>
      <c r="BK235" s="88">
        <v>0</v>
      </c>
      <c r="BL235" s="88">
        <v>0</v>
      </c>
      <c r="BM235" s="88">
        <v>0</v>
      </c>
      <c r="BN235" s="590">
        <v>0</v>
      </c>
      <c r="BO235" s="171">
        <v>2023</v>
      </c>
      <c r="BP235" s="171">
        <v>1</v>
      </c>
      <c r="BQ235" s="171">
        <v>19</v>
      </c>
      <c r="BS235" s="76" t="str">
        <f t="shared" si="7"/>
        <v>○</v>
      </c>
    </row>
    <row r="236" spans="1:71" x14ac:dyDescent="0.2">
      <c r="A236" s="210">
        <v>1426</v>
      </c>
      <c r="B236" s="211"/>
      <c r="C236" s="212"/>
      <c r="D236" s="211"/>
      <c r="E236" s="212"/>
      <c r="F236" s="211"/>
      <c r="G236" s="211"/>
      <c r="H236" s="212"/>
      <c r="I236" s="211"/>
      <c r="J236" s="211"/>
      <c r="K236" s="211"/>
      <c r="L236" s="171"/>
      <c r="M236" s="171" t="s">
        <v>415</v>
      </c>
      <c r="N236" s="171" t="s">
        <v>416</v>
      </c>
      <c r="O236" s="171" t="s">
        <v>279</v>
      </c>
      <c r="P236" s="171" t="s">
        <v>916</v>
      </c>
      <c r="Q236" s="171"/>
      <c r="R236" s="213">
        <v>82000</v>
      </c>
      <c r="S236" s="87">
        <v>0</v>
      </c>
      <c r="T236" s="87">
        <v>0</v>
      </c>
      <c r="U236" s="87">
        <v>0</v>
      </c>
      <c r="V236" s="87">
        <v>0</v>
      </c>
      <c r="W236" s="87">
        <v>0</v>
      </c>
      <c r="X236" s="87">
        <v>0</v>
      </c>
      <c r="Y236" s="87">
        <v>0</v>
      </c>
      <c r="Z236" s="87">
        <v>0</v>
      </c>
      <c r="AA236" s="214">
        <v>0</v>
      </c>
      <c r="AB236" s="214">
        <v>0</v>
      </c>
      <c r="AC236" s="214">
        <v>0</v>
      </c>
      <c r="AD236" s="214">
        <v>0</v>
      </c>
      <c r="AE236" s="214">
        <v>0</v>
      </c>
      <c r="AF236" s="214">
        <v>0</v>
      </c>
      <c r="AG236" s="214">
        <v>0</v>
      </c>
      <c r="AH236" s="214">
        <v>0</v>
      </c>
      <c r="AI236" s="87">
        <v>82991</v>
      </c>
      <c r="AJ236" s="87">
        <v>0</v>
      </c>
      <c r="AK236" s="87">
        <v>82991</v>
      </c>
      <c r="AL236" s="87">
        <v>82991</v>
      </c>
      <c r="AM236" s="87">
        <v>1512000</v>
      </c>
      <c r="AN236" s="87">
        <v>82991</v>
      </c>
      <c r="AO236" s="87">
        <v>82991</v>
      </c>
      <c r="AP236" s="87">
        <v>82000</v>
      </c>
      <c r="AQ236" s="88">
        <v>0</v>
      </c>
      <c r="AR236" s="88">
        <v>0</v>
      </c>
      <c r="AS236" s="88">
        <v>0</v>
      </c>
      <c r="AT236" s="88">
        <v>0</v>
      </c>
      <c r="AU236" s="88">
        <v>0</v>
      </c>
      <c r="AV236" s="88">
        <v>0</v>
      </c>
      <c r="AW236" s="88">
        <v>0</v>
      </c>
      <c r="AX236" s="88">
        <v>0</v>
      </c>
      <c r="AY236" s="87">
        <v>0</v>
      </c>
      <c r="AZ236" s="87">
        <v>0</v>
      </c>
      <c r="BA236" s="87">
        <v>0</v>
      </c>
      <c r="BB236" s="87">
        <v>0</v>
      </c>
      <c r="BC236" s="87">
        <v>0</v>
      </c>
      <c r="BD236" s="87">
        <v>0</v>
      </c>
      <c r="BE236" s="87">
        <v>0</v>
      </c>
      <c r="BF236" s="87">
        <v>0</v>
      </c>
      <c r="BG236" s="88">
        <v>0</v>
      </c>
      <c r="BH236" s="88">
        <v>0</v>
      </c>
      <c r="BI236" s="88">
        <v>0</v>
      </c>
      <c r="BJ236" s="88">
        <v>0</v>
      </c>
      <c r="BK236" s="88">
        <v>0</v>
      </c>
      <c r="BL236" s="88">
        <v>0</v>
      </c>
      <c r="BM236" s="88">
        <v>0</v>
      </c>
      <c r="BN236" s="590">
        <v>0</v>
      </c>
      <c r="BO236" s="171">
        <v>2023</v>
      </c>
      <c r="BP236" s="171">
        <v>1</v>
      </c>
      <c r="BQ236" s="171">
        <v>19</v>
      </c>
      <c r="BS236" s="76" t="str">
        <f t="shared" si="7"/>
        <v>○</v>
      </c>
    </row>
    <row r="237" spans="1:71" x14ac:dyDescent="0.2">
      <c r="A237" s="210">
        <v>1428</v>
      </c>
      <c r="B237" s="211"/>
      <c r="C237" s="212"/>
      <c r="D237" s="211"/>
      <c r="E237" s="212"/>
      <c r="F237" s="211"/>
      <c r="G237" s="211"/>
      <c r="H237" s="212"/>
      <c r="I237" s="211"/>
      <c r="J237" s="211"/>
      <c r="K237" s="211"/>
      <c r="L237" s="171"/>
      <c r="M237" s="171" t="s">
        <v>368</v>
      </c>
      <c r="N237" s="171" t="s">
        <v>269</v>
      </c>
      <c r="O237" s="171" t="s">
        <v>369</v>
      </c>
      <c r="P237" s="171" t="s">
        <v>917</v>
      </c>
      <c r="Q237" s="171"/>
      <c r="R237" s="213">
        <v>152000</v>
      </c>
      <c r="S237" s="87">
        <v>0</v>
      </c>
      <c r="T237" s="87">
        <v>0</v>
      </c>
      <c r="U237" s="87">
        <v>0</v>
      </c>
      <c r="V237" s="87">
        <v>0</v>
      </c>
      <c r="W237" s="87">
        <v>0</v>
      </c>
      <c r="X237" s="87">
        <v>0</v>
      </c>
      <c r="Y237" s="87">
        <v>0</v>
      </c>
      <c r="Z237" s="87">
        <v>0</v>
      </c>
      <c r="AA237" s="214">
        <v>0</v>
      </c>
      <c r="AB237" s="214">
        <v>0</v>
      </c>
      <c r="AC237" s="214">
        <v>0</v>
      </c>
      <c r="AD237" s="214">
        <v>0</v>
      </c>
      <c r="AE237" s="214">
        <v>0</v>
      </c>
      <c r="AF237" s="214">
        <v>0</v>
      </c>
      <c r="AG237" s="214">
        <v>0</v>
      </c>
      <c r="AH237" s="214">
        <v>0</v>
      </c>
      <c r="AI237" s="87">
        <v>152900</v>
      </c>
      <c r="AJ237" s="87">
        <v>0</v>
      </c>
      <c r="AK237" s="87">
        <v>152900</v>
      </c>
      <c r="AL237" s="87">
        <v>152900</v>
      </c>
      <c r="AM237" s="87">
        <v>10368000</v>
      </c>
      <c r="AN237" s="87">
        <v>152900</v>
      </c>
      <c r="AO237" s="87">
        <v>152900</v>
      </c>
      <c r="AP237" s="87">
        <v>152000</v>
      </c>
      <c r="AQ237" s="88">
        <v>0</v>
      </c>
      <c r="AR237" s="88">
        <v>0</v>
      </c>
      <c r="AS237" s="88">
        <v>0</v>
      </c>
      <c r="AT237" s="88">
        <v>0</v>
      </c>
      <c r="AU237" s="88">
        <v>0</v>
      </c>
      <c r="AV237" s="88">
        <v>0</v>
      </c>
      <c r="AW237" s="88">
        <v>0</v>
      </c>
      <c r="AX237" s="88">
        <v>0</v>
      </c>
      <c r="AY237" s="87">
        <v>0</v>
      </c>
      <c r="AZ237" s="87">
        <v>0</v>
      </c>
      <c r="BA237" s="87">
        <v>0</v>
      </c>
      <c r="BB237" s="87">
        <v>0</v>
      </c>
      <c r="BC237" s="87">
        <v>0</v>
      </c>
      <c r="BD237" s="87">
        <v>0</v>
      </c>
      <c r="BE237" s="87">
        <v>0</v>
      </c>
      <c r="BF237" s="87">
        <v>0</v>
      </c>
      <c r="BG237" s="88">
        <v>0</v>
      </c>
      <c r="BH237" s="88">
        <v>0</v>
      </c>
      <c r="BI237" s="88">
        <v>0</v>
      </c>
      <c r="BJ237" s="88">
        <v>0</v>
      </c>
      <c r="BK237" s="88">
        <v>0</v>
      </c>
      <c r="BL237" s="88">
        <v>0</v>
      </c>
      <c r="BM237" s="88">
        <v>0</v>
      </c>
      <c r="BN237" s="590">
        <v>0</v>
      </c>
      <c r="BO237" s="171">
        <v>2023</v>
      </c>
      <c r="BP237" s="171">
        <v>1</v>
      </c>
      <c r="BQ237" s="171">
        <v>19</v>
      </c>
      <c r="BS237" s="76" t="str">
        <f t="shared" si="7"/>
        <v>○</v>
      </c>
    </row>
    <row r="238" spans="1:71" x14ac:dyDescent="0.2">
      <c r="A238" s="210">
        <v>1429</v>
      </c>
      <c r="B238" s="211"/>
      <c r="C238" s="212"/>
      <c r="D238" s="211"/>
      <c r="E238" s="212"/>
      <c r="F238" s="211"/>
      <c r="G238" s="211"/>
      <c r="H238" s="212"/>
      <c r="I238" s="211"/>
      <c r="J238" s="211"/>
      <c r="K238" s="211"/>
      <c r="L238" s="171"/>
      <c r="M238" s="171" t="s">
        <v>535</v>
      </c>
      <c r="N238" s="171" t="s">
        <v>299</v>
      </c>
      <c r="O238" s="171" t="s">
        <v>536</v>
      </c>
      <c r="P238" s="171" t="s">
        <v>916</v>
      </c>
      <c r="Q238" s="171"/>
      <c r="R238" s="213">
        <v>885000</v>
      </c>
      <c r="S238" s="87">
        <v>0</v>
      </c>
      <c r="T238" s="87">
        <v>0</v>
      </c>
      <c r="U238" s="87">
        <v>0</v>
      </c>
      <c r="V238" s="87">
        <v>0</v>
      </c>
      <c r="W238" s="87">
        <v>0</v>
      </c>
      <c r="X238" s="87">
        <v>0</v>
      </c>
      <c r="Y238" s="87">
        <v>0</v>
      </c>
      <c r="Z238" s="87">
        <v>0</v>
      </c>
      <c r="AA238" s="214">
        <v>0</v>
      </c>
      <c r="AB238" s="214">
        <v>0</v>
      </c>
      <c r="AC238" s="214">
        <v>0</v>
      </c>
      <c r="AD238" s="214">
        <v>0</v>
      </c>
      <c r="AE238" s="214">
        <v>0</v>
      </c>
      <c r="AF238" s="214">
        <v>0</v>
      </c>
      <c r="AG238" s="214">
        <v>0</v>
      </c>
      <c r="AH238" s="214">
        <v>0</v>
      </c>
      <c r="AI238" s="87">
        <v>885150</v>
      </c>
      <c r="AJ238" s="87">
        <v>0</v>
      </c>
      <c r="AK238" s="87">
        <v>885150</v>
      </c>
      <c r="AL238" s="87">
        <v>885150</v>
      </c>
      <c r="AM238" s="87">
        <v>3931200</v>
      </c>
      <c r="AN238" s="87">
        <v>885150</v>
      </c>
      <c r="AO238" s="87">
        <v>885150</v>
      </c>
      <c r="AP238" s="87">
        <v>885000</v>
      </c>
      <c r="AQ238" s="88">
        <v>0</v>
      </c>
      <c r="AR238" s="88">
        <v>0</v>
      </c>
      <c r="AS238" s="88">
        <v>0</v>
      </c>
      <c r="AT238" s="88">
        <v>0</v>
      </c>
      <c r="AU238" s="88">
        <v>0</v>
      </c>
      <c r="AV238" s="88">
        <v>0</v>
      </c>
      <c r="AW238" s="88">
        <v>0</v>
      </c>
      <c r="AX238" s="88">
        <v>0</v>
      </c>
      <c r="AY238" s="87">
        <v>0</v>
      </c>
      <c r="AZ238" s="87">
        <v>0</v>
      </c>
      <c r="BA238" s="87">
        <v>0</v>
      </c>
      <c r="BB238" s="87">
        <v>0</v>
      </c>
      <c r="BC238" s="87">
        <v>0</v>
      </c>
      <c r="BD238" s="87">
        <v>0</v>
      </c>
      <c r="BE238" s="87">
        <v>0</v>
      </c>
      <c r="BF238" s="87">
        <v>0</v>
      </c>
      <c r="BG238" s="88">
        <v>0</v>
      </c>
      <c r="BH238" s="88">
        <v>0</v>
      </c>
      <c r="BI238" s="88">
        <v>0</v>
      </c>
      <c r="BJ238" s="88">
        <v>0</v>
      </c>
      <c r="BK238" s="88">
        <v>0</v>
      </c>
      <c r="BL238" s="88">
        <v>0</v>
      </c>
      <c r="BM238" s="88">
        <v>0</v>
      </c>
      <c r="BN238" s="590">
        <v>0</v>
      </c>
      <c r="BO238" s="171">
        <v>2023</v>
      </c>
      <c r="BP238" s="171">
        <v>1</v>
      </c>
      <c r="BQ238" s="171">
        <v>19</v>
      </c>
      <c r="BS238" s="76" t="str">
        <f t="shared" si="7"/>
        <v>○</v>
      </c>
    </row>
    <row r="239" spans="1:71" x14ac:dyDescent="0.2">
      <c r="A239" s="210">
        <v>1430</v>
      </c>
      <c r="B239" s="211"/>
      <c r="C239" s="212"/>
      <c r="D239" s="211"/>
      <c r="E239" s="212"/>
      <c r="F239" s="211"/>
      <c r="G239" s="211"/>
      <c r="H239" s="212"/>
      <c r="I239" s="211"/>
      <c r="J239" s="211"/>
      <c r="K239" s="211"/>
      <c r="L239" s="171"/>
      <c r="M239" s="171" t="s">
        <v>312</v>
      </c>
      <c r="N239" s="171" t="s">
        <v>313</v>
      </c>
      <c r="O239" s="171" t="s">
        <v>314</v>
      </c>
      <c r="P239" s="171" t="s">
        <v>916</v>
      </c>
      <c r="Q239" s="171"/>
      <c r="R239" s="213">
        <v>548000</v>
      </c>
      <c r="S239" s="87">
        <v>0</v>
      </c>
      <c r="T239" s="87">
        <v>0</v>
      </c>
      <c r="U239" s="87">
        <v>0</v>
      </c>
      <c r="V239" s="87">
        <v>0</v>
      </c>
      <c r="W239" s="87">
        <v>0</v>
      </c>
      <c r="X239" s="87">
        <v>0</v>
      </c>
      <c r="Y239" s="87">
        <v>0</v>
      </c>
      <c r="Z239" s="87">
        <v>0</v>
      </c>
      <c r="AA239" s="214">
        <v>0</v>
      </c>
      <c r="AB239" s="214">
        <v>0</v>
      </c>
      <c r="AC239" s="214">
        <v>0</v>
      </c>
      <c r="AD239" s="214">
        <v>0</v>
      </c>
      <c r="AE239" s="214">
        <v>0</v>
      </c>
      <c r="AF239" s="214">
        <v>0</v>
      </c>
      <c r="AG239" s="214">
        <v>0</v>
      </c>
      <c r="AH239" s="214">
        <v>0</v>
      </c>
      <c r="AI239" s="87">
        <v>548012</v>
      </c>
      <c r="AJ239" s="87">
        <v>0</v>
      </c>
      <c r="AK239" s="87">
        <v>548012</v>
      </c>
      <c r="AL239" s="87">
        <v>548012</v>
      </c>
      <c r="AM239" s="87">
        <v>3628800</v>
      </c>
      <c r="AN239" s="87">
        <v>548012</v>
      </c>
      <c r="AO239" s="87">
        <v>548012</v>
      </c>
      <c r="AP239" s="87">
        <v>548000</v>
      </c>
      <c r="AQ239" s="88">
        <v>0</v>
      </c>
      <c r="AR239" s="88">
        <v>0</v>
      </c>
      <c r="AS239" s="88">
        <v>0</v>
      </c>
      <c r="AT239" s="88">
        <v>0</v>
      </c>
      <c r="AU239" s="88">
        <v>0</v>
      </c>
      <c r="AV239" s="88">
        <v>0</v>
      </c>
      <c r="AW239" s="88">
        <v>0</v>
      </c>
      <c r="AX239" s="88">
        <v>0</v>
      </c>
      <c r="AY239" s="87">
        <v>0</v>
      </c>
      <c r="AZ239" s="87">
        <v>0</v>
      </c>
      <c r="BA239" s="87">
        <v>0</v>
      </c>
      <c r="BB239" s="87">
        <v>0</v>
      </c>
      <c r="BC239" s="87">
        <v>0</v>
      </c>
      <c r="BD239" s="87">
        <v>0</v>
      </c>
      <c r="BE239" s="87">
        <v>0</v>
      </c>
      <c r="BF239" s="87">
        <v>0</v>
      </c>
      <c r="BG239" s="88">
        <v>0</v>
      </c>
      <c r="BH239" s="88">
        <v>0</v>
      </c>
      <c r="BI239" s="88">
        <v>0</v>
      </c>
      <c r="BJ239" s="88">
        <v>0</v>
      </c>
      <c r="BK239" s="88">
        <v>0</v>
      </c>
      <c r="BL239" s="88">
        <v>0</v>
      </c>
      <c r="BM239" s="88">
        <v>0</v>
      </c>
      <c r="BN239" s="590">
        <v>0</v>
      </c>
      <c r="BO239" s="171">
        <v>2023</v>
      </c>
      <c r="BP239" s="171">
        <v>1</v>
      </c>
      <c r="BQ239" s="171">
        <v>19</v>
      </c>
      <c r="BS239" s="76" t="str">
        <f t="shared" si="7"/>
        <v>○</v>
      </c>
    </row>
    <row r="240" spans="1:71" x14ac:dyDescent="0.2">
      <c r="A240" s="210">
        <v>1431</v>
      </c>
      <c r="B240" s="211"/>
      <c r="C240" s="212"/>
      <c r="D240" s="211"/>
      <c r="E240" s="212"/>
      <c r="F240" s="211"/>
      <c r="G240" s="211"/>
      <c r="H240" s="212"/>
      <c r="I240" s="211"/>
      <c r="J240" s="211"/>
      <c r="K240" s="211"/>
      <c r="L240" s="171"/>
      <c r="M240" s="171" t="s">
        <v>405</v>
      </c>
      <c r="N240" s="171" t="s">
        <v>313</v>
      </c>
      <c r="O240" s="171" t="s">
        <v>406</v>
      </c>
      <c r="P240" s="171" t="s">
        <v>916</v>
      </c>
      <c r="Q240" s="171"/>
      <c r="R240" s="213">
        <v>217000</v>
      </c>
      <c r="S240" s="87">
        <v>0</v>
      </c>
      <c r="T240" s="87">
        <v>0</v>
      </c>
      <c r="U240" s="87">
        <v>0</v>
      </c>
      <c r="V240" s="87">
        <v>0</v>
      </c>
      <c r="W240" s="87">
        <v>0</v>
      </c>
      <c r="X240" s="87">
        <v>0</v>
      </c>
      <c r="Y240" s="87">
        <v>0</v>
      </c>
      <c r="Z240" s="87">
        <v>0</v>
      </c>
      <c r="AA240" s="214">
        <v>0</v>
      </c>
      <c r="AB240" s="214">
        <v>0</v>
      </c>
      <c r="AC240" s="214">
        <v>0</v>
      </c>
      <c r="AD240" s="214">
        <v>0</v>
      </c>
      <c r="AE240" s="214">
        <v>0</v>
      </c>
      <c r="AF240" s="214">
        <v>0</v>
      </c>
      <c r="AG240" s="214">
        <v>0</v>
      </c>
      <c r="AH240" s="214">
        <v>0</v>
      </c>
      <c r="AI240" s="87">
        <v>217032</v>
      </c>
      <c r="AJ240" s="87">
        <v>0</v>
      </c>
      <c r="AK240" s="87">
        <v>217032</v>
      </c>
      <c r="AL240" s="87">
        <v>217032</v>
      </c>
      <c r="AM240" s="87">
        <v>1965600</v>
      </c>
      <c r="AN240" s="87">
        <v>217032</v>
      </c>
      <c r="AO240" s="87">
        <v>217032</v>
      </c>
      <c r="AP240" s="87">
        <v>217000</v>
      </c>
      <c r="AQ240" s="88">
        <v>0</v>
      </c>
      <c r="AR240" s="88">
        <v>0</v>
      </c>
      <c r="AS240" s="88">
        <v>0</v>
      </c>
      <c r="AT240" s="88">
        <v>0</v>
      </c>
      <c r="AU240" s="88">
        <v>0</v>
      </c>
      <c r="AV240" s="88">
        <v>0</v>
      </c>
      <c r="AW240" s="88">
        <v>0</v>
      </c>
      <c r="AX240" s="88">
        <v>0</v>
      </c>
      <c r="AY240" s="87">
        <v>0</v>
      </c>
      <c r="AZ240" s="87">
        <v>0</v>
      </c>
      <c r="BA240" s="87">
        <v>0</v>
      </c>
      <c r="BB240" s="87">
        <v>0</v>
      </c>
      <c r="BC240" s="87">
        <v>0</v>
      </c>
      <c r="BD240" s="87">
        <v>0</v>
      </c>
      <c r="BE240" s="87">
        <v>0</v>
      </c>
      <c r="BF240" s="87">
        <v>0</v>
      </c>
      <c r="BG240" s="88">
        <v>0</v>
      </c>
      <c r="BH240" s="88">
        <v>0</v>
      </c>
      <c r="BI240" s="88">
        <v>0</v>
      </c>
      <c r="BJ240" s="88">
        <v>0</v>
      </c>
      <c r="BK240" s="88">
        <v>0</v>
      </c>
      <c r="BL240" s="88">
        <v>0</v>
      </c>
      <c r="BM240" s="88">
        <v>0</v>
      </c>
      <c r="BN240" s="590">
        <v>0</v>
      </c>
      <c r="BO240" s="171">
        <v>2023</v>
      </c>
      <c r="BP240" s="171">
        <v>1</v>
      </c>
      <c r="BQ240" s="171">
        <v>19</v>
      </c>
      <c r="BS240" s="76" t="str">
        <f t="shared" si="7"/>
        <v>○</v>
      </c>
    </row>
    <row r="241" spans="1:71" s="81" customFormat="1" x14ac:dyDescent="0.2">
      <c r="A241" s="210">
        <v>1432</v>
      </c>
      <c r="B241" s="211"/>
      <c r="C241" s="212"/>
      <c r="D241" s="211"/>
      <c r="E241" s="212"/>
      <c r="F241" s="211"/>
      <c r="G241" s="211"/>
      <c r="H241" s="212"/>
      <c r="I241" s="211"/>
      <c r="J241" s="211"/>
      <c r="K241" s="211"/>
      <c r="L241" s="171"/>
      <c r="M241" s="171" t="s">
        <v>621</v>
      </c>
      <c r="N241" s="171" t="s">
        <v>306</v>
      </c>
      <c r="O241" s="171" t="s">
        <v>622</v>
      </c>
      <c r="P241" s="171" t="s">
        <v>916</v>
      </c>
      <c r="Q241" s="171"/>
      <c r="R241" s="213">
        <v>184000</v>
      </c>
      <c r="S241" s="87">
        <v>0</v>
      </c>
      <c r="T241" s="87">
        <v>0</v>
      </c>
      <c r="U241" s="87">
        <v>0</v>
      </c>
      <c r="V241" s="87">
        <v>0</v>
      </c>
      <c r="W241" s="87">
        <v>0</v>
      </c>
      <c r="X241" s="87">
        <v>0</v>
      </c>
      <c r="Y241" s="87">
        <v>0</v>
      </c>
      <c r="Z241" s="87">
        <v>0</v>
      </c>
      <c r="AA241" s="214">
        <v>0</v>
      </c>
      <c r="AB241" s="214">
        <v>0</v>
      </c>
      <c r="AC241" s="214">
        <v>0</v>
      </c>
      <c r="AD241" s="214">
        <v>0</v>
      </c>
      <c r="AE241" s="214">
        <v>0</v>
      </c>
      <c r="AF241" s="214">
        <v>0</v>
      </c>
      <c r="AG241" s="214">
        <v>0</v>
      </c>
      <c r="AH241" s="214">
        <v>0</v>
      </c>
      <c r="AI241" s="87">
        <v>184755</v>
      </c>
      <c r="AJ241" s="87">
        <v>0</v>
      </c>
      <c r="AK241" s="87">
        <v>184755</v>
      </c>
      <c r="AL241" s="87">
        <v>184755</v>
      </c>
      <c r="AM241" s="87">
        <v>1713600</v>
      </c>
      <c r="AN241" s="87">
        <v>184755</v>
      </c>
      <c r="AO241" s="87">
        <v>184755</v>
      </c>
      <c r="AP241" s="87">
        <v>184000</v>
      </c>
      <c r="AQ241" s="88">
        <v>0</v>
      </c>
      <c r="AR241" s="88">
        <v>0</v>
      </c>
      <c r="AS241" s="88">
        <v>0</v>
      </c>
      <c r="AT241" s="88">
        <v>0</v>
      </c>
      <c r="AU241" s="88">
        <v>0</v>
      </c>
      <c r="AV241" s="88">
        <v>0</v>
      </c>
      <c r="AW241" s="88">
        <v>0</v>
      </c>
      <c r="AX241" s="88">
        <v>0</v>
      </c>
      <c r="AY241" s="87">
        <v>0</v>
      </c>
      <c r="AZ241" s="87">
        <v>0</v>
      </c>
      <c r="BA241" s="87">
        <v>0</v>
      </c>
      <c r="BB241" s="87">
        <v>0</v>
      </c>
      <c r="BC241" s="87">
        <v>0</v>
      </c>
      <c r="BD241" s="87">
        <v>0</v>
      </c>
      <c r="BE241" s="87">
        <v>0</v>
      </c>
      <c r="BF241" s="87">
        <v>0</v>
      </c>
      <c r="BG241" s="88">
        <v>0</v>
      </c>
      <c r="BH241" s="88">
        <v>0</v>
      </c>
      <c r="BI241" s="88">
        <v>0</v>
      </c>
      <c r="BJ241" s="88">
        <v>0</v>
      </c>
      <c r="BK241" s="88">
        <v>0</v>
      </c>
      <c r="BL241" s="88">
        <v>0</v>
      </c>
      <c r="BM241" s="88">
        <v>0</v>
      </c>
      <c r="BN241" s="590">
        <v>0</v>
      </c>
      <c r="BO241" s="171">
        <v>2023</v>
      </c>
      <c r="BP241" s="171">
        <v>1</v>
      </c>
      <c r="BQ241" s="171">
        <v>19</v>
      </c>
      <c r="BR241" s="77"/>
      <c r="BS241" s="76" t="str">
        <f t="shared" si="7"/>
        <v>○</v>
      </c>
    </row>
    <row r="242" spans="1:71" x14ac:dyDescent="0.2">
      <c r="A242" s="210">
        <v>1433</v>
      </c>
      <c r="B242" s="211"/>
      <c r="C242" s="212"/>
      <c r="D242" s="211"/>
      <c r="E242" s="212"/>
      <c r="F242" s="211"/>
      <c r="G242" s="211"/>
      <c r="H242" s="212"/>
      <c r="I242" s="211"/>
      <c r="J242" s="211"/>
      <c r="K242" s="211"/>
      <c r="L242" s="171"/>
      <c r="M242" s="171" t="s">
        <v>623</v>
      </c>
      <c r="N242" s="171" t="s">
        <v>306</v>
      </c>
      <c r="O242" s="171" t="s">
        <v>444</v>
      </c>
      <c r="P242" s="171" t="s">
        <v>916</v>
      </c>
      <c r="Q242" s="171"/>
      <c r="R242" s="213">
        <v>636000</v>
      </c>
      <c r="S242" s="87">
        <v>0</v>
      </c>
      <c r="T242" s="87">
        <v>0</v>
      </c>
      <c r="U242" s="87">
        <v>0</v>
      </c>
      <c r="V242" s="87">
        <v>0</v>
      </c>
      <c r="W242" s="87">
        <v>0</v>
      </c>
      <c r="X242" s="87">
        <v>0</v>
      </c>
      <c r="Y242" s="87">
        <v>0</v>
      </c>
      <c r="Z242" s="87">
        <v>0</v>
      </c>
      <c r="AA242" s="214">
        <v>0</v>
      </c>
      <c r="AB242" s="214">
        <v>0</v>
      </c>
      <c r="AC242" s="214">
        <v>0</v>
      </c>
      <c r="AD242" s="214">
        <v>0</v>
      </c>
      <c r="AE242" s="214">
        <v>0</v>
      </c>
      <c r="AF242" s="214">
        <v>0</v>
      </c>
      <c r="AG242" s="214">
        <v>0</v>
      </c>
      <c r="AH242" s="214">
        <v>0</v>
      </c>
      <c r="AI242" s="87">
        <v>636054</v>
      </c>
      <c r="AJ242" s="87">
        <v>0</v>
      </c>
      <c r="AK242" s="87">
        <v>636054</v>
      </c>
      <c r="AL242" s="87">
        <v>636054</v>
      </c>
      <c r="AM242" s="87">
        <v>2196000</v>
      </c>
      <c r="AN242" s="87">
        <v>636054</v>
      </c>
      <c r="AO242" s="87">
        <v>636054</v>
      </c>
      <c r="AP242" s="87">
        <v>636000</v>
      </c>
      <c r="AQ242" s="88">
        <v>0</v>
      </c>
      <c r="AR242" s="88">
        <v>0</v>
      </c>
      <c r="AS242" s="88">
        <v>0</v>
      </c>
      <c r="AT242" s="88">
        <v>0</v>
      </c>
      <c r="AU242" s="88">
        <v>0</v>
      </c>
      <c r="AV242" s="88">
        <v>0</v>
      </c>
      <c r="AW242" s="88">
        <v>0</v>
      </c>
      <c r="AX242" s="88">
        <v>0</v>
      </c>
      <c r="AY242" s="87">
        <v>0</v>
      </c>
      <c r="AZ242" s="87">
        <v>0</v>
      </c>
      <c r="BA242" s="87">
        <v>0</v>
      </c>
      <c r="BB242" s="87">
        <v>0</v>
      </c>
      <c r="BC242" s="87">
        <v>0</v>
      </c>
      <c r="BD242" s="87">
        <v>0</v>
      </c>
      <c r="BE242" s="87">
        <v>0</v>
      </c>
      <c r="BF242" s="87">
        <v>0</v>
      </c>
      <c r="BG242" s="88">
        <v>0</v>
      </c>
      <c r="BH242" s="88">
        <v>0</v>
      </c>
      <c r="BI242" s="88">
        <v>0</v>
      </c>
      <c r="BJ242" s="88">
        <v>0</v>
      </c>
      <c r="BK242" s="88">
        <v>0</v>
      </c>
      <c r="BL242" s="88">
        <v>0</v>
      </c>
      <c r="BM242" s="88">
        <v>0</v>
      </c>
      <c r="BN242" s="590">
        <v>0</v>
      </c>
      <c r="BO242" s="171">
        <v>2023</v>
      </c>
      <c r="BP242" s="171">
        <v>1</v>
      </c>
      <c r="BQ242" s="171">
        <v>19</v>
      </c>
      <c r="BS242" s="76" t="str">
        <f t="shared" si="7"/>
        <v>○</v>
      </c>
    </row>
    <row r="243" spans="1:71" x14ac:dyDescent="0.2">
      <c r="A243" s="210">
        <v>1434</v>
      </c>
      <c r="B243" s="211"/>
      <c r="C243" s="212"/>
      <c r="D243" s="211"/>
      <c r="E243" s="212"/>
      <c r="F243" s="211"/>
      <c r="G243" s="211"/>
      <c r="H243" s="212"/>
      <c r="I243" s="211"/>
      <c r="J243" s="211"/>
      <c r="K243" s="211"/>
      <c r="L243" s="171"/>
      <c r="M243" s="171" t="s">
        <v>624</v>
      </c>
      <c r="N243" s="171" t="s">
        <v>302</v>
      </c>
      <c r="O243" s="171" t="s">
        <v>625</v>
      </c>
      <c r="P243" s="171" t="s">
        <v>916</v>
      </c>
      <c r="Q243" s="171"/>
      <c r="R243" s="213">
        <v>686000</v>
      </c>
      <c r="S243" s="87">
        <v>0</v>
      </c>
      <c r="T243" s="87">
        <v>0</v>
      </c>
      <c r="U243" s="87">
        <v>0</v>
      </c>
      <c r="V243" s="87">
        <v>0</v>
      </c>
      <c r="W243" s="87">
        <v>0</v>
      </c>
      <c r="X243" s="87">
        <v>0</v>
      </c>
      <c r="Y243" s="87">
        <v>0</v>
      </c>
      <c r="Z243" s="87">
        <v>0</v>
      </c>
      <c r="AA243" s="214">
        <v>0</v>
      </c>
      <c r="AB243" s="214">
        <v>0</v>
      </c>
      <c r="AC243" s="214">
        <v>0</v>
      </c>
      <c r="AD243" s="214">
        <v>0</v>
      </c>
      <c r="AE243" s="214">
        <v>0</v>
      </c>
      <c r="AF243" s="214">
        <v>0</v>
      </c>
      <c r="AG243" s="214">
        <v>0</v>
      </c>
      <c r="AH243" s="214">
        <v>0</v>
      </c>
      <c r="AI243" s="87">
        <v>686820</v>
      </c>
      <c r="AJ243" s="87">
        <v>0</v>
      </c>
      <c r="AK243" s="87">
        <v>686820</v>
      </c>
      <c r="AL243" s="87">
        <v>686820</v>
      </c>
      <c r="AM243" s="87">
        <v>4600800</v>
      </c>
      <c r="AN243" s="87">
        <v>686820</v>
      </c>
      <c r="AO243" s="87">
        <v>686820</v>
      </c>
      <c r="AP243" s="87">
        <v>686000</v>
      </c>
      <c r="AQ243" s="88">
        <v>0</v>
      </c>
      <c r="AR243" s="88">
        <v>0</v>
      </c>
      <c r="AS243" s="88">
        <v>0</v>
      </c>
      <c r="AT243" s="88">
        <v>0</v>
      </c>
      <c r="AU243" s="88">
        <v>0</v>
      </c>
      <c r="AV243" s="88">
        <v>0</v>
      </c>
      <c r="AW243" s="88">
        <v>0</v>
      </c>
      <c r="AX243" s="88">
        <v>0</v>
      </c>
      <c r="AY243" s="87">
        <v>0</v>
      </c>
      <c r="AZ243" s="87">
        <v>0</v>
      </c>
      <c r="BA243" s="87">
        <v>0</v>
      </c>
      <c r="BB243" s="87">
        <v>0</v>
      </c>
      <c r="BC243" s="87">
        <v>0</v>
      </c>
      <c r="BD243" s="87">
        <v>0</v>
      </c>
      <c r="BE243" s="87">
        <v>0</v>
      </c>
      <c r="BF243" s="87">
        <v>0</v>
      </c>
      <c r="BG243" s="88">
        <v>0</v>
      </c>
      <c r="BH243" s="88">
        <v>0</v>
      </c>
      <c r="BI243" s="88">
        <v>0</v>
      </c>
      <c r="BJ243" s="88">
        <v>0</v>
      </c>
      <c r="BK243" s="88">
        <v>0</v>
      </c>
      <c r="BL243" s="88">
        <v>0</v>
      </c>
      <c r="BM243" s="88">
        <v>0</v>
      </c>
      <c r="BN243" s="590">
        <v>0</v>
      </c>
      <c r="BO243" s="171">
        <v>2023</v>
      </c>
      <c r="BP243" s="171">
        <v>1</v>
      </c>
      <c r="BQ243" s="171">
        <v>19</v>
      </c>
      <c r="BR243" s="81"/>
      <c r="BS243" s="76" t="str">
        <f t="shared" si="7"/>
        <v>○</v>
      </c>
    </row>
    <row r="244" spans="1:71" x14ac:dyDescent="0.2">
      <c r="A244" s="210">
        <v>1435</v>
      </c>
      <c r="B244" s="211"/>
      <c r="C244" s="212"/>
      <c r="D244" s="211"/>
      <c r="E244" s="212"/>
      <c r="F244" s="211"/>
      <c r="G244" s="211"/>
      <c r="H244" s="212"/>
      <c r="I244" s="211"/>
      <c r="J244" s="211"/>
      <c r="K244" s="211"/>
      <c r="L244" s="171"/>
      <c r="M244" s="171" t="s">
        <v>626</v>
      </c>
      <c r="N244" s="171" t="s">
        <v>302</v>
      </c>
      <c r="O244" s="171" t="s">
        <v>369</v>
      </c>
      <c r="P244" s="171" t="s">
        <v>916</v>
      </c>
      <c r="Q244" s="171"/>
      <c r="R244" s="213">
        <v>1503000</v>
      </c>
      <c r="S244" s="87">
        <v>0</v>
      </c>
      <c r="T244" s="87">
        <v>0</v>
      </c>
      <c r="U244" s="87">
        <v>0</v>
      </c>
      <c r="V244" s="87">
        <v>0</v>
      </c>
      <c r="W244" s="87">
        <v>0</v>
      </c>
      <c r="X244" s="87">
        <v>0</v>
      </c>
      <c r="Y244" s="87">
        <v>0</v>
      </c>
      <c r="Z244" s="87">
        <v>0</v>
      </c>
      <c r="AA244" s="214">
        <v>0</v>
      </c>
      <c r="AB244" s="214">
        <v>0</v>
      </c>
      <c r="AC244" s="214">
        <v>0</v>
      </c>
      <c r="AD244" s="214">
        <v>0</v>
      </c>
      <c r="AE244" s="214">
        <v>0</v>
      </c>
      <c r="AF244" s="214">
        <v>0</v>
      </c>
      <c r="AG244" s="214">
        <v>0</v>
      </c>
      <c r="AH244" s="214">
        <v>0</v>
      </c>
      <c r="AI244" s="87">
        <v>1503700</v>
      </c>
      <c r="AJ244" s="87">
        <v>0</v>
      </c>
      <c r="AK244" s="87">
        <v>1503700</v>
      </c>
      <c r="AL244" s="87">
        <v>1503700</v>
      </c>
      <c r="AM244" s="87">
        <v>13500000</v>
      </c>
      <c r="AN244" s="87">
        <v>1503700</v>
      </c>
      <c r="AO244" s="87">
        <v>1503700</v>
      </c>
      <c r="AP244" s="87">
        <v>1503000</v>
      </c>
      <c r="AQ244" s="88">
        <v>0</v>
      </c>
      <c r="AR244" s="88">
        <v>0</v>
      </c>
      <c r="AS244" s="88">
        <v>0</v>
      </c>
      <c r="AT244" s="88">
        <v>0</v>
      </c>
      <c r="AU244" s="88">
        <v>0</v>
      </c>
      <c r="AV244" s="88">
        <v>0</v>
      </c>
      <c r="AW244" s="88">
        <v>0</v>
      </c>
      <c r="AX244" s="88">
        <v>0</v>
      </c>
      <c r="AY244" s="87">
        <v>0</v>
      </c>
      <c r="AZ244" s="87">
        <v>0</v>
      </c>
      <c r="BA244" s="87">
        <v>0</v>
      </c>
      <c r="BB244" s="87">
        <v>0</v>
      </c>
      <c r="BC244" s="87">
        <v>0</v>
      </c>
      <c r="BD244" s="87">
        <v>0</v>
      </c>
      <c r="BE244" s="87">
        <v>0</v>
      </c>
      <c r="BF244" s="87">
        <v>0</v>
      </c>
      <c r="BG244" s="88">
        <v>0</v>
      </c>
      <c r="BH244" s="88">
        <v>0</v>
      </c>
      <c r="BI244" s="88">
        <v>0</v>
      </c>
      <c r="BJ244" s="88">
        <v>0</v>
      </c>
      <c r="BK244" s="88">
        <v>0</v>
      </c>
      <c r="BL244" s="88">
        <v>0</v>
      </c>
      <c r="BM244" s="88">
        <v>0</v>
      </c>
      <c r="BN244" s="590">
        <v>0</v>
      </c>
      <c r="BO244" s="171">
        <v>2023</v>
      </c>
      <c r="BP244" s="171">
        <v>1</v>
      </c>
      <c r="BQ244" s="171">
        <v>19</v>
      </c>
      <c r="BS244" s="76" t="str">
        <f t="shared" si="7"/>
        <v>○</v>
      </c>
    </row>
    <row r="245" spans="1:71" x14ac:dyDescent="0.2">
      <c r="A245" s="210">
        <v>1436</v>
      </c>
      <c r="B245" s="211"/>
      <c r="C245" s="212"/>
      <c r="D245" s="211"/>
      <c r="E245" s="212"/>
      <c r="F245" s="211"/>
      <c r="G245" s="211"/>
      <c r="H245" s="212"/>
      <c r="I245" s="211"/>
      <c r="J245" s="211"/>
      <c r="K245" s="211"/>
      <c r="L245" s="171"/>
      <c r="M245" s="171" t="s">
        <v>390</v>
      </c>
      <c r="N245" s="171" t="s">
        <v>269</v>
      </c>
      <c r="O245" s="171" t="s">
        <v>391</v>
      </c>
      <c r="P245" s="171" t="s">
        <v>916</v>
      </c>
      <c r="Q245" s="171"/>
      <c r="R245" s="213">
        <v>640000</v>
      </c>
      <c r="S245" s="87">
        <v>0</v>
      </c>
      <c r="T245" s="87">
        <v>0</v>
      </c>
      <c r="U245" s="87">
        <v>0</v>
      </c>
      <c r="V245" s="87">
        <v>0</v>
      </c>
      <c r="W245" s="87">
        <v>0</v>
      </c>
      <c r="X245" s="87">
        <v>0</v>
      </c>
      <c r="Y245" s="87">
        <v>0</v>
      </c>
      <c r="Z245" s="87">
        <v>0</v>
      </c>
      <c r="AA245" s="214">
        <v>0</v>
      </c>
      <c r="AB245" s="214">
        <v>0</v>
      </c>
      <c r="AC245" s="214">
        <v>0</v>
      </c>
      <c r="AD245" s="214">
        <v>0</v>
      </c>
      <c r="AE245" s="214">
        <v>0</v>
      </c>
      <c r="AF245" s="214">
        <v>0</v>
      </c>
      <c r="AG245" s="214">
        <v>0</v>
      </c>
      <c r="AH245" s="214">
        <v>0</v>
      </c>
      <c r="AI245" s="87">
        <v>640750</v>
      </c>
      <c r="AJ245" s="87">
        <v>0</v>
      </c>
      <c r="AK245" s="87">
        <v>640750</v>
      </c>
      <c r="AL245" s="87">
        <v>640750</v>
      </c>
      <c r="AM245" s="87">
        <v>1598400</v>
      </c>
      <c r="AN245" s="87">
        <v>640750</v>
      </c>
      <c r="AO245" s="87">
        <v>640750</v>
      </c>
      <c r="AP245" s="87">
        <v>640000</v>
      </c>
      <c r="AQ245" s="88">
        <v>0</v>
      </c>
      <c r="AR245" s="88">
        <v>0</v>
      </c>
      <c r="AS245" s="88">
        <v>0</v>
      </c>
      <c r="AT245" s="88">
        <v>0</v>
      </c>
      <c r="AU245" s="88">
        <v>0</v>
      </c>
      <c r="AV245" s="88">
        <v>0</v>
      </c>
      <c r="AW245" s="88">
        <v>0</v>
      </c>
      <c r="AX245" s="88">
        <v>0</v>
      </c>
      <c r="AY245" s="87">
        <v>0</v>
      </c>
      <c r="AZ245" s="87">
        <v>0</v>
      </c>
      <c r="BA245" s="87">
        <v>0</v>
      </c>
      <c r="BB245" s="87">
        <v>0</v>
      </c>
      <c r="BC245" s="87">
        <v>0</v>
      </c>
      <c r="BD245" s="87">
        <v>0</v>
      </c>
      <c r="BE245" s="87">
        <v>0</v>
      </c>
      <c r="BF245" s="87">
        <v>0</v>
      </c>
      <c r="BG245" s="88">
        <v>0</v>
      </c>
      <c r="BH245" s="88">
        <v>0</v>
      </c>
      <c r="BI245" s="88">
        <v>0</v>
      </c>
      <c r="BJ245" s="88">
        <v>0</v>
      </c>
      <c r="BK245" s="88">
        <v>0</v>
      </c>
      <c r="BL245" s="88">
        <v>0</v>
      </c>
      <c r="BM245" s="88">
        <v>0</v>
      </c>
      <c r="BN245" s="590">
        <v>0</v>
      </c>
      <c r="BO245" s="171">
        <v>2023</v>
      </c>
      <c r="BP245" s="171">
        <v>1</v>
      </c>
      <c r="BQ245" s="171">
        <v>19</v>
      </c>
      <c r="BS245" s="76" t="str">
        <f t="shared" si="7"/>
        <v>○</v>
      </c>
    </row>
    <row r="246" spans="1:71" x14ac:dyDescent="0.2">
      <c r="A246" s="210">
        <v>1437</v>
      </c>
      <c r="B246" s="211"/>
      <c r="C246" s="212"/>
      <c r="D246" s="211"/>
      <c r="E246" s="212"/>
      <c r="F246" s="211"/>
      <c r="G246" s="211"/>
      <c r="H246" s="212"/>
      <c r="I246" s="211"/>
      <c r="J246" s="211"/>
      <c r="K246" s="211"/>
      <c r="L246" s="171"/>
      <c r="M246" s="171" t="s">
        <v>388</v>
      </c>
      <c r="N246" s="171" t="s">
        <v>269</v>
      </c>
      <c r="O246" s="171" t="s">
        <v>389</v>
      </c>
      <c r="P246" s="171" t="s">
        <v>916</v>
      </c>
      <c r="Q246" s="171"/>
      <c r="R246" s="213">
        <v>39000</v>
      </c>
      <c r="S246" s="87">
        <v>0</v>
      </c>
      <c r="T246" s="87">
        <v>0</v>
      </c>
      <c r="U246" s="87">
        <v>0</v>
      </c>
      <c r="V246" s="87">
        <v>0</v>
      </c>
      <c r="W246" s="87">
        <v>0</v>
      </c>
      <c r="X246" s="87">
        <v>0</v>
      </c>
      <c r="Y246" s="87">
        <v>0</v>
      </c>
      <c r="Z246" s="87">
        <v>0</v>
      </c>
      <c r="AA246" s="214">
        <v>0</v>
      </c>
      <c r="AB246" s="214">
        <v>0</v>
      </c>
      <c r="AC246" s="214">
        <v>0</v>
      </c>
      <c r="AD246" s="214">
        <v>0</v>
      </c>
      <c r="AE246" s="214">
        <v>0</v>
      </c>
      <c r="AF246" s="214">
        <v>0</v>
      </c>
      <c r="AG246" s="214">
        <v>0</v>
      </c>
      <c r="AH246" s="214">
        <v>0</v>
      </c>
      <c r="AI246" s="87">
        <v>39540</v>
      </c>
      <c r="AJ246" s="87">
        <v>0</v>
      </c>
      <c r="AK246" s="87">
        <v>39540</v>
      </c>
      <c r="AL246" s="87">
        <v>39540</v>
      </c>
      <c r="AM246" s="87">
        <v>4032000</v>
      </c>
      <c r="AN246" s="87">
        <v>39540</v>
      </c>
      <c r="AO246" s="87">
        <v>39540</v>
      </c>
      <c r="AP246" s="87">
        <v>39000</v>
      </c>
      <c r="AQ246" s="88">
        <v>0</v>
      </c>
      <c r="AR246" s="88">
        <v>0</v>
      </c>
      <c r="AS246" s="88">
        <v>0</v>
      </c>
      <c r="AT246" s="88">
        <v>0</v>
      </c>
      <c r="AU246" s="88">
        <v>0</v>
      </c>
      <c r="AV246" s="88">
        <v>0</v>
      </c>
      <c r="AW246" s="88">
        <v>0</v>
      </c>
      <c r="AX246" s="88">
        <v>0</v>
      </c>
      <c r="AY246" s="87">
        <v>0</v>
      </c>
      <c r="AZ246" s="87">
        <v>0</v>
      </c>
      <c r="BA246" s="87">
        <v>0</v>
      </c>
      <c r="BB246" s="87">
        <v>0</v>
      </c>
      <c r="BC246" s="87">
        <v>0</v>
      </c>
      <c r="BD246" s="87">
        <v>0</v>
      </c>
      <c r="BE246" s="87">
        <v>0</v>
      </c>
      <c r="BF246" s="87">
        <v>0</v>
      </c>
      <c r="BG246" s="88">
        <v>0</v>
      </c>
      <c r="BH246" s="88">
        <v>0</v>
      </c>
      <c r="BI246" s="88">
        <v>0</v>
      </c>
      <c r="BJ246" s="88">
        <v>0</v>
      </c>
      <c r="BK246" s="88">
        <v>0</v>
      </c>
      <c r="BL246" s="88">
        <v>0</v>
      </c>
      <c r="BM246" s="88">
        <v>0</v>
      </c>
      <c r="BN246" s="590">
        <v>0</v>
      </c>
      <c r="BO246" s="171">
        <v>2023</v>
      </c>
      <c r="BP246" s="171">
        <v>1</v>
      </c>
      <c r="BQ246" s="171">
        <v>19</v>
      </c>
      <c r="BS246" s="76" t="str">
        <f t="shared" si="7"/>
        <v>○</v>
      </c>
    </row>
    <row r="247" spans="1:71" x14ac:dyDescent="0.2">
      <c r="A247" s="210">
        <v>1438</v>
      </c>
      <c r="B247" s="211"/>
      <c r="C247" s="212"/>
      <c r="D247" s="211"/>
      <c r="E247" s="212"/>
      <c r="F247" s="211"/>
      <c r="G247" s="211"/>
      <c r="H247" s="212"/>
      <c r="I247" s="211"/>
      <c r="J247" s="211"/>
      <c r="K247" s="211"/>
      <c r="L247" s="171"/>
      <c r="M247" s="171" t="s">
        <v>475</v>
      </c>
      <c r="N247" s="171" t="s">
        <v>275</v>
      </c>
      <c r="O247" s="171" t="s">
        <v>476</v>
      </c>
      <c r="P247" s="171" t="s">
        <v>916</v>
      </c>
      <c r="Q247" s="171"/>
      <c r="R247" s="213">
        <v>317000</v>
      </c>
      <c r="S247" s="87">
        <v>0</v>
      </c>
      <c r="T247" s="87">
        <v>0</v>
      </c>
      <c r="U247" s="87">
        <v>0</v>
      </c>
      <c r="V247" s="87">
        <v>0</v>
      </c>
      <c r="W247" s="87">
        <v>0</v>
      </c>
      <c r="X247" s="87">
        <v>0</v>
      </c>
      <c r="Y247" s="87">
        <v>0</v>
      </c>
      <c r="Z247" s="87">
        <v>0</v>
      </c>
      <c r="AA247" s="214">
        <v>0</v>
      </c>
      <c r="AB247" s="214">
        <v>0</v>
      </c>
      <c r="AC247" s="214">
        <v>0</v>
      </c>
      <c r="AD247" s="214">
        <v>0</v>
      </c>
      <c r="AE247" s="214">
        <v>0</v>
      </c>
      <c r="AF247" s="214">
        <v>0</v>
      </c>
      <c r="AG247" s="214">
        <v>0</v>
      </c>
      <c r="AH247" s="214">
        <v>0</v>
      </c>
      <c r="AI247" s="87">
        <v>317840</v>
      </c>
      <c r="AJ247" s="87">
        <v>0</v>
      </c>
      <c r="AK247" s="87">
        <v>317840</v>
      </c>
      <c r="AL247" s="87">
        <v>317840</v>
      </c>
      <c r="AM247" s="87">
        <v>1296000</v>
      </c>
      <c r="AN247" s="87">
        <v>317840</v>
      </c>
      <c r="AO247" s="87">
        <v>317840</v>
      </c>
      <c r="AP247" s="87">
        <v>317000</v>
      </c>
      <c r="AQ247" s="88">
        <v>0</v>
      </c>
      <c r="AR247" s="88">
        <v>0</v>
      </c>
      <c r="AS247" s="88">
        <v>0</v>
      </c>
      <c r="AT247" s="88">
        <v>0</v>
      </c>
      <c r="AU247" s="88">
        <v>0</v>
      </c>
      <c r="AV247" s="88">
        <v>0</v>
      </c>
      <c r="AW247" s="88">
        <v>0</v>
      </c>
      <c r="AX247" s="88">
        <v>0</v>
      </c>
      <c r="AY247" s="87">
        <v>0</v>
      </c>
      <c r="AZ247" s="87">
        <v>0</v>
      </c>
      <c r="BA247" s="87">
        <v>0</v>
      </c>
      <c r="BB247" s="87">
        <v>0</v>
      </c>
      <c r="BC247" s="87">
        <v>0</v>
      </c>
      <c r="BD247" s="87">
        <v>0</v>
      </c>
      <c r="BE247" s="87">
        <v>0</v>
      </c>
      <c r="BF247" s="87">
        <v>0</v>
      </c>
      <c r="BG247" s="88">
        <v>0</v>
      </c>
      <c r="BH247" s="88">
        <v>0</v>
      </c>
      <c r="BI247" s="88">
        <v>0</v>
      </c>
      <c r="BJ247" s="88">
        <v>0</v>
      </c>
      <c r="BK247" s="88">
        <v>0</v>
      </c>
      <c r="BL247" s="88">
        <v>0</v>
      </c>
      <c r="BM247" s="88">
        <v>0</v>
      </c>
      <c r="BN247" s="590">
        <v>0</v>
      </c>
      <c r="BO247" s="171">
        <v>2023</v>
      </c>
      <c r="BP247" s="171">
        <v>1</v>
      </c>
      <c r="BQ247" s="171">
        <v>19</v>
      </c>
      <c r="BS247" s="76" t="str">
        <f t="shared" si="7"/>
        <v>○</v>
      </c>
    </row>
    <row r="248" spans="1:71" x14ac:dyDescent="0.2">
      <c r="A248" s="210">
        <v>1439</v>
      </c>
      <c r="B248" s="211"/>
      <c r="C248" s="212"/>
      <c r="D248" s="211"/>
      <c r="E248" s="212"/>
      <c r="F248" s="211"/>
      <c r="G248" s="211"/>
      <c r="H248" s="212"/>
      <c r="I248" s="211"/>
      <c r="J248" s="211"/>
      <c r="K248" s="211"/>
      <c r="L248" s="171"/>
      <c r="M248" s="171" t="s">
        <v>627</v>
      </c>
      <c r="N248" s="171" t="s">
        <v>330</v>
      </c>
      <c r="O248" s="171" t="s">
        <v>279</v>
      </c>
      <c r="P248" s="171" t="s">
        <v>916</v>
      </c>
      <c r="Q248" s="171"/>
      <c r="R248" s="213">
        <v>122000</v>
      </c>
      <c r="S248" s="87">
        <v>0</v>
      </c>
      <c r="T248" s="87">
        <v>0</v>
      </c>
      <c r="U248" s="87">
        <v>0</v>
      </c>
      <c r="V248" s="87">
        <v>0</v>
      </c>
      <c r="W248" s="87">
        <v>0</v>
      </c>
      <c r="X248" s="87">
        <v>0</v>
      </c>
      <c r="Y248" s="87">
        <v>0</v>
      </c>
      <c r="Z248" s="87">
        <v>0</v>
      </c>
      <c r="AA248" s="214">
        <v>0</v>
      </c>
      <c r="AB248" s="214">
        <v>0</v>
      </c>
      <c r="AC248" s="214">
        <v>0</v>
      </c>
      <c r="AD248" s="214">
        <v>0</v>
      </c>
      <c r="AE248" s="214">
        <v>0</v>
      </c>
      <c r="AF248" s="214">
        <v>0</v>
      </c>
      <c r="AG248" s="214">
        <v>0</v>
      </c>
      <c r="AH248" s="214">
        <v>0</v>
      </c>
      <c r="AI248" s="87">
        <v>122716</v>
      </c>
      <c r="AJ248" s="87">
        <v>0</v>
      </c>
      <c r="AK248" s="87">
        <v>122716</v>
      </c>
      <c r="AL248" s="87">
        <v>122716</v>
      </c>
      <c r="AM248" s="87">
        <v>6148800</v>
      </c>
      <c r="AN248" s="87">
        <v>122716</v>
      </c>
      <c r="AO248" s="87">
        <v>122716</v>
      </c>
      <c r="AP248" s="87">
        <v>122000</v>
      </c>
      <c r="AQ248" s="88">
        <v>0</v>
      </c>
      <c r="AR248" s="88">
        <v>0</v>
      </c>
      <c r="AS248" s="88">
        <v>0</v>
      </c>
      <c r="AT248" s="88">
        <v>0</v>
      </c>
      <c r="AU248" s="88">
        <v>0</v>
      </c>
      <c r="AV248" s="88">
        <v>0</v>
      </c>
      <c r="AW248" s="88">
        <v>0</v>
      </c>
      <c r="AX248" s="88">
        <v>0</v>
      </c>
      <c r="AY248" s="87">
        <v>0</v>
      </c>
      <c r="AZ248" s="87">
        <v>0</v>
      </c>
      <c r="BA248" s="87">
        <v>0</v>
      </c>
      <c r="BB248" s="87">
        <v>0</v>
      </c>
      <c r="BC248" s="87">
        <v>0</v>
      </c>
      <c r="BD248" s="87">
        <v>0</v>
      </c>
      <c r="BE248" s="87">
        <v>0</v>
      </c>
      <c r="BF248" s="87">
        <v>0</v>
      </c>
      <c r="BG248" s="88">
        <v>0</v>
      </c>
      <c r="BH248" s="88">
        <v>0</v>
      </c>
      <c r="BI248" s="88">
        <v>0</v>
      </c>
      <c r="BJ248" s="88">
        <v>0</v>
      </c>
      <c r="BK248" s="88">
        <v>0</v>
      </c>
      <c r="BL248" s="88">
        <v>0</v>
      </c>
      <c r="BM248" s="88">
        <v>0</v>
      </c>
      <c r="BN248" s="590">
        <v>0</v>
      </c>
      <c r="BO248" s="171">
        <v>2023</v>
      </c>
      <c r="BP248" s="171">
        <v>1</v>
      </c>
      <c r="BQ248" s="171">
        <v>19</v>
      </c>
      <c r="BS248" s="76" t="str">
        <f t="shared" si="7"/>
        <v>○</v>
      </c>
    </row>
    <row r="249" spans="1:71" x14ac:dyDescent="0.2">
      <c r="A249" s="210">
        <v>1440</v>
      </c>
      <c r="B249" s="211"/>
      <c r="C249" s="212"/>
      <c r="D249" s="211"/>
      <c r="E249" s="212"/>
      <c r="F249" s="211"/>
      <c r="G249" s="211"/>
      <c r="H249" s="212"/>
      <c r="I249" s="211"/>
      <c r="J249" s="211"/>
      <c r="K249" s="211"/>
      <c r="L249" s="171"/>
      <c r="M249" s="171" t="s">
        <v>628</v>
      </c>
      <c r="N249" s="171" t="s">
        <v>393</v>
      </c>
      <c r="O249" s="171" t="s">
        <v>364</v>
      </c>
      <c r="P249" s="171" t="s">
        <v>916</v>
      </c>
      <c r="Q249" s="171"/>
      <c r="R249" s="213">
        <v>369000</v>
      </c>
      <c r="S249" s="87">
        <v>0</v>
      </c>
      <c r="T249" s="87">
        <v>0</v>
      </c>
      <c r="U249" s="87">
        <v>0</v>
      </c>
      <c r="V249" s="87">
        <v>0</v>
      </c>
      <c r="W249" s="87">
        <v>0</v>
      </c>
      <c r="X249" s="87">
        <v>0</v>
      </c>
      <c r="Y249" s="87">
        <v>0</v>
      </c>
      <c r="Z249" s="87">
        <v>0</v>
      </c>
      <c r="AA249" s="214">
        <v>0</v>
      </c>
      <c r="AB249" s="214">
        <v>0</v>
      </c>
      <c r="AC249" s="214">
        <v>0</v>
      </c>
      <c r="AD249" s="214">
        <v>0</v>
      </c>
      <c r="AE249" s="214">
        <v>0</v>
      </c>
      <c r="AF249" s="214">
        <v>0</v>
      </c>
      <c r="AG249" s="214">
        <v>0</v>
      </c>
      <c r="AH249" s="214">
        <v>0</v>
      </c>
      <c r="AI249" s="87">
        <v>369660</v>
      </c>
      <c r="AJ249" s="87">
        <v>0</v>
      </c>
      <c r="AK249" s="87">
        <v>369660</v>
      </c>
      <c r="AL249" s="87">
        <v>369660</v>
      </c>
      <c r="AM249" s="87">
        <v>1036800</v>
      </c>
      <c r="AN249" s="87">
        <v>369660</v>
      </c>
      <c r="AO249" s="87">
        <v>369660</v>
      </c>
      <c r="AP249" s="87">
        <v>369000</v>
      </c>
      <c r="AQ249" s="88">
        <v>0</v>
      </c>
      <c r="AR249" s="88">
        <v>0</v>
      </c>
      <c r="AS249" s="88">
        <v>0</v>
      </c>
      <c r="AT249" s="88">
        <v>0</v>
      </c>
      <c r="AU249" s="88">
        <v>0</v>
      </c>
      <c r="AV249" s="88">
        <v>0</v>
      </c>
      <c r="AW249" s="88">
        <v>0</v>
      </c>
      <c r="AX249" s="88">
        <v>0</v>
      </c>
      <c r="AY249" s="87">
        <v>0</v>
      </c>
      <c r="AZ249" s="87">
        <v>0</v>
      </c>
      <c r="BA249" s="87">
        <v>0</v>
      </c>
      <c r="BB249" s="87">
        <v>0</v>
      </c>
      <c r="BC249" s="87">
        <v>0</v>
      </c>
      <c r="BD249" s="87">
        <v>0</v>
      </c>
      <c r="BE249" s="87">
        <v>0</v>
      </c>
      <c r="BF249" s="87">
        <v>0</v>
      </c>
      <c r="BG249" s="88">
        <v>0</v>
      </c>
      <c r="BH249" s="88">
        <v>0</v>
      </c>
      <c r="BI249" s="88">
        <v>0</v>
      </c>
      <c r="BJ249" s="88">
        <v>0</v>
      </c>
      <c r="BK249" s="88">
        <v>0</v>
      </c>
      <c r="BL249" s="88">
        <v>0</v>
      </c>
      <c r="BM249" s="88">
        <v>0</v>
      </c>
      <c r="BN249" s="590">
        <v>0</v>
      </c>
      <c r="BO249" s="171">
        <v>2023</v>
      </c>
      <c r="BP249" s="171">
        <v>1</v>
      </c>
      <c r="BQ249" s="171">
        <v>19</v>
      </c>
      <c r="BS249" s="76" t="str">
        <f t="shared" si="7"/>
        <v>○</v>
      </c>
    </row>
    <row r="250" spans="1:71" x14ac:dyDescent="0.2">
      <c r="A250" s="210">
        <v>1441</v>
      </c>
      <c r="B250" s="211"/>
      <c r="C250" s="212"/>
      <c r="D250" s="211"/>
      <c r="E250" s="212"/>
      <c r="F250" s="211"/>
      <c r="G250" s="211"/>
      <c r="H250" s="212"/>
      <c r="I250" s="211"/>
      <c r="J250" s="211"/>
      <c r="K250" s="211"/>
      <c r="L250" s="171"/>
      <c r="M250" s="171" t="s">
        <v>629</v>
      </c>
      <c r="N250" s="171" t="s">
        <v>532</v>
      </c>
      <c r="O250" s="171" t="s">
        <v>630</v>
      </c>
      <c r="P250" s="171" t="s">
        <v>916</v>
      </c>
      <c r="Q250" s="171"/>
      <c r="R250" s="213">
        <v>244000</v>
      </c>
      <c r="S250" s="87">
        <v>0</v>
      </c>
      <c r="T250" s="87">
        <v>0</v>
      </c>
      <c r="U250" s="87">
        <v>0</v>
      </c>
      <c r="V250" s="87">
        <v>0</v>
      </c>
      <c r="W250" s="87">
        <v>0</v>
      </c>
      <c r="X250" s="87">
        <v>0</v>
      </c>
      <c r="Y250" s="87">
        <v>0</v>
      </c>
      <c r="Z250" s="87">
        <v>0</v>
      </c>
      <c r="AA250" s="214">
        <v>0</v>
      </c>
      <c r="AB250" s="214">
        <v>0</v>
      </c>
      <c r="AC250" s="214">
        <v>0</v>
      </c>
      <c r="AD250" s="214">
        <v>0</v>
      </c>
      <c r="AE250" s="214">
        <v>0</v>
      </c>
      <c r="AF250" s="214">
        <v>0</v>
      </c>
      <c r="AG250" s="214">
        <v>0</v>
      </c>
      <c r="AH250" s="214">
        <v>0</v>
      </c>
      <c r="AI250" s="87">
        <v>244786</v>
      </c>
      <c r="AJ250" s="87">
        <v>0</v>
      </c>
      <c r="AK250" s="87">
        <v>244786</v>
      </c>
      <c r="AL250" s="87">
        <v>244786</v>
      </c>
      <c r="AM250" s="87">
        <v>1188000</v>
      </c>
      <c r="AN250" s="87">
        <v>244786</v>
      </c>
      <c r="AO250" s="87">
        <v>244786</v>
      </c>
      <c r="AP250" s="87">
        <v>244000</v>
      </c>
      <c r="AQ250" s="88">
        <v>0</v>
      </c>
      <c r="AR250" s="88">
        <v>0</v>
      </c>
      <c r="AS250" s="88">
        <v>0</v>
      </c>
      <c r="AT250" s="88">
        <v>0</v>
      </c>
      <c r="AU250" s="88">
        <v>0</v>
      </c>
      <c r="AV250" s="88">
        <v>0</v>
      </c>
      <c r="AW250" s="88">
        <v>0</v>
      </c>
      <c r="AX250" s="88">
        <v>0</v>
      </c>
      <c r="AY250" s="87">
        <v>0</v>
      </c>
      <c r="AZ250" s="87">
        <v>0</v>
      </c>
      <c r="BA250" s="87">
        <v>0</v>
      </c>
      <c r="BB250" s="87">
        <v>0</v>
      </c>
      <c r="BC250" s="87">
        <v>0</v>
      </c>
      <c r="BD250" s="87">
        <v>0</v>
      </c>
      <c r="BE250" s="87">
        <v>0</v>
      </c>
      <c r="BF250" s="87">
        <v>0</v>
      </c>
      <c r="BG250" s="88">
        <v>0</v>
      </c>
      <c r="BH250" s="88">
        <v>0</v>
      </c>
      <c r="BI250" s="88">
        <v>0</v>
      </c>
      <c r="BJ250" s="88">
        <v>0</v>
      </c>
      <c r="BK250" s="88">
        <v>0</v>
      </c>
      <c r="BL250" s="88">
        <v>0</v>
      </c>
      <c r="BM250" s="88">
        <v>0</v>
      </c>
      <c r="BN250" s="590">
        <v>0</v>
      </c>
      <c r="BO250" s="171">
        <v>2023</v>
      </c>
      <c r="BP250" s="171">
        <v>1</v>
      </c>
      <c r="BQ250" s="171">
        <v>19</v>
      </c>
      <c r="BS250" s="76" t="str">
        <f t="shared" si="7"/>
        <v>○</v>
      </c>
    </row>
    <row r="251" spans="1:71" x14ac:dyDescent="0.2">
      <c r="A251" s="210">
        <v>1443</v>
      </c>
      <c r="B251" s="211"/>
      <c r="C251" s="212"/>
      <c r="D251" s="211"/>
      <c r="E251" s="212"/>
      <c r="F251" s="211"/>
      <c r="G251" s="211"/>
      <c r="H251" s="212"/>
      <c r="I251" s="211"/>
      <c r="J251" s="211"/>
      <c r="K251" s="211"/>
      <c r="L251" s="171"/>
      <c r="M251" s="171" t="s">
        <v>338</v>
      </c>
      <c r="N251" s="171" t="s">
        <v>289</v>
      </c>
      <c r="O251" s="171" t="s">
        <v>339</v>
      </c>
      <c r="P251" s="171" t="s">
        <v>916</v>
      </c>
      <c r="Q251" s="171"/>
      <c r="R251" s="213">
        <v>844000</v>
      </c>
      <c r="S251" s="87">
        <v>0</v>
      </c>
      <c r="T251" s="87">
        <v>0</v>
      </c>
      <c r="U251" s="87">
        <v>0</v>
      </c>
      <c r="V251" s="87">
        <v>0</v>
      </c>
      <c r="W251" s="87">
        <v>0</v>
      </c>
      <c r="X251" s="87">
        <v>0</v>
      </c>
      <c r="Y251" s="87">
        <v>0</v>
      </c>
      <c r="Z251" s="87">
        <v>0</v>
      </c>
      <c r="AA251" s="214">
        <v>0</v>
      </c>
      <c r="AB251" s="214">
        <v>0</v>
      </c>
      <c r="AC251" s="214">
        <v>0</v>
      </c>
      <c r="AD251" s="214">
        <v>0</v>
      </c>
      <c r="AE251" s="214">
        <v>0</v>
      </c>
      <c r="AF251" s="214">
        <v>0</v>
      </c>
      <c r="AG251" s="214">
        <v>0</v>
      </c>
      <c r="AH251" s="214">
        <v>0</v>
      </c>
      <c r="AI251" s="87">
        <v>844104</v>
      </c>
      <c r="AJ251" s="87">
        <v>0</v>
      </c>
      <c r="AK251" s="87">
        <v>844104</v>
      </c>
      <c r="AL251" s="87">
        <v>844104</v>
      </c>
      <c r="AM251" s="87">
        <v>4284000</v>
      </c>
      <c r="AN251" s="87">
        <v>844104</v>
      </c>
      <c r="AO251" s="87">
        <v>844104</v>
      </c>
      <c r="AP251" s="87">
        <v>844000</v>
      </c>
      <c r="AQ251" s="88">
        <v>0</v>
      </c>
      <c r="AR251" s="88">
        <v>0</v>
      </c>
      <c r="AS251" s="88">
        <v>0</v>
      </c>
      <c r="AT251" s="88">
        <v>0</v>
      </c>
      <c r="AU251" s="88">
        <v>0</v>
      </c>
      <c r="AV251" s="88">
        <v>0</v>
      </c>
      <c r="AW251" s="88">
        <v>0</v>
      </c>
      <c r="AX251" s="88">
        <v>0</v>
      </c>
      <c r="AY251" s="87">
        <v>0</v>
      </c>
      <c r="AZ251" s="87">
        <v>0</v>
      </c>
      <c r="BA251" s="87">
        <v>0</v>
      </c>
      <c r="BB251" s="87">
        <v>0</v>
      </c>
      <c r="BC251" s="87">
        <v>0</v>
      </c>
      <c r="BD251" s="87">
        <v>0</v>
      </c>
      <c r="BE251" s="87">
        <v>0</v>
      </c>
      <c r="BF251" s="87">
        <v>0</v>
      </c>
      <c r="BG251" s="88">
        <v>0</v>
      </c>
      <c r="BH251" s="88">
        <v>0</v>
      </c>
      <c r="BI251" s="88">
        <v>0</v>
      </c>
      <c r="BJ251" s="88">
        <v>0</v>
      </c>
      <c r="BK251" s="88">
        <v>0</v>
      </c>
      <c r="BL251" s="88">
        <v>0</v>
      </c>
      <c r="BM251" s="88">
        <v>0</v>
      </c>
      <c r="BN251" s="590">
        <v>0</v>
      </c>
      <c r="BO251" s="171">
        <v>2023</v>
      </c>
      <c r="BP251" s="171">
        <v>1</v>
      </c>
      <c r="BQ251" s="171">
        <v>19</v>
      </c>
      <c r="BS251" s="76" t="str">
        <f t="shared" si="7"/>
        <v>○</v>
      </c>
    </row>
    <row r="252" spans="1:71" x14ac:dyDescent="0.2">
      <c r="A252" s="210">
        <v>1444</v>
      </c>
      <c r="B252" s="211"/>
      <c r="C252" s="212"/>
      <c r="D252" s="211"/>
      <c r="E252" s="212"/>
      <c r="F252" s="211"/>
      <c r="G252" s="211"/>
      <c r="H252" s="212"/>
      <c r="I252" s="211"/>
      <c r="J252" s="211"/>
      <c r="K252" s="211"/>
      <c r="L252" s="171"/>
      <c r="M252" s="171" t="s">
        <v>631</v>
      </c>
      <c r="N252" s="171" t="s">
        <v>493</v>
      </c>
      <c r="O252" s="171" t="s">
        <v>632</v>
      </c>
      <c r="P252" s="171" t="s">
        <v>916</v>
      </c>
      <c r="Q252" s="171"/>
      <c r="R252" s="213">
        <v>49000</v>
      </c>
      <c r="S252" s="87">
        <v>0</v>
      </c>
      <c r="T252" s="87">
        <v>0</v>
      </c>
      <c r="U252" s="87">
        <v>0</v>
      </c>
      <c r="V252" s="87">
        <v>0</v>
      </c>
      <c r="W252" s="87">
        <v>0</v>
      </c>
      <c r="X252" s="87">
        <v>0</v>
      </c>
      <c r="Y252" s="87">
        <v>0</v>
      </c>
      <c r="Z252" s="87">
        <v>0</v>
      </c>
      <c r="AA252" s="214">
        <v>0</v>
      </c>
      <c r="AB252" s="214">
        <v>0</v>
      </c>
      <c r="AC252" s="214">
        <v>0</v>
      </c>
      <c r="AD252" s="214">
        <v>0</v>
      </c>
      <c r="AE252" s="214">
        <v>0</v>
      </c>
      <c r="AF252" s="214">
        <v>0</v>
      </c>
      <c r="AG252" s="214">
        <v>0</v>
      </c>
      <c r="AH252" s="214">
        <v>0</v>
      </c>
      <c r="AI252" s="87">
        <v>49500</v>
      </c>
      <c r="AJ252" s="87">
        <v>0</v>
      </c>
      <c r="AK252" s="87">
        <v>49500</v>
      </c>
      <c r="AL252" s="87">
        <v>49500</v>
      </c>
      <c r="AM252" s="87">
        <v>1094400</v>
      </c>
      <c r="AN252" s="87">
        <v>49500</v>
      </c>
      <c r="AO252" s="87">
        <v>49500</v>
      </c>
      <c r="AP252" s="87">
        <v>49000</v>
      </c>
      <c r="AQ252" s="88">
        <v>0</v>
      </c>
      <c r="AR252" s="88">
        <v>0</v>
      </c>
      <c r="AS252" s="88">
        <v>0</v>
      </c>
      <c r="AT252" s="88">
        <v>0</v>
      </c>
      <c r="AU252" s="88">
        <v>0</v>
      </c>
      <c r="AV252" s="88">
        <v>0</v>
      </c>
      <c r="AW252" s="88">
        <v>0</v>
      </c>
      <c r="AX252" s="88">
        <v>0</v>
      </c>
      <c r="AY252" s="87">
        <v>0</v>
      </c>
      <c r="AZ252" s="87">
        <v>0</v>
      </c>
      <c r="BA252" s="87">
        <v>0</v>
      </c>
      <c r="BB252" s="87">
        <v>0</v>
      </c>
      <c r="BC252" s="87">
        <v>0</v>
      </c>
      <c r="BD252" s="87">
        <v>0</v>
      </c>
      <c r="BE252" s="87">
        <v>0</v>
      </c>
      <c r="BF252" s="87">
        <v>0</v>
      </c>
      <c r="BG252" s="88">
        <v>0</v>
      </c>
      <c r="BH252" s="88">
        <v>0</v>
      </c>
      <c r="BI252" s="88">
        <v>0</v>
      </c>
      <c r="BJ252" s="88">
        <v>0</v>
      </c>
      <c r="BK252" s="88">
        <v>0</v>
      </c>
      <c r="BL252" s="88">
        <v>0</v>
      </c>
      <c r="BM252" s="88">
        <v>0</v>
      </c>
      <c r="BN252" s="590">
        <v>0</v>
      </c>
      <c r="BO252" s="171">
        <v>2023</v>
      </c>
      <c r="BP252" s="171">
        <v>1</v>
      </c>
      <c r="BQ252" s="171">
        <v>19</v>
      </c>
      <c r="BS252" s="76" t="str">
        <f t="shared" si="7"/>
        <v>○</v>
      </c>
    </row>
    <row r="253" spans="1:71" x14ac:dyDescent="0.2">
      <c r="A253" s="210">
        <v>1445</v>
      </c>
      <c r="B253" s="211"/>
      <c r="C253" s="212"/>
      <c r="D253" s="211"/>
      <c r="E253" s="212"/>
      <c r="F253" s="211"/>
      <c r="G253" s="211"/>
      <c r="H253" s="212"/>
      <c r="I253" s="211"/>
      <c r="J253" s="211"/>
      <c r="K253" s="211"/>
      <c r="L253" s="171"/>
      <c r="M253" s="171" t="s">
        <v>633</v>
      </c>
      <c r="N253" s="171" t="s">
        <v>299</v>
      </c>
      <c r="O253" s="171" t="s">
        <v>634</v>
      </c>
      <c r="P253" s="171" t="s">
        <v>916</v>
      </c>
      <c r="Q253" s="171"/>
      <c r="R253" s="213">
        <v>34000</v>
      </c>
      <c r="S253" s="87">
        <v>0</v>
      </c>
      <c r="T253" s="87">
        <v>0</v>
      </c>
      <c r="U253" s="87">
        <v>0</v>
      </c>
      <c r="V253" s="87">
        <v>0</v>
      </c>
      <c r="W253" s="87">
        <v>0</v>
      </c>
      <c r="X253" s="87">
        <v>0</v>
      </c>
      <c r="Y253" s="87">
        <v>0</v>
      </c>
      <c r="Z253" s="87">
        <v>0</v>
      </c>
      <c r="AA253" s="214">
        <v>0</v>
      </c>
      <c r="AB253" s="214">
        <v>0</v>
      </c>
      <c r="AC253" s="214">
        <v>0</v>
      </c>
      <c r="AD253" s="214">
        <v>0</v>
      </c>
      <c r="AE253" s="214">
        <v>0</v>
      </c>
      <c r="AF253" s="214">
        <v>0</v>
      </c>
      <c r="AG253" s="214">
        <v>0</v>
      </c>
      <c r="AH253" s="214">
        <v>0</v>
      </c>
      <c r="AI253" s="87">
        <v>34110</v>
      </c>
      <c r="AJ253" s="87">
        <v>0</v>
      </c>
      <c r="AK253" s="87">
        <v>34110</v>
      </c>
      <c r="AL253" s="87">
        <v>34110</v>
      </c>
      <c r="AM253" s="87">
        <v>1166400</v>
      </c>
      <c r="AN253" s="87">
        <v>34110</v>
      </c>
      <c r="AO253" s="87">
        <v>34110</v>
      </c>
      <c r="AP253" s="87">
        <v>34000</v>
      </c>
      <c r="AQ253" s="88">
        <v>0</v>
      </c>
      <c r="AR253" s="88">
        <v>0</v>
      </c>
      <c r="AS253" s="88">
        <v>0</v>
      </c>
      <c r="AT253" s="88">
        <v>0</v>
      </c>
      <c r="AU253" s="88">
        <v>0</v>
      </c>
      <c r="AV253" s="88">
        <v>0</v>
      </c>
      <c r="AW253" s="88">
        <v>0</v>
      </c>
      <c r="AX253" s="88">
        <v>0</v>
      </c>
      <c r="AY253" s="87">
        <v>0</v>
      </c>
      <c r="AZ253" s="87">
        <v>0</v>
      </c>
      <c r="BA253" s="87">
        <v>0</v>
      </c>
      <c r="BB253" s="87">
        <v>0</v>
      </c>
      <c r="BC253" s="87">
        <v>0</v>
      </c>
      <c r="BD253" s="87">
        <v>0</v>
      </c>
      <c r="BE253" s="87">
        <v>0</v>
      </c>
      <c r="BF253" s="87">
        <v>0</v>
      </c>
      <c r="BG253" s="88">
        <v>0</v>
      </c>
      <c r="BH253" s="88">
        <v>0</v>
      </c>
      <c r="BI253" s="88">
        <v>0</v>
      </c>
      <c r="BJ253" s="88">
        <v>0</v>
      </c>
      <c r="BK253" s="88">
        <v>0</v>
      </c>
      <c r="BL253" s="88">
        <v>0</v>
      </c>
      <c r="BM253" s="88">
        <v>0</v>
      </c>
      <c r="BN253" s="590">
        <v>0</v>
      </c>
      <c r="BO253" s="171">
        <v>2023</v>
      </c>
      <c r="BP253" s="171">
        <v>1</v>
      </c>
      <c r="BQ253" s="171">
        <v>19</v>
      </c>
      <c r="BS253" s="76" t="str">
        <f t="shared" si="7"/>
        <v>○</v>
      </c>
    </row>
    <row r="254" spans="1:71" x14ac:dyDescent="0.2">
      <c r="A254" s="210">
        <v>1446</v>
      </c>
      <c r="B254" s="211"/>
      <c r="C254" s="212"/>
      <c r="D254" s="211"/>
      <c r="E254" s="212"/>
      <c r="F254" s="211"/>
      <c r="G254" s="211"/>
      <c r="H254" s="212"/>
      <c r="I254" s="211"/>
      <c r="J254" s="211"/>
      <c r="K254" s="211"/>
      <c r="L254" s="171"/>
      <c r="M254" s="171" t="s">
        <v>635</v>
      </c>
      <c r="N254" s="171" t="s">
        <v>393</v>
      </c>
      <c r="O254" s="171" t="s">
        <v>636</v>
      </c>
      <c r="P254" s="171" t="s">
        <v>916</v>
      </c>
      <c r="Q254" s="171"/>
      <c r="R254" s="213">
        <v>251000</v>
      </c>
      <c r="S254" s="87">
        <v>0</v>
      </c>
      <c r="T254" s="87">
        <v>0</v>
      </c>
      <c r="U254" s="87">
        <v>0</v>
      </c>
      <c r="V254" s="87">
        <v>0</v>
      </c>
      <c r="W254" s="87">
        <v>0</v>
      </c>
      <c r="X254" s="87">
        <v>0</v>
      </c>
      <c r="Y254" s="87">
        <v>0</v>
      </c>
      <c r="Z254" s="87">
        <v>0</v>
      </c>
      <c r="AA254" s="214">
        <v>0</v>
      </c>
      <c r="AB254" s="214">
        <v>0</v>
      </c>
      <c r="AC254" s="214">
        <v>0</v>
      </c>
      <c r="AD254" s="214">
        <v>0</v>
      </c>
      <c r="AE254" s="214">
        <v>0</v>
      </c>
      <c r="AF254" s="214">
        <v>0</v>
      </c>
      <c r="AG254" s="214">
        <v>0</v>
      </c>
      <c r="AH254" s="214">
        <v>0</v>
      </c>
      <c r="AI254" s="87">
        <v>251050</v>
      </c>
      <c r="AJ254" s="87">
        <v>0</v>
      </c>
      <c r="AK254" s="87">
        <v>251050</v>
      </c>
      <c r="AL254" s="87">
        <v>251050</v>
      </c>
      <c r="AM254" s="87">
        <v>5702400</v>
      </c>
      <c r="AN254" s="87">
        <v>251050</v>
      </c>
      <c r="AO254" s="87">
        <v>251050</v>
      </c>
      <c r="AP254" s="87">
        <v>251000</v>
      </c>
      <c r="AQ254" s="88">
        <v>0</v>
      </c>
      <c r="AR254" s="88">
        <v>0</v>
      </c>
      <c r="AS254" s="88">
        <v>0</v>
      </c>
      <c r="AT254" s="88">
        <v>0</v>
      </c>
      <c r="AU254" s="88">
        <v>0</v>
      </c>
      <c r="AV254" s="88">
        <v>0</v>
      </c>
      <c r="AW254" s="88">
        <v>0</v>
      </c>
      <c r="AX254" s="88">
        <v>0</v>
      </c>
      <c r="AY254" s="87">
        <v>0</v>
      </c>
      <c r="AZ254" s="87">
        <v>0</v>
      </c>
      <c r="BA254" s="87">
        <v>0</v>
      </c>
      <c r="BB254" s="87">
        <v>0</v>
      </c>
      <c r="BC254" s="87">
        <v>0</v>
      </c>
      <c r="BD254" s="87">
        <v>0</v>
      </c>
      <c r="BE254" s="87">
        <v>0</v>
      </c>
      <c r="BF254" s="87">
        <v>0</v>
      </c>
      <c r="BG254" s="88">
        <v>0</v>
      </c>
      <c r="BH254" s="88">
        <v>0</v>
      </c>
      <c r="BI254" s="88">
        <v>0</v>
      </c>
      <c r="BJ254" s="88">
        <v>0</v>
      </c>
      <c r="BK254" s="88">
        <v>0</v>
      </c>
      <c r="BL254" s="88">
        <v>0</v>
      </c>
      <c r="BM254" s="88">
        <v>0</v>
      </c>
      <c r="BN254" s="590">
        <v>0</v>
      </c>
      <c r="BO254" s="171">
        <v>2023</v>
      </c>
      <c r="BP254" s="171">
        <v>1</v>
      </c>
      <c r="BQ254" s="171">
        <v>19</v>
      </c>
      <c r="BS254" s="76" t="str">
        <f t="shared" ref="BS254:BS285" si="8">IF(R254=SUM(Z254,AH254,AP254,BF254,BN254),"○","×")</f>
        <v>○</v>
      </c>
    </row>
    <row r="255" spans="1:71" x14ac:dyDescent="0.2">
      <c r="A255" s="210">
        <v>1447</v>
      </c>
      <c r="B255" s="211"/>
      <c r="C255" s="212"/>
      <c r="D255" s="211"/>
      <c r="E255" s="212"/>
      <c r="F255" s="211"/>
      <c r="G255" s="211"/>
      <c r="H255" s="212"/>
      <c r="I255" s="211"/>
      <c r="J255" s="211"/>
      <c r="K255" s="211"/>
      <c r="L255" s="171"/>
      <c r="M255" s="171" t="s">
        <v>637</v>
      </c>
      <c r="N255" s="171" t="s">
        <v>269</v>
      </c>
      <c r="O255" s="171" t="s">
        <v>638</v>
      </c>
      <c r="P255" s="171" t="s">
        <v>916</v>
      </c>
      <c r="Q255" s="171"/>
      <c r="R255" s="213">
        <v>202000</v>
      </c>
      <c r="S255" s="87">
        <v>0</v>
      </c>
      <c r="T255" s="87">
        <v>0</v>
      </c>
      <c r="U255" s="87">
        <v>0</v>
      </c>
      <c r="V255" s="87">
        <v>0</v>
      </c>
      <c r="W255" s="87">
        <v>0</v>
      </c>
      <c r="X255" s="87">
        <v>0</v>
      </c>
      <c r="Y255" s="87">
        <v>0</v>
      </c>
      <c r="Z255" s="87">
        <v>0</v>
      </c>
      <c r="AA255" s="214">
        <v>0</v>
      </c>
      <c r="AB255" s="214">
        <v>0</v>
      </c>
      <c r="AC255" s="214">
        <v>0</v>
      </c>
      <c r="AD255" s="214">
        <v>0</v>
      </c>
      <c r="AE255" s="214">
        <v>0</v>
      </c>
      <c r="AF255" s="214">
        <v>0</v>
      </c>
      <c r="AG255" s="214">
        <v>0</v>
      </c>
      <c r="AH255" s="214">
        <v>0</v>
      </c>
      <c r="AI255" s="87">
        <v>202120</v>
      </c>
      <c r="AJ255" s="87">
        <v>0</v>
      </c>
      <c r="AK255" s="87">
        <v>202120</v>
      </c>
      <c r="AL255" s="87">
        <v>202120</v>
      </c>
      <c r="AM255" s="87">
        <v>3110400</v>
      </c>
      <c r="AN255" s="87">
        <v>202120</v>
      </c>
      <c r="AO255" s="87">
        <v>202120</v>
      </c>
      <c r="AP255" s="87">
        <v>202000</v>
      </c>
      <c r="AQ255" s="88">
        <v>0</v>
      </c>
      <c r="AR255" s="88">
        <v>0</v>
      </c>
      <c r="AS255" s="88">
        <v>0</v>
      </c>
      <c r="AT255" s="88">
        <v>0</v>
      </c>
      <c r="AU255" s="88">
        <v>0</v>
      </c>
      <c r="AV255" s="88">
        <v>0</v>
      </c>
      <c r="AW255" s="88">
        <v>0</v>
      </c>
      <c r="AX255" s="88">
        <v>0</v>
      </c>
      <c r="AY255" s="87">
        <v>0</v>
      </c>
      <c r="AZ255" s="87">
        <v>0</v>
      </c>
      <c r="BA255" s="87">
        <v>0</v>
      </c>
      <c r="BB255" s="87">
        <v>0</v>
      </c>
      <c r="BC255" s="87">
        <v>0</v>
      </c>
      <c r="BD255" s="87">
        <v>0</v>
      </c>
      <c r="BE255" s="87">
        <v>0</v>
      </c>
      <c r="BF255" s="87">
        <v>0</v>
      </c>
      <c r="BG255" s="88">
        <v>0</v>
      </c>
      <c r="BH255" s="88">
        <v>0</v>
      </c>
      <c r="BI255" s="88">
        <v>0</v>
      </c>
      <c r="BJ255" s="88">
        <v>0</v>
      </c>
      <c r="BK255" s="88">
        <v>0</v>
      </c>
      <c r="BL255" s="88">
        <v>0</v>
      </c>
      <c r="BM255" s="88">
        <v>0</v>
      </c>
      <c r="BN255" s="590">
        <v>0</v>
      </c>
      <c r="BO255" s="171">
        <v>2023</v>
      </c>
      <c r="BP255" s="171">
        <v>1</v>
      </c>
      <c r="BQ255" s="171">
        <v>19</v>
      </c>
      <c r="BS255" s="76" t="str">
        <f t="shared" si="8"/>
        <v>○</v>
      </c>
    </row>
    <row r="256" spans="1:71" s="81" customFormat="1" x14ac:dyDescent="0.2">
      <c r="A256" s="210">
        <v>1448</v>
      </c>
      <c r="B256" s="211"/>
      <c r="C256" s="212"/>
      <c r="D256" s="211"/>
      <c r="E256" s="212"/>
      <c r="F256" s="211"/>
      <c r="G256" s="211"/>
      <c r="H256" s="212"/>
      <c r="I256" s="211"/>
      <c r="J256" s="211"/>
      <c r="K256" s="211"/>
      <c r="L256" s="171"/>
      <c r="M256" s="171" t="s">
        <v>639</v>
      </c>
      <c r="N256" s="171" t="s">
        <v>289</v>
      </c>
      <c r="O256" s="171" t="s">
        <v>408</v>
      </c>
      <c r="P256" s="171" t="s">
        <v>916</v>
      </c>
      <c r="Q256" s="171"/>
      <c r="R256" s="213">
        <v>199000</v>
      </c>
      <c r="S256" s="87">
        <v>0</v>
      </c>
      <c r="T256" s="87">
        <v>0</v>
      </c>
      <c r="U256" s="87">
        <v>0</v>
      </c>
      <c r="V256" s="87">
        <v>0</v>
      </c>
      <c r="W256" s="87">
        <v>0</v>
      </c>
      <c r="X256" s="87">
        <v>0</v>
      </c>
      <c r="Y256" s="87">
        <v>0</v>
      </c>
      <c r="Z256" s="87">
        <v>0</v>
      </c>
      <c r="AA256" s="214">
        <v>0</v>
      </c>
      <c r="AB256" s="214">
        <v>0</v>
      </c>
      <c r="AC256" s="214">
        <v>0</v>
      </c>
      <c r="AD256" s="214">
        <v>0</v>
      </c>
      <c r="AE256" s="214">
        <v>0</v>
      </c>
      <c r="AF256" s="214">
        <v>0</v>
      </c>
      <c r="AG256" s="214">
        <v>0</v>
      </c>
      <c r="AH256" s="214">
        <v>0</v>
      </c>
      <c r="AI256" s="87">
        <v>199320</v>
      </c>
      <c r="AJ256" s="87">
        <v>0</v>
      </c>
      <c r="AK256" s="87">
        <v>199320</v>
      </c>
      <c r="AL256" s="87">
        <v>199320</v>
      </c>
      <c r="AM256" s="87">
        <v>3283200</v>
      </c>
      <c r="AN256" s="87">
        <v>199320</v>
      </c>
      <c r="AO256" s="87">
        <v>199320</v>
      </c>
      <c r="AP256" s="87">
        <v>199000</v>
      </c>
      <c r="AQ256" s="88">
        <v>0</v>
      </c>
      <c r="AR256" s="88">
        <v>0</v>
      </c>
      <c r="AS256" s="88">
        <v>0</v>
      </c>
      <c r="AT256" s="88">
        <v>0</v>
      </c>
      <c r="AU256" s="88">
        <v>0</v>
      </c>
      <c r="AV256" s="88">
        <v>0</v>
      </c>
      <c r="AW256" s="88">
        <v>0</v>
      </c>
      <c r="AX256" s="88">
        <v>0</v>
      </c>
      <c r="AY256" s="87">
        <v>0</v>
      </c>
      <c r="AZ256" s="87">
        <v>0</v>
      </c>
      <c r="BA256" s="87">
        <v>0</v>
      </c>
      <c r="BB256" s="87">
        <v>0</v>
      </c>
      <c r="BC256" s="87">
        <v>0</v>
      </c>
      <c r="BD256" s="87">
        <v>0</v>
      </c>
      <c r="BE256" s="87">
        <v>0</v>
      </c>
      <c r="BF256" s="87">
        <v>0</v>
      </c>
      <c r="BG256" s="88">
        <v>0</v>
      </c>
      <c r="BH256" s="88">
        <v>0</v>
      </c>
      <c r="BI256" s="88">
        <v>0</v>
      </c>
      <c r="BJ256" s="88">
        <v>0</v>
      </c>
      <c r="BK256" s="88">
        <v>0</v>
      </c>
      <c r="BL256" s="88">
        <v>0</v>
      </c>
      <c r="BM256" s="88">
        <v>0</v>
      </c>
      <c r="BN256" s="590">
        <v>0</v>
      </c>
      <c r="BO256" s="171">
        <v>2023</v>
      </c>
      <c r="BP256" s="171">
        <v>1</v>
      </c>
      <c r="BQ256" s="171">
        <v>19</v>
      </c>
      <c r="BR256" s="77"/>
      <c r="BS256" s="76" t="str">
        <f t="shared" si="8"/>
        <v>○</v>
      </c>
    </row>
    <row r="257" spans="1:71" x14ac:dyDescent="0.2">
      <c r="A257" s="210">
        <v>1449</v>
      </c>
      <c r="B257" s="211"/>
      <c r="C257" s="212"/>
      <c r="D257" s="211"/>
      <c r="E257" s="212"/>
      <c r="F257" s="211"/>
      <c r="G257" s="211"/>
      <c r="H257" s="212"/>
      <c r="I257" s="211"/>
      <c r="J257" s="211"/>
      <c r="K257" s="211"/>
      <c r="L257" s="171"/>
      <c r="M257" s="171" t="s">
        <v>640</v>
      </c>
      <c r="N257" s="171" t="s">
        <v>269</v>
      </c>
      <c r="O257" s="171" t="s">
        <v>641</v>
      </c>
      <c r="P257" s="171" t="s">
        <v>916</v>
      </c>
      <c r="Q257" s="171"/>
      <c r="R257" s="213">
        <v>323000</v>
      </c>
      <c r="S257" s="87">
        <v>0</v>
      </c>
      <c r="T257" s="87">
        <v>0</v>
      </c>
      <c r="U257" s="87">
        <v>0</v>
      </c>
      <c r="V257" s="87">
        <v>0</v>
      </c>
      <c r="W257" s="87">
        <v>0</v>
      </c>
      <c r="X257" s="87">
        <v>0</v>
      </c>
      <c r="Y257" s="87">
        <v>0</v>
      </c>
      <c r="Z257" s="87">
        <v>0</v>
      </c>
      <c r="AA257" s="214">
        <v>0</v>
      </c>
      <c r="AB257" s="214">
        <v>0</v>
      </c>
      <c r="AC257" s="214">
        <v>0</v>
      </c>
      <c r="AD257" s="214">
        <v>0</v>
      </c>
      <c r="AE257" s="214">
        <v>0</v>
      </c>
      <c r="AF257" s="214">
        <v>0</v>
      </c>
      <c r="AG257" s="214">
        <v>0</v>
      </c>
      <c r="AH257" s="214">
        <v>0</v>
      </c>
      <c r="AI257" s="87">
        <v>323002</v>
      </c>
      <c r="AJ257" s="87">
        <v>0</v>
      </c>
      <c r="AK257" s="87">
        <v>323002</v>
      </c>
      <c r="AL257" s="87">
        <v>323002</v>
      </c>
      <c r="AM257" s="87">
        <v>4262400</v>
      </c>
      <c r="AN257" s="87">
        <v>323002</v>
      </c>
      <c r="AO257" s="87">
        <v>323002</v>
      </c>
      <c r="AP257" s="87">
        <v>323000</v>
      </c>
      <c r="AQ257" s="88">
        <v>0</v>
      </c>
      <c r="AR257" s="88">
        <v>0</v>
      </c>
      <c r="AS257" s="88">
        <v>0</v>
      </c>
      <c r="AT257" s="88">
        <v>0</v>
      </c>
      <c r="AU257" s="88">
        <v>0</v>
      </c>
      <c r="AV257" s="88">
        <v>0</v>
      </c>
      <c r="AW257" s="88">
        <v>0</v>
      </c>
      <c r="AX257" s="88">
        <v>0</v>
      </c>
      <c r="AY257" s="87">
        <v>0</v>
      </c>
      <c r="AZ257" s="87">
        <v>0</v>
      </c>
      <c r="BA257" s="87">
        <v>0</v>
      </c>
      <c r="BB257" s="87">
        <v>0</v>
      </c>
      <c r="BC257" s="87">
        <v>0</v>
      </c>
      <c r="BD257" s="87">
        <v>0</v>
      </c>
      <c r="BE257" s="87">
        <v>0</v>
      </c>
      <c r="BF257" s="87">
        <v>0</v>
      </c>
      <c r="BG257" s="88">
        <v>0</v>
      </c>
      <c r="BH257" s="88">
        <v>0</v>
      </c>
      <c r="BI257" s="88">
        <v>0</v>
      </c>
      <c r="BJ257" s="88">
        <v>0</v>
      </c>
      <c r="BK257" s="88">
        <v>0</v>
      </c>
      <c r="BL257" s="88">
        <v>0</v>
      </c>
      <c r="BM257" s="88">
        <v>0</v>
      </c>
      <c r="BN257" s="590">
        <v>0</v>
      </c>
      <c r="BO257" s="171">
        <v>2023</v>
      </c>
      <c r="BP257" s="171">
        <v>1</v>
      </c>
      <c r="BQ257" s="171">
        <v>19</v>
      </c>
      <c r="BS257" s="76" t="str">
        <f t="shared" si="8"/>
        <v>○</v>
      </c>
    </row>
    <row r="258" spans="1:71" s="81" customFormat="1" x14ac:dyDescent="0.2">
      <c r="A258" s="210">
        <v>1450</v>
      </c>
      <c r="B258" s="211"/>
      <c r="C258" s="212"/>
      <c r="D258" s="211"/>
      <c r="E258" s="212"/>
      <c r="F258" s="211"/>
      <c r="G258" s="211"/>
      <c r="H258" s="212"/>
      <c r="I258" s="211"/>
      <c r="J258" s="211"/>
      <c r="K258" s="211"/>
      <c r="L258" s="171"/>
      <c r="M258" s="171" t="s">
        <v>642</v>
      </c>
      <c r="N258" s="171" t="s">
        <v>493</v>
      </c>
      <c r="O258" s="171" t="s">
        <v>643</v>
      </c>
      <c r="P258" s="171" t="s">
        <v>916</v>
      </c>
      <c r="Q258" s="171"/>
      <c r="R258" s="213">
        <v>385000</v>
      </c>
      <c r="S258" s="87">
        <v>0</v>
      </c>
      <c r="T258" s="87">
        <v>0</v>
      </c>
      <c r="U258" s="87">
        <v>0</v>
      </c>
      <c r="V258" s="87">
        <v>0</v>
      </c>
      <c r="W258" s="87">
        <v>0</v>
      </c>
      <c r="X258" s="87">
        <v>0</v>
      </c>
      <c r="Y258" s="87">
        <v>0</v>
      </c>
      <c r="Z258" s="87">
        <v>0</v>
      </c>
      <c r="AA258" s="214">
        <v>0</v>
      </c>
      <c r="AB258" s="214">
        <v>0</v>
      </c>
      <c r="AC258" s="214">
        <v>0</v>
      </c>
      <c r="AD258" s="214">
        <v>0</v>
      </c>
      <c r="AE258" s="214">
        <v>0</v>
      </c>
      <c r="AF258" s="214">
        <v>0</v>
      </c>
      <c r="AG258" s="214">
        <v>0</v>
      </c>
      <c r="AH258" s="214">
        <v>0</v>
      </c>
      <c r="AI258" s="87">
        <v>385385</v>
      </c>
      <c r="AJ258" s="87">
        <v>0</v>
      </c>
      <c r="AK258" s="87">
        <v>385385</v>
      </c>
      <c r="AL258" s="87">
        <v>385385</v>
      </c>
      <c r="AM258" s="87">
        <v>5148000</v>
      </c>
      <c r="AN258" s="87">
        <v>385385</v>
      </c>
      <c r="AO258" s="87">
        <v>385385</v>
      </c>
      <c r="AP258" s="87">
        <v>385000</v>
      </c>
      <c r="AQ258" s="88">
        <v>0</v>
      </c>
      <c r="AR258" s="88">
        <v>0</v>
      </c>
      <c r="AS258" s="88">
        <v>0</v>
      </c>
      <c r="AT258" s="88">
        <v>0</v>
      </c>
      <c r="AU258" s="88">
        <v>0</v>
      </c>
      <c r="AV258" s="88">
        <v>0</v>
      </c>
      <c r="AW258" s="88">
        <v>0</v>
      </c>
      <c r="AX258" s="88">
        <v>0</v>
      </c>
      <c r="AY258" s="87">
        <v>0</v>
      </c>
      <c r="AZ258" s="87">
        <v>0</v>
      </c>
      <c r="BA258" s="87">
        <v>0</v>
      </c>
      <c r="BB258" s="87">
        <v>0</v>
      </c>
      <c r="BC258" s="87">
        <v>0</v>
      </c>
      <c r="BD258" s="87">
        <v>0</v>
      </c>
      <c r="BE258" s="87">
        <v>0</v>
      </c>
      <c r="BF258" s="87">
        <v>0</v>
      </c>
      <c r="BG258" s="88">
        <v>0</v>
      </c>
      <c r="BH258" s="88">
        <v>0</v>
      </c>
      <c r="BI258" s="88">
        <v>0</v>
      </c>
      <c r="BJ258" s="88">
        <v>0</v>
      </c>
      <c r="BK258" s="88">
        <v>0</v>
      </c>
      <c r="BL258" s="88">
        <v>0</v>
      </c>
      <c r="BM258" s="88">
        <v>0</v>
      </c>
      <c r="BN258" s="590">
        <v>0</v>
      </c>
      <c r="BO258" s="171">
        <v>2023</v>
      </c>
      <c r="BP258" s="171">
        <v>1</v>
      </c>
      <c r="BQ258" s="171">
        <v>19</v>
      </c>
      <c r="BS258" s="76" t="str">
        <f t="shared" si="8"/>
        <v>○</v>
      </c>
    </row>
    <row r="259" spans="1:71" x14ac:dyDescent="0.2">
      <c r="A259" s="210">
        <v>1451</v>
      </c>
      <c r="B259" s="211"/>
      <c r="C259" s="212"/>
      <c r="D259" s="211"/>
      <c r="E259" s="212"/>
      <c r="F259" s="211"/>
      <c r="G259" s="211"/>
      <c r="H259" s="212"/>
      <c r="I259" s="211"/>
      <c r="J259" s="211"/>
      <c r="K259" s="211"/>
      <c r="L259" s="171"/>
      <c r="M259" s="171" t="s">
        <v>445</v>
      </c>
      <c r="N259" s="171" t="s">
        <v>269</v>
      </c>
      <c r="O259" s="171" t="s">
        <v>446</v>
      </c>
      <c r="P259" s="171" t="s">
        <v>916</v>
      </c>
      <c r="Q259" s="171"/>
      <c r="R259" s="213">
        <v>131000</v>
      </c>
      <c r="S259" s="87">
        <v>0</v>
      </c>
      <c r="T259" s="87">
        <v>0</v>
      </c>
      <c r="U259" s="87">
        <v>0</v>
      </c>
      <c r="V259" s="87">
        <v>0</v>
      </c>
      <c r="W259" s="87">
        <v>0</v>
      </c>
      <c r="X259" s="87">
        <v>0</v>
      </c>
      <c r="Y259" s="87">
        <v>0</v>
      </c>
      <c r="Z259" s="87">
        <v>0</v>
      </c>
      <c r="AA259" s="214">
        <v>0</v>
      </c>
      <c r="AB259" s="214">
        <v>0</v>
      </c>
      <c r="AC259" s="214">
        <v>0</v>
      </c>
      <c r="AD259" s="214">
        <v>0</v>
      </c>
      <c r="AE259" s="214">
        <v>0</v>
      </c>
      <c r="AF259" s="214">
        <v>0</v>
      </c>
      <c r="AG259" s="214">
        <v>0</v>
      </c>
      <c r="AH259" s="214">
        <v>0</v>
      </c>
      <c r="AI259" s="87">
        <v>131806</v>
      </c>
      <c r="AJ259" s="87">
        <v>0</v>
      </c>
      <c r="AK259" s="87">
        <v>131806</v>
      </c>
      <c r="AL259" s="87">
        <v>131806</v>
      </c>
      <c r="AM259" s="87">
        <v>1566000</v>
      </c>
      <c r="AN259" s="87">
        <v>131806</v>
      </c>
      <c r="AO259" s="87">
        <v>131806</v>
      </c>
      <c r="AP259" s="87">
        <v>131000</v>
      </c>
      <c r="AQ259" s="88">
        <v>0</v>
      </c>
      <c r="AR259" s="88">
        <v>0</v>
      </c>
      <c r="AS259" s="88">
        <v>0</v>
      </c>
      <c r="AT259" s="88">
        <v>0</v>
      </c>
      <c r="AU259" s="88">
        <v>0</v>
      </c>
      <c r="AV259" s="88">
        <v>0</v>
      </c>
      <c r="AW259" s="88">
        <v>0</v>
      </c>
      <c r="AX259" s="88">
        <v>0</v>
      </c>
      <c r="AY259" s="87">
        <v>0</v>
      </c>
      <c r="AZ259" s="87">
        <v>0</v>
      </c>
      <c r="BA259" s="87">
        <v>0</v>
      </c>
      <c r="BB259" s="87">
        <v>0</v>
      </c>
      <c r="BC259" s="87">
        <v>0</v>
      </c>
      <c r="BD259" s="87">
        <v>0</v>
      </c>
      <c r="BE259" s="87">
        <v>0</v>
      </c>
      <c r="BF259" s="87">
        <v>0</v>
      </c>
      <c r="BG259" s="88">
        <v>0</v>
      </c>
      <c r="BH259" s="88">
        <v>0</v>
      </c>
      <c r="BI259" s="88">
        <v>0</v>
      </c>
      <c r="BJ259" s="88">
        <v>0</v>
      </c>
      <c r="BK259" s="88">
        <v>0</v>
      </c>
      <c r="BL259" s="88">
        <v>0</v>
      </c>
      <c r="BM259" s="88">
        <v>0</v>
      </c>
      <c r="BN259" s="590">
        <v>0</v>
      </c>
      <c r="BO259" s="171">
        <v>2023</v>
      </c>
      <c r="BP259" s="171">
        <v>1</v>
      </c>
      <c r="BQ259" s="171">
        <v>19</v>
      </c>
      <c r="BS259" s="76" t="str">
        <f t="shared" si="8"/>
        <v>○</v>
      </c>
    </row>
    <row r="260" spans="1:71" x14ac:dyDescent="0.2">
      <c r="A260" s="210">
        <v>1452</v>
      </c>
      <c r="B260" s="211"/>
      <c r="C260" s="212"/>
      <c r="D260" s="211"/>
      <c r="E260" s="212"/>
      <c r="F260" s="211"/>
      <c r="G260" s="211"/>
      <c r="H260" s="212"/>
      <c r="I260" s="211"/>
      <c r="J260" s="211"/>
      <c r="K260" s="211"/>
      <c r="L260" s="171"/>
      <c r="M260" s="171" t="s">
        <v>644</v>
      </c>
      <c r="N260" s="171" t="s">
        <v>313</v>
      </c>
      <c r="O260" s="171" t="s">
        <v>630</v>
      </c>
      <c r="P260" s="171" t="s">
        <v>916</v>
      </c>
      <c r="Q260" s="171"/>
      <c r="R260" s="213">
        <v>247000</v>
      </c>
      <c r="S260" s="87">
        <v>0</v>
      </c>
      <c r="T260" s="87">
        <v>0</v>
      </c>
      <c r="U260" s="87">
        <v>0</v>
      </c>
      <c r="V260" s="87">
        <v>0</v>
      </c>
      <c r="W260" s="87">
        <v>0</v>
      </c>
      <c r="X260" s="87">
        <v>0</v>
      </c>
      <c r="Y260" s="87">
        <v>0</v>
      </c>
      <c r="Z260" s="87">
        <v>0</v>
      </c>
      <c r="AA260" s="214">
        <v>0</v>
      </c>
      <c r="AB260" s="214">
        <v>0</v>
      </c>
      <c r="AC260" s="214">
        <v>0</v>
      </c>
      <c r="AD260" s="214">
        <v>0</v>
      </c>
      <c r="AE260" s="214">
        <v>0</v>
      </c>
      <c r="AF260" s="214">
        <v>0</v>
      </c>
      <c r="AG260" s="214">
        <v>0</v>
      </c>
      <c r="AH260" s="214">
        <v>0</v>
      </c>
      <c r="AI260" s="87">
        <v>247839</v>
      </c>
      <c r="AJ260" s="87">
        <v>0</v>
      </c>
      <c r="AK260" s="87">
        <v>247839</v>
      </c>
      <c r="AL260" s="87">
        <v>247839</v>
      </c>
      <c r="AM260" s="87">
        <v>1756800</v>
      </c>
      <c r="AN260" s="87">
        <v>247839</v>
      </c>
      <c r="AO260" s="87">
        <v>247839</v>
      </c>
      <c r="AP260" s="87">
        <v>247000</v>
      </c>
      <c r="AQ260" s="88">
        <v>0</v>
      </c>
      <c r="AR260" s="88">
        <v>0</v>
      </c>
      <c r="AS260" s="88">
        <v>0</v>
      </c>
      <c r="AT260" s="88">
        <v>0</v>
      </c>
      <c r="AU260" s="88">
        <v>0</v>
      </c>
      <c r="AV260" s="88">
        <v>0</v>
      </c>
      <c r="AW260" s="88">
        <v>0</v>
      </c>
      <c r="AX260" s="88">
        <v>0</v>
      </c>
      <c r="AY260" s="87">
        <v>0</v>
      </c>
      <c r="AZ260" s="87">
        <v>0</v>
      </c>
      <c r="BA260" s="87">
        <v>0</v>
      </c>
      <c r="BB260" s="87">
        <v>0</v>
      </c>
      <c r="BC260" s="87">
        <v>0</v>
      </c>
      <c r="BD260" s="87">
        <v>0</v>
      </c>
      <c r="BE260" s="87">
        <v>0</v>
      </c>
      <c r="BF260" s="87">
        <v>0</v>
      </c>
      <c r="BG260" s="88">
        <v>0</v>
      </c>
      <c r="BH260" s="88">
        <v>0</v>
      </c>
      <c r="BI260" s="88">
        <v>0</v>
      </c>
      <c r="BJ260" s="88">
        <v>0</v>
      </c>
      <c r="BK260" s="88">
        <v>0</v>
      </c>
      <c r="BL260" s="88">
        <v>0</v>
      </c>
      <c r="BM260" s="88">
        <v>0</v>
      </c>
      <c r="BN260" s="590">
        <v>0</v>
      </c>
      <c r="BO260" s="171">
        <v>2023</v>
      </c>
      <c r="BP260" s="171">
        <v>1</v>
      </c>
      <c r="BQ260" s="171">
        <v>19</v>
      </c>
      <c r="BR260" s="81"/>
      <c r="BS260" s="76" t="str">
        <f t="shared" si="8"/>
        <v>○</v>
      </c>
    </row>
    <row r="261" spans="1:71" x14ac:dyDescent="0.2">
      <c r="A261" s="210">
        <v>1453</v>
      </c>
      <c r="B261" s="211"/>
      <c r="C261" s="212"/>
      <c r="D261" s="211"/>
      <c r="E261" s="212"/>
      <c r="F261" s="211"/>
      <c r="G261" s="211"/>
      <c r="H261" s="212"/>
      <c r="I261" s="211"/>
      <c r="J261" s="211"/>
      <c r="K261" s="211"/>
      <c r="L261" s="171"/>
      <c r="M261" s="171">
        <v>1552090</v>
      </c>
      <c r="N261" s="171" t="s">
        <v>286</v>
      </c>
      <c r="O261" s="171" t="s">
        <v>645</v>
      </c>
      <c r="P261" s="171" t="s">
        <v>916</v>
      </c>
      <c r="Q261" s="171"/>
      <c r="R261" s="213">
        <v>279000</v>
      </c>
      <c r="S261" s="87">
        <v>0</v>
      </c>
      <c r="T261" s="87">
        <v>0</v>
      </c>
      <c r="U261" s="87">
        <v>0</v>
      </c>
      <c r="V261" s="87">
        <v>0</v>
      </c>
      <c r="W261" s="87">
        <v>0</v>
      </c>
      <c r="X261" s="87">
        <v>0</v>
      </c>
      <c r="Y261" s="87">
        <v>0</v>
      </c>
      <c r="Z261" s="87">
        <v>0</v>
      </c>
      <c r="AA261" s="214">
        <v>0</v>
      </c>
      <c r="AB261" s="214">
        <v>0</v>
      </c>
      <c r="AC261" s="214">
        <v>0</v>
      </c>
      <c r="AD261" s="214">
        <v>0</v>
      </c>
      <c r="AE261" s="214">
        <v>0</v>
      </c>
      <c r="AF261" s="214">
        <v>0</v>
      </c>
      <c r="AG261" s="214">
        <v>0</v>
      </c>
      <c r="AH261" s="214">
        <v>0</v>
      </c>
      <c r="AI261" s="87">
        <v>279880</v>
      </c>
      <c r="AJ261" s="87">
        <v>0</v>
      </c>
      <c r="AK261" s="87">
        <v>279880</v>
      </c>
      <c r="AL261" s="87">
        <v>279880</v>
      </c>
      <c r="AM261" s="87">
        <v>5184000</v>
      </c>
      <c r="AN261" s="87">
        <v>279880</v>
      </c>
      <c r="AO261" s="87">
        <v>279880</v>
      </c>
      <c r="AP261" s="87">
        <v>279000</v>
      </c>
      <c r="AQ261" s="88">
        <v>0</v>
      </c>
      <c r="AR261" s="88">
        <v>0</v>
      </c>
      <c r="AS261" s="88">
        <v>0</v>
      </c>
      <c r="AT261" s="88">
        <v>0</v>
      </c>
      <c r="AU261" s="88">
        <v>0</v>
      </c>
      <c r="AV261" s="88">
        <v>0</v>
      </c>
      <c r="AW261" s="88">
        <v>0</v>
      </c>
      <c r="AX261" s="88">
        <v>0</v>
      </c>
      <c r="AY261" s="87">
        <v>0</v>
      </c>
      <c r="AZ261" s="87">
        <v>0</v>
      </c>
      <c r="BA261" s="87">
        <v>0</v>
      </c>
      <c r="BB261" s="87">
        <v>0</v>
      </c>
      <c r="BC261" s="87">
        <v>0</v>
      </c>
      <c r="BD261" s="87">
        <v>0</v>
      </c>
      <c r="BE261" s="87">
        <v>0</v>
      </c>
      <c r="BF261" s="87">
        <v>0</v>
      </c>
      <c r="BG261" s="88">
        <v>0</v>
      </c>
      <c r="BH261" s="88">
        <v>0</v>
      </c>
      <c r="BI261" s="88">
        <v>0</v>
      </c>
      <c r="BJ261" s="88">
        <v>0</v>
      </c>
      <c r="BK261" s="88">
        <v>0</v>
      </c>
      <c r="BL261" s="88">
        <v>0</v>
      </c>
      <c r="BM261" s="88">
        <v>0</v>
      </c>
      <c r="BN261" s="590">
        <v>0</v>
      </c>
      <c r="BO261" s="171">
        <v>2023</v>
      </c>
      <c r="BP261" s="171">
        <v>1</v>
      </c>
      <c r="BQ261" s="171">
        <v>19</v>
      </c>
      <c r="BS261" s="76" t="str">
        <f t="shared" si="8"/>
        <v>○</v>
      </c>
    </row>
    <row r="262" spans="1:71" x14ac:dyDescent="0.2">
      <c r="A262" s="210">
        <v>1454</v>
      </c>
      <c r="B262" s="211"/>
      <c r="C262" s="212"/>
      <c r="D262" s="211"/>
      <c r="E262" s="212"/>
      <c r="F262" s="211"/>
      <c r="G262" s="211"/>
      <c r="H262" s="212"/>
      <c r="I262" s="211"/>
      <c r="J262" s="211"/>
      <c r="K262" s="211"/>
      <c r="L262" s="171"/>
      <c r="M262" s="171" t="s">
        <v>646</v>
      </c>
      <c r="N262" s="171" t="s">
        <v>302</v>
      </c>
      <c r="O262" s="171" t="s">
        <v>647</v>
      </c>
      <c r="P262" s="171" t="s">
        <v>916</v>
      </c>
      <c r="Q262" s="171"/>
      <c r="R262" s="213">
        <v>167000</v>
      </c>
      <c r="S262" s="87">
        <v>0</v>
      </c>
      <c r="T262" s="87">
        <v>0</v>
      </c>
      <c r="U262" s="87">
        <v>0</v>
      </c>
      <c r="V262" s="87">
        <v>0</v>
      </c>
      <c r="W262" s="87">
        <v>0</v>
      </c>
      <c r="X262" s="87">
        <v>0</v>
      </c>
      <c r="Y262" s="87">
        <v>0</v>
      </c>
      <c r="Z262" s="87">
        <v>0</v>
      </c>
      <c r="AA262" s="214">
        <v>0</v>
      </c>
      <c r="AB262" s="214">
        <v>0</v>
      </c>
      <c r="AC262" s="214">
        <v>0</v>
      </c>
      <c r="AD262" s="214">
        <v>0</v>
      </c>
      <c r="AE262" s="214">
        <v>0</v>
      </c>
      <c r="AF262" s="214">
        <v>0</v>
      </c>
      <c r="AG262" s="214">
        <v>0</v>
      </c>
      <c r="AH262" s="214">
        <v>0</v>
      </c>
      <c r="AI262" s="87">
        <v>167220</v>
      </c>
      <c r="AJ262" s="87">
        <v>0</v>
      </c>
      <c r="AK262" s="87">
        <v>167220</v>
      </c>
      <c r="AL262" s="87">
        <v>167220</v>
      </c>
      <c r="AM262" s="87">
        <v>2030400</v>
      </c>
      <c r="AN262" s="87">
        <v>167220</v>
      </c>
      <c r="AO262" s="87">
        <v>167220</v>
      </c>
      <c r="AP262" s="87">
        <v>167000</v>
      </c>
      <c r="AQ262" s="88">
        <v>0</v>
      </c>
      <c r="AR262" s="88">
        <v>0</v>
      </c>
      <c r="AS262" s="88">
        <v>0</v>
      </c>
      <c r="AT262" s="88">
        <v>0</v>
      </c>
      <c r="AU262" s="88">
        <v>0</v>
      </c>
      <c r="AV262" s="88">
        <v>0</v>
      </c>
      <c r="AW262" s="88">
        <v>0</v>
      </c>
      <c r="AX262" s="88">
        <v>0</v>
      </c>
      <c r="AY262" s="87">
        <v>0</v>
      </c>
      <c r="AZ262" s="87">
        <v>0</v>
      </c>
      <c r="BA262" s="87">
        <v>0</v>
      </c>
      <c r="BB262" s="87">
        <v>0</v>
      </c>
      <c r="BC262" s="87">
        <v>0</v>
      </c>
      <c r="BD262" s="87">
        <v>0</v>
      </c>
      <c r="BE262" s="87">
        <v>0</v>
      </c>
      <c r="BF262" s="87">
        <v>0</v>
      </c>
      <c r="BG262" s="88">
        <v>0</v>
      </c>
      <c r="BH262" s="88">
        <v>0</v>
      </c>
      <c r="BI262" s="88">
        <v>0</v>
      </c>
      <c r="BJ262" s="88">
        <v>0</v>
      </c>
      <c r="BK262" s="88">
        <v>0</v>
      </c>
      <c r="BL262" s="88">
        <v>0</v>
      </c>
      <c r="BM262" s="88">
        <v>0</v>
      </c>
      <c r="BN262" s="590">
        <v>0</v>
      </c>
      <c r="BO262" s="171">
        <v>2023</v>
      </c>
      <c r="BP262" s="171">
        <v>1</v>
      </c>
      <c r="BQ262" s="171">
        <v>19</v>
      </c>
      <c r="BS262" s="76" t="str">
        <f t="shared" si="8"/>
        <v>○</v>
      </c>
    </row>
    <row r="263" spans="1:71" x14ac:dyDescent="0.2">
      <c r="A263" s="210">
        <v>1455</v>
      </c>
      <c r="B263" s="211"/>
      <c r="C263" s="212"/>
      <c r="D263" s="211"/>
      <c r="E263" s="212"/>
      <c r="F263" s="211"/>
      <c r="G263" s="211"/>
      <c r="H263" s="212"/>
      <c r="I263" s="211"/>
      <c r="J263" s="211"/>
      <c r="K263" s="211"/>
      <c r="L263" s="171"/>
      <c r="M263" s="171" t="s">
        <v>648</v>
      </c>
      <c r="N263" s="171" t="s">
        <v>306</v>
      </c>
      <c r="O263" s="171" t="s">
        <v>608</v>
      </c>
      <c r="P263" s="171" t="s">
        <v>916</v>
      </c>
      <c r="Q263" s="171"/>
      <c r="R263" s="213">
        <v>931000</v>
      </c>
      <c r="S263" s="87">
        <v>0</v>
      </c>
      <c r="T263" s="87">
        <v>0</v>
      </c>
      <c r="U263" s="87">
        <v>0</v>
      </c>
      <c r="V263" s="87">
        <v>0</v>
      </c>
      <c r="W263" s="87">
        <v>0</v>
      </c>
      <c r="X263" s="87">
        <v>0</v>
      </c>
      <c r="Y263" s="87">
        <v>0</v>
      </c>
      <c r="Z263" s="87">
        <v>0</v>
      </c>
      <c r="AA263" s="214">
        <v>0</v>
      </c>
      <c r="AB263" s="214">
        <v>0</v>
      </c>
      <c r="AC263" s="214">
        <v>0</v>
      </c>
      <c r="AD263" s="214">
        <v>0</v>
      </c>
      <c r="AE263" s="214">
        <v>0</v>
      </c>
      <c r="AF263" s="214">
        <v>0</v>
      </c>
      <c r="AG263" s="214">
        <v>0</v>
      </c>
      <c r="AH263" s="214">
        <v>0</v>
      </c>
      <c r="AI263" s="87">
        <v>931690</v>
      </c>
      <c r="AJ263" s="87">
        <v>0</v>
      </c>
      <c r="AK263" s="87">
        <v>931690</v>
      </c>
      <c r="AL263" s="87">
        <v>931690</v>
      </c>
      <c r="AM263" s="87">
        <v>1296000</v>
      </c>
      <c r="AN263" s="87">
        <v>931690</v>
      </c>
      <c r="AO263" s="87">
        <v>931690</v>
      </c>
      <c r="AP263" s="87">
        <v>931000</v>
      </c>
      <c r="AQ263" s="88">
        <v>0</v>
      </c>
      <c r="AR263" s="88">
        <v>0</v>
      </c>
      <c r="AS263" s="88">
        <v>0</v>
      </c>
      <c r="AT263" s="88">
        <v>0</v>
      </c>
      <c r="AU263" s="88">
        <v>0</v>
      </c>
      <c r="AV263" s="88">
        <v>0</v>
      </c>
      <c r="AW263" s="88">
        <v>0</v>
      </c>
      <c r="AX263" s="88">
        <v>0</v>
      </c>
      <c r="AY263" s="87">
        <v>0</v>
      </c>
      <c r="AZ263" s="87">
        <v>0</v>
      </c>
      <c r="BA263" s="87">
        <v>0</v>
      </c>
      <c r="BB263" s="87">
        <v>0</v>
      </c>
      <c r="BC263" s="87">
        <v>0</v>
      </c>
      <c r="BD263" s="87">
        <v>0</v>
      </c>
      <c r="BE263" s="87">
        <v>0</v>
      </c>
      <c r="BF263" s="87">
        <v>0</v>
      </c>
      <c r="BG263" s="88">
        <v>0</v>
      </c>
      <c r="BH263" s="88">
        <v>0</v>
      </c>
      <c r="BI263" s="88">
        <v>0</v>
      </c>
      <c r="BJ263" s="88">
        <v>0</v>
      </c>
      <c r="BK263" s="88">
        <v>0</v>
      </c>
      <c r="BL263" s="88">
        <v>0</v>
      </c>
      <c r="BM263" s="88">
        <v>0</v>
      </c>
      <c r="BN263" s="590">
        <v>0</v>
      </c>
      <c r="BO263" s="171">
        <v>2023</v>
      </c>
      <c r="BP263" s="171">
        <v>1</v>
      </c>
      <c r="BQ263" s="171">
        <v>19</v>
      </c>
      <c r="BS263" s="76" t="str">
        <f t="shared" si="8"/>
        <v>○</v>
      </c>
    </row>
    <row r="264" spans="1:71" x14ac:dyDescent="0.2">
      <c r="A264" s="210">
        <v>1456</v>
      </c>
      <c r="B264" s="211"/>
      <c r="C264" s="212"/>
      <c r="D264" s="211"/>
      <c r="E264" s="212"/>
      <c r="F264" s="211"/>
      <c r="G264" s="211"/>
      <c r="H264" s="212"/>
      <c r="I264" s="211"/>
      <c r="J264" s="211"/>
      <c r="K264" s="211"/>
      <c r="L264" s="171"/>
      <c r="M264" s="171" t="s">
        <v>649</v>
      </c>
      <c r="N264" s="171" t="s">
        <v>302</v>
      </c>
      <c r="O264" s="171" t="s">
        <v>650</v>
      </c>
      <c r="P264" s="171" t="s">
        <v>916</v>
      </c>
      <c r="Q264" s="171"/>
      <c r="R264" s="213">
        <v>104000</v>
      </c>
      <c r="S264" s="87">
        <v>0</v>
      </c>
      <c r="T264" s="87">
        <v>0</v>
      </c>
      <c r="U264" s="87">
        <v>0</v>
      </c>
      <c r="V264" s="87">
        <v>0</v>
      </c>
      <c r="W264" s="87">
        <v>0</v>
      </c>
      <c r="X264" s="87">
        <v>0</v>
      </c>
      <c r="Y264" s="87">
        <v>0</v>
      </c>
      <c r="Z264" s="87">
        <v>0</v>
      </c>
      <c r="AA264" s="214">
        <v>0</v>
      </c>
      <c r="AB264" s="214">
        <v>0</v>
      </c>
      <c r="AC264" s="214">
        <v>0</v>
      </c>
      <c r="AD264" s="214">
        <v>0</v>
      </c>
      <c r="AE264" s="214">
        <v>0</v>
      </c>
      <c r="AF264" s="214">
        <v>0</v>
      </c>
      <c r="AG264" s="214">
        <v>0</v>
      </c>
      <c r="AH264" s="214">
        <v>0</v>
      </c>
      <c r="AI264" s="87">
        <v>104340</v>
      </c>
      <c r="AJ264" s="87">
        <v>0</v>
      </c>
      <c r="AK264" s="87">
        <v>104340</v>
      </c>
      <c r="AL264" s="87">
        <v>104340</v>
      </c>
      <c r="AM264" s="87">
        <v>2574000</v>
      </c>
      <c r="AN264" s="87">
        <v>104340</v>
      </c>
      <c r="AO264" s="87">
        <v>104340</v>
      </c>
      <c r="AP264" s="87">
        <v>104000</v>
      </c>
      <c r="AQ264" s="88">
        <v>0</v>
      </c>
      <c r="AR264" s="88">
        <v>0</v>
      </c>
      <c r="AS264" s="88">
        <v>0</v>
      </c>
      <c r="AT264" s="88">
        <v>0</v>
      </c>
      <c r="AU264" s="88">
        <v>0</v>
      </c>
      <c r="AV264" s="88">
        <v>0</v>
      </c>
      <c r="AW264" s="88">
        <v>0</v>
      </c>
      <c r="AX264" s="88">
        <v>0</v>
      </c>
      <c r="AY264" s="87">
        <v>0</v>
      </c>
      <c r="AZ264" s="87">
        <v>0</v>
      </c>
      <c r="BA264" s="87">
        <v>0</v>
      </c>
      <c r="BB264" s="87">
        <v>0</v>
      </c>
      <c r="BC264" s="87">
        <v>0</v>
      </c>
      <c r="BD264" s="87">
        <v>0</v>
      </c>
      <c r="BE264" s="87">
        <v>0</v>
      </c>
      <c r="BF264" s="87">
        <v>0</v>
      </c>
      <c r="BG264" s="88">
        <v>0</v>
      </c>
      <c r="BH264" s="88">
        <v>0</v>
      </c>
      <c r="BI264" s="88">
        <v>0</v>
      </c>
      <c r="BJ264" s="88">
        <v>0</v>
      </c>
      <c r="BK264" s="88">
        <v>0</v>
      </c>
      <c r="BL264" s="88">
        <v>0</v>
      </c>
      <c r="BM264" s="88">
        <v>0</v>
      </c>
      <c r="BN264" s="590">
        <v>0</v>
      </c>
      <c r="BO264" s="171">
        <v>2023</v>
      </c>
      <c r="BP264" s="171">
        <v>1</v>
      </c>
      <c r="BQ264" s="171">
        <v>19</v>
      </c>
      <c r="BS264" s="76" t="str">
        <f t="shared" si="8"/>
        <v>○</v>
      </c>
    </row>
    <row r="265" spans="1:71" s="81" customFormat="1" x14ac:dyDescent="0.2">
      <c r="A265" s="210">
        <v>1457</v>
      </c>
      <c r="B265" s="211"/>
      <c r="C265" s="212"/>
      <c r="D265" s="211"/>
      <c r="E265" s="212"/>
      <c r="F265" s="211"/>
      <c r="G265" s="211"/>
      <c r="H265" s="212"/>
      <c r="I265" s="211"/>
      <c r="J265" s="211"/>
      <c r="K265" s="211"/>
      <c r="L265" s="171"/>
      <c r="M265" s="171" t="s">
        <v>447</v>
      </c>
      <c r="N265" s="171" t="s">
        <v>299</v>
      </c>
      <c r="O265" s="171" t="s">
        <v>448</v>
      </c>
      <c r="P265" s="171" t="s">
        <v>916</v>
      </c>
      <c r="Q265" s="171"/>
      <c r="R265" s="213">
        <v>538000</v>
      </c>
      <c r="S265" s="87">
        <v>0</v>
      </c>
      <c r="T265" s="87">
        <v>0</v>
      </c>
      <c r="U265" s="87">
        <v>0</v>
      </c>
      <c r="V265" s="87">
        <v>0</v>
      </c>
      <c r="W265" s="87">
        <v>0</v>
      </c>
      <c r="X265" s="87">
        <v>0</v>
      </c>
      <c r="Y265" s="87">
        <v>0</v>
      </c>
      <c r="Z265" s="87">
        <v>0</v>
      </c>
      <c r="AA265" s="214">
        <v>0</v>
      </c>
      <c r="AB265" s="214">
        <v>0</v>
      </c>
      <c r="AC265" s="214">
        <v>0</v>
      </c>
      <c r="AD265" s="214">
        <v>0</v>
      </c>
      <c r="AE265" s="214">
        <v>0</v>
      </c>
      <c r="AF265" s="214">
        <v>0</v>
      </c>
      <c r="AG265" s="214">
        <v>0</v>
      </c>
      <c r="AH265" s="214">
        <v>0</v>
      </c>
      <c r="AI265" s="87">
        <v>538021</v>
      </c>
      <c r="AJ265" s="87">
        <v>0</v>
      </c>
      <c r="AK265" s="87">
        <v>538021</v>
      </c>
      <c r="AL265" s="87">
        <v>538021</v>
      </c>
      <c r="AM265" s="87">
        <v>4698000</v>
      </c>
      <c r="AN265" s="87">
        <v>538021</v>
      </c>
      <c r="AO265" s="87">
        <v>538021</v>
      </c>
      <c r="AP265" s="87">
        <v>538000</v>
      </c>
      <c r="AQ265" s="88">
        <v>0</v>
      </c>
      <c r="AR265" s="88">
        <v>0</v>
      </c>
      <c r="AS265" s="88">
        <v>0</v>
      </c>
      <c r="AT265" s="88">
        <v>0</v>
      </c>
      <c r="AU265" s="88">
        <v>0</v>
      </c>
      <c r="AV265" s="88">
        <v>0</v>
      </c>
      <c r="AW265" s="88">
        <v>0</v>
      </c>
      <c r="AX265" s="88">
        <v>0</v>
      </c>
      <c r="AY265" s="87">
        <v>0</v>
      </c>
      <c r="AZ265" s="87">
        <v>0</v>
      </c>
      <c r="BA265" s="87">
        <v>0</v>
      </c>
      <c r="BB265" s="87">
        <v>0</v>
      </c>
      <c r="BC265" s="87">
        <v>0</v>
      </c>
      <c r="BD265" s="87">
        <v>0</v>
      </c>
      <c r="BE265" s="87">
        <v>0</v>
      </c>
      <c r="BF265" s="87">
        <v>0</v>
      </c>
      <c r="BG265" s="88">
        <v>0</v>
      </c>
      <c r="BH265" s="88">
        <v>0</v>
      </c>
      <c r="BI265" s="88">
        <v>0</v>
      </c>
      <c r="BJ265" s="88">
        <v>0</v>
      </c>
      <c r="BK265" s="88">
        <v>0</v>
      </c>
      <c r="BL265" s="88">
        <v>0</v>
      </c>
      <c r="BM265" s="88">
        <v>0</v>
      </c>
      <c r="BN265" s="590">
        <v>0</v>
      </c>
      <c r="BO265" s="171">
        <v>2023</v>
      </c>
      <c r="BP265" s="171">
        <v>1</v>
      </c>
      <c r="BQ265" s="171">
        <v>19</v>
      </c>
      <c r="BR265" s="77"/>
      <c r="BS265" s="76" t="str">
        <f t="shared" si="8"/>
        <v>○</v>
      </c>
    </row>
    <row r="266" spans="1:71" s="81" customFormat="1" x14ac:dyDescent="0.2">
      <c r="A266" s="210">
        <v>1458</v>
      </c>
      <c r="B266" s="211"/>
      <c r="C266" s="212"/>
      <c r="D266" s="211"/>
      <c r="E266" s="212"/>
      <c r="F266" s="211"/>
      <c r="G266" s="211"/>
      <c r="H266" s="212"/>
      <c r="I266" s="211"/>
      <c r="J266" s="211"/>
      <c r="K266" s="211"/>
      <c r="L266" s="171"/>
      <c r="M266" s="171" t="s">
        <v>651</v>
      </c>
      <c r="N266" s="171" t="s">
        <v>275</v>
      </c>
      <c r="O266" s="171" t="s">
        <v>652</v>
      </c>
      <c r="P266" s="171" t="s">
        <v>916</v>
      </c>
      <c r="Q266" s="171"/>
      <c r="R266" s="213">
        <v>210000</v>
      </c>
      <c r="S266" s="87">
        <v>0</v>
      </c>
      <c r="T266" s="87">
        <v>0</v>
      </c>
      <c r="U266" s="87">
        <v>0</v>
      </c>
      <c r="V266" s="87">
        <v>0</v>
      </c>
      <c r="W266" s="87">
        <v>0</v>
      </c>
      <c r="X266" s="87">
        <v>0</v>
      </c>
      <c r="Y266" s="87">
        <v>0</v>
      </c>
      <c r="Z266" s="87">
        <v>0</v>
      </c>
      <c r="AA266" s="214">
        <v>0</v>
      </c>
      <c r="AB266" s="214">
        <v>0</v>
      </c>
      <c r="AC266" s="214">
        <v>0</v>
      </c>
      <c r="AD266" s="214">
        <v>0</v>
      </c>
      <c r="AE266" s="214">
        <v>0</v>
      </c>
      <c r="AF266" s="214">
        <v>0</v>
      </c>
      <c r="AG266" s="214">
        <v>0</v>
      </c>
      <c r="AH266" s="214">
        <v>0</v>
      </c>
      <c r="AI266" s="87">
        <v>210060</v>
      </c>
      <c r="AJ266" s="87">
        <v>0</v>
      </c>
      <c r="AK266" s="87">
        <v>210060</v>
      </c>
      <c r="AL266" s="87">
        <v>210060</v>
      </c>
      <c r="AM266" s="87">
        <v>1576800</v>
      </c>
      <c r="AN266" s="87">
        <v>210060</v>
      </c>
      <c r="AO266" s="87">
        <v>210060</v>
      </c>
      <c r="AP266" s="87">
        <v>210000</v>
      </c>
      <c r="AQ266" s="88">
        <v>0</v>
      </c>
      <c r="AR266" s="88">
        <v>0</v>
      </c>
      <c r="AS266" s="88">
        <v>0</v>
      </c>
      <c r="AT266" s="88">
        <v>0</v>
      </c>
      <c r="AU266" s="88">
        <v>0</v>
      </c>
      <c r="AV266" s="88">
        <v>0</v>
      </c>
      <c r="AW266" s="88">
        <v>0</v>
      </c>
      <c r="AX266" s="88">
        <v>0</v>
      </c>
      <c r="AY266" s="87">
        <v>0</v>
      </c>
      <c r="AZ266" s="87">
        <v>0</v>
      </c>
      <c r="BA266" s="87">
        <v>0</v>
      </c>
      <c r="BB266" s="87">
        <v>0</v>
      </c>
      <c r="BC266" s="87">
        <v>0</v>
      </c>
      <c r="BD266" s="87">
        <v>0</v>
      </c>
      <c r="BE266" s="87">
        <v>0</v>
      </c>
      <c r="BF266" s="87">
        <v>0</v>
      </c>
      <c r="BG266" s="88">
        <v>0</v>
      </c>
      <c r="BH266" s="88">
        <v>0</v>
      </c>
      <c r="BI266" s="88">
        <v>0</v>
      </c>
      <c r="BJ266" s="88">
        <v>0</v>
      </c>
      <c r="BK266" s="88">
        <v>0</v>
      </c>
      <c r="BL266" s="88">
        <v>0</v>
      </c>
      <c r="BM266" s="88">
        <v>0</v>
      </c>
      <c r="BN266" s="590">
        <v>0</v>
      </c>
      <c r="BO266" s="171">
        <v>2023</v>
      </c>
      <c r="BP266" s="171">
        <v>1</v>
      </c>
      <c r="BQ266" s="171">
        <v>19</v>
      </c>
      <c r="BR266" s="77"/>
      <c r="BS266" s="76" t="str">
        <f t="shared" si="8"/>
        <v>○</v>
      </c>
    </row>
    <row r="267" spans="1:71" x14ac:dyDescent="0.2">
      <c r="A267" s="210">
        <v>1459</v>
      </c>
      <c r="B267" s="211"/>
      <c r="C267" s="212"/>
      <c r="D267" s="211"/>
      <c r="E267" s="212"/>
      <c r="F267" s="211"/>
      <c r="G267" s="211"/>
      <c r="H267" s="212"/>
      <c r="I267" s="211"/>
      <c r="J267" s="211"/>
      <c r="K267" s="211"/>
      <c r="L267" s="171"/>
      <c r="M267" s="171" t="s">
        <v>653</v>
      </c>
      <c r="N267" s="171" t="s">
        <v>269</v>
      </c>
      <c r="O267" s="171" t="s">
        <v>448</v>
      </c>
      <c r="P267" s="171" t="s">
        <v>916</v>
      </c>
      <c r="Q267" s="171"/>
      <c r="R267" s="213">
        <v>1008000</v>
      </c>
      <c r="S267" s="87">
        <v>0</v>
      </c>
      <c r="T267" s="87">
        <v>0</v>
      </c>
      <c r="U267" s="87">
        <v>0</v>
      </c>
      <c r="V267" s="87">
        <v>0</v>
      </c>
      <c r="W267" s="87">
        <v>0</v>
      </c>
      <c r="X267" s="87">
        <v>0</v>
      </c>
      <c r="Y267" s="87">
        <v>0</v>
      </c>
      <c r="Z267" s="87">
        <v>0</v>
      </c>
      <c r="AA267" s="214">
        <v>0</v>
      </c>
      <c r="AB267" s="214">
        <v>0</v>
      </c>
      <c r="AC267" s="214">
        <v>0</v>
      </c>
      <c r="AD267" s="214">
        <v>0</v>
      </c>
      <c r="AE267" s="214">
        <v>0</v>
      </c>
      <c r="AF267" s="214">
        <v>0</v>
      </c>
      <c r="AG267" s="214">
        <v>0</v>
      </c>
      <c r="AH267" s="214">
        <v>0</v>
      </c>
      <c r="AI267" s="87">
        <v>1008181</v>
      </c>
      <c r="AJ267" s="87">
        <v>0</v>
      </c>
      <c r="AK267" s="87">
        <v>1008181</v>
      </c>
      <c r="AL267" s="87">
        <v>1008181</v>
      </c>
      <c r="AM267" s="87">
        <v>3024000</v>
      </c>
      <c r="AN267" s="87">
        <v>1008181</v>
      </c>
      <c r="AO267" s="87">
        <v>1008181</v>
      </c>
      <c r="AP267" s="87">
        <v>1008000</v>
      </c>
      <c r="AQ267" s="88">
        <v>0</v>
      </c>
      <c r="AR267" s="88">
        <v>0</v>
      </c>
      <c r="AS267" s="88">
        <v>0</v>
      </c>
      <c r="AT267" s="88">
        <v>0</v>
      </c>
      <c r="AU267" s="88">
        <v>0</v>
      </c>
      <c r="AV267" s="88">
        <v>0</v>
      </c>
      <c r="AW267" s="88">
        <v>0</v>
      </c>
      <c r="AX267" s="88">
        <v>0</v>
      </c>
      <c r="AY267" s="87">
        <v>0</v>
      </c>
      <c r="AZ267" s="87">
        <v>0</v>
      </c>
      <c r="BA267" s="87">
        <v>0</v>
      </c>
      <c r="BB267" s="87">
        <v>0</v>
      </c>
      <c r="BC267" s="87">
        <v>0</v>
      </c>
      <c r="BD267" s="87">
        <v>0</v>
      </c>
      <c r="BE267" s="87">
        <v>0</v>
      </c>
      <c r="BF267" s="87">
        <v>0</v>
      </c>
      <c r="BG267" s="88">
        <v>0</v>
      </c>
      <c r="BH267" s="88">
        <v>0</v>
      </c>
      <c r="BI267" s="88">
        <v>0</v>
      </c>
      <c r="BJ267" s="88">
        <v>0</v>
      </c>
      <c r="BK267" s="88">
        <v>0</v>
      </c>
      <c r="BL267" s="88">
        <v>0</v>
      </c>
      <c r="BM267" s="88">
        <v>0</v>
      </c>
      <c r="BN267" s="590">
        <v>0</v>
      </c>
      <c r="BO267" s="171">
        <v>2023</v>
      </c>
      <c r="BP267" s="171">
        <v>1</v>
      </c>
      <c r="BQ267" s="171">
        <v>19</v>
      </c>
      <c r="BR267" s="81"/>
      <c r="BS267" s="76" t="str">
        <f t="shared" si="8"/>
        <v>○</v>
      </c>
    </row>
    <row r="268" spans="1:71" x14ac:dyDescent="0.2">
      <c r="A268" s="210">
        <v>1460</v>
      </c>
      <c r="B268" s="211"/>
      <c r="C268" s="212"/>
      <c r="D268" s="211"/>
      <c r="E268" s="212"/>
      <c r="F268" s="211"/>
      <c r="G268" s="211"/>
      <c r="H268" s="212"/>
      <c r="I268" s="211"/>
      <c r="J268" s="211"/>
      <c r="K268" s="211"/>
      <c r="L268" s="171"/>
      <c r="M268" s="171" t="s">
        <v>392</v>
      </c>
      <c r="N268" s="171" t="s">
        <v>393</v>
      </c>
      <c r="O268" s="171" t="s">
        <v>394</v>
      </c>
      <c r="P268" s="171" t="s">
        <v>916</v>
      </c>
      <c r="Q268" s="171"/>
      <c r="R268" s="213">
        <v>962000</v>
      </c>
      <c r="S268" s="87">
        <v>0</v>
      </c>
      <c r="T268" s="87">
        <v>0</v>
      </c>
      <c r="U268" s="87">
        <v>0</v>
      </c>
      <c r="V268" s="87">
        <v>0</v>
      </c>
      <c r="W268" s="87">
        <v>0</v>
      </c>
      <c r="X268" s="87">
        <v>0</v>
      </c>
      <c r="Y268" s="87">
        <v>0</v>
      </c>
      <c r="Z268" s="87">
        <v>0</v>
      </c>
      <c r="AA268" s="214">
        <v>0</v>
      </c>
      <c r="AB268" s="214">
        <v>0</v>
      </c>
      <c r="AC268" s="214">
        <v>0</v>
      </c>
      <c r="AD268" s="214">
        <v>0</v>
      </c>
      <c r="AE268" s="214">
        <v>0</v>
      </c>
      <c r="AF268" s="214">
        <v>0</v>
      </c>
      <c r="AG268" s="214">
        <v>0</v>
      </c>
      <c r="AH268" s="214">
        <v>0</v>
      </c>
      <c r="AI268" s="87">
        <v>962940</v>
      </c>
      <c r="AJ268" s="87">
        <v>0</v>
      </c>
      <c r="AK268" s="87">
        <v>962940</v>
      </c>
      <c r="AL268" s="87">
        <v>962940</v>
      </c>
      <c r="AM268" s="87">
        <v>6177600</v>
      </c>
      <c r="AN268" s="87">
        <v>962940</v>
      </c>
      <c r="AO268" s="87">
        <v>962940</v>
      </c>
      <c r="AP268" s="87">
        <v>962000</v>
      </c>
      <c r="AQ268" s="88">
        <v>0</v>
      </c>
      <c r="AR268" s="88">
        <v>0</v>
      </c>
      <c r="AS268" s="88">
        <v>0</v>
      </c>
      <c r="AT268" s="88">
        <v>0</v>
      </c>
      <c r="AU268" s="88">
        <v>0</v>
      </c>
      <c r="AV268" s="88">
        <v>0</v>
      </c>
      <c r="AW268" s="88">
        <v>0</v>
      </c>
      <c r="AX268" s="88">
        <v>0</v>
      </c>
      <c r="AY268" s="87">
        <v>0</v>
      </c>
      <c r="AZ268" s="87">
        <v>0</v>
      </c>
      <c r="BA268" s="87">
        <v>0</v>
      </c>
      <c r="BB268" s="87">
        <v>0</v>
      </c>
      <c r="BC268" s="87">
        <v>0</v>
      </c>
      <c r="BD268" s="87">
        <v>0</v>
      </c>
      <c r="BE268" s="87">
        <v>0</v>
      </c>
      <c r="BF268" s="87">
        <v>0</v>
      </c>
      <c r="BG268" s="88">
        <v>0</v>
      </c>
      <c r="BH268" s="88">
        <v>0</v>
      </c>
      <c r="BI268" s="88">
        <v>0</v>
      </c>
      <c r="BJ268" s="88">
        <v>0</v>
      </c>
      <c r="BK268" s="88">
        <v>0</v>
      </c>
      <c r="BL268" s="88">
        <v>0</v>
      </c>
      <c r="BM268" s="88">
        <v>0</v>
      </c>
      <c r="BN268" s="590">
        <v>0</v>
      </c>
      <c r="BO268" s="171">
        <v>2023</v>
      </c>
      <c r="BP268" s="171">
        <v>1</v>
      </c>
      <c r="BQ268" s="171">
        <v>19</v>
      </c>
      <c r="BR268" s="81"/>
      <c r="BS268" s="76" t="str">
        <f t="shared" si="8"/>
        <v>○</v>
      </c>
    </row>
    <row r="269" spans="1:71" x14ac:dyDescent="0.2">
      <c r="A269" s="210">
        <v>1461</v>
      </c>
      <c r="B269" s="211"/>
      <c r="C269" s="212"/>
      <c r="D269" s="211"/>
      <c r="E269" s="212"/>
      <c r="F269" s="211"/>
      <c r="G269" s="211"/>
      <c r="H269" s="212"/>
      <c r="I269" s="211"/>
      <c r="J269" s="211"/>
      <c r="K269" s="211"/>
      <c r="L269" s="171"/>
      <c r="M269" s="171" t="s">
        <v>610</v>
      </c>
      <c r="N269" s="171" t="s">
        <v>269</v>
      </c>
      <c r="O269" s="171" t="s">
        <v>476</v>
      </c>
      <c r="P269" s="171" t="s">
        <v>916</v>
      </c>
      <c r="Q269" s="75"/>
      <c r="R269" s="213">
        <v>494000</v>
      </c>
      <c r="S269" s="87">
        <v>0</v>
      </c>
      <c r="T269" s="87">
        <v>0</v>
      </c>
      <c r="U269" s="87">
        <v>0</v>
      </c>
      <c r="V269" s="87">
        <v>0</v>
      </c>
      <c r="W269" s="87">
        <v>0</v>
      </c>
      <c r="X269" s="87">
        <v>0</v>
      </c>
      <c r="Y269" s="87">
        <v>0</v>
      </c>
      <c r="Z269" s="87">
        <v>0</v>
      </c>
      <c r="AA269" s="214">
        <v>0</v>
      </c>
      <c r="AB269" s="214">
        <v>0</v>
      </c>
      <c r="AC269" s="214">
        <v>0</v>
      </c>
      <c r="AD269" s="214">
        <v>0</v>
      </c>
      <c r="AE269" s="214">
        <v>0</v>
      </c>
      <c r="AF269" s="214">
        <v>0</v>
      </c>
      <c r="AG269" s="214">
        <v>0</v>
      </c>
      <c r="AH269" s="214">
        <v>0</v>
      </c>
      <c r="AI269" s="87">
        <v>494880</v>
      </c>
      <c r="AJ269" s="87">
        <v>0</v>
      </c>
      <c r="AK269" s="87">
        <v>494880</v>
      </c>
      <c r="AL269" s="87">
        <v>494880</v>
      </c>
      <c r="AM269" s="87">
        <v>2592000</v>
      </c>
      <c r="AN269" s="87">
        <v>494880</v>
      </c>
      <c r="AO269" s="87">
        <v>494880</v>
      </c>
      <c r="AP269" s="87">
        <v>494000</v>
      </c>
      <c r="AQ269" s="88">
        <v>0</v>
      </c>
      <c r="AR269" s="88">
        <v>0</v>
      </c>
      <c r="AS269" s="88">
        <v>0</v>
      </c>
      <c r="AT269" s="88">
        <v>0</v>
      </c>
      <c r="AU269" s="88">
        <v>0</v>
      </c>
      <c r="AV269" s="88">
        <v>0</v>
      </c>
      <c r="AW269" s="88">
        <v>0</v>
      </c>
      <c r="AX269" s="88">
        <v>0</v>
      </c>
      <c r="AY269" s="87">
        <v>0</v>
      </c>
      <c r="AZ269" s="87">
        <v>0</v>
      </c>
      <c r="BA269" s="87">
        <v>0</v>
      </c>
      <c r="BB269" s="87">
        <v>0</v>
      </c>
      <c r="BC269" s="87">
        <v>0</v>
      </c>
      <c r="BD269" s="87">
        <v>0</v>
      </c>
      <c r="BE269" s="87">
        <v>0</v>
      </c>
      <c r="BF269" s="87">
        <v>0</v>
      </c>
      <c r="BG269" s="88">
        <v>0</v>
      </c>
      <c r="BH269" s="88">
        <v>0</v>
      </c>
      <c r="BI269" s="88">
        <v>0</v>
      </c>
      <c r="BJ269" s="88">
        <v>0</v>
      </c>
      <c r="BK269" s="88">
        <v>0</v>
      </c>
      <c r="BL269" s="88">
        <v>0</v>
      </c>
      <c r="BM269" s="88">
        <v>0</v>
      </c>
      <c r="BN269" s="590">
        <v>0</v>
      </c>
      <c r="BO269" s="171">
        <v>2023</v>
      </c>
      <c r="BP269" s="171">
        <v>1</v>
      </c>
      <c r="BQ269" s="171">
        <v>19</v>
      </c>
      <c r="BS269" s="76" t="str">
        <f t="shared" si="8"/>
        <v>○</v>
      </c>
    </row>
    <row r="270" spans="1:71" x14ac:dyDescent="0.2">
      <c r="A270" s="210">
        <v>1462</v>
      </c>
      <c r="B270" s="211"/>
      <c r="C270" s="212"/>
      <c r="D270" s="211"/>
      <c r="E270" s="212"/>
      <c r="F270" s="211"/>
      <c r="G270" s="211"/>
      <c r="H270" s="212"/>
      <c r="I270" s="211"/>
      <c r="J270" s="211"/>
      <c r="K270" s="211"/>
      <c r="L270" s="171"/>
      <c r="M270" s="171" t="s">
        <v>654</v>
      </c>
      <c r="N270" s="171" t="s">
        <v>272</v>
      </c>
      <c r="O270" s="171" t="s">
        <v>655</v>
      </c>
      <c r="P270" s="171" t="s">
        <v>916</v>
      </c>
      <c r="Q270" s="171"/>
      <c r="R270" s="213">
        <v>1853000</v>
      </c>
      <c r="S270" s="87">
        <v>0</v>
      </c>
      <c r="T270" s="87">
        <v>0</v>
      </c>
      <c r="U270" s="87">
        <v>0</v>
      </c>
      <c r="V270" s="87">
        <v>0</v>
      </c>
      <c r="W270" s="87">
        <v>0</v>
      </c>
      <c r="X270" s="87">
        <v>0</v>
      </c>
      <c r="Y270" s="87">
        <v>0</v>
      </c>
      <c r="Z270" s="87">
        <v>0</v>
      </c>
      <c r="AA270" s="214">
        <v>0</v>
      </c>
      <c r="AB270" s="214">
        <v>0</v>
      </c>
      <c r="AC270" s="214">
        <v>0</v>
      </c>
      <c r="AD270" s="214">
        <v>0</v>
      </c>
      <c r="AE270" s="214">
        <v>0</v>
      </c>
      <c r="AF270" s="214">
        <v>0</v>
      </c>
      <c r="AG270" s="214">
        <v>0</v>
      </c>
      <c r="AH270" s="214">
        <v>0</v>
      </c>
      <c r="AI270" s="87">
        <v>1853454</v>
      </c>
      <c r="AJ270" s="87">
        <v>0</v>
      </c>
      <c r="AK270" s="87">
        <v>1853454</v>
      </c>
      <c r="AL270" s="87">
        <v>1853454</v>
      </c>
      <c r="AM270" s="87">
        <v>3124800</v>
      </c>
      <c r="AN270" s="87">
        <v>1853454</v>
      </c>
      <c r="AO270" s="87">
        <v>1853454</v>
      </c>
      <c r="AP270" s="87">
        <v>1853000</v>
      </c>
      <c r="AQ270" s="88">
        <v>0</v>
      </c>
      <c r="AR270" s="88">
        <v>0</v>
      </c>
      <c r="AS270" s="88">
        <v>0</v>
      </c>
      <c r="AT270" s="88">
        <v>0</v>
      </c>
      <c r="AU270" s="88">
        <v>0</v>
      </c>
      <c r="AV270" s="88">
        <v>0</v>
      </c>
      <c r="AW270" s="88">
        <v>0</v>
      </c>
      <c r="AX270" s="88">
        <v>0</v>
      </c>
      <c r="AY270" s="87">
        <v>0</v>
      </c>
      <c r="AZ270" s="87">
        <v>0</v>
      </c>
      <c r="BA270" s="87">
        <v>0</v>
      </c>
      <c r="BB270" s="87">
        <v>0</v>
      </c>
      <c r="BC270" s="87">
        <v>0</v>
      </c>
      <c r="BD270" s="87">
        <v>0</v>
      </c>
      <c r="BE270" s="87">
        <v>0</v>
      </c>
      <c r="BF270" s="87">
        <v>0</v>
      </c>
      <c r="BG270" s="88">
        <v>0</v>
      </c>
      <c r="BH270" s="88">
        <v>0</v>
      </c>
      <c r="BI270" s="88">
        <v>0</v>
      </c>
      <c r="BJ270" s="88">
        <v>0</v>
      </c>
      <c r="BK270" s="88">
        <v>0</v>
      </c>
      <c r="BL270" s="88">
        <v>0</v>
      </c>
      <c r="BM270" s="88">
        <v>0</v>
      </c>
      <c r="BN270" s="590">
        <v>0</v>
      </c>
      <c r="BO270" s="171">
        <v>2023</v>
      </c>
      <c r="BP270" s="171">
        <v>1</v>
      </c>
      <c r="BQ270" s="171">
        <v>19</v>
      </c>
      <c r="BS270" s="76" t="str">
        <f t="shared" si="8"/>
        <v>○</v>
      </c>
    </row>
    <row r="271" spans="1:71" x14ac:dyDescent="0.2">
      <c r="A271" s="210">
        <v>1463</v>
      </c>
      <c r="B271" s="211"/>
      <c r="C271" s="212"/>
      <c r="D271" s="211"/>
      <c r="E271" s="212"/>
      <c r="F271" s="211"/>
      <c r="G271" s="211"/>
      <c r="H271" s="212"/>
      <c r="I271" s="211"/>
      <c r="J271" s="211"/>
      <c r="K271" s="211"/>
      <c r="L271" s="171"/>
      <c r="M271" s="171" t="s">
        <v>656</v>
      </c>
      <c r="N271" s="171" t="s">
        <v>272</v>
      </c>
      <c r="O271" s="171" t="s">
        <v>657</v>
      </c>
      <c r="P271" s="171" t="s">
        <v>916</v>
      </c>
      <c r="Q271" s="171"/>
      <c r="R271" s="213">
        <v>2521000</v>
      </c>
      <c r="S271" s="87">
        <v>0</v>
      </c>
      <c r="T271" s="87">
        <v>0</v>
      </c>
      <c r="U271" s="87">
        <v>0</v>
      </c>
      <c r="V271" s="87">
        <v>0</v>
      </c>
      <c r="W271" s="87">
        <v>0</v>
      </c>
      <c r="X271" s="87">
        <v>0</v>
      </c>
      <c r="Y271" s="87">
        <v>0</v>
      </c>
      <c r="Z271" s="87">
        <v>0</v>
      </c>
      <c r="AA271" s="214">
        <v>0</v>
      </c>
      <c r="AB271" s="214">
        <v>0</v>
      </c>
      <c r="AC271" s="214">
        <v>0</v>
      </c>
      <c r="AD271" s="214">
        <v>0</v>
      </c>
      <c r="AE271" s="214">
        <v>0</v>
      </c>
      <c r="AF271" s="214">
        <v>0</v>
      </c>
      <c r="AG271" s="214">
        <v>0</v>
      </c>
      <c r="AH271" s="214">
        <v>0</v>
      </c>
      <c r="AI271" s="87">
        <v>2521914</v>
      </c>
      <c r="AJ271" s="87">
        <v>0</v>
      </c>
      <c r="AK271" s="87">
        <v>2521914</v>
      </c>
      <c r="AL271" s="87">
        <v>2521914</v>
      </c>
      <c r="AM271" s="87">
        <v>3402000</v>
      </c>
      <c r="AN271" s="87">
        <v>2521914</v>
      </c>
      <c r="AO271" s="87">
        <v>2521914</v>
      </c>
      <c r="AP271" s="87">
        <v>2521000</v>
      </c>
      <c r="AQ271" s="88">
        <v>0</v>
      </c>
      <c r="AR271" s="88">
        <v>0</v>
      </c>
      <c r="AS271" s="88">
        <v>0</v>
      </c>
      <c r="AT271" s="88">
        <v>0</v>
      </c>
      <c r="AU271" s="88">
        <v>0</v>
      </c>
      <c r="AV271" s="88">
        <v>0</v>
      </c>
      <c r="AW271" s="88">
        <v>0</v>
      </c>
      <c r="AX271" s="88">
        <v>0</v>
      </c>
      <c r="AY271" s="87">
        <v>0</v>
      </c>
      <c r="AZ271" s="87">
        <v>0</v>
      </c>
      <c r="BA271" s="87">
        <v>0</v>
      </c>
      <c r="BB271" s="87">
        <v>0</v>
      </c>
      <c r="BC271" s="87">
        <v>0</v>
      </c>
      <c r="BD271" s="87">
        <v>0</v>
      </c>
      <c r="BE271" s="87">
        <v>0</v>
      </c>
      <c r="BF271" s="87">
        <v>0</v>
      </c>
      <c r="BG271" s="88">
        <v>0</v>
      </c>
      <c r="BH271" s="88">
        <v>0</v>
      </c>
      <c r="BI271" s="88">
        <v>0</v>
      </c>
      <c r="BJ271" s="88">
        <v>0</v>
      </c>
      <c r="BK271" s="88">
        <v>0</v>
      </c>
      <c r="BL271" s="88">
        <v>0</v>
      </c>
      <c r="BM271" s="88">
        <v>0</v>
      </c>
      <c r="BN271" s="590">
        <v>0</v>
      </c>
      <c r="BO271" s="171">
        <v>2023</v>
      </c>
      <c r="BP271" s="171">
        <v>1</v>
      </c>
      <c r="BQ271" s="171">
        <v>19</v>
      </c>
      <c r="BS271" s="76" t="str">
        <f t="shared" si="8"/>
        <v>○</v>
      </c>
    </row>
    <row r="272" spans="1:71" x14ac:dyDescent="0.2">
      <c r="A272" s="210">
        <v>1464</v>
      </c>
      <c r="B272" s="211"/>
      <c r="C272" s="212"/>
      <c r="D272" s="211"/>
      <c r="E272" s="212"/>
      <c r="F272" s="211"/>
      <c r="G272" s="211"/>
      <c r="H272" s="212"/>
      <c r="I272" s="211"/>
      <c r="J272" s="211"/>
      <c r="K272" s="211"/>
      <c r="L272" s="171"/>
      <c r="M272" s="171" t="s">
        <v>658</v>
      </c>
      <c r="N272" s="171" t="s">
        <v>306</v>
      </c>
      <c r="O272" s="171" t="s">
        <v>565</v>
      </c>
      <c r="P272" s="171" t="s">
        <v>916</v>
      </c>
      <c r="Q272" s="171"/>
      <c r="R272" s="213">
        <v>217000</v>
      </c>
      <c r="S272" s="87">
        <v>0</v>
      </c>
      <c r="T272" s="87">
        <v>0</v>
      </c>
      <c r="U272" s="87">
        <v>0</v>
      </c>
      <c r="V272" s="87">
        <v>0</v>
      </c>
      <c r="W272" s="87">
        <v>0</v>
      </c>
      <c r="X272" s="87">
        <v>0</v>
      </c>
      <c r="Y272" s="87">
        <v>0</v>
      </c>
      <c r="Z272" s="87">
        <v>0</v>
      </c>
      <c r="AA272" s="214">
        <v>0</v>
      </c>
      <c r="AB272" s="214">
        <v>0</v>
      </c>
      <c r="AC272" s="214">
        <v>0</v>
      </c>
      <c r="AD272" s="214">
        <v>0</v>
      </c>
      <c r="AE272" s="214">
        <v>0</v>
      </c>
      <c r="AF272" s="214">
        <v>0</v>
      </c>
      <c r="AG272" s="214">
        <v>0</v>
      </c>
      <c r="AH272" s="214">
        <v>0</v>
      </c>
      <c r="AI272" s="87">
        <v>217274</v>
      </c>
      <c r="AJ272" s="87">
        <v>0</v>
      </c>
      <c r="AK272" s="87">
        <v>217274</v>
      </c>
      <c r="AL272" s="87">
        <v>217274</v>
      </c>
      <c r="AM272" s="87">
        <v>5140800</v>
      </c>
      <c r="AN272" s="87">
        <v>217274</v>
      </c>
      <c r="AO272" s="87">
        <v>217274</v>
      </c>
      <c r="AP272" s="87">
        <v>217000</v>
      </c>
      <c r="AQ272" s="88">
        <v>0</v>
      </c>
      <c r="AR272" s="88">
        <v>0</v>
      </c>
      <c r="AS272" s="88">
        <v>0</v>
      </c>
      <c r="AT272" s="88">
        <v>0</v>
      </c>
      <c r="AU272" s="88">
        <v>0</v>
      </c>
      <c r="AV272" s="88">
        <v>0</v>
      </c>
      <c r="AW272" s="88">
        <v>0</v>
      </c>
      <c r="AX272" s="88">
        <v>0</v>
      </c>
      <c r="AY272" s="87">
        <v>0</v>
      </c>
      <c r="AZ272" s="87">
        <v>0</v>
      </c>
      <c r="BA272" s="87">
        <v>0</v>
      </c>
      <c r="BB272" s="87">
        <v>0</v>
      </c>
      <c r="BC272" s="87">
        <v>0</v>
      </c>
      <c r="BD272" s="87">
        <v>0</v>
      </c>
      <c r="BE272" s="87">
        <v>0</v>
      </c>
      <c r="BF272" s="87">
        <v>0</v>
      </c>
      <c r="BG272" s="88">
        <v>0</v>
      </c>
      <c r="BH272" s="88">
        <v>0</v>
      </c>
      <c r="BI272" s="88">
        <v>0</v>
      </c>
      <c r="BJ272" s="88">
        <v>0</v>
      </c>
      <c r="BK272" s="88">
        <v>0</v>
      </c>
      <c r="BL272" s="88">
        <v>0</v>
      </c>
      <c r="BM272" s="88">
        <v>0</v>
      </c>
      <c r="BN272" s="590">
        <v>0</v>
      </c>
      <c r="BO272" s="171">
        <v>2023</v>
      </c>
      <c r="BP272" s="171">
        <v>1</v>
      </c>
      <c r="BQ272" s="171">
        <v>19</v>
      </c>
      <c r="BS272" s="76" t="str">
        <f t="shared" si="8"/>
        <v>○</v>
      </c>
    </row>
    <row r="273" spans="1:71" x14ac:dyDescent="0.2">
      <c r="A273" s="210">
        <v>1465</v>
      </c>
      <c r="B273" s="211"/>
      <c r="C273" s="212"/>
      <c r="D273" s="211"/>
      <c r="E273" s="212"/>
      <c r="F273" s="211"/>
      <c r="G273" s="211"/>
      <c r="H273" s="212"/>
      <c r="I273" s="211"/>
      <c r="J273" s="211"/>
      <c r="K273" s="211"/>
      <c r="L273" s="171"/>
      <c r="M273" s="171" t="s">
        <v>340</v>
      </c>
      <c r="N273" s="171" t="s">
        <v>313</v>
      </c>
      <c r="O273" s="171" t="s">
        <v>341</v>
      </c>
      <c r="P273" s="171" t="s">
        <v>916</v>
      </c>
      <c r="Q273" s="171"/>
      <c r="R273" s="213">
        <v>591000</v>
      </c>
      <c r="S273" s="87">
        <v>0</v>
      </c>
      <c r="T273" s="87">
        <v>0</v>
      </c>
      <c r="U273" s="87">
        <v>0</v>
      </c>
      <c r="V273" s="87">
        <v>0</v>
      </c>
      <c r="W273" s="87">
        <v>0</v>
      </c>
      <c r="X273" s="87">
        <v>0</v>
      </c>
      <c r="Y273" s="87">
        <v>0</v>
      </c>
      <c r="Z273" s="87">
        <v>0</v>
      </c>
      <c r="AA273" s="214">
        <v>0</v>
      </c>
      <c r="AB273" s="214">
        <v>0</v>
      </c>
      <c r="AC273" s="214">
        <v>0</v>
      </c>
      <c r="AD273" s="214">
        <v>0</v>
      </c>
      <c r="AE273" s="214">
        <v>0</v>
      </c>
      <c r="AF273" s="214">
        <v>0</v>
      </c>
      <c r="AG273" s="214">
        <v>0</v>
      </c>
      <c r="AH273" s="214">
        <v>0</v>
      </c>
      <c r="AI273" s="87">
        <v>591250</v>
      </c>
      <c r="AJ273" s="87">
        <v>0</v>
      </c>
      <c r="AK273" s="87">
        <v>591250</v>
      </c>
      <c r="AL273" s="87">
        <v>591250</v>
      </c>
      <c r="AM273" s="87">
        <v>8856000</v>
      </c>
      <c r="AN273" s="87">
        <v>591250</v>
      </c>
      <c r="AO273" s="87">
        <v>591250</v>
      </c>
      <c r="AP273" s="87">
        <v>591000</v>
      </c>
      <c r="AQ273" s="88">
        <v>0</v>
      </c>
      <c r="AR273" s="88">
        <v>0</v>
      </c>
      <c r="AS273" s="88">
        <v>0</v>
      </c>
      <c r="AT273" s="88">
        <v>0</v>
      </c>
      <c r="AU273" s="88">
        <v>0</v>
      </c>
      <c r="AV273" s="88">
        <v>0</v>
      </c>
      <c r="AW273" s="88">
        <v>0</v>
      </c>
      <c r="AX273" s="88">
        <v>0</v>
      </c>
      <c r="AY273" s="87">
        <v>0</v>
      </c>
      <c r="AZ273" s="87">
        <v>0</v>
      </c>
      <c r="BA273" s="87">
        <v>0</v>
      </c>
      <c r="BB273" s="87">
        <v>0</v>
      </c>
      <c r="BC273" s="87">
        <v>0</v>
      </c>
      <c r="BD273" s="87">
        <v>0</v>
      </c>
      <c r="BE273" s="87">
        <v>0</v>
      </c>
      <c r="BF273" s="87">
        <v>0</v>
      </c>
      <c r="BG273" s="88">
        <v>0</v>
      </c>
      <c r="BH273" s="88">
        <v>0</v>
      </c>
      <c r="BI273" s="88">
        <v>0</v>
      </c>
      <c r="BJ273" s="88">
        <v>0</v>
      </c>
      <c r="BK273" s="88">
        <v>0</v>
      </c>
      <c r="BL273" s="88">
        <v>0</v>
      </c>
      <c r="BM273" s="88">
        <v>0</v>
      </c>
      <c r="BN273" s="590">
        <v>0</v>
      </c>
      <c r="BO273" s="171">
        <v>2023</v>
      </c>
      <c r="BP273" s="171">
        <v>1</v>
      </c>
      <c r="BQ273" s="171">
        <v>19</v>
      </c>
      <c r="BS273" s="76" t="str">
        <f t="shared" si="8"/>
        <v>○</v>
      </c>
    </row>
    <row r="274" spans="1:71" s="81" customFormat="1" x14ac:dyDescent="0.2">
      <c r="A274" s="210">
        <v>1466</v>
      </c>
      <c r="B274" s="211"/>
      <c r="C274" s="212"/>
      <c r="D274" s="211"/>
      <c r="E274" s="212"/>
      <c r="F274" s="211"/>
      <c r="G274" s="211"/>
      <c r="H274" s="212"/>
      <c r="I274" s="211"/>
      <c r="J274" s="211"/>
      <c r="K274" s="211"/>
      <c r="L274" s="171"/>
      <c r="M274" s="171" t="s">
        <v>659</v>
      </c>
      <c r="N274" s="171" t="s">
        <v>281</v>
      </c>
      <c r="O274" s="171" t="s">
        <v>660</v>
      </c>
      <c r="P274" s="171" t="s">
        <v>916</v>
      </c>
      <c r="Q274" s="171"/>
      <c r="R274" s="213">
        <v>487000</v>
      </c>
      <c r="S274" s="87">
        <v>0</v>
      </c>
      <c r="T274" s="87">
        <v>0</v>
      </c>
      <c r="U274" s="87">
        <v>0</v>
      </c>
      <c r="V274" s="87">
        <v>0</v>
      </c>
      <c r="W274" s="87">
        <v>0</v>
      </c>
      <c r="X274" s="87">
        <v>0</v>
      </c>
      <c r="Y274" s="87">
        <v>0</v>
      </c>
      <c r="Z274" s="87">
        <v>0</v>
      </c>
      <c r="AA274" s="214">
        <v>0</v>
      </c>
      <c r="AB274" s="214">
        <v>0</v>
      </c>
      <c r="AC274" s="214">
        <v>0</v>
      </c>
      <c r="AD274" s="214">
        <v>0</v>
      </c>
      <c r="AE274" s="214">
        <v>0</v>
      </c>
      <c r="AF274" s="214">
        <v>0</v>
      </c>
      <c r="AG274" s="214">
        <v>0</v>
      </c>
      <c r="AH274" s="214">
        <v>0</v>
      </c>
      <c r="AI274" s="87">
        <v>487554</v>
      </c>
      <c r="AJ274" s="87">
        <v>0</v>
      </c>
      <c r="AK274" s="87">
        <v>487554</v>
      </c>
      <c r="AL274" s="87">
        <v>487554</v>
      </c>
      <c r="AM274" s="87">
        <v>3528000</v>
      </c>
      <c r="AN274" s="87">
        <v>487554</v>
      </c>
      <c r="AO274" s="87">
        <v>487554</v>
      </c>
      <c r="AP274" s="87">
        <v>487000</v>
      </c>
      <c r="AQ274" s="88">
        <v>0</v>
      </c>
      <c r="AR274" s="88">
        <v>0</v>
      </c>
      <c r="AS274" s="88">
        <v>0</v>
      </c>
      <c r="AT274" s="88">
        <v>0</v>
      </c>
      <c r="AU274" s="88">
        <v>0</v>
      </c>
      <c r="AV274" s="88">
        <v>0</v>
      </c>
      <c r="AW274" s="88">
        <v>0</v>
      </c>
      <c r="AX274" s="88">
        <v>0</v>
      </c>
      <c r="AY274" s="87">
        <v>0</v>
      </c>
      <c r="AZ274" s="87">
        <v>0</v>
      </c>
      <c r="BA274" s="87">
        <v>0</v>
      </c>
      <c r="BB274" s="87">
        <v>0</v>
      </c>
      <c r="BC274" s="87">
        <v>0</v>
      </c>
      <c r="BD274" s="87">
        <v>0</v>
      </c>
      <c r="BE274" s="87">
        <v>0</v>
      </c>
      <c r="BF274" s="87">
        <v>0</v>
      </c>
      <c r="BG274" s="88">
        <v>0</v>
      </c>
      <c r="BH274" s="88">
        <v>0</v>
      </c>
      <c r="BI274" s="88">
        <v>0</v>
      </c>
      <c r="BJ274" s="88">
        <v>0</v>
      </c>
      <c r="BK274" s="88">
        <v>0</v>
      </c>
      <c r="BL274" s="88">
        <v>0</v>
      </c>
      <c r="BM274" s="88">
        <v>0</v>
      </c>
      <c r="BN274" s="590">
        <v>0</v>
      </c>
      <c r="BO274" s="171">
        <v>2023</v>
      </c>
      <c r="BP274" s="171">
        <v>1</v>
      </c>
      <c r="BQ274" s="171">
        <v>19</v>
      </c>
      <c r="BR274" s="77"/>
      <c r="BS274" s="76" t="str">
        <f t="shared" si="8"/>
        <v>○</v>
      </c>
    </row>
    <row r="275" spans="1:71" x14ac:dyDescent="0.2">
      <c r="A275" s="210">
        <v>1467</v>
      </c>
      <c r="B275" s="211"/>
      <c r="C275" s="212"/>
      <c r="D275" s="211"/>
      <c r="E275" s="212"/>
      <c r="F275" s="211"/>
      <c r="G275" s="211"/>
      <c r="H275" s="212"/>
      <c r="I275" s="211"/>
      <c r="J275" s="211"/>
      <c r="K275" s="211"/>
      <c r="L275" s="171"/>
      <c r="M275" s="171" t="s">
        <v>661</v>
      </c>
      <c r="N275" s="171" t="s">
        <v>373</v>
      </c>
      <c r="O275" s="171" t="s">
        <v>662</v>
      </c>
      <c r="P275" s="171" t="s">
        <v>916</v>
      </c>
      <c r="Q275" s="171"/>
      <c r="R275" s="213">
        <v>42000</v>
      </c>
      <c r="S275" s="87">
        <v>0</v>
      </c>
      <c r="T275" s="87">
        <v>0</v>
      </c>
      <c r="U275" s="87">
        <v>0</v>
      </c>
      <c r="V275" s="87">
        <v>0</v>
      </c>
      <c r="W275" s="87">
        <v>0</v>
      </c>
      <c r="X275" s="87">
        <v>0</v>
      </c>
      <c r="Y275" s="87">
        <v>0</v>
      </c>
      <c r="Z275" s="87">
        <v>0</v>
      </c>
      <c r="AA275" s="214">
        <v>0</v>
      </c>
      <c r="AB275" s="214">
        <v>0</v>
      </c>
      <c r="AC275" s="214">
        <v>0</v>
      </c>
      <c r="AD275" s="214">
        <v>0</v>
      </c>
      <c r="AE275" s="214">
        <v>0</v>
      </c>
      <c r="AF275" s="214">
        <v>0</v>
      </c>
      <c r="AG275" s="214">
        <v>0</v>
      </c>
      <c r="AH275" s="214">
        <v>0</v>
      </c>
      <c r="AI275" s="87">
        <v>42522</v>
      </c>
      <c r="AJ275" s="87">
        <v>0</v>
      </c>
      <c r="AK275" s="87">
        <v>42522</v>
      </c>
      <c r="AL275" s="87">
        <v>42522</v>
      </c>
      <c r="AM275" s="87">
        <v>864000</v>
      </c>
      <c r="AN275" s="87">
        <v>42522</v>
      </c>
      <c r="AO275" s="87">
        <v>42522</v>
      </c>
      <c r="AP275" s="87">
        <v>42000</v>
      </c>
      <c r="AQ275" s="88">
        <v>0</v>
      </c>
      <c r="AR275" s="88">
        <v>0</v>
      </c>
      <c r="AS275" s="88">
        <v>0</v>
      </c>
      <c r="AT275" s="88">
        <v>0</v>
      </c>
      <c r="AU275" s="88">
        <v>0</v>
      </c>
      <c r="AV275" s="88">
        <v>0</v>
      </c>
      <c r="AW275" s="88">
        <v>0</v>
      </c>
      <c r="AX275" s="88">
        <v>0</v>
      </c>
      <c r="AY275" s="87">
        <v>0</v>
      </c>
      <c r="AZ275" s="87">
        <v>0</v>
      </c>
      <c r="BA275" s="87">
        <v>0</v>
      </c>
      <c r="BB275" s="87">
        <v>0</v>
      </c>
      <c r="BC275" s="87">
        <v>0</v>
      </c>
      <c r="BD275" s="87">
        <v>0</v>
      </c>
      <c r="BE275" s="87">
        <v>0</v>
      </c>
      <c r="BF275" s="87">
        <v>0</v>
      </c>
      <c r="BG275" s="88">
        <v>0</v>
      </c>
      <c r="BH275" s="88">
        <v>0</v>
      </c>
      <c r="BI275" s="88">
        <v>0</v>
      </c>
      <c r="BJ275" s="88">
        <v>0</v>
      </c>
      <c r="BK275" s="88">
        <v>0</v>
      </c>
      <c r="BL275" s="88">
        <v>0</v>
      </c>
      <c r="BM275" s="88">
        <v>0</v>
      </c>
      <c r="BN275" s="590">
        <v>0</v>
      </c>
      <c r="BO275" s="171">
        <v>2023</v>
      </c>
      <c r="BP275" s="171">
        <v>1</v>
      </c>
      <c r="BQ275" s="171">
        <v>19</v>
      </c>
      <c r="BS275" s="76" t="str">
        <f t="shared" si="8"/>
        <v>○</v>
      </c>
    </row>
    <row r="276" spans="1:71" x14ac:dyDescent="0.2">
      <c r="A276" s="210">
        <v>1468</v>
      </c>
      <c r="B276" s="211"/>
      <c r="C276" s="212"/>
      <c r="D276" s="211"/>
      <c r="E276" s="212"/>
      <c r="F276" s="211"/>
      <c r="G276" s="211"/>
      <c r="H276" s="212"/>
      <c r="I276" s="211"/>
      <c r="J276" s="211"/>
      <c r="K276" s="211"/>
      <c r="L276" s="171"/>
      <c r="M276" s="171" t="s">
        <v>663</v>
      </c>
      <c r="N276" s="171" t="s">
        <v>269</v>
      </c>
      <c r="O276" s="171" t="s">
        <v>664</v>
      </c>
      <c r="P276" s="171" t="s">
        <v>916</v>
      </c>
      <c r="Q276" s="171"/>
      <c r="R276" s="213">
        <v>97000</v>
      </c>
      <c r="S276" s="87">
        <v>0</v>
      </c>
      <c r="T276" s="87">
        <v>0</v>
      </c>
      <c r="U276" s="87">
        <v>0</v>
      </c>
      <c r="V276" s="87">
        <v>0</v>
      </c>
      <c r="W276" s="87">
        <v>0</v>
      </c>
      <c r="X276" s="87">
        <v>0</v>
      </c>
      <c r="Y276" s="87">
        <v>0</v>
      </c>
      <c r="Z276" s="87">
        <v>0</v>
      </c>
      <c r="AA276" s="214">
        <v>0</v>
      </c>
      <c r="AB276" s="214">
        <v>0</v>
      </c>
      <c r="AC276" s="214">
        <v>0</v>
      </c>
      <c r="AD276" s="214">
        <v>0</v>
      </c>
      <c r="AE276" s="214">
        <v>0</v>
      </c>
      <c r="AF276" s="214">
        <v>0</v>
      </c>
      <c r="AG276" s="214">
        <v>0</v>
      </c>
      <c r="AH276" s="214">
        <v>0</v>
      </c>
      <c r="AI276" s="87">
        <v>97680</v>
      </c>
      <c r="AJ276" s="87">
        <v>0</v>
      </c>
      <c r="AK276" s="87">
        <v>97680</v>
      </c>
      <c r="AL276" s="87">
        <v>97680</v>
      </c>
      <c r="AM276" s="87">
        <v>2592000</v>
      </c>
      <c r="AN276" s="87">
        <v>97680</v>
      </c>
      <c r="AO276" s="87">
        <v>97680</v>
      </c>
      <c r="AP276" s="87">
        <v>97000</v>
      </c>
      <c r="AQ276" s="88">
        <v>0</v>
      </c>
      <c r="AR276" s="88">
        <v>0</v>
      </c>
      <c r="AS276" s="88">
        <v>0</v>
      </c>
      <c r="AT276" s="88">
        <v>0</v>
      </c>
      <c r="AU276" s="88">
        <v>0</v>
      </c>
      <c r="AV276" s="88">
        <v>0</v>
      </c>
      <c r="AW276" s="88">
        <v>0</v>
      </c>
      <c r="AX276" s="88">
        <v>0</v>
      </c>
      <c r="AY276" s="87">
        <v>0</v>
      </c>
      <c r="AZ276" s="87">
        <v>0</v>
      </c>
      <c r="BA276" s="87">
        <v>0</v>
      </c>
      <c r="BB276" s="87">
        <v>0</v>
      </c>
      <c r="BC276" s="87">
        <v>0</v>
      </c>
      <c r="BD276" s="87">
        <v>0</v>
      </c>
      <c r="BE276" s="87">
        <v>0</v>
      </c>
      <c r="BF276" s="87">
        <v>0</v>
      </c>
      <c r="BG276" s="88">
        <v>0</v>
      </c>
      <c r="BH276" s="88">
        <v>0</v>
      </c>
      <c r="BI276" s="88">
        <v>0</v>
      </c>
      <c r="BJ276" s="88">
        <v>0</v>
      </c>
      <c r="BK276" s="88">
        <v>0</v>
      </c>
      <c r="BL276" s="88">
        <v>0</v>
      </c>
      <c r="BM276" s="88">
        <v>0</v>
      </c>
      <c r="BN276" s="590">
        <v>0</v>
      </c>
      <c r="BO276" s="171">
        <v>2023</v>
      </c>
      <c r="BP276" s="171">
        <v>1</v>
      </c>
      <c r="BQ276" s="171">
        <v>19</v>
      </c>
      <c r="BR276" s="81"/>
      <c r="BS276" s="76" t="str">
        <f t="shared" si="8"/>
        <v>○</v>
      </c>
    </row>
    <row r="277" spans="1:71" x14ac:dyDescent="0.2">
      <c r="A277" s="210">
        <v>1469</v>
      </c>
      <c r="B277" s="211"/>
      <c r="C277" s="212"/>
      <c r="D277" s="211"/>
      <c r="E277" s="212"/>
      <c r="F277" s="211"/>
      <c r="G277" s="211"/>
      <c r="H277" s="212"/>
      <c r="I277" s="211"/>
      <c r="J277" s="211"/>
      <c r="K277" s="211"/>
      <c r="L277" s="171"/>
      <c r="M277" s="171" t="s">
        <v>665</v>
      </c>
      <c r="N277" s="171" t="s">
        <v>269</v>
      </c>
      <c r="O277" s="171" t="s">
        <v>666</v>
      </c>
      <c r="P277" s="171" t="s">
        <v>916</v>
      </c>
      <c r="Q277" s="171"/>
      <c r="R277" s="213">
        <v>1627000</v>
      </c>
      <c r="S277" s="87">
        <v>0</v>
      </c>
      <c r="T277" s="87">
        <v>0</v>
      </c>
      <c r="U277" s="87">
        <v>0</v>
      </c>
      <c r="V277" s="87">
        <v>0</v>
      </c>
      <c r="W277" s="87">
        <v>0</v>
      </c>
      <c r="X277" s="87">
        <v>0</v>
      </c>
      <c r="Y277" s="87">
        <v>0</v>
      </c>
      <c r="Z277" s="87">
        <v>0</v>
      </c>
      <c r="AA277" s="214">
        <v>0</v>
      </c>
      <c r="AB277" s="214">
        <v>0</v>
      </c>
      <c r="AC277" s="214">
        <v>0</v>
      </c>
      <c r="AD277" s="214">
        <v>0</v>
      </c>
      <c r="AE277" s="214">
        <v>0</v>
      </c>
      <c r="AF277" s="214">
        <v>0</v>
      </c>
      <c r="AG277" s="214">
        <v>0</v>
      </c>
      <c r="AH277" s="214">
        <v>0</v>
      </c>
      <c r="AI277" s="87">
        <v>1627750</v>
      </c>
      <c r="AJ277" s="87">
        <v>0</v>
      </c>
      <c r="AK277" s="87">
        <v>1627750</v>
      </c>
      <c r="AL277" s="87">
        <v>1627750</v>
      </c>
      <c r="AM277" s="87">
        <v>3132000</v>
      </c>
      <c r="AN277" s="87">
        <v>1627750</v>
      </c>
      <c r="AO277" s="87">
        <v>1627750</v>
      </c>
      <c r="AP277" s="87">
        <v>1627000</v>
      </c>
      <c r="AQ277" s="88">
        <v>0</v>
      </c>
      <c r="AR277" s="88">
        <v>0</v>
      </c>
      <c r="AS277" s="88">
        <v>0</v>
      </c>
      <c r="AT277" s="88">
        <v>0</v>
      </c>
      <c r="AU277" s="88">
        <v>0</v>
      </c>
      <c r="AV277" s="88">
        <v>0</v>
      </c>
      <c r="AW277" s="88">
        <v>0</v>
      </c>
      <c r="AX277" s="88">
        <v>0</v>
      </c>
      <c r="AY277" s="87">
        <v>0</v>
      </c>
      <c r="AZ277" s="87">
        <v>0</v>
      </c>
      <c r="BA277" s="87">
        <v>0</v>
      </c>
      <c r="BB277" s="87">
        <v>0</v>
      </c>
      <c r="BC277" s="87">
        <v>0</v>
      </c>
      <c r="BD277" s="87">
        <v>0</v>
      </c>
      <c r="BE277" s="87">
        <v>0</v>
      </c>
      <c r="BF277" s="87">
        <v>0</v>
      </c>
      <c r="BG277" s="88">
        <v>0</v>
      </c>
      <c r="BH277" s="88">
        <v>0</v>
      </c>
      <c r="BI277" s="88">
        <v>0</v>
      </c>
      <c r="BJ277" s="88">
        <v>0</v>
      </c>
      <c r="BK277" s="88">
        <v>0</v>
      </c>
      <c r="BL277" s="88">
        <v>0</v>
      </c>
      <c r="BM277" s="88">
        <v>0</v>
      </c>
      <c r="BN277" s="590">
        <v>0</v>
      </c>
      <c r="BO277" s="171">
        <v>2023</v>
      </c>
      <c r="BP277" s="171">
        <v>1</v>
      </c>
      <c r="BQ277" s="171">
        <v>19</v>
      </c>
      <c r="BS277" s="76" t="str">
        <f t="shared" si="8"/>
        <v>○</v>
      </c>
    </row>
    <row r="278" spans="1:71" x14ac:dyDescent="0.2">
      <c r="A278" s="210">
        <v>1471</v>
      </c>
      <c r="B278" s="211"/>
      <c r="C278" s="212"/>
      <c r="D278" s="211"/>
      <c r="E278" s="212"/>
      <c r="F278" s="211"/>
      <c r="G278" s="211"/>
      <c r="H278" s="212"/>
      <c r="I278" s="211"/>
      <c r="J278" s="211"/>
      <c r="K278" s="211"/>
      <c r="L278" s="171"/>
      <c r="M278" s="171" t="s">
        <v>667</v>
      </c>
      <c r="N278" s="171" t="s">
        <v>302</v>
      </c>
      <c r="O278" s="171" t="s">
        <v>668</v>
      </c>
      <c r="P278" s="171" t="s">
        <v>916</v>
      </c>
      <c r="Q278" s="171"/>
      <c r="R278" s="213">
        <v>156000</v>
      </c>
      <c r="S278" s="87">
        <v>0</v>
      </c>
      <c r="T278" s="87">
        <v>0</v>
      </c>
      <c r="U278" s="87">
        <v>0</v>
      </c>
      <c r="V278" s="87">
        <v>0</v>
      </c>
      <c r="W278" s="87">
        <v>0</v>
      </c>
      <c r="X278" s="87">
        <v>0</v>
      </c>
      <c r="Y278" s="87">
        <v>0</v>
      </c>
      <c r="Z278" s="87">
        <v>0</v>
      </c>
      <c r="AA278" s="214">
        <v>0</v>
      </c>
      <c r="AB278" s="214">
        <v>0</v>
      </c>
      <c r="AC278" s="214">
        <v>0</v>
      </c>
      <c r="AD278" s="214">
        <v>0</v>
      </c>
      <c r="AE278" s="214">
        <v>0</v>
      </c>
      <c r="AF278" s="214">
        <v>0</v>
      </c>
      <c r="AG278" s="214">
        <v>0</v>
      </c>
      <c r="AH278" s="214">
        <v>0</v>
      </c>
      <c r="AI278" s="87">
        <v>156354</v>
      </c>
      <c r="AJ278" s="87">
        <v>0</v>
      </c>
      <c r="AK278" s="87">
        <v>156354</v>
      </c>
      <c r="AL278" s="87">
        <v>156354</v>
      </c>
      <c r="AM278" s="87">
        <v>3074400</v>
      </c>
      <c r="AN278" s="87">
        <v>156354</v>
      </c>
      <c r="AO278" s="87">
        <v>156354</v>
      </c>
      <c r="AP278" s="87">
        <v>156000</v>
      </c>
      <c r="AQ278" s="88">
        <v>0</v>
      </c>
      <c r="AR278" s="88">
        <v>0</v>
      </c>
      <c r="AS278" s="88">
        <v>0</v>
      </c>
      <c r="AT278" s="88">
        <v>0</v>
      </c>
      <c r="AU278" s="88">
        <v>0</v>
      </c>
      <c r="AV278" s="88">
        <v>0</v>
      </c>
      <c r="AW278" s="88">
        <v>0</v>
      </c>
      <c r="AX278" s="88">
        <v>0</v>
      </c>
      <c r="AY278" s="87">
        <v>0</v>
      </c>
      <c r="AZ278" s="87">
        <v>0</v>
      </c>
      <c r="BA278" s="87">
        <v>0</v>
      </c>
      <c r="BB278" s="87">
        <v>0</v>
      </c>
      <c r="BC278" s="87">
        <v>0</v>
      </c>
      <c r="BD278" s="87">
        <v>0</v>
      </c>
      <c r="BE278" s="87">
        <v>0</v>
      </c>
      <c r="BF278" s="87">
        <v>0</v>
      </c>
      <c r="BG278" s="88">
        <v>0</v>
      </c>
      <c r="BH278" s="88">
        <v>0</v>
      </c>
      <c r="BI278" s="88">
        <v>0</v>
      </c>
      <c r="BJ278" s="88">
        <v>0</v>
      </c>
      <c r="BK278" s="88">
        <v>0</v>
      </c>
      <c r="BL278" s="88">
        <v>0</v>
      </c>
      <c r="BM278" s="88">
        <v>0</v>
      </c>
      <c r="BN278" s="590">
        <v>0</v>
      </c>
      <c r="BO278" s="171">
        <v>2023</v>
      </c>
      <c r="BP278" s="171">
        <v>1</v>
      </c>
      <c r="BQ278" s="171">
        <v>19</v>
      </c>
      <c r="BS278" s="76" t="str">
        <f t="shared" si="8"/>
        <v>○</v>
      </c>
    </row>
    <row r="279" spans="1:71" x14ac:dyDescent="0.2">
      <c r="A279" s="210">
        <v>1472</v>
      </c>
      <c r="B279" s="211"/>
      <c r="C279" s="212"/>
      <c r="D279" s="211"/>
      <c r="E279" s="212"/>
      <c r="F279" s="211"/>
      <c r="G279" s="211"/>
      <c r="H279" s="212"/>
      <c r="I279" s="211"/>
      <c r="J279" s="211"/>
      <c r="K279" s="211"/>
      <c r="L279" s="171"/>
      <c r="M279" s="171" t="s">
        <v>669</v>
      </c>
      <c r="N279" s="171" t="s">
        <v>269</v>
      </c>
      <c r="O279" s="171" t="s">
        <v>509</v>
      </c>
      <c r="P279" s="171" t="s">
        <v>916</v>
      </c>
      <c r="Q279" s="171"/>
      <c r="R279" s="213">
        <v>1204000</v>
      </c>
      <c r="S279" s="87">
        <v>0</v>
      </c>
      <c r="T279" s="87">
        <v>0</v>
      </c>
      <c r="U279" s="87">
        <v>0</v>
      </c>
      <c r="V279" s="87">
        <v>0</v>
      </c>
      <c r="W279" s="87">
        <v>0</v>
      </c>
      <c r="X279" s="87">
        <v>0</v>
      </c>
      <c r="Y279" s="87">
        <v>0</v>
      </c>
      <c r="Z279" s="87">
        <v>0</v>
      </c>
      <c r="AA279" s="214">
        <v>0</v>
      </c>
      <c r="AB279" s="214">
        <v>0</v>
      </c>
      <c r="AC279" s="214">
        <v>0</v>
      </c>
      <c r="AD279" s="214">
        <v>0</v>
      </c>
      <c r="AE279" s="214">
        <v>0</v>
      </c>
      <c r="AF279" s="214">
        <v>0</v>
      </c>
      <c r="AG279" s="214">
        <v>0</v>
      </c>
      <c r="AH279" s="214">
        <v>0</v>
      </c>
      <c r="AI279" s="87">
        <v>1204170</v>
      </c>
      <c r="AJ279" s="87">
        <v>0</v>
      </c>
      <c r="AK279" s="87">
        <v>1204170</v>
      </c>
      <c r="AL279" s="87">
        <v>1204170</v>
      </c>
      <c r="AM279" s="87">
        <v>2059200</v>
      </c>
      <c r="AN279" s="87">
        <v>1204170</v>
      </c>
      <c r="AO279" s="87">
        <v>1204170</v>
      </c>
      <c r="AP279" s="87">
        <v>1204000</v>
      </c>
      <c r="AQ279" s="88">
        <v>0</v>
      </c>
      <c r="AR279" s="88">
        <v>0</v>
      </c>
      <c r="AS279" s="88">
        <v>0</v>
      </c>
      <c r="AT279" s="88">
        <v>0</v>
      </c>
      <c r="AU279" s="88">
        <v>0</v>
      </c>
      <c r="AV279" s="88">
        <v>0</v>
      </c>
      <c r="AW279" s="88">
        <v>0</v>
      </c>
      <c r="AX279" s="88">
        <v>0</v>
      </c>
      <c r="AY279" s="87">
        <v>0</v>
      </c>
      <c r="AZ279" s="87">
        <v>0</v>
      </c>
      <c r="BA279" s="87">
        <v>0</v>
      </c>
      <c r="BB279" s="87">
        <v>0</v>
      </c>
      <c r="BC279" s="87">
        <v>0</v>
      </c>
      <c r="BD279" s="87">
        <v>0</v>
      </c>
      <c r="BE279" s="87">
        <v>0</v>
      </c>
      <c r="BF279" s="87">
        <v>0</v>
      </c>
      <c r="BG279" s="88">
        <v>0</v>
      </c>
      <c r="BH279" s="88">
        <v>0</v>
      </c>
      <c r="BI279" s="88">
        <v>0</v>
      </c>
      <c r="BJ279" s="88">
        <v>0</v>
      </c>
      <c r="BK279" s="88">
        <v>0</v>
      </c>
      <c r="BL279" s="88">
        <v>0</v>
      </c>
      <c r="BM279" s="88">
        <v>0</v>
      </c>
      <c r="BN279" s="590">
        <v>0</v>
      </c>
      <c r="BO279" s="171">
        <v>2023</v>
      </c>
      <c r="BP279" s="171">
        <v>1</v>
      </c>
      <c r="BQ279" s="171">
        <v>19</v>
      </c>
      <c r="BS279" s="76" t="str">
        <f t="shared" si="8"/>
        <v>○</v>
      </c>
    </row>
    <row r="280" spans="1:71" s="81" customFormat="1" x14ac:dyDescent="0.2">
      <c r="A280" s="210">
        <v>1473</v>
      </c>
      <c r="B280" s="211"/>
      <c r="C280" s="212"/>
      <c r="D280" s="211"/>
      <c r="E280" s="212"/>
      <c r="F280" s="211"/>
      <c r="G280" s="211"/>
      <c r="H280" s="212"/>
      <c r="I280" s="211"/>
      <c r="J280" s="211"/>
      <c r="K280" s="211"/>
      <c r="L280" s="171"/>
      <c r="M280" s="171" t="s">
        <v>277</v>
      </c>
      <c r="N280" s="171" t="s">
        <v>278</v>
      </c>
      <c r="O280" s="171" t="s">
        <v>279</v>
      </c>
      <c r="P280" s="171" t="s">
        <v>916</v>
      </c>
      <c r="Q280" s="171"/>
      <c r="R280" s="213">
        <v>221000</v>
      </c>
      <c r="S280" s="87">
        <v>0</v>
      </c>
      <c r="T280" s="87">
        <v>0</v>
      </c>
      <c r="U280" s="87">
        <v>0</v>
      </c>
      <c r="V280" s="87">
        <v>0</v>
      </c>
      <c r="W280" s="87">
        <v>0</v>
      </c>
      <c r="X280" s="87">
        <v>0</v>
      </c>
      <c r="Y280" s="87">
        <v>0</v>
      </c>
      <c r="Z280" s="87">
        <v>0</v>
      </c>
      <c r="AA280" s="214">
        <v>0</v>
      </c>
      <c r="AB280" s="214">
        <v>0</v>
      </c>
      <c r="AC280" s="214">
        <v>0</v>
      </c>
      <c r="AD280" s="214">
        <v>0</v>
      </c>
      <c r="AE280" s="214">
        <v>0</v>
      </c>
      <c r="AF280" s="214">
        <v>0</v>
      </c>
      <c r="AG280" s="214">
        <v>0</v>
      </c>
      <c r="AH280" s="214">
        <v>0</v>
      </c>
      <c r="AI280" s="87">
        <v>221600</v>
      </c>
      <c r="AJ280" s="87">
        <v>0</v>
      </c>
      <c r="AK280" s="87">
        <v>221600</v>
      </c>
      <c r="AL280" s="87">
        <v>221600</v>
      </c>
      <c r="AM280" s="87">
        <v>1656000</v>
      </c>
      <c r="AN280" s="87">
        <v>221600</v>
      </c>
      <c r="AO280" s="87">
        <v>221600</v>
      </c>
      <c r="AP280" s="87">
        <v>221000</v>
      </c>
      <c r="AQ280" s="88">
        <v>0</v>
      </c>
      <c r="AR280" s="88">
        <v>0</v>
      </c>
      <c r="AS280" s="88">
        <v>0</v>
      </c>
      <c r="AT280" s="88">
        <v>0</v>
      </c>
      <c r="AU280" s="88">
        <v>0</v>
      </c>
      <c r="AV280" s="88">
        <v>0</v>
      </c>
      <c r="AW280" s="88">
        <v>0</v>
      </c>
      <c r="AX280" s="88">
        <v>0</v>
      </c>
      <c r="AY280" s="87">
        <v>0</v>
      </c>
      <c r="AZ280" s="87">
        <v>0</v>
      </c>
      <c r="BA280" s="87">
        <v>0</v>
      </c>
      <c r="BB280" s="87">
        <v>0</v>
      </c>
      <c r="BC280" s="87">
        <v>0</v>
      </c>
      <c r="BD280" s="87">
        <v>0</v>
      </c>
      <c r="BE280" s="87">
        <v>0</v>
      </c>
      <c r="BF280" s="87">
        <v>0</v>
      </c>
      <c r="BG280" s="88">
        <v>0</v>
      </c>
      <c r="BH280" s="88">
        <v>0</v>
      </c>
      <c r="BI280" s="88">
        <v>0</v>
      </c>
      <c r="BJ280" s="88">
        <v>0</v>
      </c>
      <c r="BK280" s="88">
        <v>0</v>
      </c>
      <c r="BL280" s="88">
        <v>0</v>
      </c>
      <c r="BM280" s="88">
        <v>0</v>
      </c>
      <c r="BN280" s="590">
        <v>0</v>
      </c>
      <c r="BO280" s="171">
        <v>2023</v>
      </c>
      <c r="BP280" s="171">
        <v>1</v>
      </c>
      <c r="BQ280" s="171">
        <v>19</v>
      </c>
      <c r="BR280" s="77"/>
      <c r="BS280" s="76" t="str">
        <f t="shared" si="8"/>
        <v>○</v>
      </c>
    </row>
    <row r="281" spans="1:71" x14ac:dyDescent="0.2">
      <c r="A281" s="210">
        <v>1474</v>
      </c>
      <c r="B281" s="211"/>
      <c r="C281" s="212"/>
      <c r="D281" s="211"/>
      <c r="E281" s="212"/>
      <c r="F281" s="211"/>
      <c r="G281" s="211"/>
      <c r="H281" s="212"/>
      <c r="I281" s="211"/>
      <c r="J281" s="211"/>
      <c r="K281" s="211"/>
      <c r="L281" s="171"/>
      <c r="M281" s="171" t="s">
        <v>670</v>
      </c>
      <c r="N281" s="171" t="s">
        <v>313</v>
      </c>
      <c r="O281" s="171" t="s">
        <v>337</v>
      </c>
      <c r="P281" s="171" t="s">
        <v>916</v>
      </c>
      <c r="Q281" s="171"/>
      <c r="R281" s="213">
        <v>1102000</v>
      </c>
      <c r="S281" s="87">
        <v>0</v>
      </c>
      <c r="T281" s="87">
        <v>0</v>
      </c>
      <c r="U281" s="87">
        <v>0</v>
      </c>
      <c r="V281" s="87">
        <v>0</v>
      </c>
      <c r="W281" s="87">
        <v>0</v>
      </c>
      <c r="X281" s="87">
        <v>0</v>
      </c>
      <c r="Y281" s="87">
        <v>0</v>
      </c>
      <c r="Z281" s="87">
        <v>0</v>
      </c>
      <c r="AA281" s="214">
        <v>0</v>
      </c>
      <c r="AB281" s="214">
        <v>0</v>
      </c>
      <c r="AC281" s="214">
        <v>0</v>
      </c>
      <c r="AD281" s="214">
        <v>0</v>
      </c>
      <c r="AE281" s="214">
        <v>0</v>
      </c>
      <c r="AF281" s="214">
        <v>0</v>
      </c>
      <c r="AG281" s="214">
        <v>0</v>
      </c>
      <c r="AH281" s="214">
        <v>0</v>
      </c>
      <c r="AI281" s="87">
        <v>1102892</v>
      </c>
      <c r="AJ281" s="87">
        <v>0</v>
      </c>
      <c r="AK281" s="87">
        <v>1102892</v>
      </c>
      <c r="AL281" s="87">
        <v>1102892</v>
      </c>
      <c r="AM281" s="87">
        <v>2808000</v>
      </c>
      <c r="AN281" s="87">
        <v>1102892</v>
      </c>
      <c r="AO281" s="87">
        <v>1102892</v>
      </c>
      <c r="AP281" s="87">
        <v>1102000</v>
      </c>
      <c r="AQ281" s="88">
        <v>0</v>
      </c>
      <c r="AR281" s="88">
        <v>0</v>
      </c>
      <c r="AS281" s="88">
        <v>0</v>
      </c>
      <c r="AT281" s="88">
        <v>0</v>
      </c>
      <c r="AU281" s="88">
        <v>0</v>
      </c>
      <c r="AV281" s="88">
        <v>0</v>
      </c>
      <c r="AW281" s="88">
        <v>0</v>
      </c>
      <c r="AX281" s="88">
        <v>0</v>
      </c>
      <c r="AY281" s="87">
        <v>0</v>
      </c>
      <c r="AZ281" s="87">
        <v>0</v>
      </c>
      <c r="BA281" s="87">
        <v>0</v>
      </c>
      <c r="BB281" s="87">
        <v>0</v>
      </c>
      <c r="BC281" s="87">
        <v>0</v>
      </c>
      <c r="BD281" s="87">
        <v>0</v>
      </c>
      <c r="BE281" s="87">
        <v>0</v>
      </c>
      <c r="BF281" s="87">
        <v>0</v>
      </c>
      <c r="BG281" s="88">
        <v>0</v>
      </c>
      <c r="BH281" s="88">
        <v>0</v>
      </c>
      <c r="BI281" s="88">
        <v>0</v>
      </c>
      <c r="BJ281" s="88">
        <v>0</v>
      </c>
      <c r="BK281" s="88">
        <v>0</v>
      </c>
      <c r="BL281" s="88">
        <v>0</v>
      </c>
      <c r="BM281" s="88">
        <v>0</v>
      </c>
      <c r="BN281" s="590">
        <v>0</v>
      </c>
      <c r="BO281" s="171">
        <v>2023</v>
      </c>
      <c r="BP281" s="171">
        <v>1</v>
      </c>
      <c r="BQ281" s="171">
        <v>19</v>
      </c>
      <c r="BS281" s="76" t="str">
        <f t="shared" si="8"/>
        <v>○</v>
      </c>
    </row>
    <row r="282" spans="1:71" x14ac:dyDescent="0.2">
      <c r="A282" s="210">
        <v>1475</v>
      </c>
      <c r="B282" s="211"/>
      <c r="C282" s="212"/>
      <c r="D282" s="211"/>
      <c r="E282" s="212"/>
      <c r="F282" s="211"/>
      <c r="G282" s="211"/>
      <c r="H282" s="212"/>
      <c r="I282" s="211"/>
      <c r="J282" s="211"/>
      <c r="K282" s="211"/>
      <c r="L282" s="171"/>
      <c r="M282" s="171">
        <v>1530038</v>
      </c>
      <c r="N282" s="171" t="s">
        <v>299</v>
      </c>
      <c r="O282" s="171" t="s">
        <v>304</v>
      </c>
      <c r="P282" s="171" t="s">
        <v>916</v>
      </c>
      <c r="Q282" s="171"/>
      <c r="R282" s="213">
        <v>239000</v>
      </c>
      <c r="S282" s="87">
        <v>0</v>
      </c>
      <c r="T282" s="87">
        <v>0</v>
      </c>
      <c r="U282" s="87">
        <v>0</v>
      </c>
      <c r="V282" s="87">
        <v>0</v>
      </c>
      <c r="W282" s="87">
        <v>0</v>
      </c>
      <c r="X282" s="87">
        <v>0</v>
      </c>
      <c r="Y282" s="87">
        <v>0</v>
      </c>
      <c r="Z282" s="87">
        <v>0</v>
      </c>
      <c r="AA282" s="214">
        <v>0</v>
      </c>
      <c r="AB282" s="214">
        <v>0</v>
      </c>
      <c r="AC282" s="214">
        <v>0</v>
      </c>
      <c r="AD282" s="214">
        <v>0</v>
      </c>
      <c r="AE282" s="214">
        <v>0</v>
      </c>
      <c r="AF282" s="214">
        <v>0</v>
      </c>
      <c r="AG282" s="214">
        <v>0</v>
      </c>
      <c r="AH282" s="214">
        <v>0</v>
      </c>
      <c r="AI282" s="87">
        <v>239250</v>
      </c>
      <c r="AJ282" s="87">
        <v>0</v>
      </c>
      <c r="AK282" s="87">
        <v>239250</v>
      </c>
      <c r="AL282" s="87">
        <v>239250</v>
      </c>
      <c r="AM282" s="87">
        <v>864000</v>
      </c>
      <c r="AN282" s="87">
        <v>239250</v>
      </c>
      <c r="AO282" s="87">
        <v>239250</v>
      </c>
      <c r="AP282" s="87">
        <v>239000</v>
      </c>
      <c r="AQ282" s="88">
        <v>0</v>
      </c>
      <c r="AR282" s="88">
        <v>0</v>
      </c>
      <c r="AS282" s="88">
        <v>0</v>
      </c>
      <c r="AT282" s="88">
        <v>0</v>
      </c>
      <c r="AU282" s="88">
        <v>0</v>
      </c>
      <c r="AV282" s="88">
        <v>0</v>
      </c>
      <c r="AW282" s="88">
        <v>0</v>
      </c>
      <c r="AX282" s="88">
        <v>0</v>
      </c>
      <c r="AY282" s="87">
        <v>0</v>
      </c>
      <c r="AZ282" s="87">
        <v>0</v>
      </c>
      <c r="BA282" s="87">
        <v>0</v>
      </c>
      <c r="BB282" s="87">
        <v>0</v>
      </c>
      <c r="BC282" s="87">
        <v>0</v>
      </c>
      <c r="BD282" s="87">
        <v>0</v>
      </c>
      <c r="BE282" s="87">
        <v>0</v>
      </c>
      <c r="BF282" s="87">
        <v>0</v>
      </c>
      <c r="BG282" s="88">
        <v>0</v>
      </c>
      <c r="BH282" s="88">
        <v>0</v>
      </c>
      <c r="BI282" s="88">
        <v>0</v>
      </c>
      <c r="BJ282" s="88">
        <v>0</v>
      </c>
      <c r="BK282" s="88">
        <v>0</v>
      </c>
      <c r="BL282" s="88">
        <v>0</v>
      </c>
      <c r="BM282" s="88">
        <v>0</v>
      </c>
      <c r="BN282" s="590">
        <v>0</v>
      </c>
      <c r="BO282" s="171">
        <v>2023</v>
      </c>
      <c r="BP282" s="171">
        <v>1</v>
      </c>
      <c r="BQ282" s="171">
        <v>19</v>
      </c>
      <c r="BR282" s="81"/>
      <c r="BS282" s="76" t="str">
        <f t="shared" si="8"/>
        <v>○</v>
      </c>
    </row>
    <row r="283" spans="1:71" x14ac:dyDescent="0.2">
      <c r="A283" s="210">
        <v>1476</v>
      </c>
      <c r="B283" s="211"/>
      <c r="C283" s="212"/>
      <c r="D283" s="211"/>
      <c r="E283" s="212"/>
      <c r="F283" s="211"/>
      <c r="G283" s="211"/>
      <c r="H283" s="212"/>
      <c r="I283" s="211"/>
      <c r="J283" s="211"/>
      <c r="K283" s="211"/>
      <c r="L283" s="171"/>
      <c r="M283" s="171">
        <v>1554044</v>
      </c>
      <c r="N283" s="171" t="s">
        <v>393</v>
      </c>
      <c r="O283" s="171" t="s">
        <v>671</v>
      </c>
      <c r="P283" s="171" t="s">
        <v>916</v>
      </c>
      <c r="Q283" s="171"/>
      <c r="R283" s="213">
        <v>121000</v>
      </c>
      <c r="S283" s="87">
        <v>0</v>
      </c>
      <c r="T283" s="87">
        <v>0</v>
      </c>
      <c r="U283" s="87">
        <v>0</v>
      </c>
      <c r="V283" s="87">
        <v>0</v>
      </c>
      <c r="W283" s="87">
        <v>0</v>
      </c>
      <c r="X283" s="87">
        <v>0</v>
      </c>
      <c r="Y283" s="87">
        <v>0</v>
      </c>
      <c r="Z283" s="87">
        <v>0</v>
      </c>
      <c r="AA283" s="214">
        <v>0</v>
      </c>
      <c r="AB283" s="214">
        <v>0</v>
      </c>
      <c r="AC283" s="214">
        <v>0</v>
      </c>
      <c r="AD283" s="214">
        <v>0</v>
      </c>
      <c r="AE283" s="214">
        <v>0</v>
      </c>
      <c r="AF283" s="214">
        <v>0</v>
      </c>
      <c r="AG283" s="214">
        <v>0</v>
      </c>
      <c r="AH283" s="214">
        <v>0</v>
      </c>
      <c r="AI283" s="87">
        <v>121956</v>
      </c>
      <c r="AJ283" s="87">
        <v>0</v>
      </c>
      <c r="AK283" s="87">
        <v>121956</v>
      </c>
      <c r="AL283" s="87">
        <v>121956</v>
      </c>
      <c r="AM283" s="87">
        <v>4320000</v>
      </c>
      <c r="AN283" s="87">
        <v>121956</v>
      </c>
      <c r="AO283" s="87">
        <v>121956</v>
      </c>
      <c r="AP283" s="87">
        <v>121000</v>
      </c>
      <c r="AQ283" s="88">
        <v>0</v>
      </c>
      <c r="AR283" s="88">
        <v>0</v>
      </c>
      <c r="AS283" s="88">
        <v>0</v>
      </c>
      <c r="AT283" s="88">
        <v>0</v>
      </c>
      <c r="AU283" s="88">
        <v>0</v>
      </c>
      <c r="AV283" s="88">
        <v>0</v>
      </c>
      <c r="AW283" s="88">
        <v>0</v>
      </c>
      <c r="AX283" s="88">
        <v>0</v>
      </c>
      <c r="AY283" s="87">
        <v>0</v>
      </c>
      <c r="AZ283" s="87">
        <v>0</v>
      </c>
      <c r="BA283" s="87">
        <v>0</v>
      </c>
      <c r="BB283" s="87">
        <v>0</v>
      </c>
      <c r="BC283" s="87">
        <v>0</v>
      </c>
      <c r="BD283" s="87">
        <v>0</v>
      </c>
      <c r="BE283" s="87">
        <v>0</v>
      </c>
      <c r="BF283" s="87">
        <v>0</v>
      </c>
      <c r="BG283" s="88">
        <v>0</v>
      </c>
      <c r="BH283" s="88">
        <v>0</v>
      </c>
      <c r="BI283" s="88">
        <v>0</v>
      </c>
      <c r="BJ283" s="88">
        <v>0</v>
      </c>
      <c r="BK283" s="88">
        <v>0</v>
      </c>
      <c r="BL283" s="88">
        <v>0</v>
      </c>
      <c r="BM283" s="88">
        <v>0</v>
      </c>
      <c r="BN283" s="590">
        <v>0</v>
      </c>
      <c r="BO283" s="171">
        <v>2023</v>
      </c>
      <c r="BP283" s="171">
        <v>1</v>
      </c>
      <c r="BQ283" s="171">
        <v>19</v>
      </c>
      <c r="BS283" s="76" t="str">
        <f t="shared" si="8"/>
        <v>○</v>
      </c>
    </row>
    <row r="284" spans="1:71" x14ac:dyDescent="0.2">
      <c r="A284" s="210">
        <v>1477</v>
      </c>
      <c r="B284" s="211"/>
      <c r="C284" s="212"/>
      <c r="D284" s="211"/>
      <c r="E284" s="212"/>
      <c r="F284" s="211"/>
      <c r="G284" s="211"/>
      <c r="H284" s="212"/>
      <c r="I284" s="211"/>
      <c r="J284" s="211"/>
      <c r="K284" s="211"/>
      <c r="L284" s="171"/>
      <c r="M284" s="171" t="s">
        <v>672</v>
      </c>
      <c r="N284" s="171" t="s">
        <v>306</v>
      </c>
      <c r="O284" s="171" t="s">
        <v>410</v>
      </c>
      <c r="P284" s="171" t="s">
        <v>916</v>
      </c>
      <c r="Q284" s="75"/>
      <c r="R284" s="213">
        <v>288000</v>
      </c>
      <c r="S284" s="87">
        <v>0</v>
      </c>
      <c r="T284" s="87">
        <v>0</v>
      </c>
      <c r="U284" s="87">
        <v>0</v>
      </c>
      <c r="V284" s="87">
        <v>0</v>
      </c>
      <c r="W284" s="87">
        <v>0</v>
      </c>
      <c r="X284" s="87">
        <v>0</v>
      </c>
      <c r="Y284" s="87">
        <v>0</v>
      </c>
      <c r="Z284" s="87">
        <v>0</v>
      </c>
      <c r="AA284" s="214">
        <v>0</v>
      </c>
      <c r="AB284" s="214">
        <v>0</v>
      </c>
      <c r="AC284" s="214">
        <v>0</v>
      </c>
      <c r="AD284" s="214">
        <v>0</v>
      </c>
      <c r="AE284" s="214">
        <v>0</v>
      </c>
      <c r="AF284" s="214">
        <v>0</v>
      </c>
      <c r="AG284" s="214">
        <v>0</v>
      </c>
      <c r="AH284" s="214">
        <v>0</v>
      </c>
      <c r="AI284" s="87">
        <v>288592</v>
      </c>
      <c r="AJ284" s="87">
        <v>0</v>
      </c>
      <c r="AK284" s="87">
        <v>288592</v>
      </c>
      <c r="AL284" s="87">
        <v>288592</v>
      </c>
      <c r="AM284" s="87">
        <v>1713600</v>
      </c>
      <c r="AN284" s="87">
        <v>288592</v>
      </c>
      <c r="AO284" s="87">
        <v>288592</v>
      </c>
      <c r="AP284" s="87">
        <v>288000</v>
      </c>
      <c r="AQ284" s="88">
        <v>0</v>
      </c>
      <c r="AR284" s="88">
        <v>0</v>
      </c>
      <c r="AS284" s="88">
        <v>0</v>
      </c>
      <c r="AT284" s="88">
        <v>0</v>
      </c>
      <c r="AU284" s="88">
        <v>0</v>
      </c>
      <c r="AV284" s="88">
        <v>0</v>
      </c>
      <c r="AW284" s="88">
        <v>0</v>
      </c>
      <c r="AX284" s="88">
        <v>0</v>
      </c>
      <c r="AY284" s="87">
        <v>0</v>
      </c>
      <c r="AZ284" s="87">
        <v>0</v>
      </c>
      <c r="BA284" s="87">
        <v>0</v>
      </c>
      <c r="BB284" s="87">
        <v>0</v>
      </c>
      <c r="BC284" s="87">
        <v>0</v>
      </c>
      <c r="BD284" s="87">
        <v>0</v>
      </c>
      <c r="BE284" s="87">
        <v>0</v>
      </c>
      <c r="BF284" s="87">
        <v>0</v>
      </c>
      <c r="BG284" s="88">
        <v>0</v>
      </c>
      <c r="BH284" s="88">
        <v>0</v>
      </c>
      <c r="BI284" s="88">
        <v>0</v>
      </c>
      <c r="BJ284" s="88">
        <v>0</v>
      </c>
      <c r="BK284" s="88">
        <v>0</v>
      </c>
      <c r="BL284" s="88">
        <v>0</v>
      </c>
      <c r="BM284" s="88">
        <v>0</v>
      </c>
      <c r="BN284" s="590">
        <v>0</v>
      </c>
      <c r="BO284" s="171">
        <v>2023</v>
      </c>
      <c r="BP284" s="171">
        <v>1</v>
      </c>
      <c r="BQ284" s="171">
        <v>19</v>
      </c>
      <c r="BS284" s="76" t="str">
        <f t="shared" si="8"/>
        <v>○</v>
      </c>
    </row>
    <row r="285" spans="1:71" x14ac:dyDescent="0.2">
      <c r="A285" s="210">
        <v>1479</v>
      </c>
      <c r="B285" s="211"/>
      <c r="C285" s="212"/>
      <c r="D285" s="211"/>
      <c r="E285" s="212"/>
      <c r="F285" s="211"/>
      <c r="G285" s="211"/>
      <c r="H285" s="212"/>
      <c r="I285" s="211"/>
      <c r="J285" s="211"/>
      <c r="K285" s="211"/>
      <c r="L285" s="171"/>
      <c r="M285" s="171" t="s">
        <v>673</v>
      </c>
      <c r="N285" s="171" t="s">
        <v>278</v>
      </c>
      <c r="O285" s="171" t="s">
        <v>674</v>
      </c>
      <c r="P285" s="171" t="s">
        <v>916</v>
      </c>
      <c r="Q285" s="171"/>
      <c r="R285" s="213">
        <v>98000</v>
      </c>
      <c r="S285" s="87">
        <v>0</v>
      </c>
      <c r="T285" s="87">
        <v>0</v>
      </c>
      <c r="U285" s="87">
        <v>0</v>
      </c>
      <c r="V285" s="87">
        <v>0</v>
      </c>
      <c r="W285" s="87">
        <v>0</v>
      </c>
      <c r="X285" s="87">
        <v>0</v>
      </c>
      <c r="Y285" s="87">
        <v>0</v>
      </c>
      <c r="Z285" s="87">
        <v>0</v>
      </c>
      <c r="AA285" s="214">
        <v>0</v>
      </c>
      <c r="AB285" s="214">
        <v>0</v>
      </c>
      <c r="AC285" s="214">
        <v>0</v>
      </c>
      <c r="AD285" s="214">
        <v>0</v>
      </c>
      <c r="AE285" s="214">
        <v>0</v>
      </c>
      <c r="AF285" s="214">
        <v>0</v>
      </c>
      <c r="AG285" s="214">
        <v>0</v>
      </c>
      <c r="AH285" s="214">
        <v>0</v>
      </c>
      <c r="AI285" s="87">
        <v>98230</v>
      </c>
      <c r="AJ285" s="87">
        <v>0</v>
      </c>
      <c r="AK285" s="87">
        <v>98230</v>
      </c>
      <c r="AL285" s="87">
        <v>98230</v>
      </c>
      <c r="AM285" s="87">
        <v>1296000</v>
      </c>
      <c r="AN285" s="87">
        <v>98230</v>
      </c>
      <c r="AO285" s="87">
        <v>98230</v>
      </c>
      <c r="AP285" s="87">
        <v>98000</v>
      </c>
      <c r="AQ285" s="88">
        <v>0</v>
      </c>
      <c r="AR285" s="88">
        <v>0</v>
      </c>
      <c r="AS285" s="88">
        <v>0</v>
      </c>
      <c r="AT285" s="88">
        <v>0</v>
      </c>
      <c r="AU285" s="88">
        <v>0</v>
      </c>
      <c r="AV285" s="88">
        <v>0</v>
      </c>
      <c r="AW285" s="88">
        <v>0</v>
      </c>
      <c r="AX285" s="88">
        <v>0</v>
      </c>
      <c r="AY285" s="87">
        <v>0</v>
      </c>
      <c r="AZ285" s="87">
        <v>0</v>
      </c>
      <c r="BA285" s="87">
        <v>0</v>
      </c>
      <c r="BB285" s="87">
        <v>0</v>
      </c>
      <c r="BC285" s="87">
        <v>0</v>
      </c>
      <c r="BD285" s="87">
        <v>0</v>
      </c>
      <c r="BE285" s="87">
        <v>0</v>
      </c>
      <c r="BF285" s="87">
        <v>0</v>
      </c>
      <c r="BG285" s="88">
        <v>0</v>
      </c>
      <c r="BH285" s="88">
        <v>0</v>
      </c>
      <c r="BI285" s="88">
        <v>0</v>
      </c>
      <c r="BJ285" s="88">
        <v>0</v>
      </c>
      <c r="BK285" s="88">
        <v>0</v>
      </c>
      <c r="BL285" s="88">
        <v>0</v>
      </c>
      <c r="BM285" s="88">
        <v>0</v>
      </c>
      <c r="BN285" s="590">
        <v>0</v>
      </c>
      <c r="BO285" s="171">
        <v>2023</v>
      </c>
      <c r="BP285" s="171">
        <v>1</v>
      </c>
      <c r="BQ285" s="171">
        <v>19</v>
      </c>
      <c r="BS285" s="76" t="str">
        <f t="shared" si="8"/>
        <v>○</v>
      </c>
    </row>
    <row r="286" spans="1:71" s="81" customFormat="1" x14ac:dyDescent="0.2">
      <c r="A286" s="210">
        <v>1480</v>
      </c>
      <c r="B286" s="211"/>
      <c r="C286" s="212"/>
      <c r="D286" s="211"/>
      <c r="E286" s="212"/>
      <c r="F286" s="211"/>
      <c r="G286" s="211"/>
      <c r="H286" s="212"/>
      <c r="I286" s="211"/>
      <c r="J286" s="211"/>
      <c r="K286" s="211"/>
      <c r="L286" s="171"/>
      <c r="M286" s="171" t="s">
        <v>370</v>
      </c>
      <c r="N286" s="171" t="s">
        <v>302</v>
      </c>
      <c r="O286" s="171" t="s">
        <v>371</v>
      </c>
      <c r="P286" s="171" t="s">
        <v>916</v>
      </c>
      <c r="Q286" s="75"/>
      <c r="R286" s="213">
        <v>264000</v>
      </c>
      <c r="S286" s="87">
        <v>0</v>
      </c>
      <c r="T286" s="87">
        <v>0</v>
      </c>
      <c r="U286" s="87">
        <v>0</v>
      </c>
      <c r="V286" s="87">
        <v>0</v>
      </c>
      <c r="W286" s="87">
        <v>0</v>
      </c>
      <c r="X286" s="87">
        <v>0</v>
      </c>
      <c r="Y286" s="87">
        <v>0</v>
      </c>
      <c r="Z286" s="87">
        <v>0</v>
      </c>
      <c r="AA286" s="214">
        <v>0</v>
      </c>
      <c r="AB286" s="214">
        <v>0</v>
      </c>
      <c r="AC286" s="214">
        <v>0</v>
      </c>
      <c r="AD286" s="214">
        <v>0</v>
      </c>
      <c r="AE286" s="214">
        <v>0</v>
      </c>
      <c r="AF286" s="214">
        <v>0</v>
      </c>
      <c r="AG286" s="214">
        <v>0</v>
      </c>
      <c r="AH286" s="214">
        <v>0</v>
      </c>
      <c r="AI286" s="87">
        <v>264365</v>
      </c>
      <c r="AJ286" s="87">
        <v>0</v>
      </c>
      <c r="AK286" s="87">
        <v>264365</v>
      </c>
      <c r="AL286" s="87">
        <v>264365</v>
      </c>
      <c r="AM286" s="87">
        <v>5472000</v>
      </c>
      <c r="AN286" s="87">
        <v>264365</v>
      </c>
      <c r="AO286" s="87">
        <v>264365</v>
      </c>
      <c r="AP286" s="87">
        <v>264000</v>
      </c>
      <c r="AQ286" s="88">
        <v>0</v>
      </c>
      <c r="AR286" s="88">
        <v>0</v>
      </c>
      <c r="AS286" s="88">
        <v>0</v>
      </c>
      <c r="AT286" s="88">
        <v>0</v>
      </c>
      <c r="AU286" s="88">
        <v>0</v>
      </c>
      <c r="AV286" s="88">
        <v>0</v>
      </c>
      <c r="AW286" s="88">
        <v>0</v>
      </c>
      <c r="AX286" s="88">
        <v>0</v>
      </c>
      <c r="AY286" s="87">
        <v>0</v>
      </c>
      <c r="AZ286" s="87">
        <v>0</v>
      </c>
      <c r="BA286" s="87">
        <v>0</v>
      </c>
      <c r="BB286" s="87">
        <v>0</v>
      </c>
      <c r="BC286" s="87">
        <v>0</v>
      </c>
      <c r="BD286" s="87">
        <v>0</v>
      </c>
      <c r="BE286" s="87">
        <v>0</v>
      </c>
      <c r="BF286" s="87">
        <v>0</v>
      </c>
      <c r="BG286" s="88">
        <v>0</v>
      </c>
      <c r="BH286" s="88">
        <v>0</v>
      </c>
      <c r="BI286" s="88">
        <v>0</v>
      </c>
      <c r="BJ286" s="88">
        <v>0</v>
      </c>
      <c r="BK286" s="88">
        <v>0</v>
      </c>
      <c r="BL286" s="88">
        <v>0</v>
      </c>
      <c r="BM286" s="88">
        <v>0</v>
      </c>
      <c r="BN286" s="590">
        <v>0</v>
      </c>
      <c r="BO286" s="171">
        <v>2023</v>
      </c>
      <c r="BP286" s="171">
        <v>1</v>
      </c>
      <c r="BQ286" s="171">
        <v>19</v>
      </c>
      <c r="BR286" s="77"/>
      <c r="BS286" s="76" t="str">
        <f t="shared" ref="BS286:BS317" si="9">IF(R286=SUM(Z286,AH286,AP286,BF286,BN286),"○","×")</f>
        <v>○</v>
      </c>
    </row>
    <row r="287" spans="1:71" x14ac:dyDescent="0.2">
      <c r="A287" s="210">
        <v>1481</v>
      </c>
      <c r="B287" s="211"/>
      <c r="C287" s="212"/>
      <c r="D287" s="211"/>
      <c r="E287" s="212"/>
      <c r="F287" s="211"/>
      <c r="G287" s="211"/>
      <c r="H287" s="212"/>
      <c r="I287" s="211"/>
      <c r="J287" s="211"/>
      <c r="K287" s="211"/>
      <c r="L287" s="171"/>
      <c r="M287" s="171" t="s">
        <v>675</v>
      </c>
      <c r="N287" s="171" t="s">
        <v>373</v>
      </c>
      <c r="O287" s="171" t="s">
        <v>676</v>
      </c>
      <c r="P287" s="171" t="s">
        <v>916</v>
      </c>
      <c r="Q287" s="171"/>
      <c r="R287" s="213">
        <v>1822000</v>
      </c>
      <c r="S287" s="87">
        <v>0</v>
      </c>
      <c r="T287" s="87">
        <v>0</v>
      </c>
      <c r="U287" s="87">
        <v>0</v>
      </c>
      <c r="V287" s="87">
        <v>0</v>
      </c>
      <c r="W287" s="87">
        <v>0</v>
      </c>
      <c r="X287" s="87">
        <v>0</v>
      </c>
      <c r="Y287" s="87">
        <v>0</v>
      </c>
      <c r="Z287" s="87">
        <v>0</v>
      </c>
      <c r="AA287" s="214">
        <v>0</v>
      </c>
      <c r="AB287" s="214">
        <v>0</v>
      </c>
      <c r="AC287" s="214">
        <v>0</v>
      </c>
      <c r="AD287" s="214">
        <v>0</v>
      </c>
      <c r="AE287" s="214">
        <v>0</v>
      </c>
      <c r="AF287" s="214">
        <v>0</v>
      </c>
      <c r="AG287" s="214">
        <v>0</v>
      </c>
      <c r="AH287" s="214">
        <v>0</v>
      </c>
      <c r="AI287" s="87">
        <v>1822946</v>
      </c>
      <c r="AJ287" s="87">
        <v>0</v>
      </c>
      <c r="AK287" s="87">
        <v>1822946</v>
      </c>
      <c r="AL287" s="87">
        <v>1822946</v>
      </c>
      <c r="AM287" s="87">
        <v>2772000</v>
      </c>
      <c r="AN287" s="87">
        <v>1822946</v>
      </c>
      <c r="AO287" s="87">
        <v>1822946</v>
      </c>
      <c r="AP287" s="87">
        <v>1822000</v>
      </c>
      <c r="AQ287" s="88">
        <v>0</v>
      </c>
      <c r="AR287" s="88">
        <v>0</v>
      </c>
      <c r="AS287" s="88">
        <v>0</v>
      </c>
      <c r="AT287" s="88">
        <v>0</v>
      </c>
      <c r="AU287" s="88">
        <v>0</v>
      </c>
      <c r="AV287" s="88">
        <v>0</v>
      </c>
      <c r="AW287" s="88">
        <v>0</v>
      </c>
      <c r="AX287" s="88">
        <v>0</v>
      </c>
      <c r="AY287" s="87">
        <v>0</v>
      </c>
      <c r="AZ287" s="87">
        <v>0</v>
      </c>
      <c r="BA287" s="87">
        <v>0</v>
      </c>
      <c r="BB287" s="87">
        <v>0</v>
      </c>
      <c r="BC287" s="87">
        <v>0</v>
      </c>
      <c r="BD287" s="87">
        <v>0</v>
      </c>
      <c r="BE287" s="87">
        <v>0</v>
      </c>
      <c r="BF287" s="87">
        <v>0</v>
      </c>
      <c r="BG287" s="88">
        <v>0</v>
      </c>
      <c r="BH287" s="88">
        <v>0</v>
      </c>
      <c r="BI287" s="88">
        <v>0</v>
      </c>
      <c r="BJ287" s="88">
        <v>0</v>
      </c>
      <c r="BK287" s="88">
        <v>0</v>
      </c>
      <c r="BL287" s="88">
        <v>0</v>
      </c>
      <c r="BM287" s="88">
        <v>0</v>
      </c>
      <c r="BN287" s="590">
        <v>0</v>
      </c>
      <c r="BO287" s="171">
        <v>2023</v>
      </c>
      <c r="BP287" s="171">
        <v>1</v>
      </c>
      <c r="BQ287" s="171">
        <v>19</v>
      </c>
      <c r="BS287" s="76" t="str">
        <f t="shared" si="9"/>
        <v>○</v>
      </c>
    </row>
    <row r="288" spans="1:71" x14ac:dyDescent="0.2">
      <c r="A288" s="210">
        <v>1482</v>
      </c>
      <c r="B288" s="211"/>
      <c r="C288" s="212"/>
      <c r="D288" s="211"/>
      <c r="E288" s="212"/>
      <c r="F288" s="211"/>
      <c r="G288" s="211"/>
      <c r="H288" s="212"/>
      <c r="I288" s="211"/>
      <c r="J288" s="211"/>
      <c r="K288" s="211"/>
      <c r="L288" s="171"/>
      <c r="M288" s="171" t="s">
        <v>677</v>
      </c>
      <c r="N288" s="171" t="s">
        <v>286</v>
      </c>
      <c r="O288" s="171" t="s">
        <v>461</v>
      </c>
      <c r="P288" s="171" t="s">
        <v>916</v>
      </c>
      <c r="Q288" s="171"/>
      <c r="R288" s="213">
        <v>144000</v>
      </c>
      <c r="S288" s="87">
        <v>0</v>
      </c>
      <c r="T288" s="87">
        <v>0</v>
      </c>
      <c r="U288" s="87">
        <v>0</v>
      </c>
      <c r="V288" s="87">
        <v>0</v>
      </c>
      <c r="W288" s="87">
        <v>0</v>
      </c>
      <c r="X288" s="87">
        <v>0</v>
      </c>
      <c r="Y288" s="87">
        <v>0</v>
      </c>
      <c r="Z288" s="87">
        <v>0</v>
      </c>
      <c r="AA288" s="214">
        <v>0</v>
      </c>
      <c r="AB288" s="214">
        <v>0</v>
      </c>
      <c r="AC288" s="214">
        <v>0</v>
      </c>
      <c r="AD288" s="214">
        <v>0</v>
      </c>
      <c r="AE288" s="214">
        <v>0</v>
      </c>
      <c r="AF288" s="214">
        <v>0</v>
      </c>
      <c r="AG288" s="214">
        <v>0</v>
      </c>
      <c r="AH288" s="214">
        <v>0</v>
      </c>
      <c r="AI288" s="87">
        <v>144452</v>
      </c>
      <c r="AJ288" s="87">
        <v>0</v>
      </c>
      <c r="AK288" s="87">
        <v>144452</v>
      </c>
      <c r="AL288" s="87">
        <v>144452</v>
      </c>
      <c r="AM288" s="87">
        <v>7938000</v>
      </c>
      <c r="AN288" s="87">
        <v>144452</v>
      </c>
      <c r="AO288" s="87">
        <v>144452</v>
      </c>
      <c r="AP288" s="87">
        <v>144000</v>
      </c>
      <c r="AQ288" s="88">
        <v>0</v>
      </c>
      <c r="AR288" s="88">
        <v>0</v>
      </c>
      <c r="AS288" s="88">
        <v>0</v>
      </c>
      <c r="AT288" s="88">
        <v>0</v>
      </c>
      <c r="AU288" s="88">
        <v>0</v>
      </c>
      <c r="AV288" s="88">
        <v>0</v>
      </c>
      <c r="AW288" s="88">
        <v>0</v>
      </c>
      <c r="AX288" s="88">
        <v>0</v>
      </c>
      <c r="AY288" s="87">
        <v>0</v>
      </c>
      <c r="AZ288" s="87">
        <v>0</v>
      </c>
      <c r="BA288" s="87">
        <v>0</v>
      </c>
      <c r="BB288" s="87">
        <v>0</v>
      </c>
      <c r="BC288" s="87">
        <v>0</v>
      </c>
      <c r="BD288" s="87">
        <v>0</v>
      </c>
      <c r="BE288" s="87">
        <v>0</v>
      </c>
      <c r="BF288" s="87">
        <v>0</v>
      </c>
      <c r="BG288" s="88">
        <v>0</v>
      </c>
      <c r="BH288" s="88">
        <v>0</v>
      </c>
      <c r="BI288" s="88">
        <v>0</v>
      </c>
      <c r="BJ288" s="88">
        <v>0</v>
      </c>
      <c r="BK288" s="88">
        <v>0</v>
      </c>
      <c r="BL288" s="88">
        <v>0</v>
      </c>
      <c r="BM288" s="88">
        <v>0</v>
      </c>
      <c r="BN288" s="590">
        <v>0</v>
      </c>
      <c r="BO288" s="171">
        <v>2023</v>
      </c>
      <c r="BP288" s="171">
        <v>1</v>
      </c>
      <c r="BQ288" s="171">
        <v>19</v>
      </c>
      <c r="BR288" s="81"/>
      <c r="BS288" s="76" t="str">
        <f t="shared" si="9"/>
        <v>○</v>
      </c>
    </row>
    <row r="289" spans="1:71" x14ac:dyDescent="0.2">
      <c r="A289" s="210">
        <v>1483</v>
      </c>
      <c r="B289" s="211"/>
      <c r="C289" s="212"/>
      <c r="D289" s="211"/>
      <c r="E289" s="212"/>
      <c r="F289" s="211"/>
      <c r="G289" s="211"/>
      <c r="H289" s="212"/>
      <c r="I289" s="211"/>
      <c r="J289" s="211"/>
      <c r="K289" s="211"/>
      <c r="L289" s="171"/>
      <c r="M289" s="171" t="s">
        <v>678</v>
      </c>
      <c r="N289" s="171" t="s">
        <v>275</v>
      </c>
      <c r="O289" s="171" t="s">
        <v>679</v>
      </c>
      <c r="P289" s="171" t="s">
        <v>916</v>
      </c>
      <c r="Q289" s="171"/>
      <c r="R289" s="213">
        <v>262000</v>
      </c>
      <c r="S289" s="87">
        <v>0</v>
      </c>
      <c r="T289" s="87">
        <v>0</v>
      </c>
      <c r="U289" s="87">
        <v>0</v>
      </c>
      <c r="V289" s="87">
        <v>0</v>
      </c>
      <c r="W289" s="87">
        <v>0</v>
      </c>
      <c r="X289" s="87">
        <v>0</v>
      </c>
      <c r="Y289" s="87">
        <v>0</v>
      </c>
      <c r="Z289" s="87">
        <v>0</v>
      </c>
      <c r="AA289" s="214">
        <v>0</v>
      </c>
      <c r="AB289" s="214">
        <v>0</v>
      </c>
      <c r="AC289" s="214">
        <v>0</v>
      </c>
      <c r="AD289" s="214">
        <v>0</v>
      </c>
      <c r="AE289" s="214">
        <v>0</v>
      </c>
      <c r="AF289" s="214">
        <v>0</v>
      </c>
      <c r="AG289" s="214">
        <v>0</v>
      </c>
      <c r="AH289" s="214">
        <v>0</v>
      </c>
      <c r="AI289" s="87">
        <v>262975</v>
      </c>
      <c r="AJ289" s="87">
        <v>0</v>
      </c>
      <c r="AK289" s="87">
        <v>262975</v>
      </c>
      <c r="AL289" s="87">
        <v>262975</v>
      </c>
      <c r="AM289" s="87">
        <v>5227200</v>
      </c>
      <c r="AN289" s="87">
        <v>262975</v>
      </c>
      <c r="AO289" s="87">
        <v>262975</v>
      </c>
      <c r="AP289" s="87">
        <v>262000</v>
      </c>
      <c r="AQ289" s="88">
        <v>0</v>
      </c>
      <c r="AR289" s="88">
        <v>0</v>
      </c>
      <c r="AS289" s="88">
        <v>0</v>
      </c>
      <c r="AT289" s="88">
        <v>0</v>
      </c>
      <c r="AU289" s="88">
        <v>0</v>
      </c>
      <c r="AV289" s="88">
        <v>0</v>
      </c>
      <c r="AW289" s="88">
        <v>0</v>
      </c>
      <c r="AX289" s="88">
        <v>0</v>
      </c>
      <c r="AY289" s="87">
        <v>0</v>
      </c>
      <c r="AZ289" s="87">
        <v>0</v>
      </c>
      <c r="BA289" s="87">
        <v>0</v>
      </c>
      <c r="BB289" s="87">
        <v>0</v>
      </c>
      <c r="BC289" s="87">
        <v>0</v>
      </c>
      <c r="BD289" s="87">
        <v>0</v>
      </c>
      <c r="BE289" s="87">
        <v>0</v>
      </c>
      <c r="BF289" s="87">
        <v>0</v>
      </c>
      <c r="BG289" s="88">
        <v>0</v>
      </c>
      <c r="BH289" s="88">
        <v>0</v>
      </c>
      <c r="BI289" s="88">
        <v>0</v>
      </c>
      <c r="BJ289" s="88">
        <v>0</v>
      </c>
      <c r="BK289" s="88">
        <v>0</v>
      </c>
      <c r="BL289" s="88">
        <v>0</v>
      </c>
      <c r="BM289" s="88">
        <v>0</v>
      </c>
      <c r="BN289" s="590">
        <v>0</v>
      </c>
      <c r="BO289" s="171">
        <v>2023</v>
      </c>
      <c r="BP289" s="171">
        <v>1</v>
      </c>
      <c r="BQ289" s="171">
        <v>19</v>
      </c>
      <c r="BS289" s="76" t="str">
        <f t="shared" si="9"/>
        <v>○</v>
      </c>
    </row>
    <row r="290" spans="1:71" x14ac:dyDescent="0.2">
      <c r="A290" s="210">
        <v>1484</v>
      </c>
      <c r="B290" s="211"/>
      <c r="C290" s="212"/>
      <c r="D290" s="211"/>
      <c r="E290" s="212"/>
      <c r="F290" s="211"/>
      <c r="G290" s="211"/>
      <c r="H290" s="212"/>
      <c r="I290" s="211"/>
      <c r="J290" s="211"/>
      <c r="K290" s="211"/>
      <c r="L290" s="171"/>
      <c r="M290" s="171" t="s">
        <v>680</v>
      </c>
      <c r="N290" s="171" t="s">
        <v>513</v>
      </c>
      <c r="O290" s="171" t="s">
        <v>681</v>
      </c>
      <c r="P290" s="171" t="s">
        <v>916</v>
      </c>
      <c r="Q290" s="171"/>
      <c r="R290" s="213">
        <v>605000</v>
      </c>
      <c r="S290" s="87">
        <v>0</v>
      </c>
      <c r="T290" s="87">
        <v>0</v>
      </c>
      <c r="U290" s="87">
        <v>0</v>
      </c>
      <c r="V290" s="87">
        <v>0</v>
      </c>
      <c r="W290" s="87">
        <v>0</v>
      </c>
      <c r="X290" s="87">
        <v>0</v>
      </c>
      <c r="Y290" s="87">
        <v>0</v>
      </c>
      <c r="Z290" s="87">
        <v>0</v>
      </c>
      <c r="AA290" s="214">
        <v>0</v>
      </c>
      <c r="AB290" s="214">
        <v>0</v>
      </c>
      <c r="AC290" s="214">
        <v>0</v>
      </c>
      <c r="AD290" s="214">
        <v>0</v>
      </c>
      <c r="AE290" s="214">
        <v>0</v>
      </c>
      <c r="AF290" s="214">
        <v>0</v>
      </c>
      <c r="AG290" s="214">
        <v>0</v>
      </c>
      <c r="AH290" s="214">
        <v>0</v>
      </c>
      <c r="AI290" s="87">
        <v>605946</v>
      </c>
      <c r="AJ290" s="87">
        <v>0</v>
      </c>
      <c r="AK290" s="87">
        <v>605946</v>
      </c>
      <c r="AL290" s="87">
        <v>605946</v>
      </c>
      <c r="AM290" s="87">
        <v>2610000</v>
      </c>
      <c r="AN290" s="87">
        <v>605946</v>
      </c>
      <c r="AO290" s="87">
        <v>605946</v>
      </c>
      <c r="AP290" s="87">
        <v>605000</v>
      </c>
      <c r="AQ290" s="88">
        <v>0</v>
      </c>
      <c r="AR290" s="88">
        <v>0</v>
      </c>
      <c r="AS290" s="88">
        <v>0</v>
      </c>
      <c r="AT290" s="88">
        <v>0</v>
      </c>
      <c r="AU290" s="88">
        <v>0</v>
      </c>
      <c r="AV290" s="88">
        <v>0</v>
      </c>
      <c r="AW290" s="88">
        <v>0</v>
      </c>
      <c r="AX290" s="88">
        <v>0</v>
      </c>
      <c r="AY290" s="87">
        <v>0</v>
      </c>
      <c r="AZ290" s="87">
        <v>0</v>
      </c>
      <c r="BA290" s="87">
        <v>0</v>
      </c>
      <c r="BB290" s="87">
        <v>0</v>
      </c>
      <c r="BC290" s="87">
        <v>0</v>
      </c>
      <c r="BD290" s="87">
        <v>0</v>
      </c>
      <c r="BE290" s="87">
        <v>0</v>
      </c>
      <c r="BF290" s="87">
        <v>0</v>
      </c>
      <c r="BG290" s="88">
        <v>0</v>
      </c>
      <c r="BH290" s="88">
        <v>0</v>
      </c>
      <c r="BI290" s="88">
        <v>0</v>
      </c>
      <c r="BJ290" s="88">
        <v>0</v>
      </c>
      <c r="BK290" s="88">
        <v>0</v>
      </c>
      <c r="BL290" s="88">
        <v>0</v>
      </c>
      <c r="BM290" s="88">
        <v>0</v>
      </c>
      <c r="BN290" s="590">
        <v>0</v>
      </c>
      <c r="BO290" s="171">
        <v>2023</v>
      </c>
      <c r="BP290" s="171">
        <v>1</v>
      </c>
      <c r="BQ290" s="171">
        <v>19</v>
      </c>
      <c r="BS290" s="76" t="str">
        <f t="shared" si="9"/>
        <v>○</v>
      </c>
    </row>
    <row r="291" spans="1:71" x14ac:dyDescent="0.2">
      <c r="A291" s="210">
        <v>1485</v>
      </c>
      <c r="B291" s="211"/>
      <c r="C291" s="212"/>
      <c r="D291" s="211"/>
      <c r="E291" s="212"/>
      <c r="F291" s="211"/>
      <c r="G291" s="211"/>
      <c r="H291" s="212"/>
      <c r="I291" s="211"/>
      <c r="J291" s="211"/>
      <c r="K291" s="211"/>
      <c r="L291" s="171"/>
      <c r="M291" s="171" t="s">
        <v>682</v>
      </c>
      <c r="N291" s="171" t="s">
        <v>278</v>
      </c>
      <c r="O291" s="171" t="s">
        <v>683</v>
      </c>
      <c r="P291" s="171" t="s">
        <v>916</v>
      </c>
      <c r="Q291" s="171"/>
      <c r="R291" s="213">
        <v>198000</v>
      </c>
      <c r="S291" s="87">
        <v>0</v>
      </c>
      <c r="T291" s="87">
        <v>0</v>
      </c>
      <c r="U291" s="87">
        <v>0</v>
      </c>
      <c r="V291" s="87">
        <v>0</v>
      </c>
      <c r="W291" s="87">
        <v>0</v>
      </c>
      <c r="X291" s="87">
        <v>0</v>
      </c>
      <c r="Y291" s="87">
        <v>0</v>
      </c>
      <c r="Z291" s="87">
        <v>0</v>
      </c>
      <c r="AA291" s="214">
        <v>0</v>
      </c>
      <c r="AB291" s="214">
        <v>0</v>
      </c>
      <c r="AC291" s="214">
        <v>0</v>
      </c>
      <c r="AD291" s="214">
        <v>0</v>
      </c>
      <c r="AE291" s="214">
        <v>0</v>
      </c>
      <c r="AF291" s="214">
        <v>0</v>
      </c>
      <c r="AG291" s="214">
        <v>0</v>
      </c>
      <c r="AH291" s="214">
        <v>0</v>
      </c>
      <c r="AI291" s="87">
        <v>198868</v>
      </c>
      <c r="AJ291" s="87">
        <v>0</v>
      </c>
      <c r="AK291" s="87">
        <v>198868</v>
      </c>
      <c r="AL291" s="87">
        <v>198868</v>
      </c>
      <c r="AM291" s="87">
        <v>2556000</v>
      </c>
      <c r="AN291" s="87">
        <v>198868</v>
      </c>
      <c r="AO291" s="87">
        <v>198868</v>
      </c>
      <c r="AP291" s="87">
        <v>198000</v>
      </c>
      <c r="AQ291" s="88">
        <v>0</v>
      </c>
      <c r="AR291" s="88">
        <v>0</v>
      </c>
      <c r="AS291" s="88">
        <v>0</v>
      </c>
      <c r="AT291" s="88">
        <v>0</v>
      </c>
      <c r="AU291" s="88">
        <v>0</v>
      </c>
      <c r="AV291" s="88">
        <v>0</v>
      </c>
      <c r="AW291" s="88">
        <v>0</v>
      </c>
      <c r="AX291" s="88">
        <v>0</v>
      </c>
      <c r="AY291" s="87">
        <v>0</v>
      </c>
      <c r="AZ291" s="87">
        <v>0</v>
      </c>
      <c r="BA291" s="87">
        <v>0</v>
      </c>
      <c r="BB291" s="87">
        <v>0</v>
      </c>
      <c r="BC291" s="87">
        <v>0</v>
      </c>
      <c r="BD291" s="87">
        <v>0</v>
      </c>
      <c r="BE291" s="87">
        <v>0</v>
      </c>
      <c r="BF291" s="87">
        <v>0</v>
      </c>
      <c r="BG291" s="88">
        <v>0</v>
      </c>
      <c r="BH291" s="88">
        <v>0</v>
      </c>
      <c r="BI291" s="88">
        <v>0</v>
      </c>
      <c r="BJ291" s="88">
        <v>0</v>
      </c>
      <c r="BK291" s="88">
        <v>0</v>
      </c>
      <c r="BL291" s="88">
        <v>0</v>
      </c>
      <c r="BM291" s="88">
        <v>0</v>
      </c>
      <c r="BN291" s="590">
        <v>0</v>
      </c>
      <c r="BO291" s="171">
        <v>2023</v>
      </c>
      <c r="BP291" s="171">
        <v>1</v>
      </c>
      <c r="BQ291" s="171">
        <v>19</v>
      </c>
      <c r="BS291" s="76" t="str">
        <f t="shared" si="9"/>
        <v>○</v>
      </c>
    </row>
    <row r="292" spans="1:71" x14ac:dyDescent="0.2">
      <c r="A292" s="210">
        <v>1486</v>
      </c>
      <c r="B292" s="211"/>
      <c r="C292" s="212"/>
      <c r="D292" s="211"/>
      <c r="E292" s="212"/>
      <c r="F292" s="211"/>
      <c r="G292" s="211"/>
      <c r="H292" s="212"/>
      <c r="I292" s="211"/>
      <c r="J292" s="211"/>
      <c r="K292" s="211"/>
      <c r="L292" s="171"/>
      <c r="M292" s="171" t="s">
        <v>426</v>
      </c>
      <c r="N292" s="171" t="s">
        <v>313</v>
      </c>
      <c r="O292" s="171" t="s">
        <v>427</v>
      </c>
      <c r="P292" s="171" t="s">
        <v>916</v>
      </c>
      <c r="Q292" s="171"/>
      <c r="R292" s="213">
        <v>138000</v>
      </c>
      <c r="S292" s="87">
        <v>0</v>
      </c>
      <c r="T292" s="87">
        <v>0</v>
      </c>
      <c r="U292" s="87">
        <v>0</v>
      </c>
      <c r="V292" s="87">
        <v>0</v>
      </c>
      <c r="W292" s="87">
        <v>0</v>
      </c>
      <c r="X292" s="87">
        <v>0</v>
      </c>
      <c r="Y292" s="87">
        <v>0</v>
      </c>
      <c r="Z292" s="87">
        <v>0</v>
      </c>
      <c r="AA292" s="214">
        <v>0</v>
      </c>
      <c r="AB292" s="214">
        <v>0</v>
      </c>
      <c r="AC292" s="214">
        <v>0</v>
      </c>
      <c r="AD292" s="214">
        <v>0</v>
      </c>
      <c r="AE292" s="214">
        <v>0</v>
      </c>
      <c r="AF292" s="214">
        <v>0</v>
      </c>
      <c r="AG292" s="214">
        <v>0</v>
      </c>
      <c r="AH292" s="214">
        <v>0</v>
      </c>
      <c r="AI292" s="87">
        <v>138160</v>
      </c>
      <c r="AJ292" s="87">
        <v>0</v>
      </c>
      <c r="AK292" s="87">
        <v>138160</v>
      </c>
      <c r="AL292" s="87">
        <v>138160</v>
      </c>
      <c r="AM292" s="87">
        <v>1728000</v>
      </c>
      <c r="AN292" s="87">
        <v>138160</v>
      </c>
      <c r="AO292" s="87">
        <v>138160</v>
      </c>
      <c r="AP292" s="87">
        <v>138000</v>
      </c>
      <c r="AQ292" s="88">
        <v>0</v>
      </c>
      <c r="AR292" s="88">
        <v>0</v>
      </c>
      <c r="AS292" s="88">
        <v>0</v>
      </c>
      <c r="AT292" s="88">
        <v>0</v>
      </c>
      <c r="AU292" s="88">
        <v>0</v>
      </c>
      <c r="AV292" s="88">
        <v>0</v>
      </c>
      <c r="AW292" s="88">
        <v>0</v>
      </c>
      <c r="AX292" s="88">
        <v>0</v>
      </c>
      <c r="AY292" s="87">
        <v>0</v>
      </c>
      <c r="AZ292" s="87">
        <v>0</v>
      </c>
      <c r="BA292" s="87">
        <v>0</v>
      </c>
      <c r="BB292" s="87">
        <v>0</v>
      </c>
      <c r="BC292" s="87">
        <v>0</v>
      </c>
      <c r="BD292" s="87">
        <v>0</v>
      </c>
      <c r="BE292" s="87">
        <v>0</v>
      </c>
      <c r="BF292" s="87">
        <v>0</v>
      </c>
      <c r="BG292" s="88">
        <v>0</v>
      </c>
      <c r="BH292" s="88">
        <v>0</v>
      </c>
      <c r="BI292" s="88">
        <v>0</v>
      </c>
      <c r="BJ292" s="88">
        <v>0</v>
      </c>
      <c r="BK292" s="88">
        <v>0</v>
      </c>
      <c r="BL292" s="88">
        <v>0</v>
      </c>
      <c r="BM292" s="88">
        <v>0</v>
      </c>
      <c r="BN292" s="590">
        <v>0</v>
      </c>
      <c r="BO292" s="171">
        <v>2023</v>
      </c>
      <c r="BP292" s="171">
        <v>1</v>
      </c>
      <c r="BQ292" s="171">
        <v>19</v>
      </c>
      <c r="BS292" s="76" t="str">
        <f t="shared" si="9"/>
        <v>○</v>
      </c>
    </row>
    <row r="293" spans="1:71" x14ac:dyDescent="0.2">
      <c r="A293" s="210">
        <v>1487</v>
      </c>
      <c r="B293" s="211"/>
      <c r="C293" s="212"/>
      <c r="D293" s="211"/>
      <c r="E293" s="212"/>
      <c r="F293" s="211"/>
      <c r="G293" s="211"/>
      <c r="H293" s="212"/>
      <c r="I293" s="211"/>
      <c r="J293" s="211"/>
      <c r="K293" s="211"/>
      <c r="L293" s="171"/>
      <c r="M293" s="171" t="s">
        <v>413</v>
      </c>
      <c r="N293" s="171" t="s">
        <v>373</v>
      </c>
      <c r="O293" s="171" t="s">
        <v>414</v>
      </c>
      <c r="P293" s="171" t="s">
        <v>916</v>
      </c>
      <c r="Q293" s="75"/>
      <c r="R293" s="213">
        <v>570000</v>
      </c>
      <c r="S293" s="87">
        <v>0</v>
      </c>
      <c r="T293" s="87">
        <v>0</v>
      </c>
      <c r="U293" s="87">
        <v>0</v>
      </c>
      <c r="V293" s="87">
        <v>0</v>
      </c>
      <c r="W293" s="87">
        <v>0</v>
      </c>
      <c r="X293" s="87">
        <v>0</v>
      </c>
      <c r="Y293" s="87">
        <v>0</v>
      </c>
      <c r="Z293" s="87">
        <v>0</v>
      </c>
      <c r="AA293" s="214">
        <v>0</v>
      </c>
      <c r="AB293" s="214">
        <v>0</v>
      </c>
      <c r="AC293" s="214">
        <v>0</v>
      </c>
      <c r="AD293" s="214">
        <v>0</v>
      </c>
      <c r="AE293" s="214">
        <v>0</v>
      </c>
      <c r="AF293" s="214">
        <v>0</v>
      </c>
      <c r="AG293" s="214">
        <v>0</v>
      </c>
      <c r="AH293" s="214">
        <v>0</v>
      </c>
      <c r="AI293" s="87">
        <v>570920</v>
      </c>
      <c r="AJ293" s="87">
        <v>0</v>
      </c>
      <c r="AK293" s="87">
        <v>570920</v>
      </c>
      <c r="AL293" s="87">
        <v>570920</v>
      </c>
      <c r="AM293" s="87">
        <v>5256000</v>
      </c>
      <c r="AN293" s="87">
        <v>570920</v>
      </c>
      <c r="AO293" s="87">
        <v>570920</v>
      </c>
      <c r="AP293" s="87">
        <v>570000</v>
      </c>
      <c r="AQ293" s="88">
        <v>0</v>
      </c>
      <c r="AR293" s="88">
        <v>0</v>
      </c>
      <c r="AS293" s="88">
        <v>0</v>
      </c>
      <c r="AT293" s="88">
        <v>0</v>
      </c>
      <c r="AU293" s="88">
        <v>0</v>
      </c>
      <c r="AV293" s="88">
        <v>0</v>
      </c>
      <c r="AW293" s="88">
        <v>0</v>
      </c>
      <c r="AX293" s="88">
        <v>0</v>
      </c>
      <c r="AY293" s="87">
        <v>0</v>
      </c>
      <c r="AZ293" s="87">
        <v>0</v>
      </c>
      <c r="BA293" s="87">
        <v>0</v>
      </c>
      <c r="BB293" s="87">
        <v>0</v>
      </c>
      <c r="BC293" s="87">
        <v>0</v>
      </c>
      <c r="BD293" s="87">
        <v>0</v>
      </c>
      <c r="BE293" s="87">
        <v>0</v>
      </c>
      <c r="BF293" s="87">
        <v>0</v>
      </c>
      <c r="BG293" s="88">
        <v>0</v>
      </c>
      <c r="BH293" s="88">
        <v>0</v>
      </c>
      <c r="BI293" s="88">
        <v>0</v>
      </c>
      <c r="BJ293" s="88">
        <v>0</v>
      </c>
      <c r="BK293" s="88">
        <v>0</v>
      </c>
      <c r="BL293" s="88">
        <v>0</v>
      </c>
      <c r="BM293" s="88">
        <v>0</v>
      </c>
      <c r="BN293" s="590">
        <v>0</v>
      </c>
      <c r="BO293" s="171">
        <v>2023</v>
      </c>
      <c r="BP293" s="171">
        <v>1</v>
      </c>
      <c r="BQ293" s="171">
        <v>19</v>
      </c>
      <c r="BS293" s="76" t="str">
        <f t="shared" si="9"/>
        <v>○</v>
      </c>
    </row>
    <row r="294" spans="1:71" x14ac:dyDescent="0.2">
      <c r="A294" s="210">
        <v>1488</v>
      </c>
      <c r="B294" s="211"/>
      <c r="C294" s="212"/>
      <c r="D294" s="211"/>
      <c r="E294" s="212"/>
      <c r="F294" s="211"/>
      <c r="G294" s="211"/>
      <c r="H294" s="212"/>
      <c r="I294" s="211"/>
      <c r="J294" s="211"/>
      <c r="K294" s="211"/>
      <c r="L294" s="171"/>
      <c r="M294" s="171" t="s">
        <v>684</v>
      </c>
      <c r="N294" s="171" t="s">
        <v>513</v>
      </c>
      <c r="O294" s="171" t="s">
        <v>326</v>
      </c>
      <c r="P294" s="171" t="s">
        <v>916</v>
      </c>
      <c r="Q294" s="75"/>
      <c r="R294" s="213">
        <v>140000</v>
      </c>
      <c r="S294" s="87">
        <v>0</v>
      </c>
      <c r="T294" s="87">
        <v>0</v>
      </c>
      <c r="U294" s="87">
        <v>0</v>
      </c>
      <c r="V294" s="87">
        <v>0</v>
      </c>
      <c r="W294" s="87">
        <v>0</v>
      </c>
      <c r="X294" s="87">
        <v>0</v>
      </c>
      <c r="Y294" s="87">
        <v>0</v>
      </c>
      <c r="Z294" s="87">
        <v>0</v>
      </c>
      <c r="AA294" s="214">
        <v>0</v>
      </c>
      <c r="AB294" s="214">
        <v>0</v>
      </c>
      <c r="AC294" s="214">
        <v>0</v>
      </c>
      <c r="AD294" s="214">
        <v>0</v>
      </c>
      <c r="AE294" s="214">
        <v>0</v>
      </c>
      <c r="AF294" s="214">
        <v>0</v>
      </c>
      <c r="AG294" s="214">
        <v>0</v>
      </c>
      <c r="AH294" s="214">
        <v>0</v>
      </c>
      <c r="AI294" s="87">
        <v>140800</v>
      </c>
      <c r="AJ294" s="87">
        <v>0</v>
      </c>
      <c r="AK294" s="87">
        <v>140800</v>
      </c>
      <c r="AL294" s="87">
        <v>140800</v>
      </c>
      <c r="AM294" s="87">
        <v>5400000</v>
      </c>
      <c r="AN294" s="87">
        <v>140800</v>
      </c>
      <c r="AO294" s="87">
        <v>140800</v>
      </c>
      <c r="AP294" s="87">
        <v>140000</v>
      </c>
      <c r="AQ294" s="88">
        <v>0</v>
      </c>
      <c r="AR294" s="88">
        <v>0</v>
      </c>
      <c r="AS294" s="88">
        <v>0</v>
      </c>
      <c r="AT294" s="88">
        <v>0</v>
      </c>
      <c r="AU294" s="88">
        <v>0</v>
      </c>
      <c r="AV294" s="88">
        <v>0</v>
      </c>
      <c r="AW294" s="88">
        <v>0</v>
      </c>
      <c r="AX294" s="88">
        <v>0</v>
      </c>
      <c r="AY294" s="87">
        <v>0</v>
      </c>
      <c r="AZ294" s="87">
        <v>0</v>
      </c>
      <c r="BA294" s="87">
        <v>0</v>
      </c>
      <c r="BB294" s="87">
        <v>0</v>
      </c>
      <c r="BC294" s="87">
        <v>0</v>
      </c>
      <c r="BD294" s="87">
        <v>0</v>
      </c>
      <c r="BE294" s="87">
        <v>0</v>
      </c>
      <c r="BF294" s="87">
        <v>0</v>
      </c>
      <c r="BG294" s="88">
        <v>0</v>
      </c>
      <c r="BH294" s="88">
        <v>0</v>
      </c>
      <c r="BI294" s="88">
        <v>0</v>
      </c>
      <c r="BJ294" s="88">
        <v>0</v>
      </c>
      <c r="BK294" s="88">
        <v>0</v>
      </c>
      <c r="BL294" s="88">
        <v>0</v>
      </c>
      <c r="BM294" s="88">
        <v>0</v>
      </c>
      <c r="BN294" s="590">
        <v>0</v>
      </c>
      <c r="BO294" s="171">
        <v>2023</v>
      </c>
      <c r="BP294" s="171">
        <v>1</v>
      </c>
      <c r="BQ294" s="171">
        <v>19</v>
      </c>
      <c r="BS294" s="76" t="str">
        <f t="shared" si="9"/>
        <v>○</v>
      </c>
    </row>
    <row r="295" spans="1:71" x14ac:dyDescent="0.2">
      <c r="A295" s="210">
        <v>1489</v>
      </c>
      <c r="B295" s="211"/>
      <c r="C295" s="212"/>
      <c r="D295" s="211"/>
      <c r="E295" s="212"/>
      <c r="F295" s="211"/>
      <c r="G295" s="211"/>
      <c r="H295" s="212"/>
      <c r="I295" s="211"/>
      <c r="J295" s="211"/>
      <c r="K295" s="211"/>
      <c r="L295" s="171"/>
      <c r="M295" s="171" t="s">
        <v>685</v>
      </c>
      <c r="N295" s="171" t="s">
        <v>269</v>
      </c>
      <c r="O295" s="171" t="s">
        <v>565</v>
      </c>
      <c r="P295" s="171" t="s">
        <v>916</v>
      </c>
      <c r="Q295" s="171"/>
      <c r="R295" s="213">
        <v>114000</v>
      </c>
      <c r="S295" s="87">
        <v>0</v>
      </c>
      <c r="T295" s="87">
        <v>0</v>
      </c>
      <c r="U295" s="87">
        <v>0</v>
      </c>
      <c r="V295" s="87">
        <v>0</v>
      </c>
      <c r="W295" s="87">
        <v>0</v>
      </c>
      <c r="X295" s="87">
        <v>0</v>
      </c>
      <c r="Y295" s="87">
        <v>0</v>
      </c>
      <c r="Z295" s="87">
        <v>0</v>
      </c>
      <c r="AA295" s="214">
        <v>0</v>
      </c>
      <c r="AB295" s="214">
        <v>0</v>
      </c>
      <c r="AC295" s="214">
        <v>0</v>
      </c>
      <c r="AD295" s="214">
        <v>0</v>
      </c>
      <c r="AE295" s="214">
        <v>0</v>
      </c>
      <c r="AF295" s="214">
        <v>0</v>
      </c>
      <c r="AG295" s="214">
        <v>0</v>
      </c>
      <c r="AH295" s="214">
        <v>0</v>
      </c>
      <c r="AI295" s="87">
        <v>114400</v>
      </c>
      <c r="AJ295" s="87">
        <v>0</v>
      </c>
      <c r="AK295" s="87">
        <v>114400</v>
      </c>
      <c r="AL295" s="87">
        <v>114400</v>
      </c>
      <c r="AM295" s="87">
        <v>6300000</v>
      </c>
      <c r="AN295" s="87">
        <v>114400</v>
      </c>
      <c r="AO295" s="87">
        <v>114400</v>
      </c>
      <c r="AP295" s="87">
        <v>114000</v>
      </c>
      <c r="AQ295" s="88">
        <v>0</v>
      </c>
      <c r="AR295" s="88">
        <v>0</v>
      </c>
      <c r="AS295" s="88">
        <v>0</v>
      </c>
      <c r="AT295" s="88">
        <v>0</v>
      </c>
      <c r="AU295" s="88">
        <v>0</v>
      </c>
      <c r="AV295" s="88">
        <v>0</v>
      </c>
      <c r="AW295" s="88">
        <v>0</v>
      </c>
      <c r="AX295" s="88">
        <v>0</v>
      </c>
      <c r="AY295" s="87">
        <v>0</v>
      </c>
      <c r="AZ295" s="87">
        <v>0</v>
      </c>
      <c r="BA295" s="87">
        <v>0</v>
      </c>
      <c r="BB295" s="87">
        <v>0</v>
      </c>
      <c r="BC295" s="87">
        <v>0</v>
      </c>
      <c r="BD295" s="87">
        <v>0</v>
      </c>
      <c r="BE295" s="87">
        <v>0</v>
      </c>
      <c r="BF295" s="87">
        <v>0</v>
      </c>
      <c r="BG295" s="88">
        <v>0</v>
      </c>
      <c r="BH295" s="88">
        <v>0</v>
      </c>
      <c r="BI295" s="88">
        <v>0</v>
      </c>
      <c r="BJ295" s="88">
        <v>0</v>
      </c>
      <c r="BK295" s="88">
        <v>0</v>
      </c>
      <c r="BL295" s="88">
        <v>0</v>
      </c>
      <c r="BM295" s="88">
        <v>0</v>
      </c>
      <c r="BN295" s="590">
        <v>0</v>
      </c>
      <c r="BO295" s="171">
        <v>2023</v>
      </c>
      <c r="BP295" s="171">
        <v>1</v>
      </c>
      <c r="BQ295" s="171">
        <v>19</v>
      </c>
      <c r="BS295" s="76" t="str">
        <f t="shared" si="9"/>
        <v>○</v>
      </c>
    </row>
    <row r="296" spans="1:71" x14ac:dyDescent="0.2">
      <c r="A296" s="210">
        <v>1490</v>
      </c>
      <c r="B296" s="211"/>
      <c r="C296" s="212"/>
      <c r="D296" s="211"/>
      <c r="E296" s="212"/>
      <c r="F296" s="211"/>
      <c r="G296" s="211"/>
      <c r="H296" s="212"/>
      <c r="I296" s="211"/>
      <c r="J296" s="211"/>
      <c r="K296" s="211"/>
      <c r="L296" s="171"/>
      <c r="M296" s="171" t="s">
        <v>686</v>
      </c>
      <c r="N296" s="171" t="s">
        <v>330</v>
      </c>
      <c r="O296" s="171" t="s">
        <v>647</v>
      </c>
      <c r="P296" s="171" t="s">
        <v>916</v>
      </c>
      <c r="Q296" s="171"/>
      <c r="R296" s="213">
        <v>168000</v>
      </c>
      <c r="S296" s="87">
        <v>0</v>
      </c>
      <c r="T296" s="87">
        <v>0</v>
      </c>
      <c r="U296" s="87">
        <v>0</v>
      </c>
      <c r="V296" s="87">
        <v>0</v>
      </c>
      <c r="W296" s="87">
        <v>0</v>
      </c>
      <c r="X296" s="87">
        <v>0</v>
      </c>
      <c r="Y296" s="87">
        <v>0</v>
      </c>
      <c r="Z296" s="87">
        <v>0</v>
      </c>
      <c r="AA296" s="214">
        <v>0</v>
      </c>
      <c r="AB296" s="214">
        <v>0</v>
      </c>
      <c r="AC296" s="214">
        <v>0</v>
      </c>
      <c r="AD296" s="214">
        <v>0</v>
      </c>
      <c r="AE296" s="214">
        <v>0</v>
      </c>
      <c r="AF296" s="214">
        <v>0</v>
      </c>
      <c r="AG296" s="214">
        <v>0</v>
      </c>
      <c r="AH296" s="214">
        <v>0</v>
      </c>
      <c r="AI296" s="87">
        <v>168555</v>
      </c>
      <c r="AJ296" s="87">
        <v>0</v>
      </c>
      <c r="AK296" s="87">
        <v>168555</v>
      </c>
      <c r="AL296" s="87">
        <v>168555</v>
      </c>
      <c r="AM296" s="87">
        <v>3528000</v>
      </c>
      <c r="AN296" s="87">
        <v>168555</v>
      </c>
      <c r="AO296" s="87">
        <v>168555</v>
      </c>
      <c r="AP296" s="87">
        <v>168000</v>
      </c>
      <c r="AQ296" s="88">
        <v>0</v>
      </c>
      <c r="AR296" s="88">
        <v>0</v>
      </c>
      <c r="AS296" s="88">
        <v>0</v>
      </c>
      <c r="AT296" s="88">
        <v>0</v>
      </c>
      <c r="AU296" s="88">
        <v>0</v>
      </c>
      <c r="AV296" s="88">
        <v>0</v>
      </c>
      <c r="AW296" s="88">
        <v>0</v>
      </c>
      <c r="AX296" s="88">
        <v>0</v>
      </c>
      <c r="AY296" s="87">
        <v>0</v>
      </c>
      <c r="AZ296" s="87">
        <v>0</v>
      </c>
      <c r="BA296" s="87">
        <v>0</v>
      </c>
      <c r="BB296" s="87">
        <v>0</v>
      </c>
      <c r="BC296" s="87">
        <v>0</v>
      </c>
      <c r="BD296" s="87">
        <v>0</v>
      </c>
      <c r="BE296" s="87">
        <v>0</v>
      </c>
      <c r="BF296" s="87">
        <v>0</v>
      </c>
      <c r="BG296" s="88">
        <v>0</v>
      </c>
      <c r="BH296" s="88">
        <v>0</v>
      </c>
      <c r="BI296" s="88">
        <v>0</v>
      </c>
      <c r="BJ296" s="88">
        <v>0</v>
      </c>
      <c r="BK296" s="88">
        <v>0</v>
      </c>
      <c r="BL296" s="88">
        <v>0</v>
      </c>
      <c r="BM296" s="88">
        <v>0</v>
      </c>
      <c r="BN296" s="590">
        <v>0</v>
      </c>
      <c r="BO296" s="171">
        <v>2023</v>
      </c>
      <c r="BP296" s="171">
        <v>1</v>
      </c>
      <c r="BQ296" s="171">
        <v>19</v>
      </c>
      <c r="BS296" s="76" t="str">
        <f t="shared" si="9"/>
        <v>○</v>
      </c>
    </row>
    <row r="297" spans="1:71" x14ac:dyDescent="0.2">
      <c r="A297" s="210">
        <v>1491</v>
      </c>
      <c r="B297" s="211"/>
      <c r="C297" s="212"/>
      <c r="D297" s="211"/>
      <c r="E297" s="212"/>
      <c r="F297" s="211"/>
      <c r="G297" s="211"/>
      <c r="H297" s="212"/>
      <c r="I297" s="211"/>
      <c r="J297" s="211"/>
      <c r="K297" s="211"/>
      <c r="L297" s="171"/>
      <c r="M297" s="171" t="s">
        <v>542</v>
      </c>
      <c r="N297" s="171" t="s">
        <v>269</v>
      </c>
      <c r="O297" s="171" t="s">
        <v>364</v>
      </c>
      <c r="P297" s="171" t="s">
        <v>916</v>
      </c>
      <c r="Q297" s="171"/>
      <c r="R297" s="213">
        <v>148000</v>
      </c>
      <c r="S297" s="87">
        <v>0</v>
      </c>
      <c r="T297" s="87">
        <v>0</v>
      </c>
      <c r="U297" s="87">
        <v>0</v>
      </c>
      <c r="V297" s="87">
        <v>0</v>
      </c>
      <c r="W297" s="87">
        <v>0</v>
      </c>
      <c r="X297" s="87">
        <v>0</v>
      </c>
      <c r="Y297" s="87">
        <v>0</v>
      </c>
      <c r="Z297" s="87">
        <v>0</v>
      </c>
      <c r="AA297" s="214">
        <v>0</v>
      </c>
      <c r="AB297" s="214">
        <v>0</v>
      </c>
      <c r="AC297" s="214">
        <v>0</v>
      </c>
      <c r="AD297" s="214">
        <v>0</v>
      </c>
      <c r="AE297" s="214">
        <v>0</v>
      </c>
      <c r="AF297" s="214">
        <v>0</v>
      </c>
      <c r="AG297" s="214">
        <v>0</v>
      </c>
      <c r="AH297" s="214">
        <v>0</v>
      </c>
      <c r="AI297" s="87">
        <v>148610</v>
      </c>
      <c r="AJ297" s="87">
        <v>0</v>
      </c>
      <c r="AK297" s="87">
        <v>148610</v>
      </c>
      <c r="AL297" s="87">
        <v>148610</v>
      </c>
      <c r="AM297" s="87">
        <v>4320000</v>
      </c>
      <c r="AN297" s="87">
        <v>148610</v>
      </c>
      <c r="AO297" s="87">
        <v>148610</v>
      </c>
      <c r="AP297" s="87">
        <v>148000</v>
      </c>
      <c r="AQ297" s="88">
        <v>0</v>
      </c>
      <c r="AR297" s="88">
        <v>0</v>
      </c>
      <c r="AS297" s="88">
        <v>0</v>
      </c>
      <c r="AT297" s="88">
        <v>0</v>
      </c>
      <c r="AU297" s="88">
        <v>0</v>
      </c>
      <c r="AV297" s="88">
        <v>0</v>
      </c>
      <c r="AW297" s="88">
        <v>0</v>
      </c>
      <c r="AX297" s="88">
        <v>0</v>
      </c>
      <c r="AY297" s="87">
        <v>0</v>
      </c>
      <c r="AZ297" s="87">
        <v>0</v>
      </c>
      <c r="BA297" s="87">
        <v>0</v>
      </c>
      <c r="BB297" s="87">
        <v>0</v>
      </c>
      <c r="BC297" s="87">
        <v>0</v>
      </c>
      <c r="BD297" s="87">
        <v>0</v>
      </c>
      <c r="BE297" s="87">
        <v>0</v>
      </c>
      <c r="BF297" s="87">
        <v>0</v>
      </c>
      <c r="BG297" s="88">
        <v>0</v>
      </c>
      <c r="BH297" s="88">
        <v>0</v>
      </c>
      <c r="BI297" s="88">
        <v>0</v>
      </c>
      <c r="BJ297" s="88">
        <v>0</v>
      </c>
      <c r="BK297" s="88">
        <v>0</v>
      </c>
      <c r="BL297" s="88">
        <v>0</v>
      </c>
      <c r="BM297" s="88">
        <v>0</v>
      </c>
      <c r="BN297" s="590">
        <v>0</v>
      </c>
      <c r="BO297" s="171">
        <v>2023</v>
      </c>
      <c r="BP297" s="171">
        <v>1</v>
      </c>
      <c r="BQ297" s="171">
        <v>19</v>
      </c>
      <c r="BS297" s="76" t="str">
        <f t="shared" si="9"/>
        <v>○</v>
      </c>
    </row>
    <row r="298" spans="1:71" x14ac:dyDescent="0.2">
      <c r="A298" s="210">
        <v>1492</v>
      </c>
      <c r="B298" s="211"/>
      <c r="C298" s="212"/>
      <c r="D298" s="211"/>
      <c r="E298" s="212"/>
      <c r="F298" s="211"/>
      <c r="G298" s="211"/>
      <c r="H298" s="212"/>
      <c r="I298" s="211"/>
      <c r="J298" s="211"/>
      <c r="K298" s="211"/>
      <c r="L298" s="171"/>
      <c r="M298" s="171" t="s">
        <v>542</v>
      </c>
      <c r="N298" s="171" t="s">
        <v>269</v>
      </c>
      <c r="O298" s="171" t="s">
        <v>364</v>
      </c>
      <c r="P298" s="171" t="s">
        <v>916</v>
      </c>
      <c r="Q298" s="171"/>
      <c r="R298" s="213">
        <v>2638000</v>
      </c>
      <c r="S298" s="87">
        <v>0</v>
      </c>
      <c r="T298" s="87">
        <v>0</v>
      </c>
      <c r="U298" s="87">
        <v>0</v>
      </c>
      <c r="V298" s="87">
        <v>0</v>
      </c>
      <c r="W298" s="87">
        <v>0</v>
      </c>
      <c r="X298" s="87">
        <v>0</v>
      </c>
      <c r="Y298" s="87">
        <v>0</v>
      </c>
      <c r="Z298" s="87">
        <v>0</v>
      </c>
      <c r="AA298" s="214">
        <v>0</v>
      </c>
      <c r="AB298" s="214">
        <v>0</v>
      </c>
      <c r="AC298" s="214">
        <v>0</v>
      </c>
      <c r="AD298" s="214">
        <v>0</v>
      </c>
      <c r="AE298" s="214">
        <v>0</v>
      </c>
      <c r="AF298" s="214">
        <v>0</v>
      </c>
      <c r="AG298" s="214">
        <v>0</v>
      </c>
      <c r="AH298" s="214">
        <v>0</v>
      </c>
      <c r="AI298" s="87">
        <v>2638680</v>
      </c>
      <c r="AJ298" s="87">
        <v>0</v>
      </c>
      <c r="AK298" s="87">
        <v>2638680</v>
      </c>
      <c r="AL298" s="87">
        <v>2638680</v>
      </c>
      <c r="AM298" s="87">
        <v>3110400</v>
      </c>
      <c r="AN298" s="87">
        <v>2638680</v>
      </c>
      <c r="AO298" s="87">
        <v>2638680</v>
      </c>
      <c r="AP298" s="87">
        <v>2638000</v>
      </c>
      <c r="AQ298" s="88">
        <v>0</v>
      </c>
      <c r="AR298" s="88">
        <v>0</v>
      </c>
      <c r="AS298" s="88">
        <v>0</v>
      </c>
      <c r="AT298" s="88">
        <v>0</v>
      </c>
      <c r="AU298" s="88">
        <v>0</v>
      </c>
      <c r="AV298" s="88">
        <v>0</v>
      </c>
      <c r="AW298" s="88">
        <v>0</v>
      </c>
      <c r="AX298" s="88">
        <v>0</v>
      </c>
      <c r="AY298" s="87">
        <v>0</v>
      </c>
      <c r="AZ298" s="87">
        <v>0</v>
      </c>
      <c r="BA298" s="87">
        <v>0</v>
      </c>
      <c r="BB298" s="87">
        <v>0</v>
      </c>
      <c r="BC298" s="87">
        <v>0</v>
      </c>
      <c r="BD298" s="87">
        <v>0</v>
      </c>
      <c r="BE298" s="87">
        <v>0</v>
      </c>
      <c r="BF298" s="87">
        <v>0</v>
      </c>
      <c r="BG298" s="88">
        <v>0</v>
      </c>
      <c r="BH298" s="88">
        <v>0</v>
      </c>
      <c r="BI298" s="88">
        <v>0</v>
      </c>
      <c r="BJ298" s="88">
        <v>0</v>
      </c>
      <c r="BK298" s="88">
        <v>0</v>
      </c>
      <c r="BL298" s="88">
        <v>0</v>
      </c>
      <c r="BM298" s="88">
        <v>0</v>
      </c>
      <c r="BN298" s="590">
        <v>0</v>
      </c>
      <c r="BO298" s="171">
        <v>2023</v>
      </c>
      <c r="BP298" s="171">
        <v>1</v>
      </c>
      <c r="BQ298" s="171">
        <v>19</v>
      </c>
      <c r="BS298" s="76" t="str">
        <f t="shared" si="9"/>
        <v>○</v>
      </c>
    </row>
    <row r="299" spans="1:71" x14ac:dyDescent="0.2">
      <c r="A299" s="210">
        <v>1493</v>
      </c>
      <c r="B299" s="211"/>
      <c r="C299" s="212"/>
      <c r="D299" s="211"/>
      <c r="E299" s="212"/>
      <c r="F299" s="211"/>
      <c r="G299" s="211"/>
      <c r="H299" s="212"/>
      <c r="I299" s="211"/>
      <c r="J299" s="211"/>
      <c r="K299" s="211"/>
      <c r="L299" s="171"/>
      <c r="M299" s="171" t="s">
        <v>579</v>
      </c>
      <c r="N299" s="171" t="s">
        <v>269</v>
      </c>
      <c r="O299" s="171" t="s">
        <v>580</v>
      </c>
      <c r="P299" s="171" t="s">
        <v>916</v>
      </c>
      <c r="Q299" s="171"/>
      <c r="R299" s="213">
        <v>188000</v>
      </c>
      <c r="S299" s="87">
        <v>0</v>
      </c>
      <c r="T299" s="87">
        <v>0</v>
      </c>
      <c r="U299" s="87">
        <v>0</v>
      </c>
      <c r="V299" s="87">
        <v>0</v>
      </c>
      <c r="W299" s="87">
        <v>0</v>
      </c>
      <c r="X299" s="87">
        <v>0</v>
      </c>
      <c r="Y299" s="87">
        <v>0</v>
      </c>
      <c r="Z299" s="87">
        <v>0</v>
      </c>
      <c r="AA299" s="214">
        <v>0</v>
      </c>
      <c r="AB299" s="214">
        <v>0</v>
      </c>
      <c r="AC299" s="214">
        <v>0</v>
      </c>
      <c r="AD299" s="214">
        <v>0</v>
      </c>
      <c r="AE299" s="214">
        <v>0</v>
      </c>
      <c r="AF299" s="214">
        <v>0</v>
      </c>
      <c r="AG299" s="214">
        <v>0</v>
      </c>
      <c r="AH299" s="214">
        <v>0</v>
      </c>
      <c r="AI299" s="87">
        <v>188980</v>
      </c>
      <c r="AJ299" s="87">
        <v>0</v>
      </c>
      <c r="AK299" s="87">
        <v>188980</v>
      </c>
      <c r="AL299" s="87">
        <v>188980</v>
      </c>
      <c r="AM299" s="87">
        <v>5702400</v>
      </c>
      <c r="AN299" s="87">
        <v>188980</v>
      </c>
      <c r="AO299" s="87">
        <v>188980</v>
      </c>
      <c r="AP299" s="87">
        <v>188000</v>
      </c>
      <c r="AQ299" s="88">
        <v>0</v>
      </c>
      <c r="AR299" s="88">
        <v>0</v>
      </c>
      <c r="AS299" s="88">
        <v>0</v>
      </c>
      <c r="AT299" s="88">
        <v>0</v>
      </c>
      <c r="AU299" s="88">
        <v>0</v>
      </c>
      <c r="AV299" s="88">
        <v>0</v>
      </c>
      <c r="AW299" s="88">
        <v>0</v>
      </c>
      <c r="AX299" s="88">
        <v>0</v>
      </c>
      <c r="AY299" s="87">
        <v>0</v>
      </c>
      <c r="AZ299" s="87">
        <v>0</v>
      </c>
      <c r="BA299" s="87">
        <v>0</v>
      </c>
      <c r="BB299" s="87">
        <v>0</v>
      </c>
      <c r="BC299" s="87">
        <v>0</v>
      </c>
      <c r="BD299" s="87">
        <v>0</v>
      </c>
      <c r="BE299" s="87">
        <v>0</v>
      </c>
      <c r="BF299" s="87">
        <v>0</v>
      </c>
      <c r="BG299" s="88">
        <v>0</v>
      </c>
      <c r="BH299" s="88">
        <v>0</v>
      </c>
      <c r="BI299" s="88">
        <v>0</v>
      </c>
      <c r="BJ299" s="88">
        <v>0</v>
      </c>
      <c r="BK299" s="88">
        <v>0</v>
      </c>
      <c r="BL299" s="88">
        <v>0</v>
      </c>
      <c r="BM299" s="88">
        <v>0</v>
      </c>
      <c r="BN299" s="590">
        <v>0</v>
      </c>
      <c r="BO299" s="171">
        <v>2023</v>
      </c>
      <c r="BP299" s="171">
        <v>1</v>
      </c>
      <c r="BQ299" s="171">
        <v>19</v>
      </c>
      <c r="BS299" s="76" t="str">
        <f t="shared" si="9"/>
        <v>○</v>
      </c>
    </row>
    <row r="300" spans="1:71" x14ac:dyDescent="0.2">
      <c r="A300" s="210">
        <v>1494</v>
      </c>
      <c r="B300" s="211"/>
      <c r="C300" s="212"/>
      <c r="D300" s="211"/>
      <c r="E300" s="212"/>
      <c r="F300" s="211"/>
      <c r="G300" s="211"/>
      <c r="H300" s="212"/>
      <c r="I300" s="211"/>
      <c r="J300" s="211"/>
      <c r="K300" s="211"/>
      <c r="L300" s="171"/>
      <c r="M300" s="171" t="s">
        <v>687</v>
      </c>
      <c r="N300" s="171" t="s">
        <v>278</v>
      </c>
      <c r="O300" s="171" t="s">
        <v>316</v>
      </c>
      <c r="P300" s="171" t="s">
        <v>916</v>
      </c>
      <c r="Q300" s="171"/>
      <c r="R300" s="213">
        <v>213000</v>
      </c>
      <c r="S300" s="87">
        <v>0</v>
      </c>
      <c r="T300" s="87">
        <v>0</v>
      </c>
      <c r="U300" s="87">
        <v>0</v>
      </c>
      <c r="V300" s="87">
        <v>0</v>
      </c>
      <c r="W300" s="87">
        <v>0</v>
      </c>
      <c r="X300" s="87">
        <v>0</v>
      </c>
      <c r="Y300" s="87">
        <v>0</v>
      </c>
      <c r="Z300" s="87">
        <v>0</v>
      </c>
      <c r="AA300" s="214">
        <v>0</v>
      </c>
      <c r="AB300" s="214">
        <v>0</v>
      </c>
      <c r="AC300" s="214">
        <v>0</v>
      </c>
      <c r="AD300" s="214">
        <v>0</v>
      </c>
      <c r="AE300" s="214">
        <v>0</v>
      </c>
      <c r="AF300" s="214">
        <v>0</v>
      </c>
      <c r="AG300" s="214">
        <v>0</v>
      </c>
      <c r="AH300" s="214">
        <v>0</v>
      </c>
      <c r="AI300" s="87">
        <v>213103</v>
      </c>
      <c r="AJ300" s="87">
        <v>0</v>
      </c>
      <c r="AK300" s="87">
        <v>213103</v>
      </c>
      <c r="AL300" s="87">
        <v>213103</v>
      </c>
      <c r="AM300" s="87">
        <v>1566000</v>
      </c>
      <c r="AN300" s="87">
        <v>213103</v>
      </c>
      <c r="AO300" s="87">
        <v>213103</v>
      </c>
      <c r="AP300" s="87">
        <v>213000</v>
      </c>
      <c r="AQ300" s="88">
        <v>0</v>
      </c>
      <c r="AR300" s="88">
        <v>0</v>
      </c>
      <c r="AS300" s="88">
        <v>0</v>
      </c>
      <c r="AT300" s="88">
        <v>0</v>
      </c>
      <c r="AU300" s="88">
        <v>0</v>
      </c>
      <c r="AV300" s="88">
        <v>0</v>
      </c>
      <c r="AW300" s="88">
        <v>0</v>
      </c>
      <c r="AX300" s="88">
        <v>0</v>
      </c>
      <c r="AY300" s="87">
        <v>0</v>
      </c>
      <c r="AZ300" s="87">
        <v>0</v>
      </c>
      <c r="BA300" s="87">
        <v>0</v>
      </c>
      <c r="BB300" s="87">
        <v>0</v>
      </c>
      <c r="BC300" s="87">
        <v>0</v>
      </c>
      <c r="BD300" s="87">
        <v>0</v>
      </c>
      <c r="BE300" s="87">
        <v>0</v>
      </c>
      <c r="BF300" s="87">
        <v>0</v>
      </c>
      <c r="BG300" s="88">
        <v>0</v>
      </c>
      <c r="BH300" s="88">
        <v>0</v>
      </c>
      <c r="BI300" s="88">
        <v>0</v>
      </c>
      <c r="BJ300" s="88">
        <v>0</v>
      </c>
      <c r="BK300" s="88">
        <v>0</v>
      </c>
      <c r="BL300" s="88">
        <v>0</v>
      </c>
      <c r="BM300" s="88">
        <v>0</v>
      </c>
      <c r="BN300" s="590">
        <v>0</v>
      </c>
      <c r="BO300" s="171">
        <v>2023</v>
      </c>
      <c r="BP300" s="171">
        <v>1</v>
      </c>
      <c r="BQ300" s="171">
        <v>19</v>
      </c>
      <c r="BS300" s="76" t="str">
        <f t="shared" si="9"/>
        <v>○</v>
      </c>
    </row>
    <row r="301" spans="1:71" x14ac:dyDescent="0.2">
      <c r="A301" s="210">
        <v>1495</v>
      </c>
      <c r="B301" s="211"/>
      <c r="C301" s="212"/>
      <c r="D301" s="211"/>
      <c r="E301" s="212"/>
      <c r="F301" s="211"/>
      <c r="G301" s="211"/>
      <c r="H301" s="212"/>
      <c r="I301" s="211"/>
      <c r="J301" s="211"/>
      <c r="K301" s="211"/>
      <c r="L301" s="171"/>
      <c r="M301" s="171" t="s">
        <v>688</v>
      </c>
      <c r="N301" s="171" t="s">
        <v>354</v>
      </c>
      <c r="O301" s="171" t="s">
        <v>689</v>
      </c>
      <c r="P301" s="171" t="s">
        <v>916</v>
      </c>
      <c r="Q301" s="171"/>
      <c r="R301" s="213">
        <v>1433000</v>
      </c>
      <c r="S301" s="87">
        <v>0</v>
      </c>
      <c r="T301" s="87">
        <v>0</v>
      </c>
      <c r="U301" s="87">
        <v>0</v>
      </c>
      <c r="V301" s="87">
        <v>0</v>
      </c>
      <c r="W301" s="87">
        <v>0</v>
      </c>
      <c r="X301" s="87">
        <v>0</v>
      </c>
      <c r="Y301" s="87">
        <v>0</v>
      </c>
      <c r="Z301" s="87">
        <v>0</v>
      </c>
      <c r="AA301" s="214">
        <v>0</v>
      </c>
      <c r="AB301" s="214">
        <v>0</v>
      </c>
      <c r="AC301" s="214">
        <v>0</v>
      </c>
      <c r="AD301" s="214">
        <v>0</v>
      </c>
      <c r="AE301" s="214">
        <v>0</v>
      </c>
      <c r="AF301" s="214">
        <v>0</v>
      </c>
      <c r="AG301" s="214">
        <v>0</v>
      </c>
      <c r="AH301" s="214">
        <v>0</v>
      </c>
      <c r="AI301" s="87">
        <v>1433975</v>
      </c>
      <c r="AJ301" s="87">
        <v>0</v>
      </c>
      <c r="AK301" s="87">
        <v>1433975</v>
      </c>
      <c r="AL301" s="87">
        <v>1433975</v>
      </c>
      <c r="AM301" s="87">
        <v>2700000</v>
      </c>
      <c r="AN301" s="87">
        <v>1433975</v>
      </c>
      <c r="AO301" s="87">
        <v>1433975</v>
      </c>
      <c r="AP301" s="87">
        <v>1433000</v>
      </c>
      <c r="AQ301" s="88">
        <v>0</v>
      </c>
      <c r="AR301" s="88">
        <v>0</v>
      </c>
      <c r="AS301" s="88">
        <v>0</v>
      </c>
      <c r="AT301" s="88">
        <v>0</v>
      </c>
      <c r="AU301" s="88">
        <v>0</v>
      </c>
      <c r="AV301" s="88">
        <v>0</v>
      </c>
      <c r="AW301" s="88">
        <v>0</v>
      </c>
      <c r="AX301" s="88">
        <v>0</v>
      </c>
      <c r="AY301" s="87">
        <v>0</v>
      </c>
      <c r="AZ301" s="87">
        <v>0</v>
      </c>
      <c r="BA301" s="87">
        <v>0</v>
      </c>
      <c r="BB301" s="87">
        <v>0</v>
      </c>
      <c r="BC301" s="87">
        <v>0</v>
      </c>
      <c r="BD301" s="87">
        <v>0</v>
      </c>
      <c r="BE301" s="87">
        <v>0</v>
      </c>
      <c r="BF301" s="87">
        <v>0</v>
      </c>
      <c r="BG301" s="88">
        <v>0</v>
      </c>
      <c r="BH301" s="88">
        <v>0</v>
      </c>
      <c r="BI301" s="88">
        <v>0</v>
      </c>
      <c r="BJ301" s="88">
        <v>0</v>
      </c>
      <c r="BK301" s="88">
        <v>0</v>
      </c>
      <c r="BL301" s="88">
        <v>0</v>
      </c>
      <c r="BM301" s="88">
        <v>0</v>
      </c>
      <c r="BN301" s="590">
        <v>0</v>
      </c>
      <c r="BO301" s="171">
        <v>2023</v>
      </c>
      <c r="BP301" s="171">
        <v>1</v>
      </c>
      <c r="BQ301" s="171">
        <v>19</v>
      </c>
      <c r="BS301" s="76" t="str">
        <f t="shared" si="9"/>
        <v>○</v>
      </c>
    </row>
    <row r="302" spans="1:71" x14ac:dyDescent="0.2">
      <c r="A302" s="210">
        <v>1496</v>
      </c>
      <c r="B302" s="211"/>
      <c r="C302" s="212"/>
      <c r="D302" s="211"/>
      <c r="E302" s="212"/>
      <c r="F302" s="211"/>
      <c r="G302" s="211"/>
      <c r="H302" s="212"/>
      <c r="I302" s="211"/>
      <c r="J302" s="211"/>
      <c r="K302" s="211"/>
      <c r="L302" s="171"/>
      <c r="M302" s="171" t="s">
        <v>690</v>
      </c>
      <c r="N302" s="171" t="s">
        <v>275</v>
      </c>
      <c r="O302" s="171" t="s">
        <v>691</v>
      </c>
      <c r="P302" s="171" t="s">
        <v>916</v>
      </c>
      <c r="Q302" s="75"/>
      <c r="R302" s="213">
        <v>1004000</v>
      </c>
      <c r="S302" s="87">
        <v>0</v>
      </c>
      <c r="T302" s="87">
        <v>0</v>
      </c>
      <c r="U302" s="87">
        <v>0</v>
      </c>
      <c r="V302" s="87">
        <v>0</v>
      </c>
      <c r="W302" s="87">
        <v>0</v>
      </c>
      <c r="X302" s="87">
        <v>0</v>
      </c>
      <c r="Y302" s="87">
        <v>0</v>
      </c>
      <c r="Z302" s="87">
        <v>0</v>
      </c>
      <c r="AA302" s="214">
        <v>0</v>
      </c>
      <c r="AB302" s="214">
        <v>0</v>
      </c>
      <c r="AC302" s="214">
        <v>0</v>
      </c>
      <c r="AD302" s="214">
        <v>0</v>
      </c>
      <c r="AE302" s="214">
        <v>0</v>
      </c>
      <c r="AF302" s="214">
        <v>0</v>
      </c>
      <c r="AG302" s="214">
        <v>0</v>
      </c>
      <c r="AH302" s="214">
        <v>0</v>
      </c>
      <c r="AI302" s="87">
        <v>1004090</v>
      </c>
      <c r="AJ302" s="87">
        <v>0</v>
      </c>
      <c r="AK302" s="87">
        <v>1004090</v>
      </c>
      <c r="AL302" s="87">
        <v>1004090</v>
      </c>
      <c r="AM302" s="87">
        <v>2628000</v>
      </c>
      <c r="AN302" s="87">
        <v>1004090</v>
      </c>
      <c r="AO302" s="87">
        <v>1004090</v>
      </c>
      <c r="AP302" s="87">
        <v>1004000</v>
      </c>
      <c r="AQ302" s="88">
        <v>0</v>
      </c>
      <c r="AR302" s="88">
        <v>0</v>
      </c>
      <c r="AS302" s="88">
        <v>0</v>
      </c>
      <c r="AT302" s="88">
        <v>0</v>
      </c>
      <c r="AU302" s="88">
        <v>0</v>
      </c>
      <c r="AV302" s="88">
        <v>0</v>
      </c>
      <c r="AW302" s="88">
        <v>0</v>
      </c>
      <c r="AX302" s="88">
        <v>0</v>
      </c>
      <c r="AY302" s="87">
        <v>0</v>
      </c>
      <c r="AZ302" s="87">
        <v>0</v>
      </c>
      <c r="BA302" s="87">
        <v>0</v>
      </c>
      <c r="BB302" s="87">
        <v>0</v>
      </c>
      <c r="BC302" s="87">
        <v>0</v>
      </c>
      <c r="BD302" s="87">
        <v>0</v>
      </c>
      <c r="BE302" s="87">
        <v>0</v>
      </c>
      <c r="BF302" s="87">
        <v>0</v>
      </c>
      <c r="BG302" s="88">
        <v>0</v>
      </c>
      <c r="BH302" s="88">
        <v>0</v>
      </c>
      <c r="BI302" s="88">
        <v>0</v>
      </c>
      <c r="BJ302" s="88">
        <v>0</v>
      </c>
      <c r="BK302" s="88">
        <v>0</v>
      </c>
      <c r="BL302" s="88">
        <v>0</v>
      </c>
      <c r="BM302" s="88">
        <v>0</v>
      </c>
      <c r="BN302" s="590">
        <v>0</v>
      </c>
      <c r="BO302" s="171">
        <v>2023</v>
      </c>
      <c r="BP302" s="171">
        <v>1</v>
      </c>
      <c r="BQ302" s="171">
        <v>19</v>
      </c>
      <c r="BS302" s="76" t="str">
        <f t="shared" si="9"/>
        <v>○</v>
      </c>
    </row>
    <row r="303" spans="1:71" x14ac:dyDescent="0.2">
      <c r="A303" s="210">
        <v>1498</v>
      </c>
      <c r="B303" s="211"/>
      <c r="C303" s="212"/>
      <c r="D303" s="211"/>
      <c r="E303" s="212"/>
      <c r="F303" s="211"/>
      <c r="G303" s="211"/>
      <c r="H303" s="212"/>
      <c r="I303" s="211"/>
      <c r="J303" s="211"/>
      <c r="K303" s="211"/>
      <c r="L303" s="171"/>
      <c r="M303" s="171" t="s">
        <v>692</v>
      </c>
      <c r="N303" s="171" t="s">
        <v>306</v>
      </c>
      <c r="O303" s="171" t="s">
        <v>580</v>
      </c>
      <c r="P303" s="171" t="s">
        <v>916</v>
      </c>
      <c r="Q303" s="171"/>
      <c r="R303" s="213">
        <v>121000</v>
      </c>
      <c r="S303" s="87">
        <v>0</v>
      </c>
      <c r="T303" s="87">
        <v>0</v>
      </c>
      <c r="U303" s="87">
        <v>0</v>
      </c>
      <c r="V303" s="87">
        <v>0</v>
      </c>
      <c r="W303" s="87">
        <v>0</v>
      </c>
      <c r="X303" s="87">
        <v>0</v>
      </c>
      <c r="Y303" s="87">
        <v>0</v>
      </c>
      <c r="Z303" s="87">
        <v>0</v>
      </c>
      <c r="AA303" s="214">
        <v>0</v>
      </c>
      <c r="AB303" s="214">
        <v>0</v>
      </c>
      <c r="AC303" s="214">
        <v>0</v>
      </c>
      <c r="AD303" s="214">
        <v>0</v>
      </c>
      <c r="AE303" s="214">
        <v>0</v>
      </c>
      <c r="AF303" s="214">
        <v>0</v>
      </c>
      <c r="AG303" s="214">
        <v>0</v>
      </c>
      <c r="AH303" s="214">
        <v>0</v>
      </c>
      <c r="AI303" s="87">
        <v>121780</v>
      </c>
      <c r="AJ303" s="87">
        <v>0</v>
      </c>
      <c r="AK303" s="87">
        <v>121780</v>
      </c>
      <c r="AL303" s="87">
        <v>121780</v>
      </c>
      <c r="AM303" s="87">
        <v>5400000</v>
      </c>
      <c r="AN303" s="87">
        <v>121780</v>
      </c>
      <c r="AO303" s="87">
        <v>121780</v>
      </c>
      <c r="AP303" s="87">
        <v>121000</v>
      </c>
      <c r="AQ303" s="88">
        <v>0</v>
      </c>
      <c r="AR303" s="88">
        <v>0</v>
      </c>
      <c r="AS303" s="88">
        <v>0</v>
      </c>
      <c r="AT303" s="88">
        <v>0</v>
      </c>
      <c r="AU303" s="88">
        <v>0</v>
      </c>
      <c r="AV303" s="88">
        <v>0</v>
      </c>
      <c r="AW303" s="88">
        <v>0</v>
      </c>
      <c r="AX303" s="88">
        <v>0</v>
      </c>
      <c r="AY303" s="87">
        <v>0</v>
      </c>
      <c r="AZ303" s="87">
        <v>0</v>
      </c>
      <c r="BA303" s="87">
        <v>0</v>
      </c>
      <c r="BB303" s="87">
        <v>0</v>
      </c>
      <c r="BC303" s="87">
        <v>0</v>
      </c>
      <c r="BD303" s="87">
        <v>0</v>
      </c>
      <c r="BE303" s="87">
        <v>0</v>
      </c>
      <c r="BF303" s="87">
        <v>0</v>
      </c>
      <c r="BG303" s="88">
        <v>0</v>
      </c>
      <c r="BH303" s="88">
        <v>0</v>
      </c>
      <c r="BI303" s="88">
        <v>0</v>
      </c>
      <c r="BJ303" s="88">
        <v>0</v>
      </c>
      <c r="BK303" s="88">
        <v>0</v>
      </c>
      <c r="BL303" s="88">
        <v>0</v>
      </c>
      <c r="BM303" s="88">
        <v>0</v>
      </c>
      <c r="BN303" s="590">
        <v>0</v>
      </c>
      <c r="BO303" s="171">
        <v>2023</v>
      </c>
      <c r="BP303" s="171">
        <v>1</v>
      </c>
      <c r="BQ303" s="171">
        <v>19</v>
      </c>
      <c r="BS303" s="76" t="str">
        <f t="shared" si="9"/>
        <v>○</v>
      </c>
    </row>
    <row r="304" spans="1:71" x14ac:dyDescent="0.2">
      <c r="A304" s="210">
        <v>1499</v>
      </c>
      <c r="B304" s="211"/>
      <c r="C304" s="212"/>
      <c r="D304" s="211"/>
      <c r="E304" s="212"/>
      <c r="F304" s="211"/>
      <c r="G304" s="211"/>
      <c r="H304" s="212"/>
      <c r="I304" s="211"/>
      <c r="J304" s="211"/>
      <c r="K304" s="211"/>
      <c r="L304" s="171"/>
      <c r="M304" s="171" t="s">
        <v>693</v>
      </c>
      <c r="N304" s="171" t="s">
        <v>302</v>
      </c>
      <c r="O304" s="171" t="s">
        <v>412</v>
      </c>
      <c r="P304" s="171" t="s">
        <v>916</v>
      </c>
      <c r="Q304" s="171"/>
      <c r="R304" s="213">
        <v>359000</v>
      </c>
      <c r="S304" s="87">
        <v>0</v>
      </c>
      <c r="T304" s="87">
        <v>0</v>
      </c>
      <c r="U304" s="87">
        <v>0</v>
      </c>
      <c r="V304" s="87">
        <v>0</v>
      </c>
      <c r="W304" s="87">
        <v>0</v>
      </c>
      <c r="X304" s="87">
        <v>0</v>
      </c>
      <c r="Y304" s="87">
        <v>0</v>
      </c>
      <c r="Z304" s="87">
        <v>0</v>
      </c>
      <c r="AA304" s="214">
        <v>0</v>
      </c>
      <c r="AB304" s="214">
        <v>0</v>
      </c>
      <c r="AC304" s="214">
        <v>0</v>
      </c>
      <c r="AD304" s="214">
        <v>0</v>
      </c>
      <c r="AE304" s="214">
        <v>0</v>
      </c>
      <c r="AF304" s="214">
        <v>0</v>
      </c>
      <c r="AG304" s="214">
        <v>0</v>
      </c>
      <c r="AH304" s="214">
        <v>0</v>
      </c>
      <c r="AI304" s="87">
        <v>359040</v>
      </c>
      <c r="AJ304" s="87">
        <v>0</v>
      </c>
      <c r="AK304" s="87">
        <v>359040</v>
      </c>
      <c r="AL304" s="87">
        <v>359040</v>
      </c>
      <c r="AM304" s="87">
        <v>792000</v>
      </c>
      <c r="AN304" s="87">
        <v>359040</v>
      </c>
      <c r="AO304" s="87">
        <v>359040</v>
      </c>
      <c r="AP304" s="87">
        <v>359000</v>
      </c>
      <c r="AQ304" s="88">
        <v>0</v>
      </c>
      <c r="AR304" s="88">
        <v>0</v>
      </c>
      <c r="AS304" s="88">
        <v>0</v>
      </c>
      <c r="AT304" s="88">
        <v>0</v>
      </c>
      <c r="AU304" s="88">
        <v>0</v>
      </c>
      <c r="AV304" s="88">
        <v>0</v>
      </c>
      <c r="AW304" s="88">
        <v>0</v>
      </c>
      <c r="AX304" s="88">
        <v>0</v>
      </c>
      <c r="AY304" s="87">
        <v>0</v>
      </c>
      <c r="AZ304" s="87">
        <v>0</v>
      </c>
      <c r="BA304" s="87">
        <v>0</v>
      </c>
      <c r="BB304" s="87">
        <v>0</v>
      </c>
      <c r="BC304" s="87">
        <v>0</v>
      </c>
      <c r="BD304" s="87">
        <v>0</v>
      </c>
      <c r="BE304" s="87">
        <v>0</v>
      </c>
      <c r="BF304" s="87">
        <v>0</v>
      </c>
      <c r="BG304" s="88">
        <v>0</v>
      </c>
      <c r="BH304" s="88">
        <v>0</v>
      </c>
      <c r="BI304" s="88">
        <v>0</v>
      </c>
      <c r="BJ304" s="88">
        <v>0</v>
      </c>
      <c r="BK304" s="88">
        <v>0</v>
      </c>
      <c r="BL304" s="88">
        <v>0</v>
      </c>
      <c r="BM304" s="88">
        <v>0</v>
      </c>
      <c r="BN304" s="590">
        <v>0</v>
      </c>
      <c r="BO304" s="171">
        <v>2023</v>
      </c>
      <c r="BP304" s="171">
        <v>1</v>
      </c>
      <c r="BQ304" s="171">
        <v>19</v>
      </c>
      <c r="BS304" s="76" t="str">
        <f t="shared" si="9"/>
        <v>○</v>
      </c>
    </row>
    <row r="305" spans="1:71" x14ac:dyDescent="0.2">
      <c r="A305" s="210">
        <v>1500</v>
      </c>
      <c r="B305" s="211"/>
      <c r="C305" s="212"/>
      <c r="D305" s="211"/>
      <c r="E305" s="212"/>
      <c r="F305" s="211"/>
      <c r="G305" s="211"/>
      <c r="H305" s="212"/>
      <c r="I305" s="211"/>
      <c r="J305" s="211"/>
      <c r="K305" s="211"/>
      <c r="L305" s="171"/>
      <c r="M305" s="171" t="s">
        <v>694</v>
      </c>
      <c r="N305" s="171" t="s">
        <v>302</v>
      </c>
      <c r="O305" s="171" t="s">
        <v>284</v>
      </c>
      <c r="P305" s="171" t="s">
        <v>917</v>
      </c>
      <c r="Q305" s="171"/>
      <c r="R305" s="213">
        <v>100000</v>
      </c>
      <c r="S305" s="87">
        <v>0</v>
      </c>
      <c r="T305" s="87">
        <v>0</v>
      </c>
      <c r="U305" s="87">
        <v>0</v>
      </c>
      <c r="V305" s="87">
        <v>0</v>
      </c>
      <c r="W305" s="87">
        <v>0</v>
      </c>
      <c r="X305" s="87">
        <v>0</v>
      </c>
      <c r="Y305" s="87">
        <v>0</v>
      </c>
      <c r="Z305" s="87">
        <v>0</v>
      </c>
      <c r="AA305" s="214">
        <v>0</v>
      </c>
      <c r="AB305" s="214">
        <v>0</v>
      </c>
      <c r="AC305" s="214">
        <v>0</v>
      </c>
      <c r="AD305" s="214">
        <v>0</v>
      </c>
      <c r="AE305" s="214">
        <v>0</v>
      </c>
      <c r="AF305" s="214">
        <v>0</v>
      </c>
      <c r="AG305" s="214">
        <v>0</v>
      </c>
      <c r="AH305" s="214">
        <v>0</v>
      </c>
      <c r="AI305" s="87">
        <v>100583</v>
      </c>
      <c r="AJ305" s="87">
        <v>0</v>
      </c>
      <c r="AK305" s="87">
        <v>100583</v>
      </c>
      <c r="AL305" s="87">
        <v>100583</v>
      </c>
      <c r="AM305" s="87">
        <v>871200</v>
      </c>
      <c r="AN305" s="87">
        <v>100583</v>
      </c>
      <c r="AO305" s="87">
        <v>100583</v>
      </c>
      <c r="AP305" s="87">
        <v>100000</v>
      </c>
      <c r="AQ305" s="88">
        <v>0</v>
      </c>
      <c r="AR305" s="88">
        <v>0</v>
      </c>
      <c r="AS305" s="88">
        <v>0</v>
      </c>
      <c r="AT305" s="88">
        <v>0</v>
      </c>
      <c r="AU305" s="88">
        <v>0</v>
      </c>
      <c r="AV305" s="88">
        <v>0</v>
      </c>
      <c r="AW305" s="88">
        <v>0</v>
      </c>
      <c r="AX305" s="88">
        <v>0</v>
      </c>
      <c r="AY305" s="87">
        <v>0</v>
      </c>
      <c r="AZ305" s="87">
        <v>0</v>
      </c>
      <c r="BA305" s="87">
        <v>0</v>
      </c>
      <c r="BB305" s="87">
        <v>0</v>
      </c>
      <c r="BC305" s="87">
        <v>0</v>
      </c>
      <c r="BD305" s="87">
        <v>0</v>
      </c>
      <c r="BE305" s="87">
        <v>0</v>
      </c>
      <c r="BF305" s="87">
        <v>0</v>
      </c>
      <c r="BG305" s="88">
        <v>0</v>
      </c>
      <c r="BH305" s="88">
        <v>0</v>
      </c>
      <c r="BI305" s="88">
        <v>0</v>
      </c>
      <c r="BJ305" s="88">
        <v>0</v>
      </c>
      <c r="BK305" s="88">
        <v>0</v>
      </c>
      <c r="BL305" s="88">
        <v>0</v>
      </c>
      <c r="BM305" s="88">
        <v>0</v>
      </c>
      <c r="BN305" s="590">
        <v>0</v>
      </c>
      <c r="BO305" s="171">
        <v>2023</v>
      </c>
      <c r="BP305" s="171">
        <v>1</v>
      </c>
      <c r="BQ305" s="171">
        <v>19</v>
      </c>
      <c r="BS305" s="76" t="str">
        <f t="shared" si="9"/>
        <v>○</v>
      </c>
    </row>
    <row r="306" spans="1:71" x14ac:dyDescent="0.2">
      <c r="A306" s="210">
        <v>1501</v>
      </c>
      <c r="B306" s="211"/>
      <c r="C306" s="212"/>
      <c r="D306" s="211"/>
      <c r="E306" s="212"/>
      <c r="F306" s="211"/>
      <c r="G306" s="211"/>
      <c r="H306" s="212"/>
      <c r="I306" s="211"/>
      <c r="J306" s="211"/>
      <c r="K306" s="211"/>
      <c r="L306" s="171"/>
      <c r="M306" s="171" t="s">
        <v>695</v>
      </c>
      <c r="N306" s="171" t="s">
        <v>269</v>
      </c>
      <c r="O306" s="171" t="s">
        <v>294</v>
      </c>
      <c r="P306" s="171" t="s">
        <v>916</v>
      </c>
      <c r="Q306" s="171"/>
      <c r="R306" s="213">
        <v>868000</v>
      </c>
      <c r="S306" s="87">
        <v>0</v>
      </c>
      <c r="T306" s="87">
        <v>0</v>
      </c>
      <c r="U306" s="87">
        <v>0</v>
      </c>
      <c r="V306" s="87">
        <v>0</v>
      </c>
      <c r="W306" s="87">
        <v>0</v>
      </c>
      <c r="X306" s="87">
        <v>0</v>
      </c>
      <c r="Y306" s="87">
        <v>0</v>
      </c>
      <c r="Z306" s="87">
        <v>0</v>
      </c>
      <c r="AA306" s="214">
        <v>0</v>
      </c>
      <c r="AB306" s="214">
        <v>0</v>
      </c>
      <c r="AC306" s="214">
        <v>0</v>
      </c>
      <c r="AD306" s="214">
        <v>0</v>
      </c>
      <c r="AE306" s="214">
        <v>0</v>
      </c>
      <c r="AF306" s="214">
        <v>0</v>
      </c>
      <c r="AG306" s="214">
        <v>0</v>
      </c>
      <c r="AH306" s="214">
        <v>0</v>
      </c>
      <c r="AI306" s="87">
        <v>868350</v>
      </c>
      <c r="AJ306" s="87">
        <v>0</v>
      </c>
      <c r="AK306" s="87">
        <v>868350</v>
      </c>
      <c r="AL306" s="87">
        <v>868350</v>
      </c>
      <c r="AM306" s="87">
        <v>6264000</v>
      </c>
      <c r="AN306" s="87">
        <v>868350</v>
      </c>
      <c r="AO306" s="87">
        <v>868350</v>
      </c>
      <c r="AP306" s="87">
        <v>868000</v>
      </c>
      <c r="AQ306" s="88">
        <v>0</v>
      </c>
      <c r="AR306" s="88">
        <v>0</v>
      </c>
      <c r="AS306" s="88">
        <v>0</v>
      </c>
      <c r="AT306" s="88">
        <v>0</v>
      </c>
      <c r="AU306" s="88">
        <v>0</v>
      </c>
      <c r="AV306" s="88">
        <v>0</v>
      </c>
      <c r="AW306" s="88">
        <v>0</v>
      </c>
      <c r="AX306" s="88">
        <v>0</v>
      </c>
      <c r="AY306" s="87">
        <v>0</v>
      </c>
      <c r="AZ306" s="87">
        <v>0</v>
      </c>
      <c r="BA306" s="87">
        <v>0</v>
      </c>
      <c r="BB306" s="87">
        <v>0</v>
      </c>
      <c r="BC306" s="87">
        <v>0</v>
      </c>
      <c r="BD306" s="87">
        <v>0</v>
      </c>
      <c r="BE306" s="87">
        <v>0</v>
      </c>
      <c r="BF306" s="87">
        <v>0</v>
      </c>
      <c r="BG306" s="88">
        <v>0</v>
      </c>
      <c r="BH306" s="88">
        <v>0</v>
      </c>
      <c r="BI306" s="88">
        <v>0</v>
      </c>
      <c r="BJ306" s="88">
        <v>0</v>
      </c>
      <c r="BK306" s="88">
        <v>0</v>
      </c>
      <c r="BL306" s="88">
        <v>0</v>
      </c>
      <c r="BM306" s="88">
        <v>0</v>
      </c>
      <c r="BN306" s="590">
        <v>0</v>
      </c>
      <c r="BO306" s="171">
        <v>2023</v>
      </c>
      <c r="BP306" s="171">
        <v>1</v>
      </c>
      <c r="BQ306" s="171">
        <v>19</v>
      </c>
      <c r="BS306" s="76" t="str">
        <f t="shared" si="9"/>
        <v>○</v>
      </c>
    </row>
    <row r="307" spans="1:71" x14ac:dyDescent="0.2">
      <c r="A307" s="210">
        <v>1502</v>
      </c>
      <c r="B307" s="211"/>
      <c r="C307" s="212"/>
      <c r="D307" s="211"/>
      <c r="E307" s="212"/>
      <c r="F307" s="211"/>
      <c r="G307" s="211"/>
      <c r="H307" s="212"/>
      <c r="I307" s="211"/>
      <c r="J307" s="211"/>
      <c r="K307" s="211"/>
      <c r="L307" s="171"/>
      <c r="M307" s="171" t="s">
        <v>696</v>
      </c>
      <c r="N307" s="171" t="s">
        <v>269</v>
      </c>
      <c r="O307" s="171" t="s">
        <v>432</v>
      </c>
      <c r="P307" s="171" t="s">
        <v>916</v>
      </c>
      <c r="Q307" s="171"/>
      <c r="R307" s="213">
        <v>154000</v>
      </c>
      <c r="S307" s="87">
        <v>0</v>
      </c>
      <c r="T307" s="87">
        <v>0</v>
      </c>
      <c r="U307" s="87">
        <v>0</v>
      </c>
      <c r="V307" s="87">
        <v>0</v>
      </c>
      <c r="W307" s="87">
        <v>0</v>
      </c>
      <c r="X307" s="87">
        <v>0</v>
      </c>
      <c r="Y307" s="87">
        <v>0</v>
      </c>
      <c r="Z307" s="87">
        <v>0</v>
      </c>
      <c r="AA307" s="214">
        <v>0</v>
      </c>
      <c r="AB307" s="214">
        <v>0</v>
      </c>
      <c r="AC307" s="214">
        <v>0</v>
      </c>
      <c r="AD307" s="214">
        <v>0</v>
      </c>
      <c r="AE307" s="214">
        <v>0</v>
      </c>
      <c r="AF307" s="214">
        <v>0</v>
      </c>
      <c r="AG307" s="214">
        <v>0</v>
      </c>
      <c r="AH307" s="214">
        <v>0</v>
      </c>
      <c r="AI307" s="87">
        <v>154660</v>
      </c>
      <c r="AJ307" s="87">
        <v>0</v>
      </c>
      <c r="AK307" s="87">
        <v>154660</v>
      </c>
      <c r="AL307" s="87">
        <v>154660</v>
      </c>
      <c r="AM307" s="87">
        <v>2610000</v>
      </c>
      <c r="AN307" s="87">
        <v>154660</v>
      </c>
      <c r="AO307" s="87">
        <v>154660</v>
      </c>
      <c r="AP307" s="87">
        <v>154000</v>
      </c>
      <c r="AQ307" s="88">
        <v>0</v>
      </c>
      <c r="AR307" s="88">
        <v>0</v>
      </c>
      <c r="AS307" s="88">
        <v>0</v>
      </c>
      <c r="AT307" s="88">
        <v>0</v>
      </c>
      <c r="AU307" s="88">
        <v>0</v>
      </c>
      <c r="AV307" s="88">
        <v>0</v>
      </c>
      <c r="AW307" s="88">
        <v>0</v>
      </c>
      <c r="AX307" s="88">
        <v>0</v>
      </c>
      <c r="AY307" s="87">
        <v>0</v>
      </c>
      <c r="AZ307" s="87">
        <v>0</v>
      </c>
      <c r="BA307" s="87">
        <v>0</v>
      </c>
      <c r="BB307" s="87">
        <v>0</v>
      </c>
      <c r="BC307" s="87">
        <v>0</v>
      </c>
      <c r="BD307" s="87">
        <v>0</v>
      </c>
      <c r="BE307" s="87">
        <v>0</v>
      </c>
      <c r="BF307" s="87">
        <v>0</v>
      </c>
      <c r="BG307" s="88">
        <v>0</v>
      </c>
      <c r="BH307" s="88">
        <v>0</v>
      </c>
      <c r="BI307" s="88">
        <v>0</v>
      </c>
      <c r="BJ307" s="88">
        <v>0</v>
      </c>
      <c r="BK307" s="88">
        <v>0</v>
      </c>
      <c r="BL307" s="88">
        <v>0</v>
      </c>
      <c r="BM307" s="88">
        <v>0</v>
      </c>
      <c r="BN307" s="590">
        <v>0</v>
      </c>
      <c r="BO307" s="171">
        <v>2023</v>
      </c>
      <c r="BP307" s="171">
        <v>1</v>
      </c>
      <c r="BQ307" s="171">
        <v>19</v>
      </c>
      <c r="BS307" s="76" t="str">
        <f t="shared" si="9"/>
        <v>○</v>
      </c>
    </row>
    <row r="308" spans="1:71" x14ac:dyDescent="0.2">
      <c r="A308" s="210">
        <v>1503</v>
      </c>
      <c r="B308" s="211"/>
      <c r="C308" s="212"/>
      <c r="D308" s="211"/>
      <c r="E308" s="212"/>
      <c r="F308" s="211"/>
      <c r="G308" s="211"/>
      <c r="H308" s="212"/>
      <c r="I308" s="211"/>
      <c r="J308" s="211"/>
      <c r="K308" s="211"/>
      <c r="L308" s="171"/>
      <c r="M308" s="171" t="s">
        <v>697</v>
      </c>
      <c r="N308" s="171" t="s">
        <v>269</v>
      </c>
      <c r="O308" s="171" t="s">
        <v>698</v>
      </c>
      <c r="P308" s="171" t="s">
        <v>916</v>
      </c>
      <c r="Q308" s="75"/>
      <c r="R308" s="213">
        <v>136000</v>
      </c>
      <c r="S308" s="87">
        <v>0</v>
      </c>
      <c r="T308" s="87">
        <v>0</v>
      </c>
      <c r="U308" s="87">
        <v>0</v>
      </c>
      <c r="V308" s="87">
        <v>0</v>
      </c>
      <c r="W308" s="87">
        <v>0</v>
      </c>
      <c r="X308" s="87">
        <v>0</v>
      </c>
      <c r="Y308" s="87">
        <v>0</v>
      </c>
      <c r="Z308" s="87">
        <v>0</v>
      </c>
      <c r="AA308" s="214">
        <v>0</v>
      </c>
      <c r="AB308" s="214">
        <v>0</v>
      </c>
      <c r="AC308" s="214">
        <v>0</v>
      </c>
      <c r="AD308" s="214">
        <v>0</v>
      </c>
      <c r="AE308" s="214">
        <v>0</v>
      </c>
      <c r="AF308" s="214">
        <v>0</v>
      </c>
      <c r="AG308" s="214">
        <v>0</v>
      </c>
      <c r="AH308" s="214">
        <v>0</v>
      </c>
      <c r="AI308" s="87">
        <v>136630</v>
      </c>
      <c r="AJ308" s="87">
        <v>0</v>
      </c>
      <c r="AK308" s="87">
        <v>136630</v>
      </c>
      <c r="AL308" s="87">
        <v>136630</v>
      </c>
      <c r="AM308" s="87">
        <v>2160000</v>
      </c>
      <c r="AN308" s="87">
        <v>136630</v>
      </c>
      <c r="AO308" s="87">
        <v>136630</v>
      </c>
      <c r="AP308" s="87">
        <v>136000</v>
      </c>
      <c r="AQ308" s="88">
        <v>0</v>
      </c>
      <c r="AR308" s="88">
        <v>0</v>
      </c>
      <c r="AS308" s="88">
        <v>0</v>
      </c>
      <c r="AT308" s="88">
        <v>0</v>
      </c>
      <c r="AU308" s="88">
        <v>0</v>
      </c>
      <c r="AV308" s="88">
        <v>0</v>
      </c>
      <c r="AW308" s="88">
        <v>0</v>
      </c>
      <c r="AX308" s="88">
        <v>0</v>
      </c>
      <c r="AY308" s="87">
        <v>0</v>
      </c>
      <c r="AZ308" s="87">
        <v>0</v>
      </c>
      <c r="BA308" s="87">
        <v>0</v>
      </c>
      <c r="BB308" s="87">
        <v>0</v>
      </c>
      <c r="BC308" s="87">
        <v>0</v>
      </c>
      <c r="BD308" s="87">
        <v>0</v>
      </c>
      <c r="BE308" s="87">
        <v>0</v>
      </c>
      <c r="BF308" s="87">
        <v>0</v>
      </c>
      <c r="BG308" s="88">
        <v>0</v>
      </c>
      <c r="BH308" s="88">
        <v>0</v>
      </c>
      <c r="BI308" s="88">
        <v>0</v>
      </c>
      <c r="BJ308" s="88">
        <v>0</v>
      </c>
      <c r="BK308" s="88">
        <v>0</v>
      </c>
      <c r="BL308" s="88">
        <v>0</v>
      </c>
      <c r="BM308" s="88">
        <v>0</v>
      </c>
      <c r="BN308" s="590">
        <v>0</v>
      </c>
      <c r="BO308" s="171">
        <v>2023</v>
      </c>
      <c r="BP308" s="171">
        <v>1</v>
      </c>
      <c r="BQ308" s="171">
        <v>19</v>
      </c>
      <c r="BS308" s="76" t="str">
        <f t="shared" si="9"/>
        <v>○</v>
      </c>
    </row>
    <row r="309" spans="1:71" x14ac:dyDescent="0.2">
      <c r="A309" s="210">
        <v>1504</v>
      </c>
      <c r="B309" s="211"/>
      <c r="C309" s="212"/>
      <c r="D309" s="211"/>
      <c r="E309" s="212"/>
      <c r="F309" s="211"/>
      <c r="G309" s="211"/>
      <c r="H309" s="212"/>
      <c r="I309" s="211"/>
      <c r="J309" s="211"/>
      <c r="K309" s="211"/>
      <c r="L309" s="171"/>
      <c r="M309" s="171" t="s">
        <v>699</v>
      </c>
      <c r="N309" s="171" t="s">
        <v>700</v>
      </c>
      <c r="O309" s="171" t="s">
        <v>430</v>
      </c>
      <c r="P309" s="171" t="s">
        <v>916</v>
      </c>
      <c r="Q309" s="171"/>
      <c r="R309" s="213">
        <v>69000</v>
      </c>
      <c r="S309" s="87">
        <v>0</v>
      </c>
      <c r="T309" s="87">
        <v>0</v>
      </c>
      <c r="U309" s="87">
        <v>0</v>
      </c>
      <c r="V309" s="87">
        <v>0</v>
      </c>
      <c r="W309" s="87">
        <v>0</v>
      </c>
      <c r="X309" s="87">
        <v>0</v>
      </c>
      <c r="Y309" s="87">
        <v>0</v>
      </c>
      <c r="Z309" s="87">
        <v>0</v>
      </c>
      <c r="AA309" s="214">
        <v>0</v>
      </c>
      <c r="AB309" s="214">
        <v>0</v>
      </c>
      <c r="AC309" s="214">
        <v>0</v>
      </c>
      <c r="AD309" s="214">
        <v>0</v>
      </c>
      <c r="AE309" s="214">
        <v>0</v>
      </c>
      <c r="AF309" s="214">
        <v>0</v>
      </c>
      <c r="AG309" s="214">
        <v>0</v>
      </c>
      <c r="AH309" s="214">
        <v>0</v>
      </c>
      <c r="AI309" s="87">
        <v>69422</v>
      </c>
      <c r="AJ309" s="87">
        <v>0</v>
      </c>
      <c r="AK309" s="87">
        <v>69422</v>
      </c>
      <c r="AL309" s="87">
        <v>69422</v>
      </c>
      <c r="AM309" s="87">
        <v>1317600</v>
      </c>
      <c r="AN309" s="87">
        <v>69422</v>
      </c>
      <c r="AO309" s="87">
        <v>69422</v>
      </c>
      <c r="AP309" s="87">
        <v>69000</v>
      </c>
      <c r="AQ309" s="88">
        <v>0</v>
      </c>
      <c r="AR309" s="88">
        <v>0</v>
      </c>
      <c r="AS309" s="88">
        <v>0</v>
      </c>
      <c r="AT309" s="88">
        <v>0</v>
      </c>
      <c r="AU309" s="88">
        <v>0</v>
      </c>
      <c r="AV309" s="88">
        <v>0</v>
      </c>
      <c r="AW309" s="88">
        <v>0</v>
      </c>
      <c r="AX309" s="88">
        <v>0</v>
      </c>
      <c r="AY309" s="87">
        <v>0</v>
      </c>
      <c r="AZ309" s="87">
        <v>0</v>
      </c>
      <c r="BA309" s="87">
        <v>0</v>
      </c>
      <c r="BB309" s="87">
        <v>0</v>
      </c>
      <c r="BC309" s="87">
        <v>0</v>
      </c>
      <c r="BD309" s="87">
        <v>0</v>
      </c>
      <c r="BE309" s="87">
        <v>0</v>
      </c>
      <c r="BF309" s="87">
        <v>0</v>
      </c>
      <c r="BG309" s="88">
        <v>0</v>
      </c>
      <c r="BH309" s="88">
        <v>0</v>
      </c>
      <c r="BI309" s="88">
        <v>0</v>
      </c>
      <c r="BJ309" s="88">
        <v>0</v>
      </c>
      <c r="BK309" s="88">
        <v>0</v>
      </c>
      <c r="BL309" s="88">
        <v>0</v>
      </c>
      <c r="BM309" s="88">
        <v>0</v>
      </c>
      <c r="BN309" s="590">
        <v>0</v>
      </c>
      <c r="BO309" s="171">
        <v>2023</v>
      </c>
      <c r="BP309" s="171">
        <v>1</v>
      </c>
      <c r="BQ309" s="171">
        <v>19</v>
      </c>
      <c r="BS309" s="76" t="str">
        <f t="shared" si="9"/>
        <v>○</v>
      </c>
    </row>
    <row r="310" spans="1:71" x14ac:dyDescent="0.2">
      <c r="A310" s="210">
        <v>1506</v>
      </c>
      <c r="B310" s="211"/>
      <c r="C310" s="212"/>
      <c r="D310" s="211"/>
      <c r="E310" s="212"/>
      <c r="F310" s="211"/>
      <c r="G310" s="211"/>
      <c r="H310" s="212"/>
      <c r="I310" s="211"/>
      <c r="J310" s="211"/>
      <c r="K310" s="211"/>
      <c r="L310" s="171"/>
      <c r="M310" s="171" t="s">
        <v>701</v>
      </c>
      <c r="N310" s="171" t="s">
        <v>373</v>
      </c>
      <c r="O310" s="171" t="s">
        <v>702</v>
      </c>
      <c r="P310" s="171" t="s">
        <v>916</v>
      </c>
      <c r="Q310" s="171"/>
      <c r="R310" s="213">
        <v>59000</v>
      </c>
      <c r="S310" s="87">
        <v>0</v>
      </c>
      <c r="T310" s="87">
        <v>0</v>
      </c>
      <c r="U310" s="87">
        <v>0</v>
      </c>
      <c r="V310" s="87">
        <v>0</v>
      </c>
      <c r="W310" s="87">
        <v>0</v>
      </c>
      <c r="X310" s="87">
        <v>0</v>
      </c>
      <c r="Y310" s="87">
        <v>0</v>
      </c>
      <c r="Z310" s="87">
        <v>0</v>
      </c>
      <c r="AA310" s="214">
        <v>0</v>
      </c>
      <c r="AB310" s="214">
        <v>0</v>
      </c>
      <c r="AC310" s="214">
        <v>0</v>
      </c>
      <c r="AD310" s="214">
        <v>0</v>
      </c>
      <c r="AE310" s="214">
        <v>0</v>
      </c>
      <c r="AF310" s="214">
        <v>0</v>
      </c>
      <c r="AG310" s="214">
        <v>0</v>
      </c>
      <c r="AH310" s="214">
        <v>0</v>
      </c>
      <c r="AI310" s="87">
        <v>59846</v>
      </c>
      <c r="AJ310" s="87">
        <v>0</v>
      </c>
      <c r="AK310" s="87">
        <v>59846</v>
      </c>
      <c r="AL310" s="87">
        <v>59846</v>
      </c>
      <c r="AM310" s="87">
        <v>7020000</v>
      </c>
      <c r="AN310" s="87">
        <v>59846</v>
      </c>
      <c r="AO310" s="87">
        <v>59846</v>
      </c>
      <c r="AP310" s="87">
        <v>59000</v>
      </c>
      <c r="AQ310" s="88">
        <v>0</v>
      </c>
      <c r="AR310" s="88">
        <v>0</v>
      </c>
      <c r="AS310" s="88">
        <v>0</v>
      </c>
      <c r="AT310" s="88">
        <v>0</v>
      </c>
      <c r="AU310" s="88">
        <v>0</v>
      </c>
      <c r="AV310" s="88">
        <v>0</v>
      </c>
      <c r="AW310" s="88">
        <v>0</v>
      </c>
      <c r="AX310" s="88">
        <v>0</v>
      </c>
      <c r="AY310" s="87">
        <v>0</v>
      </c>
      <c r="AZ310" s="87">
        <v>0</v>
      </c>
      <c r="BA310" s="87">
        <v>0</v>
      </c>
      <c r="BB310" s="87">
        <v>0</v>
      </c>
      <c r="BC310" s="87">
        <v>0</v>
      </c>
      <c r="BD310" s="87">
        <v>0</v>
      </c>
      <c r="BE310" s="87">
        <v>0</v>
      </c>
      <c r="BF310" s="87">
        <v>0</v>
      </c>
      <c r="BG310" s="88">
        <v>0</v>
      </c>
      <c r="BH310" s="88">
        <v>0</v>
      </c>
      <c r="BI310" s="88">
        <v>0</v>
      </c>
      <c r="BJ310" s="88">
        <v>0</v>
      </c>
      <c r="BK310" s="88">
        <v>0</v>
      </c>
      <c r="BL310" s="88">
        <v>0</v>
      </c>
      <c r="BM310" s="88">
        <v>0</v>
      </c>
      <c r="BN310" s="590">
        <v>0</v>
      </c>
      <c r="BO310" s="171">
        <v>2023</v>
      </c>
      <c r="BP310" s="171">
        <v>1</v>
      </c>
      <c r="BQ310" s="171">
        <v>19</v>
      </c>
      <c r="BS310" s="76" t="str">
        <f t="shared" si="9"/>
        <v>○</v>
      </c>
    </row>
    <row r="311" spans="1:71" x14ac:dyDescent="0.2">
      <c r="A311" s="210">
        <v>1507</v>
      </c>
      <c r="B311" s="211"/>
      <c r="C311" s="212"/>
      <c r="D311" s="211"/>
      <c r="E311" s="212"/>
      <c r="F311" s="211"/>
      <c r="G311" s="211"/>
      <c r="H311" s="212"/>
      <c r="I311" s="211"/>
      <c r="J311" s="211"/>
      <c r="K311" s="211"/>
      <c r="L311" s="171"/>
      <c r="M311" s="171" t="s">
        <v>703</v>
      </c>
      <c r="N311" s="171" t="s">
        <v>330</v>
      </c>
      <c r="O311" s="171" t="s">
        <v>704</v>
      </c>
      <c r="P311" s="171" t="s">
        <v>916</v>
      </c>
      <c r="Q311" s="171"/>
      <c r="R311" s="213">
        <v>298000</v>
      </c>
      <c r="S311" s="87">
        <v>0</v>
      </c>
      <c r="T311" s="87">
        <v>0</v>
      </c>
      <c r="U311" s="87">
        <v>0</v>
      </c>
      <c r="V311" s="87">
        <v>0</v>
      </c>
      <c r="W311" s="87">
        <v>0</v>
      </c>
      <c r="X311" s="87">
        <v>0</v>
      </c>
      <c r="Y311" s="87">
        <v>0</v>
      </c>
      <c r="Z311" s="87">
        <v>0</v>
      </c>
      <c r="AA311" s="214">
        <v>0</v>
      </c>
      <c r="AB311" s="214">
        <v>0</v>
      </c>
      <c r="AC311" s="214">
        <v>0</v>
      </c>
      <c r="AD311" s="214">
        <v>0</v>
      </c>
      <c r="AE311" s="214">
        <v>0</v>
      </c>
      <c r="AF311" s="214">
        <v>0</v>
      </c>
      <c r="AG311" s="214">
        <v>0</v>
      </c>
      <c r="AH311" s="214">
        <v>0</v>
      </c>
      <c r="AI311" s="87">
        <v>298940</v>
      </c>
      <c r="AJ311" s="87">
        <v>0</v>
      </c>
      <c r="AK311" s="87">
        <v>298940</v>
      </c>
      <c r="AL311" s="87">
        <v>298940</v>
      </c>
      <c r="AM311" s="87">
        <v>2160000</v>
      </c>
      <c r="AN311" s="87">
        <v>298940</v>
      </c>
      <c r="AO311" s="87">
        <v>298940</v>
      </c>
      <c r="AP311" s="87">
        <v>298000</v>
      </c>
      <c r="AQ311" s="88">
        <v>0</v>
      </c>
      <c r="AR311" s="88">
        <v>0</v>
      </c>
      <c r="AS311" s="88">
        <v>0</v>
      </c>
      <c r="AT311" s="88">
        <v>0</v>
      </c>
      <c r="AU311" s="88">
        <v>0</v>
      </c>
      <c r="AV311" s="88">
        <v>0</v>
      </c>
      <c r="AW311" s="88">
        <v>0</v>
      </c>
      <c r="AX311" s="88">
        <v>0</v>
      </c>
      <c r="AY311" s="87">
        <v>0</v>
      </c>
      <c r="AZ311" s="87">
        <v>0</v>
      </c>
      <c r="BA311" s="87">
        <v>0</v>
      </c>
      <c r="BB311" s="87">
        <v>0</v>
      </c>
      <c r="BC311" s="87">
        <v>0</v>
      </c>
      <c r="BD311" s="87">
        <v>0</v>
      </c>
      <c r="BE311" s="87">
        <v>0</v>
      </c>
      <c r="BF311" s="87">
        <v>0</v>
      </c>
      <c r="BG311" s="88">
        <v>0</v>
      </c>
      <c r="BH311" s="88">
        <v>0</v>
      </c>
      <c r="BI311" s="88">
        <v>0</v>
      </c>
      <c r="BJ311" s="88">
        <v>0</v>
      </c>
      <c r="BK311" s="88">
        <v>0</v>
      </c>
      <c r="BL311" s="88">
        <v>0</v>
      </c>
      <c r="BM311" s="88">
        <v>0</v>
      </c>
      <c r="BN311" s="590">
        <v>0</v>
      </c>
      <c r="BO311" s="171">
        <v>2023</v>
      </c>
      <c r="BP311" s="171">
        <v>1</v>
      </c>
      <c r="BQ311" s="171">
        <v>19</v>
      </c>
      <c r="BS311" s="76" t="str">
        <f t="shared" si="9"/>
        <v>○</v>
      </c>
    </row>
    <row r="312" spans="1:71" x14ac:dyDescent="0.2">
      <c r="A312" s="210">
        <v>1508</v>
      </c>
      <c r="B312" s="211"/>
      <c r="C312" s="212"/>
      <c r="D312" s="211"/>
      <c r="E312" s="212"/>
      <c r="F312" s="211"/>
      <c r="G312" s="211"/>
      <c r="H312" s="212"/>
      <c r="I312" s="211"/>
      <c r="J312" s="211"/>
      <c r="K312" s="211"/>
      <c r="L312" s="171"/>
      <c r="M312" s="171" t="s">
        <v>609</v>
      </c>
      <c r="N312" s="171" t="s">
        <v>313</v>
      </c>
      <c r="O312" s="171" t="s">
        <v>452</v>
      </c>
      <c r="P312" s="171" t="s">
        <v>916</v>
      </c>
      <c r="Q312" s="171"/>
      <c r="R312" s="213">
        <v>313000</v>
      </c>
      <c r="S312" s="87">
        <v>0</v>
      </c>
      <c r="T312" s="87">
        <v>0</v>
      </c>
      <c r="U312" s="87">
        <v>0</v>
      </c>
      <c r="V312" s="87">
        <v>0</v>
      </c>
      <c r="W312" s="87">
        <v>0</v>
      </c>
      <c r="X312" s="87">
        <v>0</v>
      </c>
      <c r="Y312" s="87">
        <v>0</v>
      </c>
      <c r="Z312" s="87">
        <v>0</v>
      </c>
      <c r="AA312" s="214">
        <v>0</v>
      </c>
      <c r="AB312" s="214">
        <v>0</v>
      </c>
      <c r="AC312" s="214">
        <v>0</v>
      </c>
      <c r="AD312" s="214">
        <v>0</v>
      </c>
      <c r="AE312" s="214">
        <v>0</v>
      </c>
      <c r="AF312" s="214">
        <v>0</v>
      </c>
      <c r="AG312" s="214">
        <v>0</v>
      </c>
      <c r="AH312" s="214">
        <v>0</v>
      </c>
      <c r="AI312" s="87">
        <v>313455</v>
      </c>
      <c r="AJ312" s="87">
        <v>0</v>
      </c>
      <c r="AK312" s="87">
        <v>313455</v>
      </c>
      <c r="AL312" s="87">
        <v>313455</v>
      </c>
      <c r="AM312" s="87">
        <v>9849600</v>
      </c>
      <c r="AN312" s="87">
        <v>313455</v>
      </c>
      <c r="AO312" s="87">
        <v>313455</v>
      </c>
      <c r="AP312" s="87">
        <v>313000</v>
      </c>
      <c r="AQ312" s="88">
        <v>0</v>
      </c>
      <c r="AR312" s="88">
        <v>0</v>
      </c>
      <c r="AS312" s="88">
        <v>0</v>
      </c>
      <c r="AT312" s="88">
        <v>0</v>
      </c>
      <c r="AU312" s="88">
        <v>0</v>
      </c>
      <c r="AV312" s="88">
        <v>0</v>
      </c>
      <c r="AW312" s="88">
        <v>0</v>
      </c>
      <c r="AX312" s="88">
        <v>0</v>
      </c>
      <c r="AY312" s="87">
        <v>0</v>
      </c>
      <c r="AZ312" s="87">
        <v>0</v>
      </c>
      <c r="BA312" s="87">
        <v>0</v>
      </c>
      <c r="BB312" s="87">
        <v>0</v>
      </c>
      <c r="BC312" s="87">
        <v>0</v>
      </c>
      <c r="BD312" s="87">
        <v>0</v>
      </c>
      <c r="BE312" s="87">
        <v>0</v>
      </c>
      <c r="BF312" s="87">
        <v>0</v>
      </c>
      <c r="BG312" s="88">
        <v>0</v>
      </c>
      <c r="BH312" s="88">
        <v>0</v>
      </c>
      <c r="BI312" s="88">
        <v>0</v>
      </c>
      <c r="BJ312" s="88">
        <v>0</v>
      </c>
      <c r="BK312" s="88">
        <v>0</v>
      </c>
      <c r="BL312" s="88">
        <v>0</v>
      </c>
      <c r="BM312" s="88">
        <v>0</v>
      </c>
      <c r="BN312" s="590">
        <v>0</v>
      </c>
      <c r="BO312" s="171">
        <v>2023</v>
      </c>
      <c r="BP312" s="171">
        <v>1</v>
      </c>
      <c r="BQ312" s="171">
        <v>19</v>
      </c>
      <c r="BS312" s="76" t="str">
        <f t="shared" si="9"/>
        <v>○</v>
      </c>
    </row>
    <row r="313" spans="1:71" x14ac:dyDescent="0.2">
      <c r="A313" s="210">
        <v>1509</v>
      </c>
      <c r="B313" s="211"/>
      <c r="C313" s="212"/>
      <c r="D313" s="211"/>
      <c r="E313" s="212"/>
      <c r="F313" s="211"/>
      <c r="G313" s="211"/>
      <c r="H313" s="212"/>
      <c r="I313" s="211"/>
      <c r="J313" s="211"/>
      <c r="K313" s="211"/>
      <c r="L313" s="171"/>
      <c r="M313" s="171" t="s">
        <v>669</v>
      </c>
      <c r="N313" s="171" t="s">
        <v>269</v>
      </c>
      <c r="O313" s="171" t="s">
        <v>509</v>
      </c>
      <c r="P313" s="171" t="s">
        <v>916</v>
      </c>
      <c r="Q313" s="171"/>
      <c r="R313" s="213">
        <v>346000</v>
      </c>
      <c r="S313" s="87">
        <v>0</v>
      </c>
      <c r="T313" s="87">
        <v>0</v>
      </c>
      <c r="U313" s="87">
        <v>0</v>
      </c>
      <c r="V313" s="87">
        <v>0</v>
      </c>
      <c r="W313" s="87">
        <v>0</v>
      </c>
      <c r="X313" s="87">
        <v>0</v>
      </c>
      <c r="Y313" s="87">
        <v>0</v>
      </c>
      <c r="Z313" s="87">
        <v>0</v>
      </c>
      <c r="AA313" s="214">
        <v>0</v>
      </c>
      <c r="AB313" s="214">
        <v>0</v>
      </c>
      <c r="AC313" s="214">
        <v>0</v>
      </c>
      <c r="AD313" s="214">
        <v>0</v>
      </c>
      <c r="AE313" s="214">
        <v>0</v>
      </c>
      <c r="AF313" s="214">
        <v>0</v>
      </c>
      <c r="AG313" s="214">
        <v>0</v>
      </c>
      <c r="AH313" s="214">
        <v>0</v>
      </c>
      <c r="AI313" s="87">
        <v>346520</v>
      </c>
      <c r="AJ313" s="87">
        <v>0</v>
      </c>
      <c r="AK313" s="87">
        <v>346520</v>
      </c>
      <c r="AL313" s="87">
        <v>346520</v>
      </c>
      <c r="AM313" s="87">
        <v>864000</v>
      </c>
      <c r="AN313" s="87">
        <v>346520</v>
      </c>
      <c r="AO313" s="87">
        <v>346520</v>
      </c>
      <c r="AP313" s="87">
        <v>346000</v>
      </c>
      <c r="AQ313" s="88">
        <v>0</v>
      </c>
      <c r="AR313" s="88">
        <v>0</v>
      </c>
      <c r="AS313" s="88">
        <v>0</v>
      </c>
      <c r="AT313" s="88">
        <v>0</v>
      </c>
      <c r="AU313" s="88">
        <v>0</v>
      </c>
      <c r="AV313" s="88">
        <v>0</v>
      </c>
      <c r="AW313" s="88">
        <v>0</v>
      </c>
      <c r="AX313" s="88">
        <v>0</v>
      </c>
      <c r="AY313" s="87">
        <v>0</v>
      </c>
      <c r="AZ313" s="87">
        <v>0</v>
      </c>
      <c r="BA313" s="87">
        <v>0</v>
      </c>
      <c r="BB313" s="87">
        <v>0</v>
      </c>
      <c r="BC313" s="87">
        <v>0</v>
      </c>
      <c r="BD313" s="87">
        <v>0</v>
      </c>
      <c r="BE313" s="87">
        <v>0</v>
      </c>
      <c r="BF313" s="87">
        <v>0</v>
      </c>
      <c r="BG313" s="88">
        <v>0</v>
      </c>
      <c r="BH313" s="88">
        <v>0</v>
      </c>
      <c r="BI313" s="88">
        <v>0</v>
      </c>
      <c r="BJ313" s="88">
        <v>0</v>
      </c>
      <c r="BK313" s="88">
        <v>0</v>
      </c>
      <c r="BL313" s="88">
        <v>0</v>
      </c>
      <c r="BM313" s="88">
        <v>0</v>
      </c>
      <c r="BN313" s="590">
        <v>0</v>
      </c>
      <c r="BO313" s="171">
        <v>2023</v>
      </c>
      <c r="BP313" s="171">
        <v>1</v>
      </c>
      <c r="BQ313" s="171">
        <v>19</v>
      </c>
      <c r="BS313" s="76" t="str">
        <f t="shared" si="9"/>
        <v>○</v>
      </c>
    </row>
    <row r="314" spans="1:71" x14ac:dyDescent="0.2">
      <c r="A314" s="210">
        <v>1510</v>
      </c>
      <c r="B314" s="211"/>
      <c r="C314" s="212"/>
      <c r="D314" s="211"/>
      <c r="E314" s="212"/>
      <c r="F314" s="211"/>
      <c r="G314" s="211"/>
      <c r="H314" s="212"/>
      <c r="I314" s="211"/>
      <c r="J314" s="211"/>
      <c r="K314" s="211"/>
      <c r="L314" s="171"/>
      <c r="M314" s="171" t="s">
        <v>705</v>
      </c>
      <c r="N314" s="171" t="s">
        <v>269</v>
      </c>
      <c r="O314" s="171" t="s">
        <v>625</v>
      </c>
      <c r="P314" s="171" t="s">
        <v>916</v>
      </c>
      <c r="Q314" s="75"/>
      <c r="R314" s="213">
        <v>802000</v>
      </c>
      <c r="S314" s="87">
        <v>0</v>
      </c>
      <c r="T314" s="87">
        <v>0</v>
      </c>
      <c r="U314" s="87">
        <v>0</v>
      </c>
      <c r="V314" s="87">
        <v>0</v>
      </c>
      <c r="W314" s="87">
        <v>0</v>
      </c>
      <c r="X314" s="87">
        <v>0</v>
      </c>
      <c r="Y314" s="87">
        <v>0</v>
      </c>
      <c r="Z314" s="87">
        <v>0</v>
      </c>
      <c r="AA314" s="214">
        <v>0</v>
      </c>
      <c r="AB314" s="214">
        <v>0</v>
      </c>
      <c r="AC314" s="214">
        <v>0</v>
      </c>
      <c r="AD314" s="214">
        <v>0</v>
      </c>
      <c r="AE314" s="214">
        <v>0</v>
      </c>
      <c r="AF314" s="214">
        <v>0</v>
      </c>
      <c r="AG314" s="214">
        <v>0</v>
      </c>
      <c r="AH314" s="214">
        <v>0</v>
      </c>
      <c r="AI314" s="87">
        <v>802155</v>
      </c>
      <c r="AJ314" s="87">
        <v>0</v>
      </c>
      <c r="AK314" s="87">
        <v>802155</v>
      </c>
      <c r="AL314" s="87">
        <v>802155</v>
      </c>
      <c r="AM314" s="87">
        <v>2592000</v>
      </c>
      <c r="AN314" s="87">
        <v>802155</v>
      </c>
      <c r="AO314" s="87">
        <v>802155</v>
      </c>
      <c r="AP314" s="87">
        <v>802000</v>
      </c>
      <c r="AQ314" s="88">
        <v>0</v>
      </c>
      <c r="AR314" s="88">
        <v>0</v>
      </c>
      <c r="AS314" s="88">
        <v>0</v>
      </c>
      <c r="AT314" s="88">
        <v>0</v>
      </c>
      <c r="AU314" s="88">
        <v>0</v>
      </c>
      <c r="AV314" s="88">
        <v>0</v>
      </c>
      <c r="AW314" s="88">
        <v>0</v>
      </c>
      <c r="AX314" s="88">
        <v>0</v>
      </c>
      <c r="AY314" s="87">
        <v>0</v>
      </c>
      <c r="AZ314" s="87">
        <v>0</v>
      </c>
      <c r="BA314" s="87">
        <v>0</v>
      </c>
      <c r="BB314" s="87">
        <v>0</v>
      </c>
      <c r="BC314" s="87">
        <v>0</v>
      </c>
      <c r="BD314" s="87">
        <v>0</v>
      </c>
      <c r="BE314" s="87">
        <v>0</v>
      </c>
      <c r="BF314" s="87">
        <v>0</v>
      </c>
      <c r="BG314" s="88">
        <v>0</v>
      </c>
      <c r="BH314" s="88">
        <v>0</v>
      </c>
      <c r="BI314" s="88">
        <v>0</v>
      </c>
      <c r="BJ314" s="88">
        <v>0</v>
      </c>
      <c r="BK314" s="88">
        <v>0</v>
      </c>
      <c r="BL314" s="88">
        <v>0</v>
      </c>
      <c r="BM314" s="88">
        <v>0</v>
      </c>
      <c r="BN314" s="590">
        <v>0</v>
      </c>
      <c r="BO314" s="171">
        <v>2023</v>
      </c>
      <c r="BP314" s="171">
        <v>1</v>
      </c>
      <c r="BQ314" s="171">
        <v>19</v>
      </c>
      <c r="BS314" s="76" t="str">
        <f t="shared" si="9"/>
        <v>○</v>
      </c>
    </row>
    <row r="315" spans="1:71" x14ac:dyDescent="0.2">
      <c r="A315" s="210">
        <v>1511</v>
      </c>
      <c r="B315" s="211"/>
      <c r="C315" s="212"/>
      <c r="D315" s="211"/>
      <c r="E315" s="212"/>
      <c r="F315" s="211"/>
      <c r="G315" s="211"/>
      <c r="H315" s="212"/>
      <c r="I315" s="211"/>
      <c r="J315" s="211"/>
      <c r="K315" s="211"/>
      <c r="L315" s="171"/>
      <c r="M315" s="171" t="s">
        <v>472</v>
      </c>
      <c r="N315" s="171" t="s">
        <v>275</v>
      </c>
      <c r="O315" s="171" t="s">
        <v>452</v>
      </c>
      <c r="P315" s="171" t="s">
        <v>916</v>
      </c>
      <c r="Q315" s="171"/>
      <c r="R315" s="213">
        <v>439000</v>
      </c>
      <c r="S315" s="87">
        <v>0</v>
      </c>
      <c r="T315" s="87">
        <v>0</v>
      </c>
      <c r="U315" s="87">
        <v>0</v>
      </c>
      <c r="V315" s="87">
        <v>0</v>
      </c>
      <c r="W315" s="87">
        <v>0</v>
      </c>
      <c r="X315" s="87">
        <v>0</v>
      </c>
      <c r="Y315" s="87">
        <v>0</v>
      </c>
      <c r="Z315" s="87">
        <v>0</v>
      </c>
      <c r="AA315" s="214">
        <v>0</v>
      </c>
      <c r="AB315" s="214">
        <v>0</v>
      </c>
      <c r="AC315" s="214">
        <v>0</v>
      </c>
      <c r="AD315" s="214">
        <v>0</v>
      </c>
      <c r="AE315" s="214">
        <v>0</v>
      </c>
      <c r="AF315" s="214">
        <v>0</v>
      </c>
      <c r="AG315" s="214">
        <v>0</v>
      </c>
      <c r="AH315" s="214">
        <v>0</v>
      </c>
      <c r="AI315" s="87">
        <v>439042</v>
      </c>
      <c r="AJ315" s="87">
        <v>0</v>
      </c>
      <c r="AK315" s="87">
        <v>439042</v>
      </c>
      <c r="AL315" s="87">
        <v>439042</v>
      </c>
      <c r="AM315" s="87">
        <v>2592000</v>
      </c>
      <c r="AN315" s="87">
        <v>439042</v>
      </c>
      <c r="AO315" s="87">
        <v>439042</v>
      </c>
      <c r="AP315" s="87">
        <v>439000</v>
      </c>
      <c r="AQ315" s="88">
        <v>0</v>
      </c>
      <c r="AR315" s="88">
        <v>0</v>
      </c>
      <c r="AS315" s="88">
        <v>0</v>
      </c>
      <c r="AT315" s="88">
        <v>0</v>
      </c>
      <c r="AU315" s="88">
        <v>0</v>
      </c>
      <c r="AV315" s="88">
        <v>0</v>
      </c>
      <c r="AW315" s="88">
        <v>0</v>
      </c>
      <c r="AX315" s="88">
        <v>0</v>
      </c>
      <c r="AY315" s="87">
        <v>0</v>
      </c>
      <c r="AZ315" s="87">
        <v>0</v>
      </c>
      <c r="BA315" s="87">
        <v>0</v>
      </c>
      <c r="BB315" s="87">
        <v>0</v>
      </c>
      <c r="BC315" s="87">
        <v>0</v>
      </c>
      <c r="BD315" s="87">
        <v>0</v>
      </c>
      <c r="BE315" s="87">
        <v>0</v>
      </c>
      <c r="BF315" s="87">
        <v>0</v>
      </c>
      <c r="BG315" s="88">
        <v>0</v>
      </c>
      <c r="BH315" s="88">
        <v>0</v>
      </c>
      <c r="BI315" s="88">
        <v>0</v>
      </c>
      <c r="BJ315" s="88">
        <v>0</v>
      </c>
      <c r="BK315" s="88">
        <v>0</v>
      </c>
      <c r="BL315" s="88">
        <v>0</v>
      </c>
      <c r="BM315" s="88">
        <v>0</v>
      </c>
      <c r="BN315" s="590">
        <v>0</v>
      </c>
      <c r="BO315" s="171">
        <v>2023</v>
      </c>
      <c r="BP315" s="171">
        <v>1</v>
      </c>
      <c r="BQ315" s="171">
        <v>19</v>
      </c>
      <c r="BS315" s="76" t="str">
        <f t="shared" si="9"/>
        <v>○</v>
      </c>
    </row>
    <row r="316" spans="1:71" x14ac:dyDescent="0.2">
      <c r="A316" s="210">
        <v>1512</v>
      </c>
      <c r="B316" s="211"/>
      <c r="C316" s="212"/>
      <c r="D316" s="211"/>
      <c r="E316" s="212"/>
      <c r="F316" s="211"/>
      <c r="G316" s="211"/>
      <c r="H316" s="212"/>
      <c r="I316" s="211"/>
      <c r="J316" s="211"/>
      <c r="K316" s="211"/>
      <c r="L316" s="171"/>
      <c r="M316" s="171" t="s">
        <v>455</v>
      </c>
      <c r="N316" s="171" t="s">
        <v>313</v>
      </c>
      <c r="O316" s="171" t="s">
        <v>270</v>
      </c>
      <c r="P316" s="171" t="s">
        <v>916</v>
      </c>
      <c r="Q316" s="171"/>
      <c r="R316" s="213">
        <v>554000</v>
      </c>
      <c r="S316" s="87">
        <v>0</v>
      </c>
      <c r="T316" s="87">
        <v>0</v>
      </c>
      <c r="U316" s="87">
        <v>0</v>
      </c>
      <c r="V316" s="87">
        <v>0</v>
      </c>
      <c r="W316" s="87">
        <v>0</v>
      </c>
      <c r="X316" s="87">
        <v>0</v>
      </c>
      <c r="Y316" s="87">
        <v>0</v>
      </c>
      <c r="Z316" s="87">
        <v>0</v>
      </c>
      <c r="AA316" s="214">
        <v>0</v>
      </c>
      <c r="AB316" s="214">
        <v>0</v>
      </c>
      <c r="AC316" s="214">
        <v>0</v>
      </c>
      <c r="AD316" s="214">
        <v>0</v>
      </c>
      <c r="AE316" s="214">
        <v>0</v>
      </c>
      <c r="AF316" s="214">
        <v>0</v>
      </c>
      <c r="AG316" s="214">
        <v>0</v>
      </c>
      <c r="AH316" s="214">
        <v>0</v>
      </c>
      <c r="AI316" s="87">
        <v>554155</v>
      </c>
      <c r="AJ316" s="87">
        <v>0</v>
      </c>
      <c r="AK316" s="87">
        <v>554155</v>
      </c>
      <c r="AL316" s="87">
        <v>554155</v>
      </c>
      <c r="AM316" s="87">
        <v>4665600</v>
      </c>
      <c r="AN316" s="87">
        <v>554155</v>
      </c>
      <c r="AO316" s="87">
        <v>554155</v>
      </c>
      <c r="AP316" s="87">
        <v>554000</v>
      </c>
      <c r="AQ316" s="88">
        <v>0</v>
      </c>
      <c r="AR316" s="88">
        <v>0</v>
      </c>
      <c r="AS316" s="88">
        <v>0</v>
      </c>
      <c r="AT316" s="88">
        <v>0</v>
      </c>
      <c r="AU316" s="88">
        <v>0</v>
      </c>
      <c r="AV316" s="88">
        <v>0</v>
      </c>
      <c r="AW316" s="88">
        <v>0</v>
      </c>
      <c r="AX316" s="88">
        <v>0</v>
      </c>
      <c r="AY316" s="87">
        <v>0</v>
      </c>
      <c r="AZ316" s="87">
        <v>0</v>
      </c>
      <c r="BA316" s="87">
        <v>0</v>
      </c>
      <c r="BB316" s="87">
        <v>0</v>
      </c>
      <c r="BC316" s="87">
        <v>0</v>
      </c>
      <c r="BD316" s="87">
        <v>0</v>
      </c>
      <c r="BE316" s="87">
        <v>0</v>
      </c>
      <c r="BF316" s="87">
        <v>0</v>
      </c>
      <c r="BG316" s="88">
        <v>0</v>
      </c>
      <c r="BH316" s="88">
        <v>0</v>
      </c>
      <c r="BI316" s="88">
        <v>0</v>
      </c>
      <c r="BJ316" s="88">
        <v>0</v>
      </c>
      <c r="BK316" s="88">
        <v>0</v>
      </c>
      <c r="BL316" s="88">
        <v>0</v>
      </c>
      <c r="BM316" s="88">
        <v>0</v>
      </c>
      <c r="BN316" s="590">
        <v>0</v>
      </c>
      <c r="BO316" s="171">
        <v>2023</v>
      </c>
      <c r="BP316" s="171">
        <v>1</v>
      </c>
      <c r="BQ316" s="171">
        <v>19</v>
      </c>
      <c r="BS316" s="76" t="str">
        <f t="shared" si="9"/>
        <v>○</v>
      </c>
    </row>
    <row r="317" spans="1:71" x14ac:dyDescent="0.2">
      <c r="A317" s="210">
        <v>1513</v>
      </c>
      <c r="B317" s="211"/>
      <c r="C317" s="212"/>
      <c r="D317" s="211"/>
      <c r="E317" s="212"/>
      <c r="F317" s="211"/>
      <c r="G317" s="211"/>
      <c r="H317" s="212"/>
      <c r="I317" s="211"/>
      <c r="J317" s="211"/>
      <c r="K317" s="211"/>
      <c r="L317" s="171"/>
      <c r="M317" s="171" t="s">
        <v>305</v>
      </c>
      <c r="N317" s="171" t="s">
        <v>306</v>
      </c>
      <c r="O317" s="171" t="s">
        <v>307</v>
      </c>
      <c r="P317" s="171" t="s">
        <v>916</v>
      </c>
      <c r="Q317" s="171"/>
      <c r="R317" s="213">
        <v>167000</v>
      </c>
      <c r="S317" s="87">
        <v>0</v>
      </c>
      <c r="T317" s="87">
        <v>0</v>
      </c>
      <c r="U317" s="87">
        <v>0</v>
      </c>
      <c r="V317" s="87">
        <v>0</v>
      </c>
      <c r="W317" s="87">
        <v>0</v>
      </c>
      <c r="X317" s="87">
        <v>0</v>
      </c>
      <c r="Y317" s="87">
        <v>0</v>
      </c>
      <c r="Z317" s="87">
        <v>0</v>
      </c>
      <c r="AA317" s="214">
        <v>0</v>
      </c>
      <c r="AB317" s="214">
        <v>0</v>
      </c>
      <c r="AC317" s="214">
        <v>0</v>
      </c>
      <c r="AD317" s="214">
        <v>0</v>
      </c>
      <c r="AE317" s="214">
        <v>0</v>
      </c>
      <c r="AF317" s="214">
        <v>0</v>
      </c>
      <c r="AG317" s="214">
        <v>0</v>
      </c>
      <c r="AH317" s="214">
        <v>0</v>
      </c>
      <c r="AI317" s="87">
        <v>167285</v>
      </c>
      <c r="AJ317" s="87">
        <v>0</v>
      </c>
      <c r="AK317" s="87">
        <v>167285</v>
      </c>
      <c r="AL317" s="87">
        <v>167285</v>
      </c>
      <c r="AM317" s="87">
        <v>2102400</v>
      </c>
      <c r="AN317" s="87">
        <v>167285</v>
      </c>
      <c r="AO317" s="87">
        <v>167285</v>
      </c>
      <c r="AP317" s="87">
        <v>167000</v>
      </c>
      <c r="AQ317" s="88">
        <v>0</v>
      </c>
      <c r="AR317" s="88">
        <v>0</v>
      </c>
      <c r="AS317" s="88">
        <v>0</v>
      </c>
      <c r="AT317" s="88">
        <v>0</v>
      </c>
      <c r="AU317" s="88">
        <v>0</v>
      </c>
      <c r="AV317" s="88">
        <v>0</v>
      </c>
      <c r="AW317" s="88">
        <v>0</v>
      </c>
      <c r="AX317" s="88">
        <v>0</v>
      </c>
      <c r="AY317" s="87">
        <v>0</v>
      </c>
      <c r="AZ317" s="87">
        <v>0</v>
      </c>
      <c r="BA317" s="87">
        <v>0</v>
      </c>
      <c r="BB317" s="87">
        <v>0</v>
      </c>
      <c r="BC317" s="87">
        <v>0</v>
      </c>
      <c r="BD317" s="87">
        <v>0</v>
      </c>
      <c r="BE317" s="87">
        <v>0</v>
      </c>
      <c r="BF317" s="87">
        <v>0</v>
      </c>
      <c r="BG317" s="88">
        <v>0</v>
      </c>
      <c r="BH317" s="88">
        <v>0</v>
      </c>
      <c r="BI317" s="88">
        <v>0</v>
      </c>
      <c r="BJ317" s="88">
        <v>0</v>
      </c>
      <c r="BK317" s="88">
        <v>0</v>
      </c>
      <c r="BL317" s="88">
        <v>0</v>
      </c>
      <c r="BM317" s="88">
        <v>0</v>
      </c>
      <c r="BN317" s="590">
        <v>0</v>
      </c>
      <c r="BO317" s="171">
        <v>2023</v>
      </c>
      <c r="BP317" s="171">
        <v>1</v>
      </c>
      <c r="BQ317" s="171">
        <v>19</v>
      </c>
      <c r="BS317" s="76" t="str">
        <f t="shared" si="9"/>
        <v>○</v>
      </c>
    </row>
    <row r="318" spans="1:71" x14ac:dyDescent="0.2">
      <c r="A318" s="210">
        <v>1514</v>
      </c>
      <c r="B318" s="211"/>
      <c r="C318" s="212"/>
      <c r="D318" s="211"/>
      <c r="E318" s="212"/>
      <c r="F318" s="211"/>
      <c r="G318" s="211"/>
      <c r="H318" s="212"/>
      <c r="I318" s="211"/>
      <c r="J318" s="211"/>
      <c r="K318" s="211"/>
      <c r="L318" s="171"/>
      <c r="M318" s="171" t="s">
        <v>706</v>
      </c>
      <c r="N318" s="171" t="s">
        <v>299</v>
      </c>
      <c r="O318" s="171" t="s">
        <v>452</v>
      </c>
      <c r="P318" s="171" t="s">
        <v>916</v>
      </c>
      <c r="Q318" s="171"/>
      <c r="R318" s="213">
        <v>366000</v>
      </c>
      <c r="S318" s="87">
        <v>0</v>
      </c>
      <c r="T318" s="87">
        <v>0</v>
      </c>
      <c r="U318" s="87">
        <v>0</v>
      </c>
      <c r="V318" s="87">
        <v>0</v>
      </c>
      <c r="W318" s="87">
        <v>0</v>
      </c>
      <c r="X318" s="87">
        <v>0</v>
      </c>
      <c r="Y318" s="87">
        <v>0</v>
      </c>
      <c r="Z318" s="87">
        <v>0</v>
      </c>
      <c r="AA318" s="214">
        <v>0</v>
      </c>
      <c r="AB318" s="214">
        <v>0</v>
      </c>
      <c r="AC318" s="214">
        <v>0</v>
      </c>
      <c r="AD318" s="214">
        <v>0</v>
      </c>
      <c r="AE318" s="214">
        <v>0</v>
      </c>
      <c r="AF318" s="214">
        <v>0</v>
      </c>
      <c r="AG318" s="214">
        <v>0</v>
      </c>
      <c r="AH318" s="214">
        <v>0</v>
      </c>
      <c r="AI318" s="87">
        <v>366813</v>
      </c>
      <c r="AJ318" s="87">
        <v>0</v>
      </c>
      <c r="AK318" s="87">
        <v>366813</v>
      </c>
      <c r="AL318" s="87">
        <v>366813</v>
      </c>
      <c r="AM318" s="87">
        <v>2073600</v>
      </c>
      <c r="AN318" s="87">
        <v>366813</v>
      </c>
      <c r="AO318" s="87">
        <v>366813</v>
      </c>
      <c r="AP318" s="87">
        <v>366000</v>
      </c>
      <c r="AQ318" s="88">
        <v>0</v>
      </c>
      <c r="AR318" s="88">
        <v>0</v>
      </c>
      <c r="AS318" s="88">
        <v>0</v>
      </c>
      <c r="AT318" s="88">
        <v>0</v>
      </c>
      <c r="AU318" s="88">
        <v>0</v>
      </c>
      <c r="AV318" s="88">
        <v>0</v>
      </c>
      <c r="AW318" s="88">
        <v>0</v>
      </c>
      <c r="AX318" s="88">
        <v>0</v>
      </c>
      <c r="AY318" s="87">
        <v>0</v>
      </c>
      <c r="AZ318" s="87">
        <v>0</v>
      </c>
      <c r="BA318" s="87">
        <v>0</v>
      </c>
      <c r="BB318" s="87">
        <v>0</v>
      </c>
      <c r="BC318" s="87">
        <v>0</v>
      </c>
      <c r="BD318" s="87">
        <v>0</v>
      </c>
      <c r="BE318" s="87">
        <v>0</v>
      </c>
      <c r="BF318" s="87">
        <v>0</v>
      </c>
      <c r="BG318" s="88">
        <v>0</v>
      </c>
      <c r="BH318" s="88">
        <v>0</v>
      </c>
      <c r="BI318" s="88">
        <v>0</v>
      </c>
      <c r="BJ318" s="88">
        <v>0</v>
      </c>
      <c r="BK318" s="88">
        <v>0</v>
      </c>
      <c r="BL318" s="88">
        <v>0</v>
      </c>
      <c r="BM318" s="88">
        <v>0</v>
      </c>
      <c r="BN318" s="590">
        <v>0</v>
      </c>
      <c r="BO318" s="171">
        <v>2023</v>
      </c>
      <c r="BP318" s="171">
        <v>1</v>
      </c>
      <c r="BQ318" s="171">
        <v>19</v>
      </c>
      <c r="BS318" s="76" t="str">
        <f t="shared" ref="BS318:BS349" si="10">IF(R318=SUM(Z318,AH318,AP318,BF318,BN318),"○","×")</f>
        <v>○</v>
      </c>
    </row>
    <row r="319" spans="1:71" x14ac:dyDescent="0.2">
      <c r="A319" s="210">
        <v>1515</v>
      </c>
      <c r="B319" s="211"/>
      <c r="C319" s="212"/>
      <c r="D319" s="211"/>
      <c r="E319" s="212"/>
      <c r="F319" s="211"/>
      <c r="G319" s="211"/>
      <c r="H319" s="212"/>
      <c r="I319" s="211"/>
      <c r="J319" s="211"/>
      <c r="K319" s="211"/>
      <c r="L319" s="171"/>
      <c r="M319" s="171" t="s">
        <v>274</v>
      </c>
      <c r="N319" s="171" t="s">
        <v>275</v>
      </c>
      <c r="O319" s="171" t="s">
        <v>276</v>
      </c>
      <c r="P319" s="171" t="s">
        <v>916</v>
      </c>
      <c r="Q319" s="171"/>
      <c r="R319" s="213">
        <v>896000</v>
      </c>
      <c r="S319" s="87">
        <v>0</v>
      </c>
      <c r="T319" s="87">
        <v>0</v>
      </c>
      <c r="U319" s="87">
        <v>0</v>
      </c>
      <c r="V319" s="87">
        <v>0</v>
      </c>
      <c r="W319" s="87">
        <v>0</v>
      </c>
      <c r="X319" s="87">
        <v>0</v>
      </c>
      <c r="Y319" s="87">
        <v>0</v>
      </c>
      <c r="Z319" s="87">
        <v>0</v>
      </c>
      <c r="AA319" s="214">
        <v>0</v>
      </c>
      <c r="AB319" s="214">
        <v>0</v>
      </c>
      <c r="AC319" s="214">
        <v>0</v>
      </c>
      <c r="AD319" s="214">
        <v>0</v>
      </c>
      <c r="AE319" s="214">
        <v>0</v>
      </c>
      <c r="AF319" s="214">
        <v>0</v>
      </c>
      <c r="AG319" s="214">
        <v>0</v>
      </c>
      <c r="AH319" s="214">
        <v>0</v>
      </c>
      <c r="AI319" s="87">
        <v>896094</v>
      </c>
      <c r="AJ319" s="87">
        <v>0</v>
      </c>
      <c r="AK319" s="87">
        <v>896094</v>
      </c>
      <c r="AL319" s="87">
        <v>896094</v>
      </c>
      <c r="AM319" s="87">
        <v>8812800</v>
      </c>
      <c r="AN319" s="87">
        <v>896094</v>
      </c>
      <c r="AO319" s="87">
        <v>896094</v>
      </c>
      <c r="AP319" s="87">
        <v>896000</v>
      </c>
      <c r="AQ319" s="88">
        <v>0</v>
      </c>
      <c r="AR319" s="88">
        <v>0</v>
      </c>
      <c r="AS319" s="88">
        <v>0</v>
      </c>
      <c r="AT319" s="88">
        <v>0</v>
      </c>
      <c r="AU319" s="88">
        <v>0</v>
      </c>
      <c r="AV319" s="88">
        <v>0</v>
      </c>
      <c r="AW319" s="88">
        <v>0</v>
      </c>
      <c r="AX319" s="88">
        <v>0</v>
      </c>
      <c r="AY319" s="87">
        <v>0</v>
      </c>
      <c r="AZ319" s="87">
        <v>0</v>
      </c>
      <c r="BA319" s="87">
        <v>0</v>
      </c>
      <c r="BB319" s="87">
        <v>0</v>
      </c>
      <c r="BC319" s="87">
        <v>0</v>
      </c>
      <c r="BD319" s="87">
        <v>0</v>
      </c>
      <c r="BE319" s="87">
        <v>0</v>
      </c>
      <c r="BF319" s="87">
        <v>0</v>
      </c>
      <c r="BG319" s="88">
        <v>0</v>
      </c>
      <c r="BH319" s="88">
        <v>0</v>
      </c>
      <c r="BI319" s="88">
        <v>0</v>
      </c>
      <c r="BJ319" s="88">
        <v>0</v>
      </c>
      <c r="BK319" s="88">
        <v>0</v>
      </c>
      <c r="BL319" s="88">
        <v>0</v>
      </c>
      <c r="BM319" s="88">
        <v>0</v>
      </c>
      <c r="BN319" s="590">
        <v>0</v>
      </c>
      <c r="BO319" s="171">
        <v>2023</v>
      </c>
      <c r="BP319" s="171">
        <v>1</v>
      </c>
      <c r="BQ319" s="171">
        <v>19</v>
      </c>
      <c r="BS319" s="76" t="str">
        <f t="shared" si="10"/>
        <v>○</v>
      </c>
    </row>
    <row r="320" spans="1:71" x14ac:dyDescent="0.2">
      <c r="A320" s="210">
        <v>1516</v>
      </c>
      <c r="B320" s="211"/>
      <c r="C320" s="212"/>
      <c r="D320" s="211"/>
      <c r="E320" s="212"/>
      <c r="F320" s="211"/>
      <c r="G320" s="211"/>
      <c r="H320" s="212"/>
      <c r="I320" s="211"/>
      <c r="J320" s="211"/>
      <c r="K320" s="211"/>
      <c r="L320" s="171"/>
      <c r="M320" s="171" t="s">
        <v>707</v>
      </c>
      <c r="N320" s="171" t="s">
        <v>296</v>
      </c>
      <c r="O320" s="171" t="s">
        <v>563</v>
      </c>
      <c r="P320" s="171" t="s">
        <v>916</v>
      </c>
      <c r="Q320" s="171"/>
      <c r="R320" s="213">
        <v>346000</v>
      </c>
      <c r="S320" s="87">
        <v>0</v>
      </c>
      <c r="T320" s="87">
        <v>0</v>
      </c>
      <c r="U320" s="87">
        <v>0</v>
      </c>
      <c r="V320" s="87">
        <v>0</v>
      </c>
      <c r="W320" s="87">
        <v>0</v>
      </c>
      <c r="X320" s="87">
        <v>0</v>
      </c>
      <c r="Y320" s="87">
        <v>0</v>
      </c>
      <c r="Z320" s="87">
        <v>0</v>
      </c>
      <c r="AA320" s="214">
        <v>0</v>
      </c>
      <c r="AB320" s="214">
        <v>0</v>
      </c>
      <c r="AC320" s="214">
        <v>0</v>
      </c>
      <c r="AD320" s="214">
        <v>0</v>
      </c>
      <c r="AE320" s="214">
        <v>0</v>
      </c>
      <c r="AF320" s="214">
        <v>0</v>
      </c>
      <c r="AG320" s="214">
        <v>0</v>
      </c>
      <c r="AH320" s="214">
        <v>0</v>
      </c>
      <c r="AI320" s="87">
        <v>346500</v>
      </c>
      <c r="AJ320" s="87">
        <v>0</v>
      </c>
      <c r="AK320" s="87">
        <v>346500</v>
      </c>
      <c r="AL320" s="87">
        <v>346500</v>
      </c>
      <c r="AM320" s="87">
        <v>1965600</v>
      </c>
      <c r="AN320" s="87">
        <v>346500</v>
      </c>
      <c r="AO320" s="87">
        <v>346500</v>
      </c>
      <c r="AP320" s="87">
        <v>346000</v>
      </c>
      <c r="AQ320" s="88">
        <v>0</v>
      </c>
      <c r="AR320" s="88">
        <v>0</v>
      </c>
      <c r="AS320" s="88">
        <v>0</v>
      </c>
      <c r="AT320" s="88">
        <v>0</v>
      </c>
      <c r="AU320" s="88">
        <v>0</v>
      </c>
      <c r="AV320" s="88">
        <v>0</v>
      </c>
      <c r="AW320" s="88">
        <v>0</v>
      </c>
      <c r="AX320" s="88">
        <v>0</v>
      </c>
      <c r="AY320" s="87">
        <v>0</v>
      </c>
      <c r="AZ320" s="87">
        <v>0</v>
      </c>
      <c r="BA320" s="87">
        <v>0</v>
      </c>
      <c r="BB320" s="87">
        <v>0</v>
      </c>
      <c r="BC320" s="87">
        <v>0</v>
      </c>
      <c r="BD320" s="87">
        <v>0</v>
      </c>
      <c r="BE320" s="87">
        <v>0</v>
      </c>
      <c r="BF320" s="87">
        <v>0</v>
      </c>
      <c r="BG320" s="88">
        <v>0</v>
      </c>
      <c r="BH320" s="88">
        <v>0</v>
      </c>
      <c r="BI320" s="88">
        <v>0</v>
      </c>
      <c r="BJ320" s="88">
        <v>0</v>
      </c>
      <c r="BK320" s="88">
        <v>0</v>
      </c>
      <c r="BL320" s="88">
        <v>0</v>
      </c>
      <c r="BM320" s="88">
        <v>0</v>
      </c>
      <c r="BN320" s="590">
        <v>0</v>
      </c>
      <c r="BO320" s="171">
        <v>2023</v>
      </c>
      <c r="BP320" s="171">
        <v>1</v>
      </c>
      <c r="BQ320" s="171">
        <v>19</v>
      </c>
      <c r="BS320" s="76" t="str">
        <f t="shared" si="10"/>
        <v>○</v>
      </c>
    </row>
    <row r="321" spans="1:71" x14ac:dyDescent="0.2">
      <c r="A321" s="210">
        <v>1517</v>
      </c>
      <c r="B321" s="211"/>
      <c r="C321" s="212"/>
      <c r="D321" s="211"/>
      <c r="E321" s="212"/>
      <c r="F321" s="211"/>
      <c r="G321" s="211"/>
      <c r="H321" s="212"/>
      <c r="I321" s="211"/>
      <c r="J321" s="211"/>
      <c r="K321" s="211"/>
      <c r="L321" s="171"/>
      <c r="M321" s="171" t="s">
        <v>708</v>
      </c>
      <c r="N321" s="171" t="s">
        <v>269</v>
      </c>
      <c r="O321" s="171" t="s">
        <v>486</v>
      </c>
      <c r="P321" s="171" t="s">
        <v>916</v>
      </c>
      <c r="Q321" s="171"/>
      <c r="R321" s="213">
        <v>369000</v>
      </c>
      <c r="S321" s="87">
        <v>0</v>
      </c>
      <c r="T321" s="87">
        <v>0</v>
      </c>
      <c r="U321" s="87">
        <v>0</v>
      </c>
      <c r="V321" s="87">
        <v>0</v>
      </c>
      <c r="W321" s="87">
        <v>0</v>
      </c>
      <c r="X321" s="87">
        <v>0</v>
      </c>
      <c r="Y321" s="87">
        <v>0</v>
      </c>
      <c r="Z321" s="87">
        <v>0</v>
      </c>
      <c r="AA321" s="214">
        <v>0</v>
      </c>
      <c r="AB321" s="214">
        <v>0</v>
      </c>
      <c r="AC321" s="214">
        <v>0</v>
      </c>
      <c r="AD321" s="214">
        <v>0</v>
      </c>
      <c r="AE321" s="214">
        <v>0</v>
      </c>
      <c r="AF321" s="214">
        <v>0</v>
      </c>
      <c r="AG321" s="214">
        <v>0</v>
      </c>
      <c r="AH321" s="214">
        <v>0</v>
      </c>
      <c r="AI321" s="87">
        <v>369050</v>
      </c>
      <c r="AJ321" s="87">
        <v>0</v>
      </c>
      <c r="AK321" s="87">
        <v>369050</v>
      </c>
      <c r="AL321" s="87">
        <v>369050</v>
      </c>
      <c r="AM321" s="87">
        <v>3024000</v>
      </c>
      <c r="AN321" s="87">
        <v>369050</v>
      </c>
      <c r="AO321" s="87">
        <v>369050</v>
      </c>
      <c r="AP321" s="87">
        <v>369000</v>
      </c>
      <c r="AQ321" s="88">
        <v>0</v>
      </c>
      <c r="AR321" s="88">
        <v>0</v>
      </c>
      <c r="AS321" s="88">
        <v>0</v>
      </c>
      <c r="AT321" s="88">
        <v>0</v>
      </c>
      <c r="AU321" s="88">
        <v>0</v>
      </c>
      <c r="AV321" s="88">
        <v>0</v>
      </c>
      <c r="AW321" s="88">
        <v>0</v>
      </c>
      <c r="AX321" s="88">
        <v>0</v>
      </c>
      <c r="AY321" s="87">
        <v>0</v>
      </c>
      <c r="AZ321" s="87">
        <v>0</v>
      </c>
      <c r="BA321" s="87">
        <v>0</v>
      </c>
      <c r="BB321" s="87">
        <v>0</v>
      </c>
      <c r="BC321" s="87">
        <v>0</v>
      </c>
      <c r="BD321" s="87">
        <v>0</v>
      </c>
      <c r="BE321" s="87">
        <v>0</v>
      </c>
      <c r="BF321" s="87">
        <v>0</v>
      </c>
      <c r="BG321" s="88">
        <v>0</v>
      </c>
      <c r="BH321" s="88">
        <v>0</v>
      </c>
      <c r="BI321" s="88">
        <v>0</v>
      </c>
      <c r="BJ321" s="88">
        <v>0</v>
      </c>
      <c r="BK321" s="88">
        <v>0</v>
      </c>
      <c r="BL321" s="88">
        <v>0</v>
      </c>
      <c r="BM321" s="88">
        <v>0</v>
      </c>
      <c r="BN321" s="590">
        <v>0</v>
      </c>
      <c r="BO321" s="171">
        <v>2023</v>
      </c>
      <c r="BP321" s="171">
        <v>1</v>
      </c>
      <c r="BQ321" s="171">
        <v>19</v>
      </c>
      <c r="BS321" s="76" t="str">
        <f t="shared" si="10"/>
        <v>○</v>
      </c>
    </row>
    <row r="322" spans="1:71" x14ac:dyDescent="0.2">
      <c r="A322" s="210">
        <v>1518</v>
      </c>
      <c r="B322" s="211"/>
      <c r="C322" s="212"/>
      <c r="D322" s="211"/>
      <c r="E322" s="212"/>
      <c r="F322" s="211"/>
      <c r="G322" s="211"/>
      <c r="H322" s="212"/>
      <c r="I322" s="211"/>
      <c r="J322" s="211"/>
      <c r="K322" s="211"/>
      <c r="L322" s="171"/>
      <c r="M322" s="171" t="s">
        <v>709</v>
      </c>
      <c r="N322" s="171" t="s">
        <v>330</v>
      </c>
      <c r="O322" s="171" t="s">
        <v>427</v>
      </c>
      <c r="P322" s="171" t="s">
        <v>916</v>
      </c>
      <c r="Q322" s="171"/>
      <c r="R322" s="213">
        <v>1536000</v>
      </c>
      <c r="S322" s="87">
        <v>0</v>
      </c>
      <c r="T322" s="87">
        <v>0</v>
      </c>
      <c r="U322" s="87">
        <v>0</v>
      </c>
      <c r="V322" s="87">
        <v>0</v>
      </c>
      <c r="W322" s="87">
        <v>0</v>
      </c>
      <c r="X322" s="87">
        <v>0</v>
      </c>
      <c r="Y322" s="87">
        <v>0</v>
      </c>
      <c r="Z322" s="87">
        <v>0</v>
      </c>
      <c r="AA322" s="214">
        <v>0</v>
      </c>
      <c r="AB322" s="214">
        <v>0</v>
      </c>
      <c r="AC322" s="214">
        <v>0</v>
      </c>
      <c r="AD322" s="214">
        <v>0</v>
      </c>
      <c r="AE322" s="214">
        <v>0</v>
      </c>
      <c r="AF322" s="214">
        <v>0</v>
      </c>
      <c r="AG322" s="214">
        <v>0</v>
      </c>
      <c r="AH322" s="214">
        <v>0</v>
      </c>
      <c r="AI322" s="87">
        <v>1536965</v>
      </c>
      <c r="AJ322" s="87">
        <v>0</v>
      </c>
      <c r="AK322" s="87">
        <v>1536965</v>
      </c>
      <c r="AL322" s="87">
        <v>1536965</v>
      </c>
      <c r="AM322" s="87">
        <v>5148000</v>
      </c>
      <c r="AN322" s="87">
        <v>1536965</v>
      </c>
      <c r="AO322" s="87">
        <v>1536965</v>
      </c>
      <c r="AP322" s="87">
        <v>1536000</v>
      </c>
      <c r="AQ322" s="88">
        <v>0</v>
      </c>
      <c r="AR322" s="88">
        <v>0</v>
      </c>
      <c r="AS322" s="88">
        <v>0</v>
      </c>
      <c r="AT322" s="88">
        <v>0</v>
      </c>
      <c r="AU322" s="88">
        <v>0</v>
      </c>
      <c r="AV322" s="88">
        <v>0</v>
      </c>
      <c r="AW322" s="88">
        <v>0</v>
      </c>
      <c r="AX322" s="88">
        <v>0</v>
      </c>
      <c r="AY322" s="87">
        <v>0</v>
      </c>
      <c r="AZ322" s="87">
        <v>0</v>
      </c>
      <c r="BA322" s="87">
        <v>0</v>
      </c>
      <c r="BB322" s="87">
        <v>0</v>
      </c>
      <c r="BC322" s="87">
        <v>0</v>
      </c>
      <c r="BD322" s="87">
        <v>0</v>
      </c>
      <c r="BE322" s="87">
        <v>0</v>
      </c>
      <c r="BF322" s="87">
        <v>0</v>
      </c>
      <c r="BG322" s="88">
        <v>0</v>
      </c>
      <c r="BH322" s="88">
        <v>0</v>
      </c>
      <c r="BI322" s="88">
        <v>0</v>
      </c>
      <c r="BJ322" s="88">
        <v>0</v>
      </c>
      <c r="BK322" s="88">
        <v>0</v>
      </c>
      <c r="BL322" s="88">
        <v>0</v>
      </c>
      <c r="BM322" s="88">
        <v>0</v>
      </c>
      <c r="BN322" s="590">
        <v>0</v>
      </c>
      <c r="BO322" s="171">
        <v>2023</v>
      </c>
      <c r="BP322" s="171">
        <v>1</v>
      </c>
      <c r="BQ322" s="171">
        <v>19</v>
      </c>
      <c r="BS322" s="76" t="str">
        <f t="shared" si="10"/>
        <v>○</v>
      </c>
    </row>
    <row r="323" spans="1:71" x14ac:dyDescent="0.2">
      <c r="A323" s="210">
        <v>1519</v>
      </c>
      <c r="B323" s="211"/>
      <c r="C323" s="212"/>
      <c r="D323" s="211"/>
      <c r="E323" s="212"/>
      <c r="F323" s="211"/>
      <c r="G323" s="211"/>
      <c r="H323" s="212"/>
      <c r="I323" s="211"/>
      <c r="J323" s="211"/>
      <c r="K323" s="211"/>
      <c r="L323" s="171"/>
      <c r="M323" s="171" t="s">
        <v>710</v>
      </c>
      <c r="N323" s="171" t="s">
        <v>286</v>
      </c>
      <c r="O323" s="171" t="s">
        <v>711</v>
      </c>
      <c r="P323" s="171" t="s">
        <v>916</v>
      </c>
      <c r="Q323" s="171"/>
      <c r="R323" s="213">
        <v>50000</v>
      </c>
      <c r="S323" s="87">
        <v>0</v>
      </c>
      <c r="T323" s="87">
        <v>0</v>
      </c>
      <c r="U323" s="87">
        <v>0</v>
      </c>
      <c r="V323" s="87">
        <v>0</v>
      </c>
      <c r="W323" s="87">
        <v>0</v>
      </c>
      <c r="X323" s="87">
        <v>0</v>
      </c>
      <c r="Y323" s="87">
        <v>0</v>
      </c>
      <c r="Z323" s="87">
        <v>0</v>
      </c>
      <c r="AA323" s="214">
        <v>0</v>
      </c>
      <c r="AB323" s="214">
        <v>0</v>
      </c>
      <c r="AC323" s="214">
        <v>0</v>
      </c>
      <c r="AD323" s="214">
        <v>0</v>
      </c>
      <c r="AE323" s="214">
        <v>0</v>
      </c>
      <c r="AF323" s="214">
        <v>0</v>
      </c>
      <c r="AG323" s="214">
        <v>0</v>
      </c>
      <c r="AH323" s="214">
        <v>0</v>
      </c>
      <c r="AI323" s="87">
        <v>50674</v>
      </c>
      <c r="AJ323" s="87">
        <v>0</v>
      </c>
      <c r="AK323" s="87">
        <v>50674</v>
      </c>
      <c r="AL323" s="87">
        <v>50674</v>
      </c>
      <c r="AM323" s="87">
        <v>936000</v>
      </c>
      <c r="AN323" s="87">
        <v>50674</v>
      </c>
      <c r="AO323" s="87">
        <v>50674</v>
      </c>
      <c r="AP323" s="87">
        <v>50000</v>
      </c>
      <c r="AQ323" s="88">
        <v>0</v>
      </c>
      <c r="AR323" s="88">
        <v>0</v>
      </c>
      <c r="AS323" s="88">
        <v>0</v>
      </c>
      <c r="AT323" s="88">
        <v>0</v>
      </c>
      <c r="AU323" s="88">
        <v>0</v>
      </c>
      <c r="AV323" s="88">
        <v>0</v>
      </c>
      <c r="AW323" s="88">
        <v>0</v>
      </c>
      <c r="AX323" s="88">
        <v>0</v>
      </c>
      <c r="AY323" s="87">
        <v>0</v>
      </c>
      <c r="AZ323" s="87">
        <v>0</v>
      </c>
      <c r="BA323" s="87">
        <v>0</v>
      </c>
      <c r="BB323" s="87">
        <v>0</v>
      </c>
      <c r="BC323" s="87">
        <v>0</v>
      </c>
      <c r="BD323" s="87">
        <v>0</v>
      </c>
      <c r="BE323" s="87">
        <v>0</v>
      </c>
      <c r="BF323" s="87">
        <v>0</v>
      </c>
      <c r="BG323" s="88">
        <v>0</v>
      </c>
      <c r="BH323" s="88">
        <v>0</v>
      </c>
      <c r="BI323" s="88">
        <v>0</v>
      </c>
      <c r="BJ323" s="88">
        <v>0</v>
      </c>
      <c r="BK323" s="88">
        <v>0</v>
      </c>
      <c r="BL323" s="88">
        <v>0</v>
      </c>
      <c r="BM323" s="88">
        <v>0</v>
      </c>
      <c r="BN323" s="590">
        <v>0</v>
      </c>
      <c r="BO323" s="171">
        <v>2023</v>
      </c>
      <c r="BP323" s="171">
        <v>1</v>
      </c>
      <c r="BQ323" s="171">
        <v>19</v>
      </c>
      <c r="BS323" s="76" t="str">
        <f t="shared" si="10"/>
        <v>○</v>
      </c>
    </row>
    <row r="324" spans="1:71" x14ac:dyDescent="0.2">
      <c r="A324" s="210">
        <v>1520</v>
      </c>
      <c r="B324" s="211"/>
      <c r="C324" s="212"/>
      <c r="D324" s="211"/>
      <c r="E324" s="212"/>
      <c r="F324" s="211"/>
      <c r="G324" s="211"/>
      <c r="H324" s="212"/>
      <c r="I324" s="211"/>
      <c r="J324" s="211"/>
      <c r="K324" s="211"/>
      <c r="L324" s="171"/>
      <c r="M324" s="171" t="s">
        <v>712</v>
      </c>
      <c r="N324" s="171" t="s">
        <v>348</v>
      </c>
      <c r="O324" s="171" t="s">
        <v>713</v>
      </c>
      <c r="P324" s="171" t="s">
        <v>916</v>
      </c>
      <c r="Q324" s="171"/>
      <c r="R324" s="213">
        <v>305000</v>
      </c>
      <c r="S324" s="87">
        <v>0</v>
      </c>
      <c r="T324" s="87">
        <v>0</v>
      </c>
      <c r="U324" s="87">
        <v>0</v>
      </c>
      <c r="V324" s="87">
        <v>0</v>
      </c>
      <c r="W324" s="87">
        <v>0</v>
      </c>
      <c r="X324" s="87">
        <v>0</v>
      </c>
      <c r="Y324" s="87">
        <v>0</v>
      </c>
      <c r="Z324" s="87">
        <v>0</v>
      </c>
      <c r="AA324" s="214">
        <v>0</v>
      </c>
      <c r="AB324" s="214">
        <v>0</v>
      </c>
      <c r="AC324" s="214">
        <v>0</v>
      </c>
      <c r="AD324" s="214">
        <v>0</v>
      </c>
      <c r="AE324" s="214">
        <v>0</v>
      </c>
      <c r="AF324" s="214">
        <v>0</v>
      </c>
      <c r="AG324" s="214">
        <v>0</v>
      </c>
      <c r="AH324" s="214">
        <v>0</v>
      </c>
      <c r="AI324" s="87">
        <v>305710</v>
      </c>
      <c r="AJ324" s="87">
        <v>0</v>
      </c>
      <c r="AK324" s="87">
        <v>305710</v>
      </c>
      <c r="AL324" s="87">
        <v>305710</v>
      </c>
      <c r="AM324" s="87">
        <v>2610000</v>
      </c>
      <c r="AN324" s="87">
        <v>305710</v>
      </c>
      <c r="AO324" s="87">
        <v>305710</v>
      </c>
      <c r="AP324" s="87">
        <v>305000</v>
      </c>
      <c r="AQ324" s="88">
        <v>0</v>
      </c>
      <c r="AR324" s="88">
        <v>0</v>
      </c>
      <c r="AS324" s="88">
        <v>0</v>
      </c>
      <c r="AT324" s="88">
        <v>0</v>
      </c>
      <c r="AU324" s="88">
        <v>0</v>
      </c>
      <c r="AV324" s="88">
        <v>0</v>
      </c>
      <c r="AW324" s="88">
        <v>0</v>
      </c>
      <c r="AX324" s="88">
        <v>0</v>
      </c>
      <c r="AY324" s="87">
        <v>0</v>
      </c>
      <c r="AZ324" s="87">
        <v>0</v>
      </c>
      <c r="BA324" s="87">
        <v>0</v>
      </c>
      <c r="BB324" s="87">
        <v>0</v>
      </c>
      <c r="BC324" s="87">
        <v>0</v>
      </c>
      <c r="BD324" s="87">
        <v>0</v>
      </c>
      <c r="BE324" s="87">
        <v>0</v>
      </c>
      <c r="BF324" s="87">
        <v>0</v>
      </c>
      <c r="BG324" s="88">
        <v>0</v>
      </c>
      <c r="BH324" s="88">
        <v>0</v>
      </c>
      <c r="BI324" s="88">
        <v>0</v>
      </c>
      <c r="BJ324" s="88">
        <v>0</v>
      </c>
      <c r="BK324" s="88">
        <v>0</v>
      </c>
      <c r="BL324" s="88">
        <v>0</v>
      </c>
      <c r="BM324" s="88">
        <v>0</v>
      </c>
      <c r="BN324" s="590">
        <v>0</v>
      </c>
      <c r="BO324" s="171">
        <v>2023</v>
      </c>
      <c r="BP324" s="171">
        <v>1</v>
      </c>
      <c r="BQ324" s="171">
        <v>19</v>
      </c>
      <c r="BS324" s="76" t="str">
        <f t="shared" si="10"/>
        <v>○</v>
      </c>
    </row>
    <row r="325" spans="1:71" s="81" customFormat="1" x14ac:dyDescent="0.2">
      <c r="A325" s="210">
        <v>1521</v>
      </c>
      <c r="B325" s="211"/>
      <c r="C325" s="212"/>
      <c r="D325" s="211"/>
      <c r="E325" s="212"/>
      <c r="F325" s="211"/>
      <c r="G325" s="211"/>
      <c r="H325" s="212"/>
      <c r="I325" s="211"/>
      <c r="J325" s="211"/>
      <c r="K325" s="211"/>
      <c r="L325" s="171"/>
      <c r="M325" s="171" t="s">
        <v>714</v>
      </c>
      <c r="N325" s="171" t="s">
        <v>269</v>
      </c>
      <c r="O325" s="171" t="s">
        <v>715</v>
      </c>
      <c r="P325" s="171" t="s">
        <v>916</v>
      </c>
      <c r="Q325" s="171"/>
      <c r="R325" s="213">
        <v>675000</v>
      </c>
      <c r="S325" s="87">
        <v>0</v>
      </c>
      <c r="T325" s="87">
        <v>0</v>
      </c>
      <c r="U325" s="87">
        <v>0</v>
      </c>
      <c r="V325" s="87">
        <v>0</v>
      </c>
      <c r="W325" s="87">
        <v>0</v>
      </c>
      <c r="X325" s="87">
        <v>0</v>
      </c>
      <c r="Y325" s="87">
        <v>0</v>
      </c>
      <c r="Z325" s="87">
        <v>0</v>
      </c>
      <c r="AA325" s="214">
        <v>0</v>
      </c>
      <c r="AB325" s="214">
        <v>0</v>
      </c>
      <c r="AC325" s="214">
        <v>0</v>
      </c>
      <c r="AD325" s="214">
        <v>0</v>
      </c>
      <c r="AE325" s="214">
        <v>0</v>
      </c>
      <c r="AF325" s="214">
        <v>0</v>
      </c>
      <c r="AG325" s="214">
        <v>0</v>
      </c>
      <c r="AH325" s="214">
        <v>0</v>
      </c>
      <c r="AI325" s="87">
        <v>675950</v>
      </c>
      <c r="AJ325" s="87">
        <v>0</v>
      </c>
      <c r="AK325" s="87">
        <v>675950</v>
      </c>
      <c r="AL325" s="87">
        <v>675950</v>
      </c>
      <c r="AM325" s="87">
        <v>1310400</v>
      </c>
      <c r="AN325" s="87">
        <v>675950</v>
      </c>
      <c r="AO325" s="87">
        <v>675950</v>
      </c>
      <c r="AP325" s="87">
        <v>675000</v>
      </c>
      <c r="AQ325" s="88">
        <v>0</v>
      </c>
      <c r="AR325" s="88">
        <v>0</v>
      </c>
      <c r="AS325" s="88">
        <v>0</v>
      </c>
      <c r="AT325" s="88">
        <v>0</v>
      </c>
      <c r="AU325" s="88">
        <v>0</v>
      </c>
      <c r="AV325" s="88">
        <v>0</v>
      </c>
      <c r="AW325" s="88">
        <v>0</v>
      </c>
      <c r="AX325" s="88">
        <v>0</v>
      </c>
      <c r="AY325" s="87">
        <v>0</v>
      </c>
      <c r="AZ325" s="87">
        <v>0</v>
      </c>
      <c r="BA325" s="87">
        <v>0</v>
      </c>
      <c r="BB325" s="87">
        <v>0</v>
      </c>
      <c r="BC325" s="87">
        <v>0</v>
      </c>
      <c r="BD325" s="87">
        <v>0</v>
      </c>
      <c r="BE325" s="87">
        <v>0</v>
      </c>
      <c r="BF325" s="87">
        <v>0</v>
      </c>
      <c r="BG325" s="88">
        <v>0</v>
      </c>
      <c r="BH325" s="88">
        <v>0</v>
      </c>
      <c r="BI325" s="88">
        <v>0</v>
      </c>
      <c r="BJ325" s="88">
        <v>0</v>
      </c>
      <c r="BK325" s="88">
        <v>0</v>
      </c>
      <c r="BL325" s="88">
        <v>0</v>
      </c>
      <c r="BM325" s="88">
        <v>0</v>
      </c>
      <c r="BN325" s="590">
        <v>0</v>
      </c>
      <c r="BO325" s="171">
        <v>2023</v>
      </c>
      <c r="BP325" s="171">
        <v>1</v>
      </c>
      <c r="BQ325" s="171">
        <v>19</v>
      </c>
      <c r="BR325" s="77"/>
      <c r="BS325" s="76" t="str">
        <f t="shared" si="10"/>
        <v>○</v>
      </c>
    </row>
    <row r="326" spans="1:71" x14ac:dyDescent="0.2">
      <c r="A326" s="210">
        <v>1522</v>
      </c>
      <c r="B326" s="211"/>
      <c r="C326" s="212"/>
      <c r="D326" s="211"/>
      <c r="E326" s="212"/>
      <c r="F326" s="211"/>
      <c r="G326" s="211"/>
      <c r="H326" s="212"/>
      <c r="I326" s="211"/>
      <c r="J326" s="211"/>
      <c r="K326" s="211"/>
      <c r="L326" s="171"/>
      <c r="M326" s="171" t="s">
        <v>334</v>
      </c>
      <c r="N326" s="171" t="s">
        <v>299</v>
      </c>
      <c r="O326" s="171" t="s">
        <v>335</v>
      </c>
      <c r="P326" s="171" t="s">
        <v>916</v>
      </c>
      <c r="Q326" s="171"/>
      <c r="R326" s="213">
        <v>560000</v>
      </c>
      <c r="S326" s="87">
        <v>0</v>
      </c>
      <c r="T326" s="87">
        <v>0</v>
      </c>
      <c r="U326" s="87">
        <v>0</v>
      </c>
      <c r="V326" s="87">
        <v>0</v>
      </c>
      <c r="W326" s="87">
        <v>0</v>
      </c>
      <c r="X326" s="87">
        <v>0</v>
      </c>
      <c r="Y326" s="87">
        <v>0</v>
      </c>
      <c r="Z326" s="87">
        <v>0</v>
      </c>
      <c r="AA326" s="214">
        <v>0</v>
      </c>
      <c r="AB326" s="214">
        <v>0</v>
      </c>
      <c r="AC326" s="214">
        <v>0</v>
      </c>
      <c r="AD326" s="214">
        <v>0</v>
      </c>
      <c r="AE326" s="214">
        <v>0</v>
      </c>
      <c r="AF326" s="214">
        <v>0</v>
      </c>
      <c r="AG326" s="214">
        <v>0</v>
      </c>
      <c r="AH326" s="214">
        <v>0</v>
      </c>
      <c r="AI326" s="87">
        <v>560800</v>
      </c>
      <c r="AJ326" s="87">
        <v>0</v>
      </c>
      <c r="AK326" s="87">
        <v>560800</v>
      </c>
      <c r="AL326" s="87">
        <v>560800</v>
      </c>
      <c r="AM326" s="87">
        <v>2998800</v>
      </c>
      <c r="AN326" s="87">
        <v>560800</v>
      </c>
      <c r="AO326" s="87">
        <v>560800</v>
      </c>
      <c r="AP326" s="87">
        <v>560000</v>
      </c>
      <c r="AQ326" s="88">
        <v>0</v>
      </c>
      <c r="AR326" s="88">
        <v>0</v>
      </c>
      <c r="AS326" s="88">
        <v>0</v>
      </c>
      <c r="AT326" s="88">
        <v>0</v>
      </c>
      <c r="AU326" s="88">
        <v>0</v>
      </c>
      <c r="AV326" s="88">
        <v>0</v>
      </c>
      <c r="AW326" s="88">
        <v>0</v>
      </c>
      <c r="AX326" s="88">
        <v>0</v>
      </c>
      <c r="AY326" s="87">
        <v>0</v>
      </c>
      <c r="AZ326" s="87">
        <v>0</v>
      </c>
      <c r="BA326" s="87">
        <v>0</v>
      </c>
      <c r="BB326" s="87">
        <v>0</v>
      </c>
      <c r="BC326" s="87">
        <v>0</v>
      </c>
      <c r="BD326" s="87">
        <v>0</v>
      </c>
      <c r="BE326" s="87">
        <v>0</v>
      </c>
      <c r="BF326" s="87">
        <v>0</v>
      </c>
      <c r="BG326" s="88">
        <v>0</v>
      </c>
      <c r="BH326" s="88">
        <v>0</v>
      </c>
      <c r="BI326" s="88">
        <v>0</v>
      </c>
      <c r="BJ326" s="88">
        <v>0</v>
      </c>
      <c r="BK326" s="88">
        <v>0</v>
      </c>
      <c r="BL326" s="88">
        <v>0</v>
      </c>
      <c r="BM326" s="88">
        <v>0</v>
      </c>
      <c r="BN326" s="590">
        <v>0</v>
      </c>
      <c r="BO326" s="171">
        <v>2023</v>
      </c>
      <c r="BP326" s="171">
        <v>1</v>
      </c>
      <c r="BQ326" s="171">
        <v>19</v>
      </c>
      <c r="BS326" s="76" t="str">
        <f t="shared" si="10"/>
        <v>○</v>
      </c>
    </row>
    <row r="327" spans="1:71" x14ac:dyDescent="0.2">
      <c r="A327" s="210">
        <v>1523</v>
      </c>
      <c r="B327" s="211"/>
      <c r="C327" s="212"/>
      <c r="D327" s="211"/>
      <c r="E327" s="212"/>
      <c r="F327" s="211"/>
      <c r="G327" s="211"/>
      <c r="H327" s="212"/>
      <c r="I327" s="211"/>
      <c r="J327" s="211"/>
      <c r="K327" s="211"/>
      <c r="L327" s="171"/>
      <c r="M327" s="171" t="s">
        <v>716</v>
      </c>
      <c r="N327" s="171" t="s">
        <v>278</v>
      </c>
      <c r="O327" s="171" t="s">
        <v>717</v>
      </c>
      <c r="P327" s="171" t="s">
        <v>916</v>
      </c>
      <c r="Q327" s="171"/>
      <c r="R327" s="213">
        <v>215000</v>
      </c>
      <c r="S327" s="87">
        <v>0</v>
      </c>
      <c r="T327" s="87">
        <v>0</v>
      </c>
      <c r="U327" s="87">
        <v>0</v>
      </c>
      <c r="V327" s="87">
        <v>0</v>
      </c>
      <c r="W327" s="87">
        <v>0</v>
      </c>
      <c r="X327" s="87">
        <v>0</v>
      </c>
      <c r="Y327" s="87">
        <v>0</v>
      </c>
      <c r="Z327" s="87">
        <v>0</v>
      </c>
      <c r="AA327" s="214">
        <v>0</v>
      </c>
      <c r="AB327" s="214">
        <v>0</v>
      </c>
      <c r="AC327" s="214">
        <v>0</v>
      </c>
      <c r="AD327" s="214">
        <v>0</v>
      </c>
      <c r="AE327" s="214">
        <v>0</v>
      </c>
      <c r="AF327" s="214">
        <v>0</v>
      </c>
      <c r="AG327" s="214">
        <v>0</v>
      </c>
      <c r="AH327" s="214">
        <v>0</v>
      </c>
      <c r="AI327" s="87">
        <v>215895</v>
      </c>
      <c r="AJ327" s="87">
        <v>0</v>
      </c>
      <c r="AK327" s="87">
        <v>215895</v>
      </c>
      <c r="AL327" s="87">
        <v>215895</v>
      </c>
      <c r="AM327" s="87">
        <v>5184000</v>
      </c>
      <c r="AN327" s="87">
        <v>215895</v>
      </c>
      <c r="AO327" s="87">
        <v>215895</v>
      </c>
      <c r="AP327" s="87">
        <v>215000</v>
      </c>
      <c r="AQ327" s="88">
        <v>0</v>
      </c>
      <c r="AR327" s="88">
        <v>0</v>
      </c>
      <c r="AS327" s="88">
        <v>0</v>
      </c>
      <c r="AT327" s="88">
        <v>0</v>
      </c>
      <c r="AU327" s="88">
        <v>0</v>
      </c>
      <c r="AV327" s="88">
        <v>0</v>
      </c>
      <c r="AW327" s="88">
        <v>0</v>
      </c>
      <c r="AX327" s="88">
        <v>0</v>
      </c>
      <c r="AY327" s="87">
        <v>0</v>
      </c>
      <c r="AZ327" s="87">
        <v>0</v>
      </c>
      <c r="BA327" s="87">
        <v>0</v>
      </c>
      <c r="BB327" s="87">
        <v>0</v>
      </c>
      <c r="BC327" s="87">
        <v>0</v>
      </c>
      <c r="BD327" s="87">
        <v>0</v>
      </c>
      <c r="BE327" s="87">
        <v>0</v>
      </c>
      <c r="BF327" s="87">
        <v>0</v>
      </c>
      <c r="BG327" s="88">
        <v>0</v>
      </c>
      <c r="BH327" s="88">
        <v>0</v>
      </c>
      <c r="BI327" s="88">
        <v>0</v>
      </c>
      <c r="BJ327" s="88">
        <v>0</v>
      </c>
      <c r="BK327" s="88">
        <v>0</v>
      </c>
      <c r="BL327" s="88">
        <v>0</v>
      </c>
      <c r="BM327" s="88">
        <v>0</v>
      </c>
      <c r="BN327" s="590">
        <v>0</v>
      </c>
      <c r="BO327" s="171">
        <v>2023</v>
      </c>
      <c r="BP327" s="171">
        <v>1</v>
      </c>
      <c r="BQ327" s="171">
        <v>19</v>
      </c>
      <c r="BR327" s="81"/>
      <c r="BS327" s="76" t="str">
        <f t="shared" si="10"/>
        <v>○</v>
      </c>
    </row>
    <row r="328" spans="1:71" x14ac:dyDescent="0.2">
      <c r="A328" s="210">
        <v>1524</v>
      </c>
      <c r="B328" s="211"/>
      <c r="C328" s="212"/>
      <c r="D328" s="211"/>
      <c r="E328" s="212"/>
      <c r="F328" s="211"/>
      <c r="G328" s="211"/>
      <c r="H328" s="212"/>
      <c r="I328" s="211"/>
      <c r="J328" s="211"/>
      <c r="K328" s="211"/>
      <c r="L328" s="171"/>
      <c r="M328" s="171" t="s">
        <v>718</v>
      </c>
      <c r="N328" s="171" t="s">
        <v>286</v>
      </c>
      <c r="O328" s="171" t="s">
        <v>719</v>
      </c>
      <c r="P328" s="171" t="s">
        <v>916</v>
      </c>
      <c r="Q328" s="171"/>
      <c r="R328" s="213">
        <v>248000</v>
      </c>
      <c r="S328" s="87">
        <v>0</v>
      </c>
      <c r="T328" s="87">
        <v>0</v>
      </c>
      <c r="U328" s="87">
        <v>0</v>
      </c>
      <c r="V328" s="87">
        <v>0</v>
      </c>
      <c r="W328" s="87">
        <v>0</v>
      </c>
      <c r="X328" s="87">
        <v>0</v>
      </c>
      <c r="Y328" s="87">
        <v>0</v>
      </c>
      <c r="Z328" s="87">
        <v>0</v>
      </c>
      <c r="AA328" s="214">
        <v>0</v>
      </c>
      <c r="AB328" s="214">
        <v>0</v>
      </c>
      <c r="AC328" s="214">
        <v>0</v>
      </c>
      <c r="AD328" s="214">
        <v>0</v>
      </c>
      <c r="AE328" s="214">
        <v>0</v>
      </c>
      <c r="AF328" s="214">
        <v>0</v>
      </c>
      <c r="AG328" s="214">
        <v>0</v>
      </c>
      <c r="AH328" s="214">
        <v>0</v>
      </c>
      <c r="AI328" s="87">
        <v>248900</v>
      </c>
      <c r="AJ328" s="87">
        <v>0</v>
      </c>
      <c r="AK328" s="87">
        <v>248900</v>
      </c>
      <c r="AL328" s="87">
        <v>248900</v>
      </c>
      <c r="AM328" s="87">
        <v>3960000</v>
      </c>
      <c r="AN328" s="87">
        <v>248900</v>
      </c>
      <c r="AO328" s="87">
        <v>248900</v>
      </c>
      <c r="AP328" s="87">
        <v>248000</v>
      </c>
      <c r="AQ328" s="88">
        <v>0</v>
      </c>
      <c r="AR328" s="88">
        <v>0</v>
      </c>
      <c r="AS328" s="88">
        <v>0</v>
      </c>
      <c r="AT328" s="88">
        <v>0</v>
      </c>
      <c r="AU328" s="88">
        <v>0</v>
      </c>
      <c r="AV328" s="88">
        <v>0</v>
      </c>
      <c r="AW328" s="88">
        <v>0</v>
      </c>
      <c r="AX328" s="88">
        <v>0</v>
      </c>
      <c r="AY328" s="87">
        <v>0</v>
      </c>
      <c r="AZ328" s="87">
        <v>0</v>
      </c>
      <c r="BA328" s="87">
        <v>0</v>
      </c>
      <c r="BB328" s="87">
        <v>0</v>
      </c>
      <c r="BC328" s="87">
        <v>0</v>
      </c>
      <c r="BD328" s="87">
        <v>0</v>
      </c>
      <c r="BE328" s="87">
        <v>0</v>
      </c>
      <c r="BF328" s="87">
        <v>0</v>
      </c>
      <c r="BG328" s="88">
        <v>0</v>
      </c>
      <c r="BH328" s="88">
        <v>0</v>
      </c>
      <c r="BI328" s="88">
        <v>0</v>
      </c>
      <c r="BJ328" s="88">
        <v>0</v>
      </c>
      <c r="BK328" s="88">
        <v>0</v>
      </c>
      <c r="BL328" s="88">
        <v>0</v>
      </c>
      <c r="BM328" s="88">
        <v>0</v>
      </c>
      <c r="BN328" s="590">
        <v>0</v>
      </c>
      <c r="BO328" s="171">
        <v>2023</v>
      </c>
      <c r="BP328" s="171">
        <v>1</v>
      </c>
      <c r="BQ328" s="171">
        <v>19</v>
      </c>
      <c r="BS328" s="76" t="str">
        <f t="shared" si="10"/>
        <v>○</v>
      </c>
    </row>
    <row r="329" spans="1:71" x14ac:dyDescent="0.2">
      <c r="A329" s="210">
        <v>1525</v>
      </c>
      <c r="B329" s="211"/>
      <c r="C329" s="212"/>
      <c r="D329" s="211"/>
      <c r="E329" s="212"/>
      <c r="F329" s="211"/>
      <c r="G329" s="211"/>
      <c r="H329" s="212"/>
      <c r="I329" s="211"/>
      <c r="J329" s="211"/>
      <c r="K329" s="211"/>
      <c r="L329" s="171"/>
      <c r="M329" s="171" t="s">
        <v>407</v>
      </c>
      <c r="N329" s="171" t="s">
        <v>269</v>
      </c>
      <c r="O329" s="171" t="s">
        <v>408</v>
      </c>
      <c r="P329" s="171" t="s">
        <v>916</v>
      </c>
      <c r="Q329" s="171"/>
      <c r="R329" s="213">
        <v>1620000</v>
      </c>
      <c r="S329" s="87">
        <v>0</v>
      </c>
      <c r="T329" s="87">
        <v>0</v>
      </c>
      <c r="U329" s="87">
        <v>0</v>
      </c>
      <c r="V329" s="87">
        <v>0</v>
      </c>
      <c r="W329" s="87">
        <v>0</v>
      </c>
      <c r="X329" s="87">
        <v>0</v>
      </c>
      <c r="Y329" s="87">
        <v>0</v>
      </c>
      <c r="Z329" s="87">
        <v>0</v>
      </c>
      <c r="AA329" s="214">
        <v>0</v>
      </c>
      <c r="AB329" s="214">
        <v>0</v>
      </c>
      <c r="AC329" s="214">
        <v>0</v>
      </c>
      <c r="AD329" s="214">
        <v>0</v>
      </c>
      <c r="AE329" s="214">
        <v>0</v>
      </c>
      <c r="AF329" s="214">
        <v>0</v>
      </c>
      <c r="AG329" s="214">
        <v>0</v>
      </c>
      <c r="AH329" s="214">
        <v>0</v>
      </c>
      <c r="AI329" s="87">
        <v>1705104</v>
      </c>
      <c r="AJ329" s="87">
        <v>0</v>
      </c>
      <c r="AK329" s="87">
        <v>1705104</v>
      </c>
      <c r="AL329" s="87">
        <v>1705104</v>
      </c>
      <c r="AM329" s="87">
        <v>1620000</v>
      </c>
      <c r="AN329" s="87">
        <v>1620000</v>
      </c>
      <c r="AO329" s="87">
        <v>1620000</v>
      </c>
      <c r="AP329" s="87">
        <v>1620000</v>
      </c>
      <c r="AQ329" s="88">
        <v>0</v>
      </c>
      <c r="AR329" s="88">
        <v>0</v>
      </c>
      <c r="AS329" s="88">
        <v>0</v>
      </c>
      <c r="AT329" s="88">
        <v>0</v>
      </c>
      <c r="AU329" s="88">
        <v>0</v>
      </c>
      <c r="AV329" s="88">
        <v>0</v>
      </c>
      <c r="AW329" s="88">
        <v>0</v>
      </c>
      <c r="AX329" s="88">
        <v>0</v>
      </c>
      <c r="AY329" s="87">
        <v>0</v>
      </c>
      <c r="AZ329" s="87">
        <v>0</v>
      </c>
      <c r="BA329" s="87">
        <v>0</v>
      </c>
      <c r="BB329" s="87">
        <v>0</v>
      </c>
      <c r="BC329" s="87">
        <v>0</v>
      </c>
      <c r="BD329" s="87">
        <v>0</v>
      </c>
      <c r="BE329" s="87">
        <v>0</v>
      </c>
      <c r="BF329" s="87">
        <v>0</v>
      </c>
      <c r="BG329" s="88">
        <v>0</v>
      </c>
      <c r="BH329" s="88">
        <v>0</v>
      </c>
      <c r="BI329" s="88">
        <v>0</v>
      </c>
      <c r="BJ329" s="88">
        <v>0</v>
      </c>
      <c r="BK329" s="88">
        <v>0</v>
      </c>
      <c r="BL329" s="88">
        <v>0</v>
      </c>
      <c r="BM329" s="88">
        <v>0</v>
      </c>
      <c r="BN329" s="590">
        <v>0</v>
      </c>
      <c r="BO329" s="171">
        <v>2023</v>
      </c>
      <c r="BP329" s="171">
        <v>1</v>
      </c>
      <c r="BQ329" s="171">
        <v>19</v>
      </c>
      <c r="BS329" s="76" t="str">
        <f t="shared" si="10"/>
        <v>○</v>
      </c>
    </row>
    <row r="330" spans="1:71" x14ac:dyDescent="0.2">
      <c r="A330" s="210">
        <v>1526</v>
      </c>
      <c r="B330" s="211"/>
      <c r="C330" s="212"/>
      <c r="D330" s="211"/>
      <c r="E330" s="212"/>
      <c r="F330" s="211"/>
      <c r="G330" s="211"/>
      <c r="H330" s="212"/>
      <c r="I330" s="211"/>
      <c r="J330" s="211"/>
      <c r="K330" s="211"/>
      <c r="L330" s="171"/>
      <c r="M330" s="171" t="s">
        <v>515</v>
      </c>
      <c r="N330" s="171" t="s">
        <v>286</v>
      </c>
      <c r="O330" s="171" t="s">
        <v>279</v>
      </c>
      <c r="P330" s="171" t="s">
        <v>916</v>
      </c>
      <c r="Q330" s="171"/>
      <c r="R330" s="213">
        <v>192000</v>
      </c>
      <c r="S330" s="87">
        <v>0</v>
      </c>
      <c r="T330" s="87">
        <v>0</v>
      </c>
      <c r="U330" s="87">
        <v>0</v>
      </c>
      <c r="V330" s="87">
        <v>0</v>
      </c>
      <c r="W330" s="87">
        <v>0</v>
      </c>
      <c r="X330" s="87">
        <v>0</v>
      </c>
      <c r="Y330" s="87">
        <v>0</v>
      </c>
      <c r="Z330" s="87">
        <v>0</v>
      </c>
      <c r="AA330" s="214">
        <v>0</v>
      </c>
      <c r="AB330" s="214">
        <v>0</v>
      </c>
      <c r="AC330" s="214">
        <v>0</v>
      </c>
      <c r="AD330" s="214">
        <v>0</v>
      </c>
      <c r="AE330" s="214">
        <v>0</v>
      </c>
      <c r="AF330" s="214">
        <v>0</v>
      </c>
      <c r="AG330" s="214">
        <v>0</v>
      </c>
      <c r="AH330" s="214">
        <v>0</v>
      </c>
      <c r="AI330" s="87">
        <v>192000</v>
      </c>
      <c r="AJ330" s="87">
        <v>0</v>
      </c>
      <c r="AK330" s="87">
        <v>192000</v>
      </c>
      <c r="AL330" s="87">
        <v>192000</v>
      </c>
      <c r="AM330" s="87">
        <v>4633200</v>
      </c>
      <c r="AN330" s="87">
        <v>192000</v>
      </c>
      <c r="AO330" s="87">
        <v>192000</v>
      </c>
      <c r="AP330" s="87">
        <v>192000</v>
      </c>
      <c r="AQ330" s="88">
        <v>0</v>
      </c>
      <c r="AR330" s="88">
        <v>0</v>
      </c>
      <c r="AS330" s="88">
        <v>0</v>
      </c>
      <c r="AT330" s="88">
        <v>0</v>
      </c>
      <c r="AU330" s="88">
        <v>0</v>
      </c>
      <c r="AV330" s="88">
        <v>0</v>
      </c>
      <c r="AW330" s="88">
        <v>0</v>
      </c>
      <c r="AX330" s="88">
        <v>0</v>
      </c>
      <c r="AY330" s="87">
        <v>0</v>
      </c>
      <c r="AZ330" s="87">
        <v>0</v>
      </c>
      <c r="BA330" s="87">
        <v>0</v>
      </c>
      <c r="BB330" s="87">
        <v>0</v>
      </c>
      <c r="BC330" s="87">
        <v>0</v>
      </c>
      <c r="BD330" s="87">
        <v>0</v>
      </c>
      <c r="BE330" s="87">
        <v>0</v>
      </c>
      <c r="BF330" s="87">
        <v>0</v>
      </c>
      <c r="BG330" s="88">
        <v>0</v>
      </c>
      <c r="BH330" s="88">
        <v>0</v>
      </c>
      <c r="BI330" s="88">
        <v>0</v>
      </c>
      <c r="BJ330" s="88">
        <v>0</v>
      </c>
      <c r="BK330" s="88">
        <v>0</v>
      </c>
      <c r="BL330" s="88">
        <v>0</v>
      </c>
      <c r="BM330" s="88">
        <v>0</v>
      </c>
      <c r="BN330" s="590">
        <v>0</v>
      </c>
      <c r="BO330" s="171">
        <v>2023</v>
      </c>
      <c r="BP330" s="171">
        <v>1</v>
      </c>
      <c r="BQ330" s="171">
        <v>19</v>
      </c>
      <c r="BS330" s="76" t="str">
        <f t="shared" si="10"/>
        <v>○</v>
      </c>
    </row>
    <row r="331" spans="1:71" x14ac:dyDescent="0.2">
      <c r="A331" s="210">
        <v>1527</v>
      </c>
      <c r="B331" s="211"/>
      <c r="C331" s="212"/>
      <c r="D331" s="211"/>
      <c r="E331" s="212"/>
      <c r="F331" s="211"/>
      <c r="G331" s="211"/>
      <c r="H331" s="212"/>
      <c r="I331" s="211"/>
      <c r="J331" s="211"/>
      <c r="K331" s="211"/>
      <c r="L331" s="171"/>
      <c r="M331" s="171" t="s">
        <v>720</v>
      </c>
      <c r="N331" s="171" t="s">
        <v>393</v>
      </c>
      <c r="O331" s="171" t="s">
        <v>279</v>
      </c>
      <c r="P331" s="171" t="s">
        <v>916</v>
      </c>
      <c r="Q331" s="171"/>
      <c r="R331" s="213">
        <v>269000</v>
      </c>
      <c r="S331" s="87">
        <v>0</v>
      </c>
      <c r="T331" s="87">
        <v>0</v>
      </c>
      <c r="U331" s="87">
        <v>0</v>
      </c>
      <c r="V331" s="87">
        <v>0</v>
      </c>
      <c r="W331" s="87">
        <v>0</v>
      </c>
      <c r="X331" s="87">
        <v>0</v>
      </c>
      <c r="Y331" s="87">
        <v>0</v>
      </c>
      <c r="Z331" s="87">
        <v>0</v>
      </c>
      <c r="AA331" s="214">
        <v>0</v>
      </c>
      <c r="AB331" s="214">
        <v>0</v>
      </c>
      <c r="AC331" s="214">
        <v>0</v>
      </c>
      <c r="AD331" s="214">
        <v>0</v>
      </c>
      <c r="AE331" s="214">
        <v>0</v>
      </c>
      <c r="AF331" s="214">
        <v>0</v>
      </c>
      <c r="AG331" s="214">
        <v>0</v>
      </c>
      <c r="AH331" s="214">
        <v>0</v>
      </c>
      <c r="AI331" s="87">
        <v>269188</v>
      </c>
      <c r="AJ331" s="87">
        <v>0</v>
      </c>
      <c r="AK331" s="87">
        <v>269188</v>
      </c>
      <c r="AL331" s="87">
        <v>269188</v>
      </c>
      <c r="AM331" s="87">
        <v>5850000</v>
      </c>
      <c r="AN331" s="87">
        <v>269188</v>
      </c>
      <c r="AO331" s="87">
        <v>269188</v>
      </c>
      <c r="AP331" s="87">
        <v>269000</v>
      </c>
      <c r="AQ331" s="88">
        <v>0</v>
      </c>
      <c r="AR331" s="88">
        <v>0</v>
      </c>
      <c r="AS331" s="88">
        <v>0</v>
      </c>
      <c r="AT331" s="88">
        <v>0</v>
      </c>
      <c r="AU331" s="88">
        <v>0</v>
      </c>
      <c r="AV331" s="88">
        <v>0</v>
      </c>
      <c r="AW331" s="88">
        <v>0</v>
      </c>
      <c r="AX331" s="88">
        <v>0</v>
      </c>
      <c r="AY331" s="87">
        <v>0</v>
      </c>
      <c r="AZ331" s="87">
        <v>0</v>
      </c>
      <c r="BA331" s="87">
        <v>0</v>
      </c>
      <c r="BB331" s="87">
        <v>0</v>
      </c>
      <c r="BC331" s="87">
        <v>0</v>
      </c>
      <c r="BD331" s="87">
        <v>0</v>
      </c>
      <c r="BE331" s="87">
        <v>0</v>
      </c>
      <c r="BF331" s="87">
        <v>0</v>
      </c>
      <c r="BG331" s="88">
        <v>0</v>
      </c>
      <c r="BH331" s="88">
        <v>0</v>
      </c>
      <c r="BI331" s="88">
        <v>0</v>
      </c>
      <c r="BJ331" s="88">
        <v>0</v>
      </c>
      <c r="BK331" s="88">
        <v>0</v>
      </c>
      <c r="BL331" s="88">
        <v>0</v>
      </c>
      <c r="BM331" s="88">
        <v>0</v>
      </c>
      <c r="BN331" s="590">
        <v>0</v>
      </c>
      <c r="BO331" s="171">
        <v>2023</v>
      </c>
      <c r="BP331" s="171">
        <v>1</v>
      </c>
      <c r="BQ331" s="171">
        <v>19</v>
      </c>
      <c r="BS331" s="76" t="str">
        <f t="shared" si="10"/>
        <v>○</v>
      </c>
    </row>
    <row r="332" spans="1:71" x14ac:dyDescent="0.2">
      <c r="A332" s="210">
        <v>1528</v>
      </c>
      <c r="B332" s="211"/>
      <c r="C332" s="212"/>
      <c r="D332" s="211"/>
      <c r="E332" s="212"/>
      <c r="F332" s="211"/>
      <c r="G332" s="211"/>
      <c r="H332" s="212"/>
      <c r="I332" s="211"/>
      <c r="J332" s="211"/>
      <c r="K332" s="211"/>
      <c r="L332" s="171"/>
      <c r="M332" s="171" t="s">
        <v>639</v>
      </c>
      <c r="N332" s="171" t="s">
        <v>289</v>
      </c>
      <c r="O332" s="171" t="s">
        <v>408</v>
      </c>
      <c r="P332" s="171" t="s">
        <v>916</v>
      </c>
      <c r="Q332" s="171"/>
      <c r="R332" s="213">
        <v>368000</v>
      </c>
      <c r="S332" s="87">
        <v>0</v>
      </c>
      <c r="T332" s="87">
        <v>0</v>
      </c>
      <c r="U332" s="87">
        <v>0</v>
      </c>
      <c r="V332" s="87">
        <v>0</v>
      </c>
      <c r="W332" s="87">
        <v>0</v>
      </c>
      <c r="X332" s="87">
        <v>0</v>
      </c>
      <c r="Y332" s="87">
        <v>0</v>
      </c>
      <c r="Z332" s="87">
        <v>0</v>
      </c>
      <c r="AA332" s="214">
        <v>0</v>
      </c>
      <c r="AB332" s="214">
        <v>0</v>
      </c>
      <c r="AC332" s="214">
        <v>0</v>
      </c>
      <c r="AD332" s="214">
        <v>0</v>
      </c>
      <c r="AE332" s="214">
        <v>0</v>
      </c>
      <c r="AF332" s="214">
        <v>0</v>
      </c>
      <c r="AG332" s="214">
        <v>0</v>
      </c>
      <c r="AH332" s="214">
        <v>0</v>
      </c>
      <c r="AI332" s="87">
        <v>368580</v>
      </c>
      <c r="AJ332" s="87">
        <v>0</v>
      </c>
      <c r="AK332" s="87">
        <v>368580</v>
      </c>
      <c r="AL332" s="87">
        <v>368580</v>
      </c>
      <c r="AM332" s="87">
        <v>2592000</v>
      </c>
      <c r="AN332" s="87">
        <v>368580</v>
      </c>
      <c r="AO332" s="87">
        <v>368580</v>
      </c>
      <c r="AP332" s="87">
        <v>368000</v>
      </c>
      <c r="AQ332" s="88">
        <v>0</v>
      </c>
      <c r="AR332" s="88">
        <v>0</v>
      </c>
      <c r="AS332" s="88">
        <v>0</v>
      </c>
      <c r="AT332" s="88">
        <v>0</v>
      </c>
      <c r="AU332" s="88">
        <v>0</v>
      </c>
      <c r="AV332" s="88">
        <v>0</v>
      </c>
      <c r="AW332" s="88">
        <v>0</v>
      </c>
      <c r="AX332" s="88">
        <v>0</v>
      </c>
      <c r="AY332" s="87">
        <v>0</v>
      </c>
      <c r="AZ332" s="87">
        <v>0</v>
      </c>
      <c r="BA332" s="87">
        <v>0</v>
      </c>
      <c r="BB332" s="87">
        <v>0</v>
      </c>
      <c r="BC332" s="87">
        <v>0</v>
      </c>
      <c r="BD332" s="87">
        <v>0</v>
      </c>
      <c r="BE332" s="87">
        <v>0</v>
      </c>
      <c r="BF332" s="87">
        <v>0</v>
      </c>
      <c r="BG332" s="88">
        <v>0</v>
      </c>
      <c r="BH332" s="88">
        <v>0</v>
      </c>
      <c r="BI332" s="88">
        <v>0</v>
      </c>
      <c r="BJ332" s="88">
        <v>0</v>
      </c>
      <c r="BK332" s="88">
        <v>0</v>
      </c>
      <c r="BL332" s="88">
        <v>0</v>
      </c>
      <c r="BM332" s="88">
        <v>0</v>
      </c>
      <c r="BN332" s="590">
        <v>0</v>
      </c>
      <c r="BO332" s="171">
        <v>2023</v>
      </c>
      <c r="BP332" s="171">
        <v>1</v>
      </c>
      <c r="BQ332" s="171">
        <v>19</v>
      </c>
      <c r="BS332" s="76" t="str">
        <f t="shared" si="10"/>
        <v>○</v>
      </c>
    </row>
    <row r="333" spans="1:71" x14ac:dyDescent="0.2">
      <c r="A333" s="210">
        <v>1529</v>
      </c>
      <c r="B333" s="211"/>
      <c r="C333" s="212"/>
      <c r="D333" s="211"/>
      <c r="E333" s="212"/>
      <c r="F333" s="211"/>
      <c r="G333" s="211"/>
      <c r="H333" s="212"/>
      <c r="I333" s="211"/>
      <c r="J333" s="211"/>
      <c r="K333" s="211"/>
      <c r="L333" s="171"/>
      <c r="M333" s="171" t="s">
        <v>721</v>
      </c>
      <c r="N333" s="171" t="s">
        <v>313</v>
      </c>
      <c r="O333" s="171" t="s">
        <v>385</v>
      </c>
      <c r="P333" s="171" t="s">
        <v>916</v>
      </c>
      <c r="Q333" s="171"/>
      <c r="R333" s="213">
        <v>269000</v>
      </c>
      <c r="S333" s="87">
        <v>0</v>
      </c>
      <c r="T333" s="87">
        <v>0</v>
      </c>
      <c r="U333" s="87">
        <v>0</v>
      </c>
      <c r="V333" s="87">
        <v>0</v>
      </c>
      <c r="W333" s="87">
        <v>0</v>
      </c>
      <c r="X333" s="87">
        <v>0</v>
      </c>
      <c r="Y333" s="87">
        <v>0</v>
      </c>
      <c r="Z333" s="87">
        <v>0</v>
      </c>
      <c r="AA333" s="214">
        <v>0</v>
      </c>
      <c r="AB333" s="214">
        <v>0</v>
      </c>
      <c r="AC333" s="214">
        <v>0</v>
      </c>
      <c r="AD333" s="214">
        <v>0</v>
      </c>
      <c r="AE333" s="214">
        <v>0</v>
      </c>
      <c r="AF333" s="214">
        <v>0</v>
      </c>
      <c r="AG333" s="214">
        <v>0</v>
      </c>
      <c r="AH333" s="214">
        <v>0</v>
      </c>
      <c r="AI333" s="87">
        <v>269390</v>
      </c>
      <c r="AJ333" s="87">
        <v>0</v>
      </c>
      <c r="AK333" s="87">
        <v>269390</v>
      </c>
      <c r="AL333" s="87">
        <v>269390</v>
      </c>
      <c r="AM333" s="87">
        <v>4176000</v>
      </c>
      <c r="AN333" s="87">
        <v>269390</v>
      </c>
      <c r="AO333" s="87">
        <v>269390</v>
      </c>
      <c r="AP333" s="87">
        <v>269000</v>
      </c>
      <c r="AQ333" s="88">
        <v>0</v>
      </c>
      <c r="AR333" s="88">
        <v>0</v>
      </c>
      <c r="AS333" s="88">
        <v>0</v>
      </c>
      <c r="AT333" s="88">
        <v>0</v>
      </c>
      <c r="AU333" s="88">
        <v>0</v>
      </c>
      <c r="AV333" s="88">
        <v>0</v>
      </c>
      <c r="AW333" s="88">
        <v>0</v>
      </c>
      <c r="AX333" s="88">
        <v>0</v>
      </c>
      <c r="AY333" s="87">
        <v>0</v>
      </c>
      <c r="AZ333" s="87">
        <v>0</v>
      </c>
      <c r="BA333" s="87">
        <v>0</v>
      </c>
      <c r="BB333" s="87">
        <v>0</v>
      </c>
      <c r="BC333" s="87">
        <v>0</v>
      </c>
      <c r="BD333" s="87">
        <v>0</v>
      </c>
      <c r="BE333" s="87">
        <v>0</v>
      </c>
      <c r="BF333" s="87">
        <v>0</v>
      </c>
      <c r="BG333" s="88">
        <v>0</v>
      </c>
      <c r="BH333" s="88">
        <v>0</v>
      </c>
      <c r="BI333" s="88">
        <v>0</v>
      </c>
      <c r="BJ333" s="88">
        <v>0</v>
      </c>
      <c r="BK333" s="88">
        <v>0</v>
      </c>
      <c r="BL333" s="88">
        <v>0</v>
      </c>
      <c r="BM333" s="88">
        <v>0</v>
      </c>
      <c r="BN333" s="590">
        <v>0</v>
      </c>
      <c r="BO333" s="171">
        <v>2023</v>
      </c>
      <c r="BP333" s="171">
        <v>1</v>
      </c>
      <c r="BQ333" s="171">
        <v>19</v>
      </c>
      <c r="BS333" s="76" t="str">
        <f t="shared" si="10"/>
        <v>○</v>
      </c>
    </row>
    <row r="334" spans="1:71" x14ac:dyDescent="0.2">
      <c r="A334" s="210">
        <v>1530</v>
      </c>
      <c r="B334" s="211"/>
      <c r="C334" s="212"/>
      <c r="D334" s="211"/>
      <c r="E334" s="212"/>
      <c r="F334" s="211"/>
      <c r="G334" s="211"/>
      <c r="H334" s="212"/>
      <c r="I334" s="211"/>
      <c r="J334" s="211"/>
      <c r="K334" s="211"/>
      <c r="L334" s="171"/>
      <c r="M334" s="171" t="s">
        <v>564</v>
      </c>
      <c r="N334" s="171" t="s">
        <v>275</v>
      </c>
      <c r="O334" s="171" t="s">
        <v>565</v>
      </c>
      <c r="P334" s="171" t="s">
        <v>916</v>
      </c>
      <c r="Q334" s="171"/>
      <c r="R334" s="213">
        <v>111000</v>
      </c>
      <c r="S334" s="87">
        <v>0</v>
      </c>
      <c r="T334" s="87">
        <v>0</v>
      </c>
      <c r="U334" s="87">
        <v>0</v>
      </c>
      <c r="V334" s="87">
        <v>0</v>
      </c>
      <c r="W334" s="87">
        <v>0</v>
      </c>
      <c r="X334" s="87">
        <v>0</v>
      </c>
      <c r="Y334" s="87">
        <v>0</v>
      </c>
      <c r="Z334" s="87">
        <v>0</v>
      </c>
      <c r="AA334" s="214">
        <v>0</v>
      </c>
      <c r="AB334" s="214">
        <v>0</v>
      </c>
      <c r="AC334" s="214">
        <v>0</v>
      </c>
      <c r="AD334" s="214">
        <v>0</v>
      </c>
      <c r="AE334" s="214">
        <v>0</v>
      </c>
      <c r="AF334" s="214">
        <v>0</v>
      </c>
      <c r="AG334" s="214">
        <v>0</v>
      </c>
      <c r="AH334" s="214">
        <v>0</v>
      </c>
      <c r="AI334" s="87">
        <v>111375</v>
      </c>
      <c r="AJ334" s="87">
        <v>0</v>
      </c>
      <c r="AK334" s="87">
        <v>111375</v>
      </c>
      <c r="AL334" s="87">
        <v>111375</v>
      </c>
      <c r="AM334" s="87">
        <v>1022400</v>
      </c>
      <c r="AN334" s="87">
        <v>111375</v>
      </c>
      <c r="AO334" s="87">
        <v>111375</v>
      </c>
      <c r="AP334" s="87">
        <v>111000</v>
      </c>
      <c r="AQ334" s="88">
        <v>0</v>
      </c>
      <c r="AR334" s="88">
        <v>0</v>
      </c>
      <c r="AS334" s="88">
        <v>0</v>
      </c>
      <c r="AT334" s="88">
        <v>0</v>
      </c>
      <c r="AU334" s="88">
        <v>0</v>
      </c>
      <c r="AV334" s="88">
        <v>0</v>
      </c>
      <c r="AW334" s="88">
        <v>0</v>
      </c>
      <c r="AX334" s="88">
        <v>0</v>
      </c>
      <c r="AY334" s="87">
        <v>0</v>
      </c>
      <c r="AZ334" s="87">
        <v>0</v>
      </c>
      <c r="BA334" s="87">
        <v>0</v>
      </c>
      <c r="BB334" s="87">
        <v>0</v>
      </c>
      <c r="BC334" s="87">
        <v>0</v>
      </c>
      <c r="BD334" s="87">
        <v>0</v>
      </c>
      <c r="BE334" s="87">
        <v>0</v>
      </c>
      <c r="BF334" s="87">
        <v>0</v>
      </c>
      <c r="BG334" s="88">
        <v>0</v>
      </c>
      <c r="BH334" s="88">
        <v>0</v>
      </c>
      <c r="BI334" s="88">
        <v>0</v>
      </c>
      <c r="BJ334" s="88">
        <v>0</v>
      </c>
      <c r="BK334" s="88">
        <v>0</v>
      </c>
      <c r="BL334" s="88">
        <v>0</v>
      </c>
      <c r="BM334" s="88">
        <v>0</v>
      </c>
      <c r="BN334" s="590">
        <v>0</v>
      </c>
      <c r="BO334" s="171">
        <v>2023</v>
      </c>
      <c r="BP334" s="171">
        <v>1</v>
      </c>
      <c r="BQ334" s="171">
        <v>19</v>
      </c>
      <c r="BS334" s="76" t="str">
        <f t="shared" si="10"/>
        <v>○</v>
      </c>
    </row>
    <row r="335" spans="1:71" x14ac:dyDescent="0.2">
      <c r="A335" s="210">
        <v>1531</v>
      </c>
      <c r="B335" s="211"/>
      <c r="C335" s="212"/>
      <c r="D335" s="211"/>
      <c r="E335" s="212"/>
      <c r="F335" s="211"/>
      <c r="G335" s="211"/>
      <c r="H335" s="212"/>
      <c r="I335" s="211"/>
      <c r="J335" s="211"/>
      <c r="K335" s="211"/>
      <c r="L335" s="171"/>
      <c r="M335" s="171" t="s">
        <v>722</v>
      </c>
      <c r="N335" s="171" t="s">
        <v>723</v>
      </c>
      <c r="O335" s="171" t="s">
        <v>724</v>
      </c>
      <c r="P335" s="171" t="s">
        <v>916</v>
      </c>
      <c r="Q335" s="171"/>
      <c r="R335" s="213">
        <v>306000</v>
      </c>
      <c r="S335" s="87">
        <v>0</v>
      </c>
      <c r="T335" s="87">
        <v>0</v>
      </c>
      <c r="U335" s="87">
        <v>0</v>
      </c>
      <c r="V335" s="87">
        <v>0</v>
      </c>
      <c r="W335" s="87">
        <v>0</v>
      </c>
      <c r="X335" s="87">
        <v>0</v>
      </c>
      <c r="Y335" s="87">
        <v>0</v>
      </c>
      <c r="Z335" s="87">
        <v>0</v>
      </c>
      <c r="AA335" s="214">
        <v>0</v>
      </c>
      <c r="AB335" s="214">
        <v>0</v>
      </c>
      <c r="AC335" s="214">
        <v>0</v>
      </c>
      <c r="AD335" s="214">
        <v>0</v>
      </c>
      <c r="AE335" s="214">
        <v>0</v>
      </c>
      <c r="AF335" s="214">
        <v>0</v>
      </c>
      <c r="AG335" s="214">
        <v>0</v>
      </c>
      <c r="AH335" s="214">
        <v>0</v>
      </c>
      <c r="AI335" s="87">
        <v>306350</v>
      </c>
      <c r="AJ335" s="87">
        <v>0</v>
      </c>
      <c r="AK335" s="87">
        <v>306350</v>
      </c>
      <c r="AL335" s="87">
        <v>306350</v>
      </c>
      <c r="AM335" s="87">
        <v>1609200</v>
      </c>
      <c r="AN335" s="87">
        <v>306350</v>
      </c>
      <c r="AO335" s="87">
        <v>306350</v>
      </c>
      <c r="AP335" s="87">
        <v>306000</v>
      </c>
      <c r="AQ335" s="88">
        <v>0</v>
      </c>
      <c r="AR335" s="88">
        <v>0</v>
      </c>
      <c r="AS335" s="88">
        <v>0</v>
      </c>
      <c r="AT335" s="88">
        <v>0</v>
      </c>
      <c r="AU335" s="88">
        <v>0</v>
      </c>
      <c r="AV335" s="88">
        <v>0</v>
      </c>
      <c r="AW335" s="88">
        <v>0</v>
      </c>
      <c r="AX335" s="88">
        <v>0</v>
      </c>
      <c r="AY335" s="87">
        <v>0</v>
      </c>
      <c r="AZ335" s="87">
        <v>0</v>
      </c>
      <c r="BA335" s="87">
        <v>0</v>
      </c>
      <c r="BB335" s="87">
        <v>0</v>
      </c>
      <c r="BC335" s="87">
        <v>0</v>
      </c>
      <c r="BD335" s="87">
        <v>0</v>
      </c>
      <c r="BE335" s="87">
        <v>0</v>
      </c>
      <c r="BF335" s="87">
        <v>0</v>
      </c>
      <c r="BG335" s="88">
        <v>0</v>
      </c>
      <c r="BH335" s="88">
        <v>0</v>
      </c>
      <c r="BI335" s="88">
        <v>0</v>
      </c>
      <c r="BJ335" s="88">
        <v>0</v>
      </c>
      <c r="BK335" s="88">
        <v>0</v>
      </c>
      <c r="BL335" s="88">
        <v>0</v>
      </c>
      <c r="BM335" s="88">
        <v>0</v>
      </c>
      <c r="BN335" s="590">
        <v>0</v>
      </c>
      <c r="BO335" s="171">
        <v>2023</v>
      </c>
      <c r="BP335" s="171">
        <v>1</v>
      </c>
      <c r="BQ335" s="171">
        <v>19</v>
      </c>
      <c r="BS335" s="76" t="str">
        <f t="shared" si="10"/>
        <v>○</v>
      </c>
    </row>
    <row r="336" spans="1:71" x14ac:dyDescent="0.2">
      <c r="A336" s="210">
        <v>1532</v>
      </c>
      <c r="B336" s="211"/>
      <c r="C336" s="212"/>
      <c r="D336" s="211"/>
      <c r="E336" s="212"/>
      <c r="F336" s="211"/>
      <c r="G336" s="211"/>
      <c r="H336" s="212"/>
      <c r="I336" s="211"/>
      <c r="J336" s="211"/>
      <c r="K336" s="211"/>
      <c r="L336" s="171"/>
      <c r="M336" s="171" t="s">
        <v>586</v>
      </c>
      <c r="N336" s="171" t="s">
        <v>286</v>
      </c>
      <c r="O336" s="171" t="s">
        <v>519</v>
      </c>
      <c r="P336" s="171" t="s">
        <v>916</v>
      </c>
      <c r="Q336" s="171"/>
      <c r="R336" s="213">
        <v>453000</v>
      </c>
      <c r="S336" s="87">
        <v>0</v>
      </c>
      <c r="T336" s="87">
        <v>0</v>
      </c>
      <c r="U336" s="87">
        <v>0</v>
      </c>
      <c r="V336" s="87">
        <v>0</v>
      </c>
      <c r="W336" s="87">
        <v>0</v>
      </c>
      <c r="X336" s="87">
        <v>0</v>
      </c>
      <c r="Y336" s="87">
        <v>0</v>
      </c>
      <c r="Z336" s="87">
        <v>0</v>
      </c>
      <c r="AA336" s="214">
        <v>0</v>
      </c>
      <c r="AB336" s="214">
        <v>0</v>
      </c>
      <c r="AC336" s="214">
        <v>0</v>
      </c>
      <c r="AD336" s="214">
        <v>0</v>
      </c>
      <c r="AE336" s="214">
        <v>0</v>
      </c>
      <c r="AF336" s="214">
        <v>0</v>
      </c>
      <c r="AG336" s="214">
        <v>0</v>
      </c>
      <c r="AH336" s="214">
        <v>0</v>
      </c>
      <c r="AI336" s="87">
        <v>453860</v>
      </c>
      <c r="AJ336" s="87">
        <v>0</v>
      </c>
      <c r="AK336" s="87">
        <v>453860</v>
      </c>
      <c r="AL336" s="87">
        <v>453860</v>
      </c>
      <c r="AM336" s="87">
        <v>1544400</v>
      </c>
      <c r="AN336" s="87">
        <v>453860</v>
      </c>
      <c r="AO336" s="87">
        <v>453860</v>
      </c>
      <c r="AP336" s="87">
        <v>453000</v>
      </c>
      <c r="AQ336" s="88">
        <v>0</v>
      </c>
      <c r="AR336" s="88">
        <v>0</v>
      </c>
      <c r="AS336" s="88">
        <v>0</v>
      </c>
      <c r="AT336" s="88">
        <v>0</v>
      </c>
      <c r="AU336" s="88">
        <v>0</v>
      </c>
      <c r="AV336" s="88">
        <v>0</v>
      </c>
      <c r="AW336" s="88">
        <v>0</v>
      </c>
      <c r="AX336" s="88">
        <v>0</v>
      </c>
      <c r="AY336" s="87">
        <v>0</v>
      </c>
      <c r="AZ336" s="87">
        <v>0</v>
      </c>
      <c r="BA336" s="87">
        <v>0</v>
      </c>
      <c r="BB336" s="87">
        <v>0</v>
      </c>
      <c r="BC336" s="87">
        <v>0</v>
      </c>
      <c r="BD336" s="87">
        <v>0</v>
      </c>
      <c r="BE336" s="87">
        <v>0</v>
      </c>
      <c r="BF336" s="87">
        <v>0</v>
      </c>
      <c r="BG336" s="88">
        <v>0</v>
      </c>
      <c r="BH336" s="88">
        <v>0</v>
      </c>
      <c r="BI336" s="88">
        <v>0</v>
      </c>
      <c r="BJ336" s="88">
        <v>0</v>
      </c>
      <c r="BK336" s="88">
        <v>0</v>
      </c>
      <c r="BL336" s="88">
        <v>0</v>
      </c>
      <c r="BM336" s="88">
        <v>0</v>
      </c>
      <c r="BN336" s="590">
        <v>0</v>
      </c>
      <c r="BO336" s="171">
        <v>2023</v>
      </c>
      <c r="BP336" s="171">
        <v>1</v>
      </c>
      <c r="BQ336" s="171">
        <v>19</v>
      </c>
      <c r="BS336" s="76" t="str">
        <f t="shared" si="10"/>
        <v>○</v>
      </c>
    </row>
    <row r="337" spans="1:71" x14ac:dyDescent="0.2">
      <c r="A337" s="210">
        <v>1533</v>
      </c>
      <c r="B337" s="211"/>
      <c r="C337" s="212"/>
      <c r="D337" s="211"/>
      <c r="E337" s="212"/>
      <c r="F337" s="211"/>
      <c r="G337" s="211"/>
      <c r="H337" s="212"/>
      <c r="I337" s="211"/>
      <c r="J337" s="211"/>
      <c r="K337" s="211"/>
      <c r="L337" s="171"/>
      <c r="M337" s="171" t="s">
        <v>551</v>
      </c>
      <c r="N337" s="171" t="s">
        <v>286</v>
      </c>
      <c r="O337" s="171" t="s">
        <v>552</v>
      </c>
      <c r="P337" s="171" t="s">
        <v>916</v>
      </c>
      <c r="Q337" s="171"/>
      <c r="R337" s="213">
        <v>477000</v>
      </c>
      <c r="S337" s="87">
        <v>0</v>
      </c>
      <c r="T337" s="87">
        <v>0</v>
      </c>
      <c r="U337" s="87">
        <v>0</v>
      </c>
      <c r="V337" s="87">
        <v>0</v>
      </c>
      <c r="W337" s="87">
        <v>0</v>
      </c>
      <c r="X337" s="87">
        <v>0</v>
      </c>
      <c r="Y337" s="87">
        <v>0</v>
      </c>
      <c r="Z337" s="87">
        <v>0</v>
      </c>
      <c r="AA337" s="214">
        <v>0</v>
      </c>
      <c r="AB337" s="214">
        <v>0</v>
      </c>
      <c r="AC337" s="214">
        <v>0</v>
      </c>
      <c r="AD337" s="214">
        <v>0</v>
      </c>
      <c r="AE337" s="214">
        <v>0</v>
      </c>
      <c r="AF337" s="214">
        <v>0</v>
      </c>
      <c r="AG337" s="214">
        <v>0</v>
      </c>
      <c r="AH337" s="214">
        <v>0</v>
      </c>
      <c r="AI337" s="87">
        <v>477500</v>
      </c>
      <c r="AJ337" s="87">
        <v>0</v>
      </c>
      <c r="AK337" s="87">
        <v>477500</v>
      </c>
      <c r="AL337" s="87">
        <v>477500</v>
      </c>
      <c r="AM337" s="87">
        <v>1008000</v>
      </c>
      <c r="AN337" s="87">
        <v>477500</v>
      </c>
      <c r="AO337" s="87">
        <v>477500</v>
      </c>
      <c r="AP337" s="87">
        <v>477000</v>
      </c>
      <c r="AQ337" s="88">
        <v>0</v>
      </c>
      <c r="AR337" s="88">
        <v>0</v>
      </c>
      <c r="AS337" s="88">
        <v>0</v>
      </c>
      <c r="AT337" s="88">
        <v>0</v>
      </c>
      <c r="AU337" s="88">
        <v>0</v>
      </c>
      <c r="AV337" s="88">
        <v>0</v>
      </c>
      <c r="AW337" s="88">
        <v>0</v>
      </c>
      <c r="AX337" s="88">
        <v>0</v>
      </c>
      <c r="AY337" s="87">
        <v>0</v>
      </c>
      <c r="AZ337" s="87">
        <v>0</v>
      </c>
      <c r="BA337" s="87">
        <v>0</v>
      </c>
      <c r="BB337" s="87">
        <v>0</v>
      </c>
      <c r="BC337" s="87">
        <v>0</v>
      </c>
      <c r="BD337" s="87">
        <v>0</v>
      </c>
      <c r="BE337" s="87">
        <v>0</v>
      </c>
      <c r="BF337" s="87">
        <v>0</v>
      </c>
      <c r="BG337" s="88">
        <v>0</v>
      </c>
      <c r="BH337" s="88">
        <v>0</v>
      </c>
      <c r="BI337" s="88">
        <v>0</v>
      </c>
      <c r="BJ337" s="88">
        <v>0</v>
      </c>
      <c r="BK337" s="88">
        <v>0</v>
      </c>
      <c r="BL337" s="88">
        <v>0</v>
      </c>
      <c r="BM337" s="88">
        <v>0</v>
      </c>
      <c r="BN337" s="590">
        <v>0</v>
      </c>
      <c r="BO337" s="171">
        <v>2023</v>
      </c>
      <c r="BP337" s="171">
        <v>1</v>
      </c>
      <c r="BQ337" s="171">
        <v>19</v>
      </c>
      <c r="BS337" s="76" t="str">
        <f t="shared" si="10"/>
        <v>○</v>
      </c>
    </row>
    <row r="338" spans="1:71" x14ac:dyDescent="0.2">
      <c r="A338" s="210">
        <v>1534</v>
      </c>
      <c r="B338" s="211"/>
      <c r="C338" s="212"/>
      <c r="D338" s="211"/>
      <c r="E338" s="212"/>
      <c r="F338" s="211"/>
      <c r="G338" s="211"/>
      <c r="H338" s="212"/>
      <c r="I338" s="211"/>
      <c r="J338" s="211"/>
      <c r="K338" s="211"/>
      <c r="L338" s="171"/>
      <c r="M338" s="171" t="s">
        <v>456</v>
      </c>
      <c r="N338" s="171" t="s">
        <v>302</v>
      </c>
      <c r="O338" s="171" t="s">
        <v>270</v>
      </c>
      <c r="P338" s="171" t="s">
        <v>916</v>
      </c>
      <c r="Q338" s="171"/>
      <c r="R338" s="213">
        <v>196000</v>
      </c>
      <c r="S338" s="87">
        <v>0</v>
      </c>
      <c r="T338" s="87">
        <v>0</v>
      </c>
      <c r="U338" s="87">
        <v>0</v>
      </c>
      <c r="V338" s="87">
        <v>0</v>
      </c>
      <c r="W338" s="87">
        <v>0</v>
      </c>
      <c r="X338" s="87">
        <v>0</v>
      </c>
      <c r="Y338" s="87">
        <v>0</v>
      </c>
      <c r="Z338" s="87">
        <v>0</v>
      </c>
      <c r="AA338" s="214">
        <v>0</v>
      </c>
      <c r="AB338" s="214">
        <v>0</v>
      </c>
      <c r="AC338" s="214">
        <v>0</v>
      </c>
      <c r="AD338" s="214">
        <v>0</v>
      </c>
      <c r="AE338" s="214">
        <v>0</v>
      </c>
      <c r="AF338" s="214">
        <v>0</v>
      </c>
      <c r="AG338" s="214">
        <v>0</v>
      </c>
      <c r="AH338" s="214">
        <v>0</v>
      </c>
      <c r="AI338" s="87">
        <v>196783</v>
      </c>
      <c r="AJ338" s="87">
        <v>0</v>
      </c>
      <c r="AK338" s="87">
        <v>196783</v>
      </c>
      <c r="AL338" s="87">
        <v>196783</v>
      </c>
      <c r="AM338" s="87">
        <v>3110400</v>
      </c>
      <c r="AN338" s="87">
        <v>196783</v>
      </c>
      <c r="AO338" s="87">
        <v>196783</v>
      </c>
      <c r="AP338" s="87">
        <v>196000</v>
      </c>
      <c r="AQ338" s="88">
        <v>0</v>
      </c>
      <c r="AR338" s="88">
        <v>0</v>
      </c>
      <c r="AS338" s="88">
        <v>0</v>
      </c>
      <c r="AT338" s="88">
        <v>0</v>
      </c>
      <c r="AU338" s="88">
        <v>0</v>
      </c>
      <c r="AV338" s="88">
        <v>0</v>
      </c>
      <c r="AW338" s="88">
        <v>0</v>
      </c>
      <c r="AX338" s="88">
        <v>0</v>
      </c>
      <c r="AY338" s="87">
        <v>0</v>
      </c>
      <c r="AZ338" s="87">
        <v>0</v>
      </c>
      <c r="BA338" s="87">
        <v>0</v>
      </c>
      <c r="BB338" s="87">
        <v>0</v>
      </c>
      <c r="BC338" s="87">
        <v>0</v>
      </c>
      <c r="BD338" s="87">
        <v>0</v>
      </c>
      <c r="BE338" s="87">
        <v>0</v>
      </c>
      <c r="BF338" s="87">
        <v>0</v>
      </c>
      <c r="BG338" s="88">
        <v>0</v>
      </c>
      <c r="BH338" s="88">
        <v>0</v>
      </c>
      <c r="BI338" s="88">
        <v>0</v>
      </c>
      <c r="BJ338" s="88">
        <v>0</v>
      </c>
      <c r="BK338" s="88">
        <v>0</v>
      </c>
      <c r="BL338" s="88">
        <v>0</v>
      </c>
      <c r="BM338" s="88">
        <v>0</v>
      </c>
      <c r="BN338" s="590">
        <v>0</v>
      </c>
      <c r="BO338" s="171">
        <v>2023</v>
      </c>
      <c r="BP338" s="171">
        <v>1</v>
      </c>
      <c r="BQ338" s="171">
        <v>19</v>
      </c>
      <c r="BS338" s="76" t="str">
        <f t="shared" si="10"/>
        <v>○</v>
      </c>
    </row>
    <row r="339" spans="1:71" x14ac:dyDescent="0.2">
      <c r="A339" s="210">
        <v>1535</v>
      </c>
      <c r="B339" s="211"/>
      <c r="C339" s="212"/>
      <c r="D339" s="211"/>
      <c r="E339" s="212"/>
      <c r="F339" s="211"/>
      <c r="G339" s="211"/>
      <c r="H339" s="212"/>
      <c r="I339" s="211"/>
      <c r="J339" s="211"/>
      <c r="K339" s="211"/>
      <c r="L339" s="171"/>
      <c r="M339" s="171" t="s">
        <v>332</v>
      </c>
      <c r="N339" s="171" t="s">
        <v>275</v>
      </c>
      <c r="O339" s="171" t="s">
        <v>333</v>
      </c>
      <c r="P339" s="171" t="s">
        <v>916</v>
      </c>
      <c r="Q339" s="171"/>
      <c r="R339" s="213">
        <v>106000</v>
      </c>
      <c r="S339" s="87">
        <v>0</v>
      </c>
      <c r="T339" s="87">
        <v>0</v>
      </c>
      <c r="U339" s="87">
        <v>0</v>
      </c>
      <c r="V339" s="87">
        <v>0</v>
      </c>
      <c r="W339" s="87">
        <v>0</v>
      </c>
      <c r="X339" s="87">
        <v>0</v>
      </c>
      <c r="Y339" s="87">
        <v>0</v>
      </c>
      <c r="Z339" s="87">
        <v>0</v>
      </c>
      <c r="AA339" s="214">
        <v>0</v>
      </c>
      <c r="AB339" s="214">
        <v>0</v>
      </c>
      <c r="AC339" s="214">
        <v>0</v>
      </c>
      <c r="AD339" s="214">
        <v>0</v>
      </c>
      <c r="AE339" s="214">
        <v>0</v>
      </c>
      <c r="AF339" s="214">
        <v>0</v>
      </c>
      <c r="AG339" s="214">
        <v>0</v>
      </c>
      <c r="AH339" s="214">
        <v>0</v>
      </c>
      <c r="AI339" s="87">
        <v>106664</v>
      </c>
      <c r="AJ339" s="87">
        <v>0</v>
      </c>
      <c r="AK339" s="87">
        <v>106664</v>
      </c>
      <c r="AL339" s="87">
        <v>106664</v>
      </c>
      <c r="AM339" s="87">
        <v>864000</v>
      </c>
      <c r="AN339" s="87">
        <v>106664</v>
      </c>
      <c r="AO339" s="87">
        <v>106664</v>
      </c>
      <c r="AP339" s="87">
        <v>106000</v>
      </c>
      <c r="AQ339" s="88">
        <v>0</v>
      </c>
      <c r="AR339" s="88">
        <v>0</v>
      </c>
      <c r="AS339" s="88">
        <v>0</v>
      </c>
      <c r="AT339" s="88">
        <v>0</v>
      </c>
      <c r="AU339" s="88">
        <v>0</v>
      </c>
      <c r="AV339" s="88">
        <v>0</v>
      </c>
      <c r="AW339" s="88">
        <v>0</v>
      </c>
      <c r="AX339" s="88">
        <v>0</v>
      </c>
      <c r="AY339" s="87">
        <v>0</v>
      </c>
      <c r="AZ339" s="87">
        <v>0</v>
      </c>
      <c r="BA339" s="87">
        <v>0</v>
      </c>
      <c r="BB339" s="87">
        <v>0</v>
      </c>
      <c r="BC339" s="87">
        <v>0</v>
      </c>
      <c r="BD339" s="87">
        <v>0</v>
      </c>
      <c r="BE339" s="87">
        <v>0</v>
      </c>
      <c r="BF339" s="87">
        <v>0</v>
      </c>
      <c r="BG339" s="88">
        <v>0</v>
      </c>
      <c r="BH339" s="88">
        <v>0</v>
      </c>
      <c r="BI339" s="88">
        <v>0</v>
      </c>
      <c r="BJ339" s="88">
        <v>0</v>
      </c>
      <c r="BK339" s="88">
        <v>0</v>
      </c>
      <c r="BL339" s="88">
        <v>0</v>
      </c>
      <c r="BM339" s="88">
        <v>0</v>
      </c>
      <c r="BN339" s="590">
        <v>0</v>
      </c>
      <c r="BO339" s="171">
        <v>2023</v>
      </c>
      <c r="BP339" s="171">
        <v>1</v>
      </c>
      <c r="BQ339" s="171">
        <v>19</v>
      </c>
      <c r="BS339" s="76" t="str">
        <f t="shared" si="10"/>
        <v>○</v>
      </c>
    </row>
    <row r="340" spans="1:71" x14ac:dyDescent="0.2">
      <c r="A340" s="210">
        <v>1536</v>
      </c>
      <c r="B340" s="211"/>
      <c r="C340" s="212"/>
      <c r="D340" s="211"/>
      <c r="E340" s="212"/>
      <c r="F340" s="211"/>
      <c r="G340" s="211"/>
      <c r="H340" s="212"/>
      <c r="I340" s="211"/>
      <c r="J340" s="211"/>
      <c r="K340" s="211"/>
      <c r="L340" s="171"/>
      <c r="M340" s="171" t="s">
        <v>423</v>
      </c>
      <c r="N340" s="171" t="s">
        <v>299</v>
      </c>
      <c r="O340" s="171" t="s">
        <v>324</v>
      </c>
      <c r="P340" s="171" t="s">
        <v>916</v>
      </c>
      <c r="Q340" s="171"/>
      <c r="R340" s="213">
        <v>54000</v>
      </c>
      <c r="S340" s="87">
        <v>0</v>
      </c>
      <c r="T340" s="87">
        <v>0</v>
      </c>
      <c r="U340" s="87">
        <v>0</v>
      </c>
      <c r="V340" s="87">
        <v>0</v>
      </c>
      <c r="W340" s="87">
        <v>0</v>
      </c>
      <c r="X340" s="87">
        <v>0</v>
      </c>
      <c r="Y340" s="87">
        <v>0</v>
      </c>
      <c r="Z340" s="87">
        <v>0</v>
      </c>
      <c r="AA340" s="214">
        <v>0</v>
      </c>
      <c r="AB340" s="214">
        <v>0</v>
      </c>
      <c r="AC340" s="214">
        <v>0</v>
      </c>
      <c r="AD340" s="214">
        <v>0</v>
      </c>
      <c r="AE340" s="214">
        <v>0</v>
      </c>
      <c r="AF340" s="214">
        <v>0</v>
      </c>
      <c r="AG340" s="214">
        <v>0</v>
      </c>
      <c r="AH340" s="214">
        <v>0</v>
      </c>
      <c r="AI340" s="87">
        <v>54890</v>
      </c>
      <c r="AJ340" s="87">
        <v>0</v>
      </c>
      <c r="AK340" s="87">
        <v>54890</v>
      </c>
      <c r="AL340" s="87">
        <v>54890</v>
      </c>
      <c r="AM340" s="87">
        <v>1771200</v>
      </c>
      <c r="AN340" s="87">
        <v>54890</v>
      </c>
      <c r="AO340" s="87">
        <v>54890</v>
      </c>
      <c r="AP340" s="87">
        <v>54000</v>
      </c>
      <c r="AQ340" s="88">
        <v>0</v>
      </c>
      <c r="AR340" s="88">
        <v>0</v>
      </c>
      <c r="AS340" s="88">
        <v>0</v>
      </c>
      <c r="AT340" s="88">
        <v>0</v>
      </c>
      <c r="AU340" s="88">
        <v>0</v>
      </c>
      <c r="AV340" s="88">
        <v>0</v>
      </c>
      <c r="AW340" s="88">
        <v>0</v>
      </c>
      <c r="AX340" s="88">
        <v>0</v>
      </c>
      <c r="AY340" s="87">
        <v>0</v>
      </c>
      <c r="AZ340" s="87">
        <v>0</v>
      </c>
      <c r="BA340" s="87">
        <v>0</v>
      </c>
      <c r="BB340" s="87">
        <v>0</v>
      </c>
      <c r="BC340" s="87">
        <v>0</v>
      </c>
      <c r="BD340" s="87">
        <v>0</v>
      </c>
      <c r="BE340" s="87">
        <v>0</v>
      </c>
      <c r="BF340" s="87">
        <v>0</v>
      </c>
      <c r="BG340" s="88">
        <v>0</v>
      </c>
      <c r="BH340" s="88">
        <v>0</v>
      </c>
      <c r="BI340" s="88">
        <v>0</v>
      </c>
      <c r="BJ340" s="88">
        <v>0</v>
      </c>
      <c r="BK340" s="88">
        <v>0</v>
      </c>
      <c r="BL340" s="88">
        <v>0</v>
      </c>
      <c r="BM340" s="88">
        <v>0</v>
      </c>
      <c r="BN340" s="590">
        <v>0</v>
      </c>
      <c r="BO340" s="171">
        <v>2023</v>
      </c>
      <c r="BP340" s="171">
        <v>1</v>
      </c>
      <c r="BQ340" s="171">
        <v>19</v>
      </c>
      <c r="BS340" s="76" t="str">
        <f t="shared" si="10"/>
        <v>○</v>
      </c>
    </row>
    <row r="341" spans="1:71" s="81" customFormat="1" x14ac:dyDescent="0.2">
      <c r="A341" s="210">
        <v>1537</v>
      </c>
      <c r="B341" s="211"/>
      <c r="C341" s="212"/>
      <c r="D341" s="211"/>
      <c r="E341" s="212"/>
      <c r="F341" s="211"/>
      <c r="G341" s="211"/>
      <c r="H341" s="212"/>
      <c r="I341" s="211"/>
      <c r="J341" s="211"/>
      <c r="K341" s="211"/>
      <c r="L341" s="171"/>
      <c r="M341" s="171" t="s">
        <v>725</v>
      </c>
      <c r="N341" s="171" t="s">
        <v>330</v>
      </c>
      <c r="O341" s="171" t="s">
        <v>337</v>
      </c>
      <c r="P341" s="171" t="s">
        <v>916</v>
      </c>
      <c r="Q341" s="171"/>
      <c r="R341" s="213">
        <v>610000</v>
      </c>
      <c r="S341" s="87">
        <v>0</v>
      </c>
      <c r="T341" s="87">
        <v>0</v>
      </c>
      <c r="U341" s="87">
        <v>0</v>
      </c>
      <c r="V341" s="87">
        <v>0</v>
      </c>
      <c r="W341" s="87">
        <v>0</v>
      </c>
      <c r="X341" s="87">
        <v>0</v>
      </c>
      <c r="Y341" s="87">
        <v>0</v>
      </c>
      <c r="Z341" s="87">
        <v>0</v>
      </c>
      <c r="AA341" s="214">
        <v>0</v>
      </c>
      <c r="AB341" s="214">
        <v>0</v>
      </c>
      <c r="AC341" s="214">
        <v>0</v>
      </c>
      <c r="AD341" s="214">
        <v>0</v>
      </c>
      <c r="AE341" s="214">
        <v>0</v>
      </c>
      <c r="AF341" s="214">
        <v>0</v>
      </c>
      <c r="AG341" s="214">
        <v>0</v>
      </c>
      <c r="AH341" s="214">
        <v>0</v>
      </c>
      <c r="AI341" s="87">
        <v>610335</v>
      </c>
      <c r="AJ341" s="87">
        <v>0</v>
      </c>
      <c r="AK341" s="87">
        <v>610335</v>
      </c>
      <c r="AL341" s="87">
        <v>610335</v>
      </c>
      <c r="AM341" s="87">
        <v>8398079.9999999981</v>
      </c>
      <c r="AN341" s="87">
        <v>610335</v>
      </c>
      <c r="AO341" s="87">
        <v>610335</v>
      </c>
      <c r="AP341" s="87">
        <v>610000</v>
      </c>
      <c r="AQ341" s="88">
        <v>0</v>
      </c>
      <c r="AR341" s="88">
        <v>0</v>
      </c>
      <c r="AS341" s="88">
        <v>0</v>
      </c>
      <c r="AT341" s="88">
        <v>0</v>
      </c>
      <c r="AU341" s="88">
        <v>0</v>
      </c>
      <c r="AV341" s="88">
        <v>0</v>
      </c>
      <c r="AW341" s="88">
        <v>0</v>
      </c>
      <c r="AX341" s="88">
        <v>0</v>
      </c>
      <c r="AY341" s="87">
        <v>0</v>
      </c>
      <c r="AZ341" s="87">
        <v>0</v>
      </c>
      <c r="BA341" s="87">
        <v>0</v>
      </c>
      <c r="BB341" s="87">
        <v>0</v>
      </c>
      <c r="BC341" s="87">
        <v>0</v>
      </c>
      <c r="BD341" s="87">
        <v>0</v>
      </c>
      <c r="BE341" s="87">
        <v>0</v>
      </c>
      <c r="BF341" s="87">
        <v>0</v>
      </c>
      <c r="BG341" s="88">
        <v>0</v>
      </c>
      <c r="BH341" s="88">
        <v>0</v>
      </c>
      <c r="BI341" s="88">
        <v>0</v>
      </c>
      <c r="BJ341" s="88">
        <v>0</v>
      </c>
      <c r="BK341" s="88">
        <v>0</v>
      </c>
      <c r="BL341" s="88">
        <v>0</v>
      </c>
      <c r="BM341" s="88">
        <v>0</v>
      </c>
      <c r="BN341" s="590">
        <v>0</v>
      </c>
      <c r="BO341" s="171">
        <v>2023</v>
      </c>
      <c r="BP341" s="171">
        <v>1</v>
      </c>
      <c r="BQ341" s="171">
        <v>19</v>
      </c>
      <c r="BR341" s="77"/>
      <c r="BS341" s="76" t="str">
        <f t="shared" si="10"/>
        <v>○</v>
      </c>
    </row>
    <row r="342" spans="1:71" x14ac:dyDescent="0.2">
      <c r="A342" s="210">
        <v>1538</v>
      </c>
      <c r="B342" s="211"/>
      <c r="C342" s="212"/>
      <c r="D342" s="211"/>
      <c r="E342" s="212"/>
      <c r="F342" s="211"/>
      <c r="G342" s="211"/>
      <c r="H342" s="212"/>
      <c r="I342" s="211"/>
      <c r="J342" s="211"/>
      <c r="K342" s="211"/>
      <c r="L342" s="171"/>
      <c r="M342" s="171" t="s">
        <v>726</v>
      </c>
      <c r="N342" s="171" t="s">
        <v>306</v>
      </c>
      <c r="O342" s="171" t="s">
        <v>276</v>
      </c>
      <c r="P342" s="171" t="s">
        <v>916</v>
      </c>
      <c r="Q342" s="171"/>
      <c r="R342" s="213">
        <v>70000</v>
      </c>
      <c r="S342" s="87">
        <v>0</v>
      </c>
      <c r="T342" s="87">
        <v>0</v>
      </c>
      <c r="U342" s="87">
        <v>0</v>
      </c>
      <c r="V342" s="87">
        <v>0</v>
      </c>
      <c r="W342" s="87">
        <v>0</v>
      </c>
      <c r="X342" s="87">
        <v>0</v>
      </c>
      <c r="Y342" s="87">
        <v>0</v>
      </c>
      <c r="Z342" s="87">
        <v>0</v>
      </c>
      <c r="AA342" s="214">
        <v>0</v>
      </c>
      <c r="AB342" s="214">
        <v>0</v>
      </c>
      <c r="AC342" s="214">
        <v>0</v>
      </c>
      <c r="AD342" s="214">
        <v>0</v>
      </c>
      <c r="AE342" s="214">
        <v>0</v>
      </c>
      <c r="AF342" s="214">
        <v>0</v>
      </c>
      <c r="AG342" s="214">
        <v>0</v>
      </c>
      <c r="AH342" s="214">
        <v>0</v>
      </c>
      <c r="AI342" s="87">
        <v>70576</v>
      </c>
      <c r="AJ342" s="87">
        <v>0</v>
      </c>
      <c r="AK342" s="87">
        <v>70576</v>
      </c>
      <c r="AL342" s="87">
        <v>70576</v>
      </c>
      <c r="AM342" s="87">
        <v>1306800</v>
      </c>
      <c r="AN342" s="87">
        <v>70576</v>
      </c>
      <c r="AO342" s="87">
        <v>70576</v>
      </c>
      <c r="AP342" s="87">
        <v>70000</v>
      </c>
      <c r="AQ342" s="88">
        <v>0</v>
      </c>
      <c r="AR342" s="88">
        <v>0</v>
      </c>
      <c r="AS342" s="88">
        <v>0</v>
      </c>
      <c r="AT342" s="88">
        <v>0</v>
      </c>
      <c r="AU342" s="88">
        <v>0</v>
      </c>
      <c r="AV342" s="88">
        <v>0</v>
      </c>
      <c r="AW342" s="88">
        <v>0</v>
      </c>
      <c r="AX342" s="88">
        <v>0</v>
      </c>
      <c r="AY342" s="87">
        <v>0</v>
      </c>
      <c r="AZ342" s="87">
        <v>0</v>
      </c>
      <c r="BA342" s="87">
        <v>0</v>
      </c>
      <c r="BB342" s="87">
        <v>0</v>
      </c>
      <c r="BC342" s="87">
        <v>0</v>
      </c>
      <c r="BD342" s="87">
        <v>0</v>
      </c>
      <c r="BE342" s="87">
        <v>0</v>
      </c>
      <c r="BF342" s="87">
        <v>0</v>
      </c>
      <c r="BG342" s="88">
        <v>0</v>
      </c>
      <c r="BH342" s="88">
        <v>0</v>
      </c>
      <c r="BI342" s="88">
        <v>0</v>
      </c>
      <c r="BJ342" s="88">
        <v>0</v>
      </c>
      <c r="BK342" s="88">
        <v>0</v>
      </c>
      <c r="BL342" s="88">
        <v>0</v>
      </c>
      <c r="BM342" s="88">
        <v>0</v>
      </c>
      <c r="BN342" s="590">
        <v>0</v>
      </c>
      <c r="BO342" s="171">
        <v>2023</v>
      </c>
      <c r="BP342" s="171">
        <v>1</v>
      </c>
      <c r="BQ342" s="171">
        <v>19</v>
      </c>
      <c r="BS342" s="76" t="str">
        <f t="shared" si="10"/>
        <v>○</v>
      </c>
    </row>
    <row r="343" spans="1:71" x14ac:dyDescent="0.2">
      <c r="A343" s="210">
        <v>1539</v>
      </c>
      <c r="B343" s="211"/>
      <c r="C343" s="212"/>
      <c r="D343" s="211"/>
      <c r="E343" s="212"/>
      <c r="F343" s="211"/>
      <c r="G343" s="211"/>
      <c r="H343" s="212"/>
      <c r="I343" s="211"/>
      <c r="J343" s="211"/>
      <c r="K343" s="211"/>
      <c r="L343" s="171"/>
      <c r="M343" s="171" t="s">
        <v>727</v>
      </c>
      <c r="N343" s="171" t="s">
        <v>313</v>
      </c>
      <c r="O343" s="171" t="s">
        <v>497</v>
      </c>
      <c r="P343" s="171" t="s">
        <v>916</v>
      </c>
      <c r="Q343" s="171"/>
      <c r="R343" s="213">
        <v>91000</v>
      </c>
      <c r="S343" s="87">
        <v>0</v>
      </c>
      <c r="T343" s="87">
        <v>0</v>
      </c>
      <c r="U343" s="87">
        <v>0</v>
      </c>
      <c r="V343" s="87">
        <v>0</v>
      </c>
      <c r="W343" s="87">
        <v>0</v>
      </c>
      <c r="X343" s="87">
        <v>0</v>
      </c>
      <c r="Y343" s="87">
        <v>0</v>
      </c>
      <c r="Z343" s="87">
        <v>0</v>
      </c>
      <c r="AA343" s="214">
        <v>0</v>
      </c>
      <c r="AB343" s="214">
        <v>0</v>
      </c>
      <c r="AC343" s="214">
        <v>0</v>
      </c>
      <c r="AD343" s="214">
        <v>0</v>
      </c>
      <c r="AE343" s="214">
        <v>0</v>
      </c>
      <c r="AF343" s="214">
        <v>0</v>
      </c>
      <c r="AG343" s="214">
        <v>0</v>
      </c>
      <c r="AH343" s="214">
        <v>0</v>
      </c>
      <c r="AI343" s="87">
        <v>91600</v>
      </c>
      <c r="AJ343" s="87">
        <v>0</v>
      </c>
      <c r="AK343" s="87">
        <v>91600</v>
      </c>
      <c r="AL343" s="87">
        <v>91600</v>
      </c>
      <c r="AM343" s="87">
        <v>3240000</v>
      </c>
      <c r="AN343" s="87">
        <v>91600</v>
      </c>
      <c r="AO343" s="87">
        <v>91600</v>
      </c>
      <c r="AP343" s="87">
        <v>91000</v>
      </c>
      <c r="AQ343" s="88">
        <v>0</v>
      </c>
      <c r="AR343" s="88">
        <v>0</v>
      </c>
      <c r="AS343" s="88">
        <v>0</v>
      </c>
      <c r="AT343" s="88">
        <v>0</v>
      </c>
      <c r="AU343" s="88">
        <v>0</v>
      </c>
      <c r="AV343" s="88">
        <v>0</v>
      </c>
      <c r="AW343" s="88">
        <v>0</v>
      </c>
      <c r="AX343" s="88">
        <v>0</v>
      </c>
      <c r="AY343" s="87">
        <v>0</v>
      </c>
      <c r="AZ343" s="87">
        <v>0</v>
      </c>
      <c r="BA343" s="87">
        <v>0</v>
      </c>
      <c r="BB343" s="87">
        <v>0</v>
      </c>
      <c r="BC343" s="87">
        <v>0</v>
      </c>
      <c r="BD343" s="87">
        <v>0</v>
      </c>
      <c r="BE343" s="87">
        <v>0</v>
      </c>
      <c r="BF343" s="87">
        <v>0</v>
      </c>
      <c r="BG343" s="88">
        <v>0</v>
      </c>
      <c r="BH343" s="88">
        <v>0</v>
      </c>
      <c r="BI343" s="88">
        <v>0</v>
      </c>
      <c r="BJ343" s="88">
        <v>0</v>
      </c>
      <c r="BK343" s="88">
        <v>0</v>
      </c>
      <c r="BL343" s="88">
        <v>0</v>
      </c>
      <c r="BM343" s="88">
        <v>0</v>
      </c>
      <c r="BN343" s="590">
        <v>0</v>
      </c>
      <c r="BO343" s="171">
        <v>2023</v>
      </c>
      <c r="BP343" s="171">
        <v>1</v>
      </c>
      <c r="BQ343" s="171">
        <v>19</v>
      </c>
      <c r="BR343" s="81"/>
      <c r="BS343" s="76" t="str">
        <f t="shared" si="10"/>
        <v>○</v>
      </c>
    </row>
    <row r="344" spans="1:71" x14ac:dyDescent="0.2">
      <c r="A344" s="210">
        <v>1540</v>
      </c>
      <c r="B344" s="211"/>
      <c r="C344" s="212"/>
      <c r="D344" s="211"/>
      <c r="E344" s="212"/>
      <c r="F344" s="211"/>
      <c r="G344" s="211"/>
      <c r="H344" s="212"/>
      <c r="I344" s="211"/>
      <c r="J344" s="211"/>
      <c r="K344" s="211"/>
      <c r="L344" s="171"/>
      <c r="M344" s="171" t="s">
        <v>728</v>
      </c>
      <c r="N344" s="171" t="s">
        <v>275</v>
      </c>
      <c r="O344" s="171" t="s">
        <v>563</v>
      </c>
      <c r="P344" s="171" t="s">
        <v>916</v>
      </c>
      <c r="Q344" s="171"/>
      <c r="R344" s="213">
        <v>278000</v>
      </c>
      <c r="S344" s="87">
        <v>0</v>
      </c>
      <c r="T344" s="87">
        <v>0</v>
      </c>
      <c r="U344" s="87">
        <v>0</v>
      </c>
      <c r="V344" s="87">
        <v>0</v>
      </c>
      <c r="W344" s="87">
        <v>0</v>
      </c>
      <c r="X344" s="87">
        <v>0</v>
      </c>
      <c r="Y344" s="87">
        <v>0</v>
      </c>
      <c r="Z344" s="87">
        <v>0</v>
      </c>
      <c r="AA344" s="214">
        <v>0</v>
      </c>
      <c r="AB344" s="214">
        <v>0</v>
      </c>
      <c r="AC344" s="214">
        <v>0</v>
      </c>
      <c r="AD344" s="214">
        <v>0</v>
      </c>
      <c r="AE344" s="214">
        <v>0</v>
      </c>
      <c r="AF344" s="214">
        <v>0</v>
      </c>
      <c r="AG344" s="214">
        <v>0</v>
      </c>
      <c r="AH344" s="214">
        <v>0</v>
      </c>
      <c r="AI344" s="87">
        <v>278812</v>
      </c>
      <c r="AJ344" s="87">
        <v>0</v>
      </c>
      <c r="AK344" s="87">
        <v>278812</v>
      </c>
      <c r="AL344" s="87">
        <v>278812</v>
      </c>
      <c r="AM344" s="87">
        <v>4672800</v>
      </c>
      <c r="AN344" s="87">
        <v>278812</v>
      </c>
      <c r="AO344" s="87">
        <v>278812</v>
      </c>
      <c r="AP344" s="87">
        <v>278000</v>
      </c>
      <c r="AQ344" s="88">
        <v>0</v>
      </c>
      <c r="AR344" s="88">
        <v>0</v>
      </c>
      <c r="AS344" s="88">
        <v>0</v>
      </c>
      <c r="AT344" s="88">
        <v>0</v>
      </c>
      <c r="AU344" s="88">
        <v>0</v>
      </c>
      <c r="AV344" s="88">
        <v>0</v>
      </c>
      <c r="AW344" s="88">
        <v>0</v>
      </c>
      <c r="AX344" s="88">
        <v>0</v>
      </c>
      <c r="AY344" s="87">
        <v>0</v>
      </c>
      <c r="AZ344" s="87">
        <v>0</v>
      </c>
      <c r="BA344" s="87">
        <v>0</v>
      </c>
      <c r="BB344" s="87">
        <v>0</v>
      </c>
      <c r="BC344" s="87">
        <v>0</v>
      </c>
      <c r="BD344" s="87">
        <v>0</v>
      </c>
      <c r="BE344" s="87">
        <v>0</v>
      </c>
      <c r="BF344" s="87">
        <v>0</v>
      </c>
      <c r="BG344" s="88">
        <v>0</v>
      </c>
      <c r="BH344" s="88">
        <v>0</v>
      </c>
      <c r="BI344" s="88">
        <v>0</v>
      </c>
      <c r="BJ344" s="88">
        <v>0</v>
      </c>
      <c r="BK344" s="88">
        <v>0</v>
      </c>
      <c r="BL344" s="88">
        <v>0</v>
      </c>
      <c r="BM344" s="88">
        <v>0</v>
      </c>
      <c r="BN344" s="590">
        <v>0</v>
      </c>
      <c r="BO344" s="171">
        <v>2023</v>
      </c>
      <c r="BP344" s="171">
        <v>1</v>
      </c>
      <c r="BQ344" s="171">
        <v>19</v>
      </c>
      <c r="BS344" s="76" t="str">
        <f t="shared" si="10"/>
        <v>○</v>
      </c>
    </row>
    <row r="345" spans="1:71" x14ac:dyDescent="0.2">
      <c r="A345" s="210">
        <v>1541</v>
      </c>
      <c r="B345" s="211"/>
      <c r="C345" s="212"/>
      <c r="D345" s="211"/>
      <c r="E345" s="212"/>
      <c r="F345" s="211"/>
      <c r="G345" s="211"/>
      <c r="H345" s="212"/>
      <c r="I345" s="211"/>
      <c r="J345" s="211"/>
      <c r="K345" s="211"/>
      <c r="L345" s="171"/>
      <c r="M345" s="171" t="s">
        <v>729</v>
      </c>
      <c r="N345" s="171" t="s">
        <v>296</v>
      </c>
      <c r="O345" s="171" t="s">
        <v>730</v>
      </c>
      <c r="P345" s="171" t="s">
        <v>916</v>
      </c>
      <c r="Q345" s="171"/>
      <c r="R345" s="213">
        <v>164000</v>
      </c>
      <c r="S345" s="87">
        <v>0</v>
      </c>
      <c r="T345" s="87">
        <v>0</v>
      </c>
      <c r="U345" s="87">
        <v>0</v>
      </c>
      <c r="V345" s="87">
        <v>0</v>
      </c>
      <c r="W345" s="87">
        <v>0</v>
      </c>
      <c r="X345" s="87">
        <v>0</v>
      </c>
      <c r="Y345" s="87">
        <v>0</v>
      </c>
      <c r="Z345" s="87">
        <v>0</v>
      </c>
      <c r="AA345" s="214">
        <v>0</v>
      </c>
      <c r="AB345" s="214">
        <v>0</v>
      </c>
      <c r="AC345" s="214">
        <v>0</v>
      </c>
      <c r="AD345" s="214">
        <v>0</v>
      </c>
      <c r="AE345" s="214">
        <v>0</v>
      </c>
      <c r="AF345" s="214">
        <v>0</v>
      </c>
      <c r="AG345" s="214">
        <v>0</v>
      </c>
      <c r="AH345" s="214">
        <v>0</v>
      </c>
      <c r="AI345" s="87">
        <v>164364</v>
      </c>
      <c r="AJ345" s="87">
        <v>0</v>
      </c>
      <c r="AK345" s="87">
        <v>164364</v>
      </c>
      <c r="AL345" s="87">
        <v>164364</v>
      </c>
      <c r="AM345" s="87">
        <v>2628000</v>
      </c>
      <c r="AN345" s="87">
        <v>164364</v>
      </c>
      <c r="AO345" s="87">
        <v>164364</v>
      </c>
      <c r="AP345" s="87">
        <v>164000</v>
      </c>
      <c r="AQ345" s="88">
        <v>0</v>
      </c>
      <c r="AR345" s="88">
        <v>0</v>
      </c>
      <c r="AS345" s="88">
        <v>0</v>
      </c>
      <c r="AT345" s="88">
        <v>0</v>
      </c>
      <c r="AU345" s="88">
        <v>0</v>
      </c>
      <c r="AV345" s="88">
        <v>0</v>
      </c>
      <c r="AW345" s="88">
        <v>0</v>
      </c>
      <c r="AX345" s="88">
        <v>0</v>
      </c>
      <c r="AY345" s="87">
        <v>0</v>
      </c>
      <c r="AZ345" s="87">
        <v>0</v>
      </c>
      <c r="BA345" s="87">
        <v>0</v>
      </c>
      <c r="BB345" s="87">
        <v>0</v>
      </c>
      <c r="BC345" s="87">
        <v>0</v>
      </c>
      <c r="BD345" s="87">
        <v>0</v>
      </c>
      <c r="BE345" s="87">
        <v>0</v>
      </c>
      <c r="BF345" s="87">
        <v>0</v>
      </c>
      <c r="BG345" s="88">
        <v>0</v>
      </c>
      <c r="BH345" s="88">
        <v>0</v>
      </c>
      <c r="BI345" s="88">
        <v>0</v>
      </c>
      <c r="BJ345" s="88">
        <v>0</v>
      </c>
      <c r="BK345" s="88">
        <v>0</v>
      </c>
      <c r="BL345" s="88">
        <v>0</v>
      </c>
      <c r="BM345" s="88">
        <v>0</v>
      </c>
      <c r="BN345" s="590">
        <v>0</v>
      </c>
      <c r="BO345" s="171">
        <v>2023</v>
      </c>
      <c r="BP345" s="171">
        <v>1</v>
      </c>
      <c r="BQ345" s="171">
        <v>19</v>
      </c>
      <c r="BS345" s="76" t="str">
        <f t="shared" si="10"/>
        <v>○</v>
      </c>
    </row>
    <row r="346" spans="1:71" x14ac:dyDescent="0.2">
      <c r="A346" s="210">
        <v>1542</v>
      </c>
      <c r="B346" s="211"/>
      <c r="C346" s="212"/>
      <c r="D346" s="211"/>
      <c r="E346" s="212"/>
      <c r="F346" s="211"/>
      <c r="G346" s="211"/>
      <c r="H346" s="212"/>
      <c r="I346" s="211"/>
      <c r="J346" s="211"/>
      <c r="K346" s="211"/>
      <c r="L346" s="171"/>
      <c r="M346" s="171" t="s">
        <v>512</v>
      </c>
      <c r="N346" s="171" t="s">
        <v>513</v>
      </c>
      <c r="O346" s="171" t="s">
        <v>514</v>
      </c>
      <c r="P346" s="171" t="s">
        <v>916</v>
      </c>
      <c r="Q346" s="171"/>
      <c r="R346" s="213">
        <v>134000</v>
      </c>
      <c r="S346" s="87">
        <v>0</v>
      </c>
      <c r="T346" s="87">
        <v>0</v>
      </c>
      <c r="U346" s="87">
        <v>0</v>
      </c>
      <c r="V346" s="87">
        <v>0</v>
      </c>
      <c r="W346" s="87">
        <v>0</v>
      </c>
      <c r="X346" s="87">
        <v>0</v>
      </c>
      <c r="Y346" s="87">
        <v>0</v>
      </c>
      <c r="Z346" s="87">
        <v>0</v>
      </c>
      <c r="AA346" s="214">
        <v>0</v>
      </c>
      <c r="AB346" s="214">
        <v>0</v>
      </c>
      <c r="AC346" s="214">
        <v>0</v>
      </c>
      <c r="AD346" s="214">
        <v>0</v>
      </c>
      <c r="AE346" s="214">
        <v>0</v>
      </c>
      <c r="AF346" s="214">
        <v>0</v>
      </c>
      <c r="AG346" s="214">
        <v>0</v>
      </c>
      <c r="AH346" s="214">
        <v>0</v>
      </c>
      <c r="AI346" s="87">
        <v>134100</v>
      </c>
      <c r="AJ346" s="87">
        <v>0</v>
      </c>
      <c r="AK346" s="87">
        <v>134100</v>
      </c>
      <c r="AL346" s="87">
        <v>134100</v>
      </c>
      <c r="AM346" s="87">
        <v>856800</v>
      </c>
      <c r="AN346" s="87">
        <v>134100</v>
      </c>
      <c r="AO346" s="87">
        <v>134100</v>
      </c>
      <c r="AP346" s="87">
        <v>134000</v>
      </c>
      <c r="AQ346" s="88">
        <v>0</v>
      </c>
      <c r="AR346" s="88">
        <v>0</v>
      </c>
      <c r="AS346" s="88">
        <v>0</v>
      </c>
      <c r="AT346" s="88">
        <v>0</v>
      </c>
      <c r="AU346" s="88">
        <v>0</v>
      </c>
      <c r="AV346" s="88">
        <v>0</v>
      </c>
      <c r="AW346" s="88">
        <v>0</v>
      </c>
      <c r="AX346" s="88">
        <v>0</v>
      </c>
      <c r="AY346" s="87">
        <v>0</v>
      </c>
      <c r="AZ346" s="87">
        <v>0</v>
      </c>
      <c r="BA346" s="87">
        <v>0</v>
      </c>
      <c r="BB346" s="87">
        <v>0</v>
      </c>
      <c r="BC346" s="87">
        <v>0</v>
      </c>
      <c r="BD346" s="87">
        <v>0</v>
      </c>
      <c r="BE346" s="87">
        <v>0</v>
      </c>
      <c r="BF346" s="87">
        <v>0</v>
      </c>
      <c r="BG346" s="88">
        <v>0</v>
      </c>
      <c r="BH346" s="88">
        <v>0</v>
      </c>
      <c r="BI346" s="88">
        <v>0</v>
      </c>
      <c r="BJ346" s="88">
        <v>0</v>
      </c>
      <c r="BK346" s="88">
        <v>0</v>
      </c>
      <c r="BL346" s="88">
        <v>0</v>
      </c>
      <c r="BM346" s="88">
        <v>0</v>
      </c>
      <c r="BN346" s="590">
        <v>0</v>
      </c>
      <c r="BO346" s="171">
        <v>2023</v>
      </c>
      <c r="BP346" s="171">
        <v>1</v>
      </c>
      <c r="BQ346" s="171">
        <v>19</v>
      </c>
      <c r="BS346" s="76" t="str">
        <f t="shared" si="10"/>
        <v>○</v>
      </c>
    </row>
    <row r="347" spans="1:71" x14ac:dyDescent="0.2">
      <c r="A347" s="210">
        <v>1543</v>
      </c>
      <c r="B347" s="211"/>
      <c r="C347" s="212"/>
      <c r="D347" s="211"/>
      <c r="E347" s="212"/>
      <c r="F347" s="211"/>
      <c r="G347" s="211"/>
      <c r="H347" s="212"/>
      <c r="I347" s="211"/>
      <c r="J347" s="211"/>
      <c r="K347" s="211"/>
      <c r="L347" s="171"/>
      <c r="M347" s="171" t="s">
        <v>731</v>
      </c>
      <c r="N347" s="171" t="s">
        <v>269</v>
      </c>
      <c r="O347" s="171" t="s">
        <v>732</v>
      </c>
      <c r="P347" s="171" t="s">
        <v>916</v>
      </c>
      <c r="Q347" s="171"/>
      <c r="R347" s="213">
        <v>510000</v>
      </c>
      <c r="S347" s="87">
        <v>0</v>
      </c>
      <c r="T347" s="87">
        <v>0</v>
      </c>
      <c r="U347" s="87">
        <v>0</v>
      </c>
      <c r="V347" s="87">
        <v>0</v>
      </c>
      <c r="W347" s="87">
        <v>0</v>
      </c>
      <c r="X347" s="87">
        <v>0</v>
      </c>
      <c r="Y347" s="87">
        <v>0</v>
      </c>
      <c r="Z347" s="87">
        <v>0</v>
      </c>
      <c r="AA347" s="214">
        <v>0</v>
      </c>
      <c r="AB347" s="214">
        <v>0</v>
      </c>
      <c r="AC347" s="214">
        <v>0</v>
      </c>
      <c r="AD347" s="214">
        <v>0</v>
      </c>
      <c r="AE347" s="214">
        <v>0</v>
      </c>
      <c r="AF347" s="214">
        <v>0</v>
      </c>
      <c r="AG347" s="214">
        <v>0</v>
      </c>
      <c r="AH347" s="214">
        <v>0</v>
      </c>
      <c r="AI347" s="87">
        <v>510051</v>
      </c>
      <c r="AJ347" s="87">
        <v>0</v>
      </c>
      <c r="AK347" s="87">
        <v>510051</v>
      </c>
      <c r="AL347" s="87">
        <v>510051</v>
      </c>
      <c r="AM347" s="87">
        <v>957600</v>
      </c>
      <c r="AN347" s="87">
        <v>510051</v>
      </c>
      <c r="AO347" s="87">
        <v>510051</v>
      </c>
      <c r="AP347" s="87">
        <v>510000</v>
      </c>
      <c r="AQ347" s="88">
        <v>0</v>
      </c>
      <c r="AR347" s="88">
        <v>0</v>
      </c>
      <c r="AS347" s="88">
        <v>0</v>
      </c>
      <c r="AT347" s="88">
        <v>0</v>
      </c>
      <c r="AU347" s="88">
        <v>0</v>
      </c>
      <c r="AV347" s="88">
        <v>0</v>
      </c>
      <c r="AW347" s="88">
        <v>0</v>
      </c>
      <c r="AX347" s="88">
        <v>0</v>
      </c>
      <c r="AY347" s="87">
        <v>0</v>
      </c>
      <c r="AZ347" s="87">
        <v>0</v>
      </c>
      <c r="BA347" s="87">
        <v>0</v>
      </c>
      <c r="BB347" s="87">
        <v>0</v>
      </c>
      <c r="BC347" s="87">
        <v>0</v>
      </c>
      <c r="BD347" s="87">
        <v>0</v>
      </c>
      <c r="BE347" s="87">
        <v>0</v>
      </c>
      <c r="BF347" s="87">
        <v>0</v>
      </c>
      <c r="BG347" s="88">
        <v>0</v>
      </c>
      <c r="BH347" s="88">
        <v>0</v>
      </c>
      <c r="BI347" s="88">
        <v>0</v>
      </c>
      <c r="BJ347" s="88">
        <v>0</v>
      </c>
      <c r="BK347" s="88">
        <v>0</v>
      </c>
      <c r="BL347" s="88">
        <v>0</v>
      </c>
      <c r="BM347" s="88">
        <v>0</v>
      </c>
      <c r="BN347" s="590">
        <v>0</v>
      </c>
      <c r="BO347" s="171">
        <v>2023</v>
      </c>
      <c r="BP347" s="171">
        <v>1</v>
      </c>
      <c r="BQ347" s="171">
        <v>19</v>
      </c>
      <c r="BS347" s="76" t="str">
        <f t="shared" si="10"/>
        <v>○</v>
      </c>
    </row>
    <row r="348" spans="1:71" x14ac:dyDescent="0.2">
      <c r="A348" s="210">
        <v>1544</v>
      </c>
      <c r="B348" s="211"/>
      <c r="C348" s="212"/>
      <c r="D348" s="211"/>
      <c r="E348" s="212"/>
      <c r="F348" s="211"/>
      <c r="G348" s="211"/>
      <c r="H348" s="212"/>
      <c r="I348" s="211"/>
      <c r="J348" s="211"/>
      <c r="K348" s="211"/>
      <c r="L348" s="171"/>
      <c r="M348" s="171" t="s">
        <v>733</v>
      </c>
      <c r="N348" s="171" t="s">
        <v>373</v>
      </c>
      <c r="O348" s="171" t="s">
        <v>352</v>
      </c>
      <c r="P348" s="171" t="s">
        <v>916</v>
      </c>
      <c r="Q348" s="171"/>
      <c r="R348" s="213">
        <v>487000</v>
      </c>
      <c r="S348" s="87">
        <v>0</v>
      </c>
      <c r="T348" s="87">
        <v>0</v>
      </c>
      <c r="U348" s="87">
        <v>0</v>
      </c>
      <c r="V348" s="87">
        <v>0</v>
      </c>
      <c r="W348" s="87">
        <v>0</v>
      </c>
      <c r="X348" s="87">
        <v>0</v>
      </c>
      <c r="Y348" s="87">
        <v>0</v>
      </c>
      <c r="Z348" s="87">
        <v>0</v>
      </c>
      <c r="AA348" s="214">
        <v>0</v>
      </c>
      <c r="AB348" s="214">
        <v>0</v>
      </c>
      <c r="AC348" s="214">
        <v>0</v>
      </c>
      <c r="AD348" s="214">
        <v>0</v>
      </c>
      <c r="AE348" s="214">
        <v>0</v>
      </c>
      <c r="AF348" s="214">
        <v>0</v>
      </c>
      <c r="AG348" s="214">
        <v>0</v>
      </c>
      <c r="AH348" s="214">
        <v>0</v>
      </c>
      <c r="AI348" s="87">
        <v>487300</v>
      </c>
      <c r="AJ348" s="87">
        <v>0</v>
      </c>
      <c r="AK348" s="87">
        <v>487300</v>
      </c>
      <c r="AL348" s="87">
        <v>487300</v>
      </c>
      <c r="AM348" s="87">
        <v>2232000</v>
      </c>
      <c r="AN348" s="87">
        <v>487300</v>
      </c>
      <c r="AO348" s="87">
        <v>487300</v>
      </c>
      <c r="AP348" s="87">
        <v>487000</v>
      </c>
      <c r="AQ348" s="88">
        <v>0</v>
      </c>
      <c r="AR348" s="88">
        <v>0</v>
      </c>
      <c r="AS348" s="88">
        <v>0</v>
      </c>
      <c r="AT348" s="88">
        <v>0</v>
      </c>
      <c r="AU348" s="88">
        <v>0</v>
      </c>
      <c r="AV348" s="88">
        <v>0</v>
      </c>
      <c r="AW348" s="88">
        <v>0</v>
      </c>
      <c r="AX348" s="88">
        <v>0</v>
      </c>
      <c r="AY348" s="87">
        <v>0</v>
      </c>
      <c r="AZ348" s="87">
        <v>0</v>
      </c>
      <c r="BA348" s="87">
        <v>0</v>
      </c>
      <c r="BB348" s="87">
        <v>0</v>
      </c>
      <c r="BC348" s="87">
        <v>0</v>
      </c>
      <c r="BD348" s="87">
        <v>0</v>
      </c>
      <c r="BE348" s="87">
        <v>0</v>
      </c>
      <c r="BF348" s="87">
        <v>0</v>
      </c>
      <c r="BG348" s="88">
        <v>0</v>
      </c>
      <c r="BH348" s="88">
        <v>0</v>
      </c>
      <c r="BI348" s="88">
        <v>0</v>
      </c>
      <c r="BJ348" s="88">
        <v>0</v>
      </c>
      <c r="BK348" s="88">
        <v>0</v>
      </c>
      <c r="BL348" s="88">
        <v>0</v>
      </c>
      <c r="BM348" s="88">
        <v>0</v>
      </c>
      <c r="BN348" s="590">
        <v>0</v>
      </c>
      <c r="BO348" s="171">
        <v>2023</v>
      </c>
      <c r="BP348" s="171">
        <v>1</v>
      </c>
      <c r="BQ348" s="171">
        <v>19</v>
      </c>
      <c r="BS348" s="76" t="str">
        <f t="shared" si="10"/>
        <v>○</v>
      </c>
    </row>
    <row r="349" spans="1:71" x14ac:dyDescent="0.2">
      <c r="A349" s="210">
        <v>1545</v>
      </c>
      <c r="B349" s="211"/>
      <c r="C349" s="212"/>
      <c r="D349" s="211"/>
      <c r="E349" s="212"/>
      <c r="F349" s="211"/>
      <c r="G349" s="211"/>
      <c r="H349" s="212"/>
      <c r="I349" s="211"/>
      <c r="J349" s="211"/>
      <c r="K349" s="211"/>
      <c r="L349" s="171"/>
      <c r="M349" s="171" t="s">
        <v>734</v>
      </c>
      <c r="N349" s="171" t="s">
        <v>275</v>
      </c>
      <c r="O349" s="171" t="s">
        <v>735</v>
      </c>
      <c r="P349" s="171" t="s">
        <v>916</v>
      </c>
      <c r="Q349" s="171"/>
      <c r="R349" s="213">
        <v>47000</v>
      </c>
      <c r="S349" s="87">
        <v>0</v>
      </c>
      <c r="T349" s="87">
        <v>0</v>
      </c>
      <c r="U349" s="87">
        <v>0</v>
      </c>
      <c r="V349" s="87">
        <v>0</v>
      </c>
      <c r="W349" s="87">
        <v>0</v>
      </c>
      <c r="X349" s="87">
        <v>0</v>
      </c>
      <c r="Y349" s="87">
        <v>0</v>
      </c>
      <c r="Z349" s="87">
        <v>0</v>
      </c>
      <c r="AA349" s="214">
        <v>0</v>
      </c>
      <c r="AB349" s="214">
        <v>0</v>
      </c>
      <c r="AC349" s="214">
        <v>0</v>
      </c>
      <c r="AD349" s="214">
        <v>0</v>
      </c>
      <c r="AE349" s="214">
        <v>0</v>
      </c>
      <c r="AF349" s="214">
        <v>0</v>
      </c>
      <c r="AG349" s="214">
        <v>0</v>
      </c>
      <c r="AH349" s="214">
        <v>0</v>
      </c>
      <c r="AI349" s="87">
        <v>47840</v>
      </c>
      <c r="AJ349" s="87">
        <v>0</v>
      </c>
      <c r="AK349" s="87">
        <v>47840</v>
      </c>
      <c r="AL349" s="87">
        <v>47840</v>
      </c>
      <c r="AM349" s="87">
        <v>5241600</v>
      </c>
      <c r="AN349" s="87">
        <v>47840</v>
      </c>
      <c r="AO349" s="87">
        <v>47840</v>
      </c>
      <c r="AP349" s="87">
        <v>47000</v>
      </c>
      <c r="AQ349" s="88">
        <v>0</v>
      </c>
      <c r="AR349" s="88">
        <v>0</v>
      </c>
      <c r="AS349" s="88">
        <v>0</v>
      </c>
      <c r="AT349" s="88">
        <v>0</v>
      </c>
      <c r="AU349" s="88">
        <v>0</v>
      </c>
      <c r="AV349" s="88">
        <v>0</v>
      </c>
      <c r="AW349" s="88">
        <v>0</v>
      </c>
      <c r="AX349" s="88">
        <v>0</v>
      </c>
      <c r="AY349" s="87">
        <v>0</v>
      </c>
      <c r="AZ349" s="87">
        <v>0</v>
      </c>
      <c r="BA349" s="87">
        <v>0</v>
      </c>
      <c r="BB349" s="87">
        <v>0</v>
      </c>
      <c r="BC349" s="87">
        <v>0</v>
      </c>
      <c r="BD349" s="87">
        <v>0</v>
      </c>
      <c r="BE349" s="87">
        <v>0</v>
      </c>
      <c r="BF349" s="87">
        <v>0</v>
      </c>
      <c r="BG349" s="88">
        <v>0</v>
      </c>
      <c r="BH349" s="88">
        <v>0</v>
      </c>
      <c r="BI349" s="88">
        <v>0</v>
      </c>
      <c r="BJ349" s="88">
        <v>0</v>
      </c>
      <c r="BK349" s="88">
        <v>0</v>
      </c>
      <c r="BL349" s="88">
        <v>0</v>
      </c>
      <c r="BM349" s="88">
        <v>0</v>
      </c>
      <c r="BN349" s="590">
        <v>0</v>
      </c>
      <c r="BO349" s="171">
        <v>2023</v>
      </c>
      <c r="BP349" s="171">
        <v>1</v>
      </c>
      <c r="BQ349" s="171">
        <v>19</v>
      </c>
      <c r="BS349" s="76" t="str">
        <f t="shared" si="10"/>
        <v>○</v>
      </c>
    </row>
    <row r="350" spans="1:71" x14ac:dyDescent="0.2">
      <c r="A350" s="210">
        <v>1546</v>
      </c>
      <c r="B350" s="211"/>
      <c r="C350" s="212"/>
      <c r="D350" s="211"/>
      <c r="E350" s="212"/>
      <c r="F350" s="211"/>
      <c r="G350" s="211"/>
      <c r="H350" s="212"/>
      <c r="I350" s="211"/>
      <c r="J350" s="211"/>
      <c r="K350" s="211"/>
      <c r="L350" s="171"/>
      <c r="M350" s="171" t="s">
        <v>736</v>
      </c>
      <c r="N350" s="171" t="s">
        <v>269</v>
      </c>
      <c r="O350" s="171" t="s">
        <v>737</v>
      </c>
      <c r="P350" s="171" t="s">
        <v>916</v>
      </c>
      <c r="Q350" s="171"/>
      <c r="R350" s="213">
        <v>282000</v>
      </c>
      <c r="S350" s="87">
        <v>0</v>
      </c>
      <c r="T350" s="87">
        <v>0</v>
      </c>
      <c r="U350" s="87">
        <v>0</v>
      </c>
      <c r="V350" s="87">
        <v>0</v>
      </c>
      <c r="W350" s="87">
        <v>0</v>
      </c>
      <c r="X350" s="87">
        <v>0</v>
      </c>
      <c r="Y350" s="87">
        <v>0</v>
      </c>
      <c r="Z350" s="87">
        <v>0</v>
      </c>
      <c r="AA350" s="214">
        <v>0</v>
      </c>
      <c r="AB350" s="214">
        <v>0</v>
      </c>
      <c r="AC350" s="214">
        <v>0</v>
      </c>
      <c r="AD350" s="214">
        <v>0</v>
      </c>
      <c r="AE350" s="214">
        <v>0</v>
      </c>
      <c r="AF350" s="214">
        <v>0</v>
      </c>
      <c r="AG350" s="214">
        <v>0</v>
      </c>
      <c r="AH350" s="214">
        <v>0</v>
      </c>
      <c r="AI350" s="87">
        <v>282672</v>
      </c>
      <c r="AJ350" s="87">
        <v>0</v>
      </c>
      <c r="AK350" s="87">
        <v>282672</v>
      </c>
      <c r="AL350" s="87">
        <v>282672</v>
      </c>
      <c r="AM350" s="87">
        <v>856800</v>
      </c>
      <c r="AN350" s="87">
        <v>282672</v>
      </c>
      <c r="AO350" s="87">
        <v>282672</v>
      </c>
      <c r="AP350" s="87">
        <v>282000</v>
      </c>
      <c r="AQ350" s="88">
        <v>0</v>
      </c>
      <c r="AR350" s="88">
        <v>0</v>
      </c>
      <c r="AS350" s="88">
        <v>0</v>
      </c>
      <c r="AT350" s="88">
        <v>0</v>
      </c>
      <c r="AU350" s="88">
        <v>0</v>
      </c>
      <c r="AV350" s="88">
        <v>0</v>
      </c>
      <c r="AW350" s="88">
        <v>0</v>
      </c>
      <c r="AX350" s="88">
        <v>0</v>
      </c>
      <c r="AY350" s="87">
        <v>0</v>
      </c>
      <c r="AZ350" s="87">
        <v>0</v>
      </c>
      <c r="BA350" s="87">
        <v>0</v>
      </c>
      <c r="BB350" s="87">
        <v>0</v>
      </c>
      <c r="BC350" s="87">
        <v>0</v>
      </c>
      <c r="BD350" s="87">
        <v>0</v>
      </c>
      <c r="BE350" s="87">
        <v>0</v>
      </c>
      <c r="BF350" s="87">
        <v>0</v>
      </c>
      <c r="BG350" s="88">
        <v>0</v>
      </c>
      <c r="BH350" s="88">
        <v>0</v>
      </c>
      <c r="BI350" s="88">
        <v>0</v>
      </c>
      <c r="BJ350" s="88">
        <v>0</v>
      </c>
      <c r="BK350" s="88">
        <v>0</v>
      </c>
      <c r="BL350" s="88">
        <v>0</v>
      </c>
      <c r="BM350" s="88">
        <v>0</v>
      </c>
      <c r="BN350" s="590">
        <v>0</v>
      </c>
      <c r="BO350" s="171">
        <v>2023</v>
      </c>
      <c r="BP350" s="171">
        <v>1</v>
      </c>
      <c r="BQ350" s="171">
        <v>19</v>
      </c>
      <c r="BS350" s="76" t="str">
        <f t="shared" ref="BS350:BS381" si="11">IF(R350=SUM(Z350,AH350,AP350,BF350,BN350),"○","×")</f>
        <v>○</v>
      </c>
    </row>
    <row r="351" spans="1:71" x14ac:dyDescent="0.2">
      <c r="A351" s="210">
        <v>1547</v>
      </c>
      <c r="B351" s="211"/>
      <c r="C351" s="212"/>
      <c r="D351" s="211"/>
      <c r="E351" s="212"/>
      <c r="F351" s="211"/>
      <c r="G351" s="211"/>
      <c r="H351" s="212"/>
      <c r="I351" s="211"/>
      <c r="J351" s="211"/>
      <c r="K351" s="211"/>
      <c r="L351" s="171"/>
      <c r="M351" s="171" t="s">
        <v>392</v>
      </c>
      <c r="N351" s="171" t="s">
        <v>393</v>
      </c>
      <c r="O351" s="171" t="s">
        <v>394</v>
      </c>
      <c r="P351" s="171" t="s">
        <v>916</v>
      </c>
      <c r="Q351" s="171"/>
      <c r="R351" s="213">
        <v>401000</v>
      </c>
      <c r="S351" s="87">
        <v>0</v>
      </c>
      <c r="T351" s="87">
        <v>0</v>
      </c>
      <c r="U351" s="87">
        <v>0</v>
      </c>
      <c r="V351" s="87">
        <v>0</v>
      </c>
      <c r="W351" s="87">
        <v>0</v>
      </c>
      <c r="X351" s="87">
        <v>0</v>
      </c>
      <c r="Y351" s="87">
        <v>0</v>
      </c>
      <c r="Z351" s="87">
        <v>0</v>
      </c>
      <c r="AA351" s="214">
        <v>0</v>
      </c>
      <c r="AB351" s="214">
        <v>0</v>
      </c>
      <c r="AC351" s="214">
        <v>0</v>
      </c>
      <c r="AD351" s="214">
        <v>0</v>
      </c>
      <c r="AE351" s="214">
        <v>0</v>
      </c>
      <c r="AF351" s="214">
        <v>0</v>
      </c>
      <c r="AG351" s="214">
        <v>0</v>
      </c>
      <c r="AH351" s="214">
        <v>0</v>
      </c>
      <c r="AI351" s="87">
        <v>401388</v>
      </c>
      <c r="AJ351" s="87">
        <v>0</v>
      </c>
      <c r="AK351" s="87">
        <v>401388</v>
      </c>
      <c r="AL351" s="87">
        <v>401388</v>
      </c>
      <c r="AM351" s="87">
        <v>1306800</v>
      </c>
      <c r="AN351" s="87">
        <v>401388</v>
      </c>
      <c r="AO351" s="87">
        <v>401388</v>
      </c>
      <c r="AP351" s="87">
        <v>401000</v>
      </c>
      <c r="AQ351" s="88">
        <v>0</v>
      </c>
      <c r="AR351" s="88">
        <v>0</v>
      </c>
      <c r="AS351" s="88">
        <v>0</v>
      </c>
      <c r="AT351" s="88">
        <v>0</v>
      </c>
      <c r="AU351" s="88">
        <v>0</v>
      </c>
      <c r="AV351" s="88">
        <v>0</v>
      </c>
      <c r="AW351" s="88">
        <v>0</v>
      </c>
      <c r="AX351" s="88">
        <v>0</v>
      </c>
      <c r="AY351" s="87">
        <v>0</v>
      </c>
      <c r="AZ351" s="87">
        <v>0</v>
      </c>
      <c r="BA351" s="87">
        <v>0</v>
      </c>
      <c r="BB351" s="87">
        <v>0</v>
      </c>
      <c r="BC351" s="87">
        <v>0</v>
      </c>
      <c r="BD351" s="87">
        <v>0</v>
      </c>
      <c r="BE351" s="87">
        <v>0</v>
      </c>
      <c r="BF351" s="87">
        <v>0</v>
      </c>
      <c r="BG351" s="88">
        <v>0</v>
      </c>
      <c r="BH351" s="88">
        <v>0</v>
      </c>
      <c r="BI351" s="88">
        <v>0</v>
      </c>
      <c r="BJ351" s="88">
        <v>0</v>
      </c>
      <c r="BK351" s="88">
        <v>0</v>
      </c>
      <c r="BL351" s="88">
        <v>0</v>
      </c>
      <c r="BM351" s="88">
        <v>0</v>
      </c>
      <c r="BN351" s="590">
        <v>0</v>
      </c>
      <c r="BO351" s="171">
        <v>2023</v>
      </c>
      <c r="BP351" s="171">
        <v>1</v>
      </c>
      <c r="BQ351" s="171">
        <v>19</v>
      </c>
      <c r="BS351" s="76" t="str">
        <f t="shared" si="11"/>
        <v>○</v>
      </c>
    </row>
    <row r="352" spans="1:71" x14ac:dyDescent="0.2">
      <c r="A352" s="210">
        <v>1548</v>
      </c>
      <c r="B352" s="211"/>
      <c r="C352" s="212"/>
      <c r="D352" s="211"/>
      <c r="E352" s="212"/>
      <c r="F352" s="211"/>
      <c r="G352" s="211"/>
      <c r="H352" s="212"/>
      <c r="I352" s="211"/>
      <c r="J352" s="211"/>
      <c r="K352" s="211"/>
      <c r="L352" s="171"/>
      <c r="M352" s="171" t="s">
        <v>738</v>
      </c>
      <c r="N352" s="171" t="s">
        <v>272</v>
      </c>
      <c r="O352" s="171" t="s">
        <v>739</v>
      </c>
      <c r="P352" s="171" t="s">
        <v>916</v>
      </c>
      <c r="Q352" s="171"/>
      <c r="R352" s="213">
        <v>381000</v>
      </c>
      <c r="S352" s="87">
        <v>0</v>
      </c>
      <c r="T352" s="87">
        <v>0</v>
      </c>
      <c r="U352" s="87">
        <v>0</v>
      </c>
      <c r="V352" s="87">
        <v>0</v>
      </c>
      <c r="W352" s="87">
        <v>0</v>
      </c>
      <c r="X352" s="87">
        <v>0</v>
      </c>
      <c r="Y352" s="87">
        <v>0</v>
      </c>
      <c r="Z352" s="87">
        <v>0</v>
      </c>
      <c r="AA352" s="214">
        <v>0</v>
      </c>
      <c r="AB352" s="214">
        <v>0</v>
      </c>
      <c r="AC352" s="214">
        <v>0</v>
      </c>
      <c r="AD352" s="214">
        <v>0</v>
      </c>
      <c r="AE352" s="214">
        <v>0</v>
      </c>
      <c r="AF352" s="214">
        <v>0</v>
      </c>
      <c r="AG352" s="214">
        <v>0</v>
      </c>
      <c r="AH352" s="214">
        <v>0</v>
      </c>
      <c r="AI352" s="87">
        <v>381260</v>
      </c>
      <c r="AJ352" s="87">
        <v>0</v>
      </c>
      <c r="AK352" s="87">
        <v>381260</v>
      </c>
      <c r="AL352" s="87">
        <v>381260</v>
      </c>
      <c r="AM352" s="87">
        <v>5148000</v>
      </c>
      <c r="AN352" s="87">
        <v>381260</v>
      </c>
      <c r="AO352" s="87">
        <v>381260</v>
      </c>
      <c r="AP352" s="87">
        <v>381000</v>
      </c>
      <c r="AQ352" s="88">
        <v>0</v>
      </c>
      <c r="AR352" s="88">
        <v>0</v>
      </c>
      <c r="AS352" s="88">
        <v>0</v>
      </c>
      <c r="AT352" s="88">
        <v>0</v>
      </c>
      <c r="AU352" s="88">
        <v>0</v>
      </c>
      <c r="AV352" s="88">
        <v>0</v>
      </c>
      <c r="AW352" s="88">
        <v>0</v>
      </c>
      <c r="AX352" s="88">
        <v>0</v>
      </c>
      <c r="AY352" s="87">
        <v>0</v>
      </c>
      <c r="AZ352" s="87">
        <v>0</v>
      </c>
      <c r="BA352" s="87">
        <v>0</v>
      </c>
      <c r="BB352" s="87">
        <v>0</v>
      </c>
      <c r="BC352" s="87">
        <v>0</v>
      </c>
      <c r="BD352" s="87">
        <v>0</v>
      </c>
      <c r="BE352" s="87">
        <v>0</v>
      </c>
      <c r="BF352" s="87">
        <v>0</v>
      </c>
      <c r="BG352" s="88">
        <v>0</v>
      </c>
      <c r="BH352" s="88">
        <v>0</v>
      </c>
      <c r="BI352" s="88">
        <v>0</v>
      </c>
      <c r="BJ352" s="88">
        <v>0</v>
      </c>
      <c r="BK352" s="88">
        <v>0</v>
      </c>
      <c r="BL352" s="88">
        <v>0</v>
      </c>
      <c r="BM352" s="88">
        <v>0</v>
      </c>
      <c r="BN352" s="590">
        <v>0</v>
      </c>
      <c r="BO352" s="171">
        <v>2023</v>
      </c>
      <c r="BP352" s="171">
        <v>1</v>
      </c>
      <c r="BQ352" s="171">
        <v>19</v>
      </c>
      <c r="BS352" s="76" t="str">
        <f t="shared" si="11"/>
        <v>○</v>
      </c>
    </row>
    <row r="353" spans="1:71" x14ac:dyDescent="0.2">
      <c r="A353" s="210">
        <v>1549</v>
      </c>
      <c r="B353" s="211"/>
      <c r="C353" s="212"/>
      <c r="D353" s="211"/>
      <c r="E353" s="212"/>
      <c r="F353" s="211"/>
      <c r="G353" s="211"/>
      <c r="H353" s="212"/>
      <c r="I353" s="211"/>
      <c r="J353" s="211"/>
      <c r="K353" s="211"/>
      <c r="L353" s="171"/>
      <c r="M353" s="171" t="s">
        <v>740</v>
      </c>
      <c r="N353" s="171" t="s">
        <v>272</v>
      </c>
      <c r="O353" s="171" t="s">
        <v>741</v>
      </c>
      <c r="P353" s="171" t="s">
        <v>916</v>
      </c>
      <c r="Q353" s="75"/>
      <c r="R353" s="213">
        <v>133000</v>
      </c>
      <c r="S353" s="87">
        <v>0</v>
      </c>
      <c r="T353" s="87">
        <v>0</v>
      </c>
      <c r="U353" s="87">
        <v>0</v>
      </c>
      <c r="V353" s="87">
        <v>0</v>
      </c>
      <c r="W353" s="87">
        <v>0</v>
      </c>
      <c r="X353" s="87">
        <v>0</v>
      </c>
      <c r="Y353" s="87">
        <v>0</v>
      </c>
      <c r="Z353" s="87">
        <v>0</v>
      </c>
      <c r="AA353" s="214">
        <v>0</v>
      </c>
      <c r="AB353" s="214">
        <v>0</v>
      </c>
      <c r="AC353" s="214">
        <v>0</v>
      </c>
      <c r="AD353" s="214">
        <v>0</v>
      </c>
      <c r="AE353" s="214">
        <v>0</v>
      </c>
      <c r="AF353" s="214">
        <v>0</v>
      </c>
      <c r="AG353" s="214">
        <v>0</v>
      </c>
      <c r="AH353" s="214">
        <v>0</v>
      </c>
      <c r="AI353" s="87">
        <v>133470</v>
      </c>
      <c r="AJ353" s="87">
        <v>0</v>
      </c>
      <c r="AK353" s="87">
        <v>133470</v>
      </c>
      <c r="AL353" s="87">
        <v>133470</v>
      </c>
      <c r="AM353" s="87">
        <v>3024000</v>
      </c>
      <c r="AN353" s="87">
        <v>133470</v>
      </c>
      <c r="AO353" s="87">
        <v>133470</v>
      </c>
      <c r="AP353" s="87">
        <v>133000</v>
      </c>
      <c r="AQ353" s="88">
        <v>0</v>
      </c>
      <c r="AR353" s="88">
        <v>0</v>
      </c>
      <c r="AS353" s="88">
        <v>0</v>
      </c>
      <c r="AT353" s="88">
        <v>0</v>
      </c>
      <c r="AU353" s="88">
        <v>0</v>
      </c>
      <c r="AV353" s="88">
        <v>0</v>
      </c>
      <c r="AW353" s="88">
        <v>0</v>
      </c>
      <c r="AX353" s="88">
        <v>0</v>
      </c>
      <c r="AY353" s="87">
        <v>0</v>
      </c>
      <c r="AZ353" s="87">
        <v>0</v>
      </c>
      <c r="BA353" s="87">
        <v>0</v>
      </c>
      <c r="BB353" s="87">
        <v>0</v>
      </c>
      <c r="BC353" s="87">
        <v>0</v>
      </c>
      <c r="BD353" s="87">
        <v>0</v>
      </c>
      <c r="BE353" s="87">
        <v>0</v>
      </c>
      <c r="BF353" s="87">
        <v>0</v>
      </c>
      <c r="BG353" s="88">
        <v>0</v>
      </c>
      <c r="BH353" s="88">
        <v>0</v>
      </c>
      <c r="BI353" s="88">
        <v>0</v>
      </c>
      <c r="BJ353" s="88">
        <v>0</v>
      </c>
      <c r="BK353" s="88">
        <v>0</v>
      </c>
      <c r="BL353" s="88">
        <v>0</v>
      </c>
      <c r="BM353" s="88">
        <v>0</v>
      </c>
      <c r="BN353" s="590">
        <v>0</v>
      </c>
      <c r="BO353" s="171">
        <v>2023</v>
      </c>
      <c r="BP353" s="171">
        <v>1</v>
      </c>
      <c r="BQ353" s="171">
        <v>19</v>
      </c>
      <c r="BS353" s="76" t="str">
        <f t="shared" si="11"/>
        <v>○</v>
      </c>
    </row>
    <row r="354" spans="1:71" s="81" customFormat="1" x14ac:dyDescent="0.2">
      <c r="A354" s="210">
        <v>1550</v>
      </c>
      <c r="B354" s="211"/>
      <c r="C354" s="212"/>
      <c r="D354" s="211"/>
      <c r="E354" s="212"/>
      <c r="F354" s="211"/>
      <c r="G354" s="211"/>
      <c r="H354" s="212"/>
      <c r="I354" s="211"/>
      <c r="J354" s="211"/>
      <c r="K354" s="211"/>
      <c r="L354" s="171"/>
      <c r="M354" s="171" t="s">
        <v>562</v>
      </c>
      <c r="N354" s="171" t="s">
        <v>269</v>
      </c>
      <c r="O354" s="171" t="s">
        <v>563</v>
      </c>
      <c r="P354" s="171" t="s">
        <v>916</v>
      </c>
      <c r="Q354" s="171"/>
      <c r="R354" s="213">
        <v>462000</v>
      </c>
      <c r="S354" s="87">
        <v>0</v>
      </c>
      <c r="T354" s="87">
        <v>0</v>
      </c>
      <c r="U354" s="87">
        <v>0</v>
      </c>
      <c r="V354" s="87">
        <v>0</v>
      </c>
      <c r="W354" s="87">
        <v>0</v>
      </c>
      <c r="X354" s="87">
        <v>0</v>
      </c>
      <c r="Y354" s="87">
        <v>0</v>
      </c>
      <c r="Z354" s="87">
        <v>0</v>
      </c>
      <c r="AA354" s="214">
        <v>0</v>
      </c>
      <c r="AB354" s="214">
        <v>0</v>
      </c>
      <c r="AC354" s="214">
        <v>0</v>
      </c>
      <c r="AD354" s="214">
        <v>0</v>
      </c>
      <c r="AE354" s="214">
        <v>0</v>
      </c>
      <c r="AF354" s="214">
        <v>0</v>
      </c>
      <c r="AG354" s="214">
        <v>0</v>
      </c>
      <c r="AH354" s="214">
        <v>0</v>
      </c>
      <c r="AI354" s="87">
        <v>462550</v>
      </c>
      <c r="AJ354" s="87">
        <v>0</v>
      </c>
      <c r="AK354" s="87">
        <v>462550</v>
      </c>
      <c r="AL354" s="87">
        <v>462550</v>
      </c>
      <c r="AM354" s="87">
        <v>1044000</v>
      </c>
      <c r="AN354" s="87">
        <v>462550</v>
      </c>
      <c r="AO354" s="87">
        <v>462550</v>
      </c>
      <c r="AP354" s="87">
        <v>462000</v>
      </c>
      <c r="AQ354" s="88">
        <v>0</v>
      </c>
      <c r="AR354" s="88">
        <v>0</v>
      </c>
      <c r="AS354" s="88">
        <v>0</v>
      </c>
      <c r="AT354" s="88">
        <v>0</v>
      </c>
      <c r="AU354" s="88">
        <v>0</v>
      </c>
      <c r="AV354" s="88">
        <v>0</v>
      </c>
      <c r="AW354" s="88">
        <v>0</v>
      </c>
      <c r="AX354" s="88">
        <v>0</v>
      </c>
      <c r="AY354" s="87">
        <v>0</v>
      </c>
      <c r="AZ354" s="87">
        <v>0</v>
      </c>
      <c r="BA354" s="87">
        <v>0</v>
      </c>
      <c r="BB354" s="87">
        <v>0</v>
      </c>
      <c r="BC354" s="87">
        <v>0</v>
      </c>
      <c r="BD354" s="87">
        <v>0</v>
      </c>
      <c r="BE354" s="87">
        <v>0</v>
      </c>
      <c r="BF354" s="87">
        <v>0</v>
      </c>
      <c r="BG354" s="88">
        <v>0</v>
      </c>
      <c r="BH354" s="88">
        <v>0</v>
      </c>
      <c r="BI354" s="88">
        <v>0</v>
      </c>
      <c r="BJ354" s="88">
        <v>0</v>
      </c>
      <c r="BK354" s="88">
        <v>0</v>
      </c>
      <c r="BL354" s="88">
        <v>0</v>
      </c>
      <c r="BM354" s="88">
        <v>0</v>
      </c>
      <c r="BN354" s="590">
        <v>0</v>
      </c>
      <c r="BO354" s="171">
        <v>2023</v>
      </c>
      <c r="BP354" s="171">
        <v>1</v>
      </c>
      <c r="BQ354" s="171">
        <v>19</v>
      </c>
      <c r="BR354" s="77"/>
      <c r="BS354" s="76" t="str">
        <f t="shared" si="11"/>
        <v>○</v>
      </c>
    </row>
    <row r="355" spans="1:71" x14ac:dyDescent="0.2">
      <c r="A355" s="210">
        <v>1551</v>
      </c>
      <c r="B355" s="211"/>
      <c r="C355" s="212"/>
      <c r="D355" s="211"/>
      <c r="E355" s="212"/>
      <c r="F355" s="211"/>
      <c r="G355" s="211"/>
      <c r="H355" s="212"/>
      <c r="I355" s="211"/>
      <c r="J355" s="211"/>
      <c r="K355" s="211"/>
      <c r="L355" s="171"/>
      <c r="M355" s="171" t="s">
        <v>742</v>
      </c>
      <c r="N355" s="171" t="s">
        <v>269</v>
      </c>
      <c r="O355" s="171" t="s">
        <v>545</v>
      </c>
      <c r="P355" s="171" t="s">
        <v>916</v>
      </c>
      <c r="Q355" s="171"/>
      <c r="R355" s="213">
        <v>132000</v>
      </c>
      <c r="S355" s="87">
        <v>0</v>
      </c>
      <c r="T355" s="87">
        <v>0</v>
      </c>
      <c r="U355" s="87">
        <v>0</v>
      </c>
      <c r="V355" s="87">
        <v>0</v>
      </c>
      <c r="W355" s="87">
        <v>0</v>
      </c>
      <c r="X355" s="87">
        <v>0</v>
      </c>
      <c r="Y355" s="87">
        <v>0</v>
      </c>
      <c r="Z355" s="87">
        <v>0</v>
      </c>
      <c r="AA355" s="214">
        <v>0</v>
      </c>
      <c r="AB355" s="214">
        <v>0</v>
      </c>
      <c r="AC355" s="214">
        <v>0</v>
      </c>
      <c r="AD355" s="214">
        <v>0</v>
      </c>
      <c r="AE355" s="214">
        <v>0</v>
      </c>
      <c r="AF355" s="214">
        <v>0</v>
      </c>
      <c r="AG355" s="214">
        <v>0</v>
      </c>
      <c r="AH355" s="214">
        <v>0</v>
      </c>
      <c r="AI355" s="87">
        <v>132290</v>
      </c>
      <c r="AJ355" s="87">
        <v>0</v>
      </c>
      <c r="AK355" s="87">
        <v>132290</v>
      </c>
      <c r="AL355" s="87">
        <v>132290</v>
      </c>
      <c r="AM355" s="87">
        <v>3099600</v>
      </c>
      <c r="AN355" s="87">
        <v>132290</v>
      </c>
      <c r="AO355" s="87">
        <v>132290</v>
      </c>
      <c r="AP355" s="87">
        <v>132000</v>
      </c>
      <c r="AQ355" s="88">
        <v>0</v>
      </c>
      <c r="AR355" s="88">
        <v>0</v>
      </c>
      <c r="AS355" s="88">
        <v>0</v>
      </c>
      <c r="AT355" s="88">
        <v>0</v>
      </c>
      <c r="AU355" s="88">
        <v>0</v>
      </c>
      <c r="AV355" s="88">
        <v>0</v>
      </c>
      <c r="AW355" s="88">
        <v>0</v>
      </c>
      <c r="AX355" s="88">
        <v>0</v>
      </c>
      <c r="AY355" s="87">
        <v>0</v>
      </c>
      <c r="AZ355" s="87">
        <v>0</v>
      </c>
      <c r="BA355" s="87">
        <v>0</v>
      </c>
      <c r="BB355" s="87">
        <v>0</v>
      </c>
      <c r="BC355" s="87">
        <v>0</v>
      </c>
      <c r="BD355" s="87">
        <v>0</v>
      </c>
      <c r="BE355" s="87">
        <v>0</v>
      </c>
      <c r="BF355" s="87">
        <v>0</v>
      </c>
      <c r="BG355" s="88">
        <v>0</v>
      </c>
      <c r="BH355" s="88">
        <v>0</v>
      </c>
      <c r="BI355" s="88">
        <v>0</v>
      </c>
      <c r="BJ355" s="88">
        <v>0</v>
      </c>
      <c r="BK355" s="88">
        <v>0</v>
      </c>
      <c r="BL355" s="88">
        <v>0</v>
      </c>
      <c r="BM355" s="88">
        <v>0</v>
      </c>
      <c r="BN355" s="590">
        <v>0</v>
      </c>
      <c r="BO355" s="171">
        <v>2023</v>
      </c>
      <c r="BP355" s="171">
        <v>1</v>
      </c>
      <c r="BQ355" s="171">
        <v>19</v>
      </c>
      <c r="BS355" s="76" t="str">
        <f t="shared" si="11"/>
        <v>○</v>
      </c>
    </row>
    <row r="356" spans="1:71" x14ac:dyDescent="0.2">
      <c r="A356" s="210">
        <v>1552</v>
      </c>
      <c r="B356" s="211"/>
      <c r="C356" s="212"/>
      <c r="D356" s="211"/>
      <c r="E356" s="212"/>
      <c r="F356" s="211"/>
      <c r="G356" s="211"/>
      <c r="H356" s="212"/>
      <c r="I356" s="211"/>
      <c r="J356" s="211"/>
      <c r="K356" s="211"/>
      <c r="L356" s="171"/>
      <c r="M356" s="171" t="s">
        <v>743</v>
      </c>
      <c r="N356" s="171" t="s">
        <v>348</v>
      </c>
      <c r="O356" s="171" t="s">
        <v>378</v>
      </c>
      <c r="P356" s="171" t="s">
        <v>916</v>
      </c>
      <c r="Q356" s="171"/>
      <c r="R356" s="213">
        <v>710000</v>
      </c>
      <c r="S356" s="87">
        <v>0</v>
      </c>
      <c r="T356" s="87">
        <v>0</v>
      </c>
      <c r="U356" s="87">
        <v>0</v>
      </c>
      <c r="V356" s="87">
        <v>0</v>
      </c>
      <c r="W356" s="87">
        <v>0</v>
      </c>
      <c r="X356" s="87">
        <v>0</v>
      </c>
      <c r="Y356" s="87">
        <v>0</v>
      </c>
      <c r="Z356" s="87">
        <v>0</v>
      </c>
      <c r="AA356" s="214">
        <v>0</v>
      </c>
      <c r="AB356" s="214">
        <v>0</v>
      </c>
      <c r="AC356" s="214">
        <v>0</v>
      </c>
      <c r="AD356" s="214">
        <v>0</v>
      </c>
      <c r="AE356" s="214">
        <v>0</v>
      </c>
      <c r="AF356" s="214">
        <v>0</v>
      </c>
      <c r="AG356" s="214">
        <v>0</v>
      </c>
      <c r="AH356" s="214">
        <v>0</v>
      </c>
      <c r="AI356" s="87">
        <v>710370</v>
      </c>
      <c r="AJ356" s="87">
        <v>0</v>
      </c>
      <c r="AK356" s="87">
        <v>710370</v>
      </c>
      <c r="AL356" s="87">
        <v>710370</v>
      </c>
      <c r="AM356" s="87">
        <v>1036800</v>
      </c>
      <c r="AN356" s="87">
        <v>710370</v>
      </c>
      <c r="AO356" s="87">
        <v>710370</v>
      </c>
      <c r="AP356" s="87">
        <v>710000</v>
      </c>
      <c r="AQ356" s="88">
        <v>0</v>
      </c>
      <c r="AR356" s="88">
        <v>0</v>
      </c>
      <c r="AS356" s="88">
        <v>0</v>
      </c>
      <c r="AT356" s="88">
        <v>0</v>
      </c>
      <c r="AU356" s="88">
        <v>0</v>
      </c>
      <c r="AV356" s="88">
        <v>0</v>
      </c>
      <c r="AW356" s="88">
        <v>0</v>
      </c>
      <c r="AX356" s="88">
        <v>0</v>
      </c>
      <c r="AY356" s="87">
        <v>0</v>
      </c>
      <c r="AZ356" s="87">
        <v>0</v>
      </c>
      <c r="BA356" s="87">
        <v>0</v>
      </c>
      <c r="BB356" s="87">
        <v>0</v>
      </c>
      <c r="BC356" s="87">
        <v>0</v>
      </c>
      <c r="BD356" s="87">
        <v>0</v>
      </c>
      <c r="BE356" s="87">
        <v>0</v>
      </c>
      <c r="BF356" s="87">
        <v>0</v>
      </c>
      <c r="BG356" s="88">
        <v>0</v>
      </c>
      <c r="BH356" s="88">
        <v>0</v>
      </c>
      <c r="BI356" s="88">
        <v>0</v>
      </c>
      <c r="BJ356" s="88">
        <v>0</v>
      </c>
      <c r="BK356" s="88">
        <v>0</v>
      </c>
      <c r="BL356" s="88">
        <v>0</v>
      </c>
      <c r="BM356" s="88">
        <v>0</v>
      </c>
      <c r="BN356" s="590">
        <v>0</v>
      </c>
      <c r="BO356" s="171">
        <v>2023</v>
      </c>
      <c r="BP356" s="171">
        <v>1</v>
      </c>
      <c r="BQ356" s="171">
        <v>19</v>
      </c>
      <c r="BR356" s="81"/>
      <c r="BS356" s="76" t="str">
        <f t="shared" si="11"/>
        <v>○</v>
      </c>
    </row>
    <row r="357" spans="1:71" x14ac:dyDescent="0.2">
      <c r="A357" s="210">
        <v>1553</v>
      </c>
      <c r="B357" s="211"/>
      <c r="C357" s="212"/>
      <c r="D357" s="211"/>
      <c r="E357" s="212"/>
      <c r="F357" s="211"/>
      <c r="G357" s="211"/>
      <c r="H357" s="212"/>
      <c r="I357" s="211"/>
      <c r="J357" s="211"/>
      <c r="K357" s="211"/>
      <c r="L357" s="171"/>
      <c r="M357" s="171" t="s">
        <v>744</v>
      </c>
      <c r="N357" s="171" t="s">
        <v>278</v>
      </c>
      <c r="O357" s="171" t="s">
        <v>745</v>
      </c>
      <c r="P357" s="171" t="s">
        <v>916</v>
      </c>
      <c r="Q357" s="171"/>
      <c r="R357" s="213">
        <v>911000</v>
      </c>
      <c r="S357" s="87">
        <v>0</v>
      </c>
      <c r="T357" s="87">
        <v>0</v>
      </c>
      <c r="U357" s="87">
        <v>0</v>
      </c>
      <c r="V357" s="87">
        <v>0</v>
      </c>
      <c r="W357" s="87">
        <v>0</v>
      </c>
      <c r="X357" s="87">
        <v>0</v>
      </c>
      <c r="Y357" s="87">
        <v>0</v>
      </c>
      <c r="Z357" s="87">
        <v>0</v>
      </c>
      <c r="AA357" s="214">
        <v>0</v>
      </c>
      <c r="AB357" s="214">
        <v>0</v>
      </c>
      <c r="AC357" s="214">
        <v>0</v>
      </c>
      <c r="AD357" s="214">
        <v>0</v>
      </c>
      <c r="AE357" s="214">
        <v>0</v>
      </c>
      <c r="AF357" s="214">
        <v>0</v>
      </c>
      <c r="AG357" s="214">
        <v>0</v>
      </c>
      <c r="AH357" s="214">
        <v>0</v>
      </c>
      <c r="AI357" s="87">
        <v>911838</v>
      </c>
      <c r="AJ357" s="87">
        <v>0</v>
      </c>
      <c r="AK357" s="87">
        <v>911838</v>
      </c>
      <c r="AL357" s="87">
        <v>911838</v>
      </c>
      <c r="AM357" s="87">
        <v>3024000</v>
      </c>
      <c r="AN357" s="87">
        <v>911838</v>
      </c>
      <c r="AO357" s="87">
        <v>911838</v>
      </c>
      <c r="AP357" s="87">
        <v>911000</v>
      </c>
      <c r="AQ357" s="88">
        <v>0</v>
      </c>
      <c r="AR357" s="88">
        <v>0</v>
      </c>
      <c r="AS357" s="88">
        <v>0</v>
      </c>
      <c r="AT357" s="88">
        <v>0</v>
      </c>
      <c r="AU357" s="88">
        <v>0</v>
      </c>
      <c r="AV357" s="88">
        <v>0</v>
      </c>
      <c r="AW357" s="88">
        <v>0</v>
      </c>
      <c r="AX357" s="88">
        <v>0</v>
      </c>
      <c r="AY357" s="87">
        <v>0</v>
      </c>
      <c r="AZ357" s="87">
        <v>0</v>
      </c>
      <c r="BA357" s="87">
        <v>0</v>
      </c>
      <c r="BB357" s="87">
        <v>0</v>
      </c>
      <c r="BC357" s="87">
        <v>0</v>
      </c>
      <c r="BD357" s="87">
        <v>0</v>
      </c>
      <c r="BE357" s="87">
        <v>0</v>
      </c>
      <c r="BF357" s="87">
        <v>0</v>
      </c>
      <c r="BG357" s="88">
        <v>0</v>
      </c>
      <c r="BH357" s="88">
        <v>0</v>
      </c>
      <c r="BI357" s="88">
        <v>0</v>
      </c>
      <c r="BJ357" s="88">
        <v>0</v>
      </c>
      <c r="BK357" s="88">
        <v>0</v>
      </c>
      <c r="BL357" s="88">
        <v>0</v>
      </c>
      <c r="BM357" s="88">
        <v>0</v>
      </c>
      <c r="BN357" s="590">
        <v>0</v>
      </c>
      <c r="BO357" s="171">
        <v>2023</v>
      </c>
      <c r="BP357" s="171">
        <v>1</v>
      </c>
      <c r="BQ357" s="171">
        <v>19</v>
      </c>
      <c r="BS357" s="76" t="str">
        <f t="shared" si="11"/>
        <v>○</v>
      </c>
    </row>
    <row r="358" spans="1:71" x14ac:dyDescent="0.2">
      <c r="A358" s="210">
        <v>1554</v>
      </c>
      <c r="B358" s="211"/>
      <c r="C358" s="212"/>
      <c r="D358" s="211"/>
      <c r="E358" s="212"/>
      <c r="F358" s="211"/>
      <c r="G358" s="211"/>
      <c r="H358" s="212"/>
      <c r="I358" s="211"/>
      <c r="J358" s="211"/>
      <c r="K358" s="211"/>
      <c r="L358" s="171"/>
      <c r="M358" s="171" t="s">
        <v>475</v>
      </c>
      <c r="N358" s="171" t="s">
        <v>275</v>
      </c>
      <c r="O358" s="171" t="s">
        <v>476</v>
      </c>
      <c r="P358" s="171" t="s">
        <v>916</v>
      </c>
      <c r="Q358" s="171"/>
      <c r="R358" s="213">
        <v>23000</v>
      </c>
      <c r="S358" s="87">
        <v>0</v>
      </c>
      <c r="T358" s="87">
        <v>0</v>
      </c>
      <c r="U358" s="87">
        <v>0</v>
      </c>
      <c r="V358" s="87">
        <v>0</v>
      </c>
      <c r="W358" s="87">
        <v>0</v>
      </c>
      <c r="X358" s="87">
        <v>0</v>
      </c>
      <c r="Y358" s="87">
        <v>0</v>
      </c>
      <c r="Z358" s="87">
        <v>0</v>
      </c>
      <c r="AA358" s="214">
        <v>0</v>
      </c>
      <c r="AB358" s="214">
        <v>0</v>
      </c>
      <c r="AC358" s="214">
        <v>0</v>
      </c>
      <c r="AD358" s="214">
        <v>0</v>
      </c>
      <c r="AE358" s="214">
        <v>0</v>
      </c>
      <c r="AF358" s="214">
        <v>0</v>
      </c>
      <c r="AG358" s="214">
        <v>0</v>
      </c>
      <c r="AH358" s="214">
        <v>0</v>
      </c>
      <c r="AI358" s="87">
        <v>23040</v>
      </c>
      <c r="AJ358" s="87">
        <v>0</v>
      </c>
      <c r="AK358" s="87">
        <v>23040</v>
      </c>
      <c r="AL358" s="87">
        <v>23040</v>
      </c>
      <c r="AM358" s="87">
        <v>3456000</v>
      </c>
      <c r="AN358" s="87">
        <v>23040</v>
      </c>
      <c r="AO358" s="87">
        <v>23040</v>
      </c>
      <c r="AP358" s="87">
        <v>23000</v>
      </c>
      <c r="AQ358" s="88">
        <v>0</v>
      </c>
      <c r="AR358" s="88">
        <v>0</v>
      </c>
      <c r="AS358" s="88">
        <v>0</v>
      </c>
      <c r="AT358" s="88">
        <v>0</v>
      </c>
      <c r="AU358" s="88">
        <v>0</v>
      </c>
      <c r="AV358" s="88">
        <v>0</v>
      </c>
      <c r="AW358" s="88">
        <v>0</v>
      </c>
      <c r="AX358" s="88">
        <v>0</v>
      </c>
      <c r="AY358" s="87">
        <v>0</v>
      </c>
      <c r="AZ358" s="87">
        <v>0</v>
      </c>
      <c r="BA358" s="87">
        <v>0</v>
      </c>
      <c r="BB358" s="87">
        <v>0</v>
      </c>
      <c r="BC358" s="87">
        <v>0</v>
      </c>
      <c r="BD358" s="87">
        <v>0</v>
      </c>
      <c r="BE358" s="87">
        <v>0</v>
      </c>
      <c r="BF358" s="87">
        <v>0</v>
      </c>
      <c r="BG358" s="88">
        <v>0</v>
      </c>
      <c r="BH358" s="88">
        <v>0</v>
      </c>
      <c r="BI358" s="88">
        <v>0</v>
      </c>
      <c r="BJ358" s="88">
        <v>0</v>
      </c>
      <c r="BK358" s="88">
        <v>0</v>
      </c>
      <c r="BL358" s="88">
        <v>0</v>
      </c>
      <c r="BM358" s="88">
        <v>0</v>
      </c>
      <c r="BN358" s="590">
        <v>0</v>
      </c>
      <c r="BO358" s="171">
        <v>2023</v>
      </c>
      <c r="BP358" s="171">
        <v>1</v>
      </c>
      <c r="BQ358" s="171">
        <v>19</v>
      </c>
      <c r="BS358" s="76" t="str">
        <f t="shared" si="11"/>
        <v>○</v>
      </c>
    </row>
    <row r="359" spans="1:71" x14ac:dyDescent="0.2">
      <c r="A359" s="210">
        <v>1555</v>
      </c>
      <c r="B359" s="211"/>
      <c r="C359" s="212"/>
      <c r="D359" s="211"/>
      <c r="E359" s="212"/>
      <c r="F359" s="211"/>
      <c r="G359" s="211"/>
      <c r="H359" s="212"/>
      <c r="I359" s="211"/>
      <c r="J359" s="211"/>
      <c r="K359" s="211"/>
      <c r="L359" s="171"/>
      <c r="M359" s="171" t="s">
        <v>359</v>
      </c>
      <c r="N359" s="171" t="s">
        <v>269</v>
      </c>
      <c r="O359" s="171" t="s">
        <v>360</v>
      </c>
      <c r="P359" s="171" t="s">
        <v>916</v>
      </c>
      <c r="Q359" s="171"/>
      <c r="R359" s="213">
        <v>97000</v>
      </c>
      <c r="S359" s="87">
        <v>0</v>
      </c>
      <c r="T359" s="87">
        <v>0</v>
      </c>
      <c r="U359" s="87">
        <v>0</v>
      </c>
      <c r="V359" s="87">
        <v>0</v>
      </c>
      <c r="W359" s="87">
        <v>0</v>
      </c>
      <c r="X359" s="87">
        <v>0</v>
      </c>
      <c r="Y359" s="87">
        <v>0</v>
      </c>
      <c r="Z359" s="87">
        <v>0</v>
      </c>
      <c r="AA359" s="214">
        <v>0</v>
      </c>
      <c r="AB359" s="214">
        <v>0</v>
      </c>
      <c r="AC359" s="214">
        <v>0</v>
      </c>
      <c r="AD359" s="214">
        <v>0</v>
      </c>
      <c r="AE359" s="214">
        <v>0</v>
      </c>
      <c r="AF359" s="214">
        <v>0</v>
      </c>
      <c r="AG359" s="214">
        <v>0</v>
      </c>
      <c r="AH359" s="214">
        <v>0</v>
      </c>
      <c r="AI359" s="87">
        <v>97780</v>
      </c>
      <c r="AJ359" s="87">
        <v>0</v>
      </c>
      <c r="AK359" s="87">
        <v>97780</v>
      </c>
      <c r="AL359" s="87">
        <v>97780</v>
      </c>
      <c r="AM359" s="87">
        <v>3049200</v>
      </c>
      <c r="AN359" s="87">
        <v>97780</v>
      </c>
      <c r="AO359" s="87">
        <v>97780</v>
      </c>
      <c r="AP359" s="87">
        <v>97000</v>
      </c>
      <c r="AQ359" s="88">
        <v>0</v>
      </c>
      <c r="AR359" s="88">
        <v>0</v>
      </c>
      <c r="AS359" s="88">
        <v>0</v>
      </c>
      <c r="AT359" s="88">
        <v>0</v>
      </c>
      <c r="AU359" s="88">
        <v>0</v>
      </c>
      <c r="AV359" s="88">
        <v>0</v>
      </c>
      <c r="AW359" s="88">
        <v>0</v>
      </c>
      <c r="AX359" s="88">
        <v>0</v>
      </c>
      <c r="AY359" s="87">
        <v>0</v>
      </c>
      <c r="AZ359" s="87">
        <v>0</v>
      </c>
      <c r="BA359" s="87">
        <v>0</v>
      </c>
      <c r="BB359" s="87">
        <v>0</v>
      </c>
      <c r="BC359" s="87">
        <v>0</v>
      </c>
      <c r="BD359" s="87">
        <v>0</v>
      </c>
      <c r="BE359" s="87">
        <v>0</v>
      </c>
      <c r="BF359" s="87">
        <v>0</v>
      </c>
      <c r="BG359" s="88">
        <v>0</v>
      </c>
      <c r="BH359" s="88">
        <v>0</v>
      </c>
      <c r="BI359" s="88">
        <v>0</v>
      </c>
      <c r="BJ359" s="88">
        <v>0</v>
      </c>
      <c r="BK359" s="88">
        <v>0</v>
      </c>
      <c r="BL359" s="88">
        <v>0</v>
      </c>
      <c r="BM359" s="88">
        <v>0</v>
      </c>
      <c r="BN359" s="590">
        <v>0</v>
      </c>
      <c r="BO359" s="171">
        <v>2023</v>
      </c>
      <c r="BP359" s="171">
        <v>1</v>
      </c>
      <c r="BQ359" s="171">
        <v>19</v>
      </c>
      <c r="BS359" s="76" t="str">
        <f t="shared" si="11"/>
        <v>○</v>
      </c>
    </row>
    <row r="360" spans="1:71" x14ac:dyDescent="0.2">
      <c r="A360" s="210">
        <v>1556</v>
      </c>
      <c r="B360" s="211"/>
      <c r="C360" s="212"/>
      <c r="D360" s="211"/>
      <c r="E360" s="212"/>
      <c r="F360" s="211"/>
      <c r="G360" s="211"/>
      <c r="H360" s="212"/>
      <c r="I360" s="211"/>
      <c r="J360" s="211"/>
      <c r="K360" s="211"/>
      <c r="L360" s="171"/>
      <c r="M360" s="171" t="s">
        <v>610</v>
      </c>
      <c r="N360" s="171" t="s">
        <v>269</v>
      </c>
      <c r="O360" s="171" t="s">
        <v>476</v>
      </c>
      <c r="P360" s="171" t="s">
        <v>916</v>
      </c>
      <c r="Q360" s="171"/>
      <c r="R360" s="213">
        <v>56000</v>
      </c>
      <c r="S360" s="87">
        <v>0</v>
      </c>
      <c r="T360" s="87">
        <v>0</v>
      </c>
      <c r="U360" s="87">
        <v>0</v>
      </c>
      <c r="V360" s="87">
        <v>0</v>
      </c>
      <c r="W360" s="87">
        <v>0</v>
      </c>
      <c r="X360" s="87">
        <v>0</v>
      </c>
      <c r="Y360" s="87">
        <v>0</v>
      </c>
      <c r="Z360" s="87">
        <v>0</v>
      </c>
      <c r="AA360" s="214">
        <v>0</v>
      </c>
      <c r="AB360" s="214">
        <v>0</v>
      </c>
      <c r="AC360" s="214">
        <v>0</v>
      </c>
      <c r="AD360" s="214">
        <v>0</v>
      </c>
      <c r="AE360" s="214">
        <v>0</v>
      </c>
      <c r="AF360" s="214">
        <v>0</v>
      </c>
      <c r="AG360" s="214">
        <v>0</v>
      </c>
      <c r="AH360" s="214">
        <v>0</v>
      </c>
      <c r="AI360" s="87">
        <v>56480</v>
      </c>
      <c r="AJ360" s="87">
        <v>0</v>
      </c>
      <c r="AK360" s="87">
        <v>56480</v>
      </c>
      <c r="AL360" s="87">
        <v>56480</v>
      </c>
      <c r="AM360" s="87">
        <v>2592000</v>
      </c>
      <c r="AN360" s="87">
        <v>56480</v>
      </c>
      <c r="AO360" s="87">
        <v>56480</v>
      </c>
      <c r="AP360" s="87">
        <v>56000</v>
      </c>
      <c r="AQ360" s="88">
        <v>0</v>
      </c>
      <c r="AR360" s="88">
        <v>0</v>
      </c>
      <c r="AS360" s="88">
        <v>0</v>
      </c>
      <c r="AT360" s="88">
        <v>0</v>
      </c>
      <c r="AU360" s="88">
        <v>0</v>
      </c>
      <c r="AV360" s="88">
        <v>0</v>
      </c>
      <c r="AW360" s="88">
        <v>0</v>
      </c>
      <c r="AX360" s="88">
        <v>0</v>
      </c>
      <c r="AY360" s="87">
        <v>0</v>
      </c>
      <c r="AZ360" s="87">
        <v>0</v>
      </c>
      <c r="BA360" s="87">
        <v>0</v>
      </c>
      <c r="BB360" s="87">
        <v>0</v>
      </c>
      <c r="BC360" s="87">
        <v>0</v>
      </c>
      <c r="BD360" s="87">
        <v>0</v>
      </c>
      <c r="BE360" s="87">
        <v>0</v>
      </c>
      <c r="BF360" s="87">
        <v>0</v>
      </c>
      <c r="BG360" s="88">
        <v>0</v>
      </c>
      <c r="BH360" s="88">
        <v>0</v>
      </c>
      <c r="BI360" s="88">
        <v>0</v>
      </c>
      <c r="BJ360" s="88">
        <v>0</v>
      </c>
      <c r="BK360" s="88">
        <v>0</v>
      </c>
      <c r="BL360" s="88">
        <v>0</v>
      </c>
      <c r="BM360" s="88">
        <v>0</v>
      </c>
      <c r="BN360" s="590">
        <v>0</v>
      </c>
      <c r="BO360" s="171">
        <v>2023</v>
      </c>
      <c r="BP360" s="171">
        <v>1</v>
      </c>
      <c r="BQ360" s="171">
        <v>19</v>
      </c>
      <c r="BS360" s="76" t="str">
        <f t="shared" si="11"/>
        <v>○</v>
      </c>
    </row>
    <row r="361" spans="1:71" x14ac:dyDescent="0.2">
      <c r="A361" s="210">
        <v>1557</v>
      </c>
      <c r="B361" s="211"/>
      <c r="C361" s="212"/>
      <c r="D361" s="211"/>
      <c r="E361" s="212"/>
      <c r="F361" s="211"/>
      <c r="G361" s="211"/>
      <c r="H361" s="212"/>
      <c r="I361" s="211"/>
      <c r="J361" s="211"/>
      <c r="K361" s="211"/>
      <c r="L361" s="171"/>
      <c r="M361" s="171" t="s">
        <v>673</v>
      </c>
      <c r="N361" s="171" t="s">
        <v>278</v>
      </c>
      <c r="O361" s="171" t="s">
        <v>674</v>
      </c>
      <c r="P361" s="171" t="s">
        <v>916</v>
      </c>
      <c r="Q361" s="171"/>
      <c r="R361" s="213">
        <v>594000</v>
      </c>
      <c r="S361" s="87">
        <v>0</v>
      </c>
      <c r="T361" s="87">
        <v>0</v>
      </c>
      <c r="U361" s="87">
        <v>0</v>
      </c>
      <c r="V361" s="87">
        <v>0</v>
      </c>
      <c r="W361" s="87">
        <v>0</v>
      </c>
      <c r="X361" s="87">
        <v>0</v>
      </c>
      <c r="Y361" s="87">
        <v>0</v>
      </c>
      <c r="Z361" s="87">
        <v>0</v>
      </c>
      <c r="AA361" s="214">
        <v>0</v>
      </c>
      <c r="AB361" s="214">
        <v>0</v>
      </c>
      <c r="AC361" s="214">
        <v>0</v>
      </c>
      <c r="AD361" s="214">
        <v>0</v>
      </c>
      <c r="AE361" s="214">
        <v>0</v>
      </c>
      <c r="AF361" s="214">
        <v>0</v>
      </c>
      <c r="AG361" s="214">
        <v>0</v>
      </c>
      <c r="AH361" s="214">
        <v>0</v>
      </c>
      <c r="AI361" s="87">
        <v>594200</v>
      </c>
      <c r="AJ361" s="87">
        <v>0</v>
      </c>
      <c r="AK361" s="87">
        <v>594200</v>
      </c>
      <c r="AL361" s="87">
        <v>594200</v>
      </c>
      <c r="AM361" s="87">
        <v>3088800</v>
      </c>
      <c r="AN361" s="87">
        <v>594200</v>
      </c>
      <c r="AO361" s="87">
        <v>594200</v>
      </c>
      <c r="AP361" s="87">
        <v>594000</v>
      </c>
      <c r="AQ361" s="88">
        <v>0</v>
      </c>
      <c r="AR361" s="88">
        <v>0</v>
      </c>
      <c r="AS361" s="88">
        <v>0</v>
      </c>
      <c r="AT361" s="88">
        <v>0</v>
      </c>
      <c r="AU361" s="88">
        <v>0</v>
      </c>
      <c r="AV361" s="88">
        <v>0</v>
      </c>
      <c r="AW361" s="88">
        <v>0</v>
      </c>
      <c r="AX361" s="88">
        <v>0</v>
      </c>
      <c r="AY361" s="87">
        <v>0</v>
      </c>
      <c r="AZ361" s="87">
        <v>0</v>
      </c>
      <c r="BA361" s="87">
        <v>0</v>
      </c>
      <c r="BB361" s="87">
        <v>0</v>
      </c>
      <c r="BC361" s="87">
        <v>0</v>
      </c>
      <c r="BD361" s="87">
        <v>0</v>
      </c>
      <c r="BE361" s="87">
        <v>0</v>
      </c>
      <c r="BF361" s="87">
        <v>0</v>
      </c>
      <c r="BG361" s="88">
        <v>0</v>
      </c>
      <c r="BH361" s="88">
        <v>0</v>
      </c>
      <c r="BI361" s="88">
        <v>0</v>
      </c>
      <c r="BJ361" s="88">
        <v>0</v>
      </c>
      <c r="BK361" s="88">
        <v>0</v>
      </c>
      <c r="BL361" s="88">
        <v>0</v>
      </c>
      <c r="BM361" s="88">
        <v>0</v>
      </c>
      <c r="BN361" s="590">
        <v>0</v>
      </c>
      <c r="BO361" s="171">
        <v>2023</v>
      </c>
      <c r="BP361" s="171">
        <v>1</v>
      </c>
      <c r="BQ361" s="171">
        <v>19</v>
      </c>
      <c r="BS361" s="76" t="str">
        <f t="shared" si="11"/>
        <v>○</v>
      </c>
    </row>
    <row r="362" spans="1:71" x14ac:dyDescent="0.2">
      <c r="A362" s="210">
        <v>1558</v>
      </c>
      <c r="B362" s="211"/>
      <c r="C362" s="212"/>
      <c r="D362" s="211"/>
      <c r="E362" s="212"/>
      <c r="F362" s="211"/>
      <c r="G362" s="211"/>
      <c r="H362" s="212"/>
      <c r="I362" s="211"/>
      <c r="J362" s="211"/>
      <c r="K362" s="211"/>
      <c r="L362" s="171"/>
      <c r="M362" s="171" t="s">
        <v>308</v>
      </c>
      <c r="N362" s="171" t="s">
        <v>272</v>
      </c>
      <c r="O362" s="171" t="s">
        <v>309</v>
      </c>
      <c r="P362" s="171" t="s">
        <v>916</v>
      </c>
      <c r="Q362" s="171"/>
      <c r="R362" s="213">
        <v>364000</v>
      </c>
      <c r="S362" s="87">
        <v>0</v>
      </c>
      <c r="T362" s="87">
        <v>0</v>
      </c>
      <c r="U362" s="87">
        <v>0</v>
      </c>
      <c r="V362" s="87">
        <v>0</v>
      </c>
      <c r="W362" s="87">
        <v>0</v>
      </c>
      <c r="X362" s="87">
        <v>0</v>
      </c>
      <c r="Y362" s="87">
        <v>0</v>
      </c>
      <c r="Z362" s="87">
        <v>0</v>
      </c>
      <c r="AA362" s="214">
        <v>0</v>
      </c>
      <c r="AB362" s="214">
        <v>0</v>
      </c>
      <c r="AC362" s="214">
        <v>0</v>
      </c>
      <c r="AD362" s="214">
        <v>0</v>
      </c>
      <c r="AE362" s="214">
        <v>0</v>
      </c>
      <c r="AF362" s="214">
        <v>0</v>
      </c>
      <c r="AG362" s="214">
        <v>0</v>
      </c>
      <c r="AH362" s="214">
        <v>0</v>
      </c>
      <c r="AI362" s="87">
        <v>364920</v>
      </c>
      <c r="AJ362" s="87">
        <v>0</v>
      </c>
      <c r="AK362" s="87">
        <v>364920</v>
      </c>
      <c r="AL362" s="87">
        <v>364920</v>
      </c>
      <c r="AM362" s="87">
        <v>1382400</v>
      </c>
      <c r="AN362" s="87">
        <v>364920</v>
      </c>
      <c r="AO362" s="87">
        <v>364920</v>
      </c>
      <c r="AP362" s="87">
        <v>364000</v>
      </c>
      <c r="AQ362" s="88">
        <v>0</v>
      </c>
      <c r="AR362" s="88">
        <v>0</v>
      </c>
      <c r="AS362" s="88">
        <v>0</v>
      </c>
      <c r="AT362" s="88">
        <v>0</v>
      </c>
      <c r="AU362" s="88">
        <v>0</v>
      </c>
      <c r="AV362" s="88">
        <v>0</v>
      </c>
      <c r="AW362" s="88">
        <v>0</v>
      </c>
      <c r="AX362" s="88">
        <v>0</v>
      </c>
      <c r="AY362" s="87">
        <v>0</v>
      </c>
      <c r="AZ362" s="87">
        <v>0</v>
      </c>
      <c r="BA362" s="87">
        <v>0</v>
      </c>
      <c r="BB362" s="87">
        <v>0</v>
      </c>
      <c r="BC362" s="87">
        <v>0</v>
      </c>
      <c r="BD362" s="87">
        <v>0</v>
      </c>
      <c r="BE362" s="87">
        <v>0</v>
      </c>
      <c r="BF362" s="87">
        <v>0</v>
      </c>
      <c r="BG362" s="88">
        <v>0</v>
      </c>
      <c r="BH362" s="88">
        <v>0</v>
      </c>
      <c r="BI362" s="88">
        <v>0</v>
      </c>
      <c r="BJ362" s="88">
        <v>0</v>
      </c>
      <c r="BK362" s="88">
        <v>0</v>
      </c>
      <c r="BL362" s="88">
        <v>0</v>
      </c>
      <c r="BM362" s="88">
        <v>0</v>
      </c>
      <c r="BN362" s="590">
        <v>0</v>
      </c>
      <c r="BO362" s="171">
        <v>2023</v>
      </c>
      <c r="BP362" s="171">
        <v>1</v>
      </c>
      <c r="BQ362" s="171">
        <v>19</v>
      </c>
      <c r="BS362" s="76" t="str">
        <f t="shared" si="11"/>
        <v>○</v>
      </c>
    </row>
    <row r="363" spans="1:71" x14ac:dyDescent="0.2">
      <c r="A363" s="210">
        <v>1559</v>
      </c>
      <c r="B363" s="211"/>
      <c r="C363" s="212"/>
      <c r="D363" s="211"/>
      <c r="E363" s="212"/>
      <c r="F363" s="211"/>
      <c r="G363" s="211"/>
      <c r="H363" s="212"/>
      <c r="I363" s="211"/>
      <c r="J363" s="211"/>
      <c r="K363" s="211"/>
      <c r="L363" s="171"/>
      <c r="M363" s="171" t="s">
        <v>746</v>
      </c>
      <c r="N363" s="171" t="s">
        <v>299</v>
      </c>
      <c r="O363" s="171" t="s">
        <v>617</v>
      </c>
      <c r="P363" s="171" t="s">
        <v>916</v>
      </c>
      <c r="Q363" s="171"/>
      <c r="R363" s="213">
        <v>421000</v>
      </c>
      <c r="S363" s="87">
        <v>0</v>
      </c>
      <c r="T363" s="87">
        <v>0</v>
      </c>
      <c r="U363" s="87">
        <v>0</v>
      </c>
      <c r="V363" s="87">
        <v>0</v>
      </c>
      <c r="W363" s="87">
        <v>0</v>
      </c>
      <c r="X363" s="87">
        <v>0</v>
      </c>
      <c r="Y363" s="87">
        <v>0</v>
      </c>
      <c r="Z363" s="87">
        <v>0</v>
      </c>
      <c r="AA363" s="214">
        <v>0</v>
      </c>
      <c r="AB363" s="214">
        <v>0</v>
      </c>
      <c r="AC363" s="214">
        <v>0</v>
      </c>
      <c r="AD363" s="214">
        <v>0</v>
      </c>
      <c r="AE363" s="214">
        <v>0</v>
      </c>
      <c r="AF363" s="214">
        <v>0</v>
      </c>
      <c r="AG363" s="214">
        <v>0</v>
      </c>
      <c r="AH363" s="214">
        <v>0</v>
      </c>
      <c r="AI363" s="87">
        <v>421790</v>
      </c>
      <c r="AJ363" s="87">
        <v>0</v>
      </c>
      <c r="AK363" s="87">
        <v>421790</v>
      </c>
      <c r="AL363" s="87">
        <v>421790</v>
      </c>
      <c r="AM363" s="87">
        <v>3272400</v>
      </c>
      <c r="AN363" s="87">
        <v>421790</v>
      </c>
      <c r="AO363" s="87">
        <v>421790</v>
      </c>
      <c r="AP363" s="87">
        <v>421000</v>
      </c>
      <c r="AQ363" s="88">
        <v>0</v>
      </c>
      <c r="AR363" s="88">
        <v>0</v>
      </c>
      <c r="AS363" s="88">
        <v>0</v>
      </c>
      <c r="AT363" s="88">
        <v>0</v>
      </c>
      <c r="AU363" s="88">
        <v>0</v>
      </c>
      <c r="AV363" s="88">
        <v>0</v>
      </c>
      <c r="AW363" s="88">
        <v>0</v>
      </c>
      <c r="AX363" s="88">
        <v>0</v>
      </c>
      <c r="AY363" s="87">
        <v>0</v>
      </c>
      <c r="AZ363" s="87">
        <v>0</v>
      </c>
      <c r="BA363" s="87">
        <v>0</v>
      </c>
      <c r="BB363" s="87">
        <v>0</v>
      </c>
      <c r="BC363" s="87">
        <v>0</v>
      </c>
      <c r="BD363" s="87">
        <v>0</v>
      </c>
      <c r="BE363" s="87">
        <v>0</v>
      </c>
      <c r="BF363" s="87">
        <v>0</v>
      </c>
      <c r="BG363" s="88">
        <v>0</v>
      </c>
      <c r="BH363" s="88">
        <v>0</v>
      </c>
      <c r="BI363" s="88">
        <v>0</v>
      </c>
      <c r="BJ363" s="88">
        <v>0</v>
      </c>
      <c r="BK363" s="88">
        <v>0</v>
      </c>
      <c r="BL363" s="88">
        <v>0</v>
      </c>
      <c r="BM363" s="88">
        <v>0</v>
      </c>
      <c r="BN363" s="590">
        <v>0</v>
      </c>
      <c r="BO363" s="171">
        <v>2023</v>
      </c>
      <c r="BP363" s="171">
        <v>1</v>
      </c>
      <c r="BQ363" s="171">
        <v>19</v>
      </c>
      <c r="BS363" s="76" t="str">
        <f t="shared" si="11"/>
        <v>○</v>
      </c>
    </row>
    <row r="364" spans="1:71" x14ac:dyDescent="0.2">
      <c r="A364" s="210">
        <v>1560</v>
      </c>
      <c r="B364" s="211"/>
      <c r="C364" s="212"/>
      <c r="D364" s="211"/>
      <c r="E364" s="212"/>
      <c r="F364" s="211"/>
      <c r="G364" s="211"/>
      <c r="H364" s="212"/>
      <c r="I364" s="211"/>
      <c r="J364" s="211"/>
      <c r="K364" s="211"/>
      <c r="L364" s="171"/>
      <c r="M364" s="171" t="s">
        <v>747</v>
      </c>
      <c r="N364" s="171" t="s">
        <v>286</v>
      </c>
      <c r="O364" s="171" t="s">
        <v>748</v>
      </c>
      <c r="P364" s="171" t="s">
        <v>916</v>
      </c>
      <c r="Q364" s="171"/>
      <c r="R364" s="213">
        <v>236000</v>
      </c>
      <c r="S364" s="87">
        <v>0</v>
      </c>
      <c r="T364" s="87">
        <v>0</v>
      </c>
      <c r="U364" s="87">
        <v>0</v>
      </c>
      <c r="V364" s="87">
        <v>0</v>
      </c>
      <c r="W364" s="87">
        <v>0</v>
      </c>
      <c r="X364" s="87">
        <v>0</v>
      </c>
      <c r="Y364" s="87">
        <v>0</v>
      </c>
      <c r="Z364" s="87">
        <v>0</v>
      </c>
      <c r="AA364" s="214">
        <v>0</v>
      </c>
      <c r="AB364" s="214">
        <v>0</v>
      </c>
      <c r="AC364" s="214">
        <v>0</v>
      </c>
      <c r="AD364" s="214">
        <v>0</v>
      </c>
      <c r="AE364" s="214">
        <v>0</v>
      </c>
      <c r="AF364" s="214">
        <v>0</v>
      </c>
      <c r="AG364" s="214">
        <v>0</v>
      </c>
      <c r="AH364" s="214">
        <v>0</v>
      </c>
      <c r="AI364" s="87">
        <v>236797</v>
      </c>
      <c r="AJ364" s="87">
        <v>0</v>
      </c>
      <c r="AK364" s="87">
        <v>236797</v>
      </c>
      <c r="AL364" s="87">
        <v>236797</v>
      </c>
      <c r="AM364" s="87">
        <v>6048000</v>
      </c>
      <c r="AN364" s="87">
        <v>236797</v>
      </c>
      <c r="AO364" s="87">
        <v>236797</v>
      </c>
      <c r="AP364" s="87">
        <v>236000</v>
      </c>
      <c r="AQ364" s="88">
        <v>0</v>
      </c>
      <c r="AR364" s="88">
        <v>0</v>
      </c>
      <c r="AS364" s="88">
        <v>0</v>
      </c>
      <c r="AT364" s="88">
        <v>0</v>
      </c>
      <c r="AU364" s="88">
        <v>0</v>
      </c>
      <c r="AV364" s="88">
        <v>0</v>
      </c>
      <c r="AW364" s="88">
        <v>0</v>
      </c>
      <c r="AX364" s="88">
        <v>0</v>
      </c>
      <c r="AY364" s="87">
        <v>0</v>
      </c>
      <c r="AZ364" s="87">
        <v>0</v>
      </c>
      <c r="BA364" s="87">
        <v>0</v>
      </c>
      <c r="BB364" s="87">
        <v>0</v>
      </c>
      <c r="BC364" s="87">
        <v>0</v>
      </c>
      <c r="BD364" s="87">
        <v>0</v>
      </c>
      <c r="BE364" s="87">
        <v>0</v>
      </c>
      <c r="BF364" s="87">
        <v>0</v>
      </c>
      <c r="BG364" s="88">
        <v>0</v>
      </c>
      <c r="BH364" s="88">
        <v>0</v>
      </c>
      <c r="BI364" s="88">
        <v>0</v>
      </c>
      <c r="BJ364" s="88">
        <v>0</v>
      </c>
      <c r="BK364" s="88">
        <v>0</v>
      </c>
      <c r="BL364" s="88">
        <v>0</v>
      </c>
      <c r="BM364" s="88">
        <v>0</v>
      </c>
      <c r="BN364" s="590">
        <v>0</v>
      </c>
      <c r="BO364" s="171">
        <v>2023</v>
      </c>
      <c r="BP364" s="171">
        <v>1</v>
      </c>
      <c r="BQ364" s="171">
        <v>19</v>
      </c>
      <c r="BS364" s="76" t="str">
        <f t="shared" si="11"/>
        <v>○</v>
      </c>
    </row>
    <row r="365" spans="1:71" x14ac:dyDescent="0.2">
      <c r="A365" s="210">
        <v>1561</v>
      </c>
      <c r="B365" s="211"/>
      <c r="C365" s="212"/>
      <c r="D365" s="211"/>
      <c r="E365" s="212"/>
      <c r="F365" s="211"/>
      <c r="G365" s="211"/>
      <c r="H365" s="212"/>
      <c r="I365" s="211"/>
      <c r="J365" s="211"/>
      <c r="K365" s="211"/>
      <c r="L365" s="171"/>
      <c r="M365" s="171" t="s">
        <v>721</v>
      </c>
      <c r="N365" s="171" t="s">
        <v>313</v>
      </c>
      <c r="O365" s="171" t="s">
        <v>385</v>
      </c>
      <c r="P365" s="171" t="s">
        <v>916</v>
      </c>
      <c r="Q365" s="171"/>
      <c r="R365" s="213">
        <v>46000</v>
      </c>
      <c r="S365" s="87">
        <v>0</v>
      </c>
      <c r="T365" s="87">
        <v>0</v>
      </c>
      <c r="U365" s="87">
        <v>0</v>
      </c>
      <c r="V365" s="87">
        <v>0</v>
      </c>
      <c r="W365" s="87">
        <v>0</v>
      </c>
      <c r="X365" s="87">
        <v>0</v>
      </c>
      <c r="Y365" s="87">
        <v>0</v>
      </c>
      <c r="Z365" s="87">
        <v>0</v>
      </c>
      <c r="AA365" s="214">
        <v>0</v>
      </c>
      <c r="AB365" s="214">
        <v>0</v>
      </c>
      <c r="AC365" s="214">
        <v>0</v>
      </c>
      <c r="AD365" s="214">
        <v>0</v>
      </c>
      <c r="AE365" s="214">
        <v>0</v>
      </c>
      <c r="AF365" s="214">
        <v>0</v>
      </c>
      <c r="AG365" s="214">
        <v>0</v>
      </c>
      <c r="AH365" s="214">
        <v>0</v>
      </c>
      <c r="AI365" s="87">
        <v>46220</v>
      </c>
      <c r="AJ365" s="87">
        <v>0</v>
      </c>
      <c r="AK365" s="87">
        <v>46220</v>
      </c>
      <c r="AL365" s="87">
        <v>46220</v>
      </c>
      <c r="AM365" s="87">
        <v>2574000</v>
      </c>
      <c r="AN365" s="87">
        <v>46220</v>
      </c>
      <c r="AO365" s="87">
        <v>46220</v>
      </c>
      <c r="AP365" s="87">
        <v>46000</v>
      </c>
      <c r="AQ365" s="88">
        <v>0</v>
      </c>
      <c r="AR365" s="88">
        <v>0</v>
      </c>
      <c r="AS365" s="88">
        <v>0</v>
      </c>
      <c r="AT365" s="88">
        <v>0</v>
      </c>
      <c r="AU365" s="88">
        <v>0</v>
      </c>
      <c r="AV365" s="88">
        <v>0</v>
      </c>
      <c r="AW365" s="88">
        <v>0</v>
      </c>
      <c r="AX365" s="88">
        <v>0</v>
      </c>
      <c r="AY365" s="87">
        <v>0</v>
      </c>
      <c r="AZ365" s="87">
        <v>0</v>
      </c>
      <c r="BA365" s="87">
        <v>0</v>
      </c>
      <c r="BB365" s="87">
        <v>0</v>
      </c>
      <c r="BC365" s="87">
        <v>0</v>
      </c>
      <c r="BD365" s="87">
        <v>0</v>
      </c>
      <c r="BE365" s="87">
        <v>0</v>
      </c>
      <c r="BF365" s="87">
        <v>0</v>
      </c>
      <c r="BG365" s="88">
        <v>0</v>
      </c>
      <c r="BH365" s="88">
        <v>0</v>
      </c>
      <c r="BI365" s="88">
        <v>0</v>
      </c>
      <c r="BJ365" s="88">
        <v>0</v>
      </c>
      <c r="BK365" s="88">
        <v>0</v>
      </c>
      <c r="BL365" s="88">
        <v>0</v>
      </c>
      <c r="BM365" s="88">
        <v>0</v>
      </c>
      <c r="BN365" s="590">
        <v>0</v>
      </c>
      <c r="BO365" s="171">
        <v>2023</v>
      </c>
      <c r="BP365" s="171">
        <v>1</v>
      </c>
      <c r="BQ365" s="171">
        <v>19</v>
      </c>
      <c r="BS365" s="76" t="str">
        <f t="shared" si="11"/>
        <v>○</v>
      </c>
    </row>
    <row r="366" spans="1:71" x14ac:dyDescent="0.2">
      <c r="A366" s="210">
        <v>1562</v>
      </c>
      <c r="B366" s="211"/>
      <c r="C366" s="212"/>
      <c r="D366" s="211"/>
      <c r="E366" s="212"/>
      <c r="F366" s="211"/>
      <c r="G366" s="211"/>
      <c r="H366" s="212"/>
      <c r="I366" s="211"/>
      <c r="J366" s="211"/>
      <c r="K366" s="211"/>
      <c r="L366" s="171"/>
      <c r="M366" s="171" t="s">
        <v>637</v>
      </c>
      <c r="N366" s="171" t="s">
        <v>269</v>
      </c>
      <c r="O366" s="171" t="s">
        <v>638</v>
      </c>
      <c r="P366" s="171" t="s">
        <v>916</v>
      </c>
      <c r="Q366" s="171"/>
      <c r="R366" s="213">
        <v>26000</v>
      </c>
      <c r="S366" s="87">
        <v>0</v>
      </c>
      <c r="T366" s="87">
        <v>0</v>
      </c>
      <c r="U366" s="87">
        <v>0</v>
      </c>
      <c r="V366" s="87">
        <v>0</v>
      </c>
      <c r="W366" s="87">
        <v>0</v>
      </c>
      <c r="X366" s="87">
        <v>0</v>
      </c>
      <c r="Y366" s="87">
        <v>0</v>
      </c>
      <c r="Z366" s="87">
        <v>0</v>
      </c>
      <c r="AA366" s="214">
        <v>0</v>
      </c>
      <c r="AB366" s="214">
        <v>0</v>
      </c>
      <c r="AC366" s="214">
        <v>0</v>
      </c>
      <c r="AD366" s="214">
        <v>0</v>
      </c>
      <c r="AE366" s="214">
        <v>0</v>
      </c>
      <c r="AF366" s="214">
        <v>0</v>
      </c>
      <c r="AG366" s="214">
        <v>0</v>
      </c>
      <c r="AH366" s="214">
        <v>0</v>
      </c>
      <c r="AI366" s="87">
        <v>26180</v>
      </c>
      <c r="AJ366" s="87">
        <v>0</v>
      </c>
      <c r="AK366" s="87">
        <v>26180</v>
      </c>
      <c r="AL366" s="87">
        <v>26180</v>
      </c>
      <c r="AM366" s="87">
        <v>684000</v>
      </c>
      <c r="AN366" s="87">
        <v>26180</v>
      </c>
      <c r="AO366" s="87">
        <v>26180</v>
      </c>
      <c r="AP366" s="87">
        <v>26000</v>
      </c>
      <c r="AQ366" s="88">
        <v>0</v>
      </c>
      <c r="AR366" s="88">
        <v>0</v>
      </c>
      <c r="AS366" s="88">
        <v>0</v>
      </c>
      <c r="AT366" s="88">
        <v>0</v>
      </c>
      <c r="AU366" s="88">
        <v>0</v>
      </c>
      <c r="AV366" s="88">
        <v>0</v>
      </c>
      <c r="AW366" s="88">
        <v>0</v>
      </c>
      <c r="AX366" s="88">
        <v>0</v>
      </c>
      <c r="AY366" s="87">
        <v>0</v>
      </c>
      <c r="AZ366" s="87">
        <v>0</v>
      </c>
      <c r="BA366" s="87">
        <v>0</v>
      </c>
      <c r="BB366" s="87">
        <v>0</v>
      </c>
      <c r="BC366" s="87">
        <v>0</v>
      </c>
      <c r="BD366" s="87">
        <v>0</v>
      </c>
      <c r="BE366" s="87">
        <v>0</v>
      </c>
      <c r="BF366" s="87">
        <v>0</v>
      </c>
      <c r="BG366" s="88">
        <v>0</v>
      </c>
      <c r="BH366" s="88">
        <v>0</v>
      </c>
      <c r="BI366" s="88">
        <v>0</v>
      </c>
      <c r="BJ366" s="88">
        <v>0</v>
      </c>
      <c r="BK366" s="88">
        <v>0</v>
      </c>
      <c r="BL366" s="88">
        <v>0</v>
      </c>
      <c r="BM366" s="88">
        <v>0</v>
      </c>
      <c r="BN366" s="590">
        <v>0</v>
      </c>
      <c r="BO366" s="171">
        <v>2023</v>
      </c>
      <c r="BP366" s="171">
        <v>1</v>
      </c>
      <c r="BQ366" s="171">
        <v>19</v>
      </c>
      <c r="BS366" s="76" t="str">
        <f t="shared" si="11"/>
        <v>○</v>
      </c>
    </row>
    <row r="367" spans="1:71" x14ac:dyDescent="0.2">
      <c r="A367" s="210">
        <v>1563</v>
      </c>
      <c r="B367" s="211"/>
      <c r="C367" s="212"/>
      <c r="D367" s="211"/>
      <c r="E367" s="212"/>
      <c r="F367" s="211"/>
      <c r="G367" s="211"/>
      <c r="H367" s="212"/>
      <c r="I367" s="211"/>
      <c r="J367" s="211"/>
      <c r="K367" s="211"/>
      <c r="L367" s="171"/>
      <c r="M367" s="171" t="s">
        <v>569</v>
      </c>
      <c r="N367" s="171" t="s">
        <v>299</v>
      </c>
      <c r="O367" s="171" t="s">
        <v>341</v>
      </c>
      <c r="P367" s="171" t="s">
        <v>916</v>
      </c>
      <c r="Q367" s="171"/>
      <c r="R367" s="213">
        <v>229000</v>
      </c>
      <c r="S367" s="87">
        <v>0</v>
      </c>
      <c r="T367" s="87">
        <v>0</v>
      </c>
      <c r="U367" s="87">
        <v>0</v>
      </c>
      <c r="V367" s="87">
        <v>0</v>
      </c>
      <c r="W367" s="87">
        <v>0</v>
      </c>
      <c r="X367" s="87">
        <v>0</v>
      </c>
      <c r="Y367" s="87">
        <v>0</v>
      </c>
      <c r="Z367" s="87">
        <v>0</v>
      </c>
      <c r="AA367" s="214">
        <v>0</v>
      </c>
      <c r="AB367" s="214">
        <v>0</v>
      </c>
      <c r="AC367" s="214">
        <v>0</v>
      </c>
      <c r="AD367" s="214">
        <v>0</v>
      </c>
      <c r="AE367" s="214">
        <v>0</v>
      </c>
      <c r="AF367" s="214">
        <v>0</v>
      </c>
      <c r="AG367" s="214">
        <v>0</v>
      </c>
      <c r="AH367" s="214">
        <v>0</v>
      </c>
      <c r="AI367" s="87">
        <v>229200</v>
      </c>
      <c r="AJ367" s="87">
        <v>0</v>
      </c>
      <c r="AK367" s="87">
        <v>229200</v>
      </c>
      <c r="AL367" s="87">
        <v>229200</v>
      </c>
      <c r="AM367" s="87">
        <v>7884000</v>
      </c>
      <c r="AN367" s="87">
        <v>229200</v>
      </c>
      <c r="AO367" s="87">
        <v>229200</v>
      </c>
      <c r="AP367" s="87">
        <v>229000</v>
      </c>
      <c r="AQ367" s="88">
        <v>0</v>
      </c>
      <c r="AR367" s="88">
        <v>0</v>
      </c>
      <c r="AS367" s="88">
        <v>0</v>
      </c>
      <c r="AT367" s="88">
        <v>0</v>
      </c>
      <c r="AU367" s="88">
        <v>0</v>
      </c>
      <c r="AV367" s="88">
        <v>0</v>
      </c>
      <c r="AW367" s="88">
        <v>0</v>
      </c>
      <c r="AX367" s="88">
        <v>0</v>
      </c>
      <c r="AY367" s="87">
        <v>0</v>
      </c>
      <c r="AZ367" s="87">
        <v>0</v>
      </c>
      <c r="BA367" s="87">
        <v>0</v>
      </c>
      <c r="BB367" s="87">
        <v>0</v>
      </c>
      <c r="BC367" s="87">
        <v>0</v>
      </c>
      <c r="BD367" s="87">
        <v>0</v>
      </c>
      <c r="BE367" s="87">
        <v>0</v>
      </c>
      <c r="BF367" s="87">
        <v>0</v>
      </c>
      <c r="BG367" s="88">
        <v>0</v>
      </c>
      <c r="BH367" s="88">
        <v>0</v>
      </c>
      <c r="BI367" s="88">
        <v>0</v>
      </c>
      <c r="BJ367" s="88">
        <v>0</v>
      </c>
      <c r="BK367" s="88">
        <v>0</v>
      </c>
      <c r="BL367" s="88">
        <v>0</v>
      </c>
      <c r="BM367" s="88">
        <v>0</v>
      </c>
      <c r="BN367" s="590">
        <v>0</v>
      </c>
      <c r="BO367" s="171">
        <v>2023</v>
      </c>
      <c r="BP367" s="171">
        <v>1</v>
      </c>
      <c r="BQ367" s="171">
        <v>19</v>
      </c>
      <c r="BS367" s="76" t="str">
        <f t="shared" si="11"/>
        <v>○</v>
      </c>
    </row>
    <row r="368" spans="1:71" x14ac:dyDescent="0.2">
      <c r="A368" s="210">
        <v>1564</v>
      </c>
      <c r="B368" s="211"/>
      <c r="C368" s="212"/>
      <c r="D368" s="211"/>
      <c r="E368" s="212"/>
      <c r="F368" s="211"/>
      <c r="G368" s="211"/>
      <c r="H368" s="212"/>
      <c r="I368" s="211"/>
      <c r="J368" s="211"/>
      <c r="K368" s="211"/>
      <c r="L368" s="171"/>
      <c r="M368" s="171" t="s">
        <v>749</v>
      </c>
      <c r="N368" s="171" t="s">
        <v>313</v>
      </c>
      <c r="O368" s="171" t="s">
        <v>750</v>
      </c>
      <c r="P368" s="171" t="s">
        <v>916</v>
      </c>
      <c r="Q368" s="171"/>
      <c r="R368" s="213">
        <v>228000</v>
      </c>
      <c r="S368" s="87">
        <v>0</v>
      </c>
      <c r="T368" s="87">
        <v>0</v>
      </c>
      <c r="U368" s="87">
        <v>0</v>
      </c>
      <c r="V368" s="87">
        <v>0</v>
      </c>
      <c r="W368" s="87">
        <v>0</v>
      </c>
      <c r="X368" s="87">
        <v>0</v>
      </c>
      <c r="Y368" s="87">
        <v>0</v>
      </c>
      <c r="Z368" s="87">
        <v>0</v>
      </c>
      <c r="AA368" s="214">
        <v>0</v>
      </c>
      <c r="AB368" s="214">
        <v>0</v>
      </c>
      <c r="AC368" s="214">
        <v>0</v>
      </c>
      <c r="AD368" s="214">
        <v>0</v>
      </c>
      <c r="AE368" s="214">
        <v>0</v>
      </c>
      <c r="AF368" s="214">
        <v>0</v>
      </c>
      <c r="AG368" s="214">
        <v>0</v>
      </c>
      <c r="AH368" s="214">
        <v>0</v>
      </c>
      <c r="AI368" s="87">
        <v>228420</v>
      </c>
      <c r="AJ368" s="87">
        <v>0</v>
      </c>
      <c r="AK368" s="87">
        <v>228420</v>
      </c>
      <c r="AL368" s="87">
        <v>228420</v>
      </c>
      <c r="AM368" s="87">
        <v>2131200</v>
      </c>
      <c r="AN368" s="87">
        <v>228420</v>
      </c>
      <c r="AO368" s="87">
        <v>228420</v>
      </c>
      <c r="AP368" s="87">
        <v>228000</v>
      </c>
      <c r="AQ368" s="88">
        <v>0</v>
      </c>
      <c r="AR368" s="88">
        <v>0</v>
      </c>
      <c r="AS368" s="88">
        <v>0</v>
      </c>
      <c r="AT368" s="88">
        <v>0</v>
      </c>
      <c r="AU368" s="88">
        <v>0</v>
      </c>
      <c r="AV368" s="88">
        <v>0</v>
      </c>
      <c r="AW368" s="88">
        <v>0</v>
      </c>
      <c r="AX368" s="88">
        <v>0</v>
      </c>
      <c r="AY368" s="87">
        <v>0</v>
      </c>
      <c r="AZ368" s="87">
        <v>0</v>
      </c>
      <c r="BA368" s="87">
        <v>0</v>
      </c>
      <c r="BB368" s="87">
        <v>0</v>
      </c>
      <c r="BC368" s="87">
        <v>0</v>
      </c>
      <c r="BD368" s="87">
        <v>0</v>
      </c>
      <c r="BE368" s="87">
        <v>0</v>
      </c>
      <c r="BF368" s="87">
        <v>0</v>
      </c>
      <c r="BG368" s="88">
        <v>0</v>
      </c>
      <c r="BH368" s="88">
        <v>0</v>
      </c>
      <c r="BI368" s="88">
        <v>0</v>
      </c>
      <c r="BJ368" s="88">
        <v>0</v>
      </c>
      <c r="BK368" s="88">
        <v>0</v>
      </c>
      <c r="BL368" s="88">
        <v>0</v>
      </c>
      <c r="BM368" s="88">
        <v>0</v>
      </c>
      <c r="BN368" s="590">
        <v>0</v>
      </c>
      <c r="BO368" s="171">
        <v>2023</v>
      </c>
      <c r="BP368" s="171">
        <v>1</v>
      </c>
      <c r="BQ368" s="171">
        <v>19</v>
      </c>
      <c r="BS368" s="76" t="str">
        <f t="shared" si="11"/>
        <v>○</v>
      </c>
    </row>
    <row r="369" spans="1:71" x14ac:dyDescent="0.2">
      <c r="A369" s="210">
        <v>1565</v>
      </c>
      <c r="B369" s="211"/>
      <c r="C369" s="212"/>
      <c r="D369" s="211"/>
      <c r="E369" s="212"/>
      <c r="F369" s="211"/>
      <c r="G369" s="211"/>
      <c r="H369" s="212"/>
      <c r="I369" s="211"/>
      <c r="J369" s="211"/>
      <c r="K369" s="211"/>
      <c r="L369" s="171"/>
      <c r="M369" s="171" t="s">
        <v>751</v>
      </c>
      <c r="N369" s="171" t="s">
        <v>281</v>
      </c>
      <c r="O369" s="171" t="s">
        <v>324</v>
      </c>
      <c r="P369" s="171" t="s">
        <v>916</v>
      </c>
      <c r="Q369" s="75"/>
      <c r="R369" s="213">
        <v>701000</v>
      </c>
      <c r="S369" s="87">
        <v>0</v>
      </c>
      <c r="T369" s="87">
        <v>0</v>
      </c>
      <c r="U369" s="87">
        <v>0</v>
      </c>
      <c r="V369" s="87">
        <v>0</v>
      </c>
      <c r="W369" s="87">
        <v>0</v>
      </c>
      <c r="X369" s="87">
        <v>0</v>
      </c>
      <c r="Y369" s="87">
        <v>0</v>
      </c>
      <c r="Z369" s="87">
        <v>0</v>
      </c>
      <c r="AA369" s="214">
        <v>0</v>
      </c>
      <c r="AB369" s="214">
        <v>0</v>
      </c>
      <c r="AC369" s="214">
        <v>0</v>
      </c>
      <c r="AD369" s="214">
        <v>0</v>
      </c>
      <c r="AE369" s="214">
        <v>0</v>
      </c>
      <c r="AF369" s="214">
        <v>0</v>
      </c>
      <c r="AG369" s="214">
        <v>0</v>
      </c>
      <c r="AH369" s="214">
        <v>0</v>
      </c>
      <c r="AI369" s="87">
        <v>701270</v>
      </c>
      <c r="AJ369" s="87">
        <v>0</v>
      </c>
      <c r="AK369" s="87">
        <v>701270</v>
      </c>
      <c r="AL369" s="87">
        <v>701270</v>
      </c>
      <c r="AM369" s="87">
        <v>1306800</v>
      </c>
      <c r="AN369" s="87">
        <v>701270</v>
      </c>
      <c r="AO369" s="87">
        <v>701270</v>
      </c>
      <c r="AP369" s="87">
        <v>701000</v>
      </c>
      <c r="AQ369" s="88">
        <v>0</v>
      </c>
      <c r="AR369" s="88">
        <v>0</v>
      </c>
      <c r="AS369" s="88">
        <v>0</v>
      </c>
      <c r="AT369" s="88">
        <v>0</v>
      </c>
      <c r="AU369" s="88">
        <v>0</v>
      </c>
      <c r="AV369" s="88">
        <v>0</v>
      </c>
      <c r="AW369" s="88">
        <v>0</v>
      </c>
      <c r="AX369" s="88">
        <v>0</v>
      </c>
      <c r="AY369" s="87">
        <v>0</v>
      </c>
      <c r="AZ369" s="87">
        <v>0</v>
      </c>
      <c r="BA369" s="87">
        <v>0</v>
      </c>
      <c r="BB369" s="87">
        <v>0</v>
      </c>
      <c r="BC369" s="87">
        <v>0</v>
      </c>
      <c r="BD369" s="87">
        <v>0</v>
      </c>
      <c r="BE369" s="87">
        <v>0</v>
      </c>
      <c r="BF369" s="87">
        <v>0</v>
      </c>
      <c r="BG369" s="88">
        <v>0</v>
      </c>
      <c r="BH369" s="88">
        <v>0</v>
      </c>
      <c r="BI369" s="88">
        <v>0</v>
      </c>
      <c r="BJ369" s="88">
        <v>0</v>
      </c>
      <c r="BK369" s="88">
        <v>0</v>
      </c>
      <c r="BL369" s="88">
        <v>0</v>
      </c>
      <c r="BM369" s="88">
        <v>0</v>
      </c>
      <c r="BN369" s="590">
        <v>0</v>
      </c>
      <c r="BO369" s="171">
        <v>2023</v>
      </c>
      <c r="BP369" s="171">
        <v>1</v>
      </c>
      <c r="BQ369" s="171">
        <v>19</v>
      </c>
      <c r="BS369" s="76" t="str">
        <f t="shared" si="11"/>
        <v>○</v>
      </c>
    </row>
    <row r="370" spans="1:71" x14ac:dyDescent="0.2">
      <c r="A370" s="210">
        <v>1566</v>
      </c>
      <c r="B370" s="211"/>
      <c r="C370" s="212"/>
      <c r="D370" s="211"/>
      <c r="E370" s="212"/>
      <c r="F370" s="211"/>
      <c r="G370" s="211"/>
      <c r="H370" s="212"/>
      <c r="I370" s="211"/>
      <c r="J370" s="211"/>
      <c r="K370" s="211"/>
      <c r="L370" s="171"/>
      <c r="M370" s="171" t="s">
        <v>751</v>
      </c>
      <c r="N370" s="171" t="s">
        <v>281</v>
      </c>
      <c r="O370" s="171" t="s">
        <v>324</v>
      </c>
      <c r="P370" s="171" t="s">
        <v>916</v>
      </c>
      <c r="Q370" s="171"/>
      <c r="R370" s="213">
        <v>1080000</v>
      </c>
      <c r="S370" s="87">
        <v>0</v>
      </c>
      <c r="T370" s="87">
        <v>0</v>
      </c>
      <c r="U370" s="87">
        <v>0</v>
      </c>
      <c r="V370" s="87">
        <v>0</v>
      </c>
      <c r="W370" s="87">
        <v>0</v>
      </c>
      <c r="X370" s="87">
        <v>0</v>
      </c>
      <c r="Y370" s="87">
        <v>0</v>
      </c>
      <c r="Z370" s="87">
        <v>0</v>
      </c>
      <c r="AA370" s="214">
        <v>0</v>
      </c>
      <c r="AB370" s="214">
        <v>0</v>
      </c>
      <c r="AC370" s="214">
        <v>0</v>
      </c>
      <c r="AD370" s="214">
        <v>0</v>
      </c>
      <c r="AE370" s="214">
        <v>0</v>
      </c>
      <c r="AF370" s="214">
        <v>0</v>
      </c>
      <c r="AG370" s="214">
        <v>0</v>
      </c>
      <c r="AH370" s="214">
        <v>0</v>
      </c>
      <c r="AI370" s="87">
        <v>1080057</v>
      </c>
      <c r="AJ370" s="87">
        <v>0</v>
      </c>
      <c r="AK370" s="87">
        <v>1080057</v>
      </c>
      <c r="AL370" s="87">
        <v>1080057</v>
      </c>
      <c r="AM370" s="87">
        <v>1576800</v>
      </c>
      <c r="AN370" s="87">
        <v>1080057</v>
      </c>
      <c r="AO370" s="87">
        <v>1080057</v>
      </c>
      <c r="AP370" s="87">
        <v>1080000</v>
      </c>
      <c r="AQ370" s="88">
        <v>0</v>
      </c>
      <c r="AR370" s="88">
        <v>0</v>
      </c>
      <c r="AS370" s="88">
        <v>0</v>
      </c>
      <c r="AT370" s="88">
        <v>0</v>
      </c>
      <c r="AU370" s="88">
        <v>0</v>
      </c>
      <c r="AV370" s="88">
        <v>0</v>
      </c>
      <c r="AW370" s="88">
        <v>0</v>
      </c>
      <c r="AX370" s="88">
        <v>0</v>
      </c>
      <c r="AY370" s="87">
        <v>0</v>
      </c>
      <c r="AZ370" s="87">
        <v>0</v>
      </c>
      <c r="BA370" s="87">
        <v>0</v>
      </c>
      <c r="BB370" s="87">
        <v>0</v>
      </c>
      <c r="BC370" s="87">
        <v>0</v>
      </c>
      <c r="BD370" s="87">
        <v>0</v>
      </c>
      <c r="BE370" s="87">
        <v>0</v>
      </c>
      <c r="BF370" s="87">
        <v>0</v>
      </c>
      <c r="BG370" s="88">
        <v>0</v>
      </c>
      <c r="BH370" s="88">
        <v>0</v>
      </c>
      <c r="BI370" s="88">
        <v>0</v>
      </c>
      <c r="BJ370" s="88">
        <v>0</v>
      </c>
      <c r="BK370" s="88">
        <v>0</v>
      </c>
      <c r="BL370" s="88">
        <v>0</v>
      </c>
      <c r="BM370" s="88">
        <v>0</v>
      </c>
      <c r="BN370" s="590">
        <v>0</v>
      </c>
      <c r="BO370" s="171">
        <v>2023</v>
      </c>
      <c r="BP370" s="171">
        <v>1</v>
      </c>
      <c r="BQ370" s="171">
        <v>19</v>
      </c>
      <c r="BS370" s="76" t="str">
        <f t="shared" si="11"/>
        <v>○</v>
      </c>
    </row>
    <row r="371" spans="1:71" x14ac:dyDescent="0.2">
      <c r="A371" s="210">
        <v>1567</v>
      </c>
      <c r="B371" s="211"/>
      <c r="C371" s="212"/>
      <c r="D371" s="211"/>
      <c r="E371" s="212"/>
      <c r="F371" s="211"/>
      <c r="G371" s="211"/>
      <c r="H371" s="212"/>
      <c r="I371" s="211"/>
      <c r="J371" s="211"/>
      <c r="K371" s="211"/>
      <c r="L371" s="171"/>
      <c r="M371" s="171" t="s">
        <v>751</v>
      </c>
      <c r="N371" s="171" t="s">
        <v>281</v>
      </c>
      <c r="O371" s="171" t="s">
        <v>324</v>
      </c>
      <c r="P371" s="171" t="s">
        <v>916</v>
      </c>
      <c r="Q371" s="171"/>
      <c r="R371" s="213">
        <v>1516000</v>
      </c>
      <c r="S371" s="87">
        <v>0</v>
      </c>
      <c r="T371" s="87">
        <v>0</v>
      </c>
      <c r="U371" s="87">
        <v>0</v>
      </c>
      <c r="V371" s="87">
        <v>0</v>
      </c>
      <c r="W371" s="87">
        <v>0</v>
      </c>
      <c r="X371" s="87">
        <v>0</v>
      </c>
      <c r="Y371" s="87">
        <v>0</v>
      </c>
      <c r="Z371" s="87">
        <v>0</v>
      </c>
      <c r="AA371" s="214">
        <v>0</v>
      </c>
      <c r="AB371" s="214">
        <v>0</v>
      </c>
      <c r="AC371" s="214">
        <v>0</v>
      </c>
      <c r="AD371" s="214">
        <v>0</v>
      </c>
      <c r="AE371" s="214">
        <v>0</v>
      </c>
      <c r="AF371" s="214">
        <v>0</v>
      </c>
      <c r="AG371" s="214">
        <v>0</v>
      </c>
      <c r="AH371" s="214">
        <v>0</v>
      </c>
      <c r="AI371" s="87">
        <v>1516621</v>
      </c>
      <c r="AJ371" s="87">
        <v>0</v>
      </c>
      <c r="AK371" s="87">
        <v>1516621</v>
      </c>
      <c r="AL371" s="87">
        <v>1516621</v>
      </c>
      <c r="AM371" s="87">
        <v>1576800</v>
      </c>
      <c r="AN371" s="87">
        <v>1516621</v>
      </c>
      <c r="AO371" s="87">
        <v>1516621</v>
      </c>
      <c r="AP371" s="87">
        <v>1516000</v>
      </c>
      <c r="AQ371" s="88">
        <v>0</v>
      </c>
      <c r="AR371" s="88">
        <v>0</v>
      </c>
      <c r="AS371" s="88">
        <v>0</v>
      </c>
      <c r="AT371" s="88">
        <v>0</v>
      </c>
      <c r="AU371" s="88">
        <v>0</v>
      </c>
      <c r="AV371" s="88">
        <v>0</v>
      </c>
      <c r="AW371" s="88">
        <v>0</v>
      </c>
      <c r="AX371" s="88">
        <v>0</v>
      </c>
      <c r="AY371" s="87">
        <v>0</v>
      </c>
      <c r="AZ371" s="87">
        <v>0</v>
      </c>
      <c r="BA371" s="87">
        <v>0</v>
      </c>
      <c r="BB371" s="87">
        <v>0</v>
      </c>
      <c r="BC371" s="87">
        <v>0</v>
      </c>
      <c r="BD371" s="87">
        <v>0</v>
      </c>
      <c r="BE371" s="87">
        <v>0</v>
      </c>
      <c r="BF371" s="87">
        <v>0</v>
      </c>
      <c r="BG371" s="88">
        <v>0</v>
      </c>
      <c r="BH371" s="88">
        <v>0</v>
      </c>
      <c r="BI371" s="88">
        <v>0</v>
      </c>
      <c r="BJ371" s="88">
        <v>0</v>
      </c>
      <c r="BK371" s="88">
        <v>0</v>
      </c>
      <c r="BL371" s="88">
        <v>0</v>
      </c>
      <c r="BM371" s="88">
        <v>0</v>
      </c>
      <c r="BN371" s="590">
        <v>0</v>
      </c>
      <c r="BO371" s="171">
        <v>2023</v>
      </c>
      <c r="BP371" s="171">
        <v>1</v>
      </c>
      <c r="BQ371" s="171">
        <v>19</v>
      </c>
      <c r="BS371" s="76" t="str">
        <f t="shared" si="11"/>
        <v>○</v>
      </c>
    </row>
    <row r="372" spans="1:71" x14ac:dyDescent="0.2">
      <c r="A372" s="210">
        <v>1568</v>
      </c>
      <c r="B372" s="211"/>
      <c r="C372" s="212"/>
      <c r="D372" s="211"/>
      <c r="E372" s="212"/>
      <c r="F372" s="211"/>
      <c r="G372" s="211"/>
      <c r="H372" s="212"/>
      <c r="I372" s="211"/>
      <c r="J372" s="211"/>
      <c r="K372" s="211"/>
      <c r="L372" s="171"/>
      <c r="M372" s="171" t="s">
        <v>751</v>
      </c>
      <c r="N372" s="171" t="s">
        <v>281</v>
      </c>
      <c r="O372" s="171" t="s">
        <v>324</v>
      </c>
      <c r="P372" s="171" t="s">
        <v>916</v>
      </c>
      <c r="Q372" s="171"/>
      <c r="R372" s="213">
        <v>182000</v>
      </c>
      <c r="S372" s="87">
        <v>0</v>
      </c>
      <c r="T372" s="87">
        <v>0</v>
      </c>
      <c r="U372" s="87">
        <v>0</v>
      </c>
      <c r="V372" s="87">
        <v>0</v>
      </c>
      <c r="W372" s="87">
        <v>0</v>
      </c>
      <c r="X372" s="87">
        <v>0</v>
      </c>
      <c r="Y372" s="87">
        <v>0</v>
      </c>
      <c r="Z372" s="87">
        <v>0</v>
      </c>
      <c r="AA372" s="214">
        <v>0</v>
      </c>
      <c r="AB372" s="214">
        <v>0</v>
      </c>
      <c r="AC372" s="214">
        <v>0</v>
      </c>
      <c r="AD372" s="214">
        <v>0</v>
      </c>
      <c r="AE372" s="214">
        <v>0</v>
      </c>
      <c r="AF372" s="214">
        <v>0</v>
      </c>
      <c r="AG372" s="214">
        <v>0</v>
      </c>
      <c r="AH372" s="214">
        <v>0</v>
      </c>
      <c r="AI372" s="87">
        <v>182528</v>
      </c>
      <c r="AJ372" s="87">
        <v>0</v>
      </c>
      <c r="AK372" s="87">
        <v>182528</v>
      </c>
      <c r="AL372" s="87">
        <v>182528</v>
      </c>
      <c r="AM372" s="87">
        <v>788400</v>
      </c>
      <c r="AN372" s="87">
        <v>182528</v>
      </c>
      <c r="AO372" s="87">
        <v>182528</v>
      </c>
      <c r="AP372" s="87">
        <v>182000</v>
      </c>
      <c r="AQ372" s="88">
        <v>0</v>
      </c>
      <c r="AR372" s="88">
        <v>0</v>
      </c>
      <c r="AS372" s="88">
        <v>0</v>
      </c>
      <c r="AT372" s="88">
        <v>0</v>
      </c>
      <c r="AU372" s="88">
        <v>0</v>
      </c>
      <c r="AV372" s="88">
        <v>0</v>
      </c>
      <c r="AW372" s="88">
        <v>0</v>
      </c>
      <c r="AX372" s="88">
        <v>0</v>
      </c>
      <c r="AY372" s="87">
        <v>0</v>
      </c>
      <c r="AZ372" s="87">
        <v>0</v>
      </c>
      <c r="BA372" s="87">
        <v>0</v>
      </c>
      <c r="BB372" s="87">
        <v>0</v>
      </c>
      <c r="BC372" s="87">
        <v>0</v>
      </c>
      <c r="BD372" s="87">
        <v>0</v>
      </c>
      <c r="BE372" s="87">
        <v>0</v>
      </c>
      <c r="BF372" s="87">
        <v>0</v>
      </c>
      <c r="BG372" s="88">
        <v>0</v>
      </c>
      <c r="BH372" s="88">
        <v>0</v>
      </c>
      <c r="BI372" s="88">
        <v>0</v>
      </c>
      <c r="BJ372" s="88">
        <v>0</v>
      </c>
      <c r="BK372" s="88">
        <v>0</v>
      </c>
      <c r="BL372" s="88">
        <v>0</v>
      </c>
      <c r="BM372" s="88">
        <v>0</v>
      </c>
      <c r="BN372" s="590">
        <v>0</v>
      </c>
      <c r="BO372" s="171">
        <v>2023</v>
      </c>
      <c r="BP372" s="171">
        <v>1</v>
      </c>
      <c r="BQ372" s="171">
        <v>19</v>
      </c>
      <c r="BS372" s="76" t="str">
        <f t="shared" si="11"/>
        <v>○</v>
      </c>
    </row>
    <row r="373" spans="1:71" x14ac:dyDescent="0.2">
      <c r="A373" s="210">
        <v>1569</v>
      </c>
      <c r="B373" s="211"/>
      <c r="C373" s="212"/>
      <c r="D373" s="211"/>
      <c r="E373" s="212"/>
      <c r="F373" s="211"/>
      <c r="G373" s="211"/>
      <c r="H373" s="212"/>
      <c r="I373" s="211"/>
      <c r="J373" s="211"/>
      <c r="K373" s="211"/>
      <c r="L373" s="171"/>
      <c r="M373" s="171" t="s">
        <v>752</v>
      </c>
      <c r="N373" s="171" t="s">
        <v>753</v>
      </c>
      <c r="O373" s="171" t="s">
        <v>324</v>
      </c>
      <c r="P373" s="171" t="s">
        <v>916</v>
      </c>
      <c r="Q373" s="171"/>
      <c r="R373" s="213">
        <v>216000</v>
      </c>
      <c r="S373" s="87">
        <v>0</v>
      </c>
      <c r="T373" s="87">
        <v>0</v>
      </c>
      <c r="U373" s="87">
        <v>0</v>
      </c>
      <c r="V373" s="87">
        <v>0</v>
      </c>
      <c r="W373" s="87">
        <v>0</v>
      </c>
      <c r="X373" s="87">
        <v>0</v>
      </c>
      <c r="Y373" s="87">
        <v>0</v>
      </c>
      <c r="Z373" s="87">
        <v>0</v>
      </c>
      <c r="AA373" s="214">
        <v>0</v>
      </c>
      <c r="AB373" s="214">
        <v>0</v>
      </c>
      <c r="AC373" s="214">
        <v>0</v>
      </c>
      <c r="AD373" s="214">
        <v>0</v>
      </c>
      <c r="AE373" s="214">
        <v>0</v>
      </c>
      <c r="AF373" s="214">
        <v>0</v>
      </c>
      <c r="AG373" s="214">
        <v>0</v>
      </c>
      <c r="AH373" s="214">
        <v>0</v>
      </c>
      <c r="AI373" s="87">
        <v>216089</v>
      </c>
      <c r="AJ373" s="87">
        <v>0</v>
      </c>
      <c r="AK373" s="87">
        <v>216089</v>
      </c>
      <c r="AL373" s="87">
        <v>216089</v>
      </c>
      <c r="AM373" s="87">
        <v>1306800</v>
      </c>
      <c r="AN373" s="87">
        <v>216089</v>
      </c>
      <c r="AO373" s="87">
        <v>216089</v>
      </c>
      <c r="AP373" s="87">
        <v>216000</v>
      </c>
      <c r="AQ373" s="88">
        <v>0</v>
      </c>
      <c r="AR373" s="88">
        <v>0</v>
      </c>
      <c r="AS373" s="88">
        <v>0</v>
      </c>
      <c r="AT373" s="88">
        <v>0</v>
      </c>
      <c r="AU373" s="88">
        <v>0</v>
      </c>
      <c r="AV373" s="88">
        <v>0</v>
      </c>
      <c r="AW373" s="88">
        <v>0</v>
      </c>
      <c r="AX373" s="88">
        <v>0</v>
      </c>
      <c r="AY373" s="87">
        <v>0</v>
      </c>
      <c r="AZ373" s="87">
        <v>0</v>
      </c>
      <c r="BA373" s="87">
        <v>0</v>
      </c>
      <c r="BB373" s="87">
        <v>0</v>
      </c>
      <c r="BC373" s="87">
        <v>0</v>
      </c>
      <c r="BD373" s="87">
        <v>0</v>
      </c>
      <c r="BE373" s="87">
        <v>0</v>
      </c>
      <c r="BF373" s="87">
        <v>0</v>
      </c>
      <c r="BG373" s="88">
        <v>0</v>
      </c>
      <c r="BH373" s="88">
        <v>0</v>
      </c>
      <c r="BI373" s="88">
        <v>0</v>
      </c>
      <c r="BJ373" s="88">
        <v>0</v>
      </c>
      <c r="BK373" s="88">
        <v>0</v>
      </c>
      <c r="BL373" s="88">
        <v>0</v>
      </c>
      <c r="BM373" s="88">
        <v>0</v>
      </c>
      <c r="BN373" s="590">
        <v>0</v>
      </c>
      <c r="BO373" s="171">
        <v>2023</v>
      </c>
      <c r="BP373" s="171">
        <v>1</v>
      </c>
      <c r="BQ373" s="171">
        <v>19</v>
      </c>
      <c r="BS373" s="76" t="str">
        <f t="shared" si="11"/>
        <v>○</v>
      </c>
    </row>
    <row r="374" spans="1:71" x14ac:dyDescent="0.2">
      <c r="A374" s="210">
        <v>1570</v>
      </c>
      <c r="B374" s="211"/>
      <c r="C374" s="212"/>
      <c r="D374" s="211"/>
      <c r="E374" s="212"/>
      <c r="F374" s="211"/>
      <c r="G374" s="211"/>
      <c r="H374" s="212"/>
      <c r="I374" s="211"/>
      <c r="J374" s="211"/>
      <c r="K374" s="211"/>
      <c r="L374" s="171"/>
      <c r="M374" s="171" t="s">
        <v>751</v>
      </c>
      <c r="N374" s="171" t="s">
        <v>281</v>
      </c>
      <c r="O374" s="171" t="s">
        <v>324</v>
      </c>
      <c r="P374" s="171" t="s">
        <v>916</v>
      </c>
      <c r="Q374" s="171"/>
      <c r="R374" s="213">
        <v>701000</v>
      </c>
      <c r="S374" s="87">
        <v>0</v>
      </c>
      <c r="T374" s="87">
        <v>0</v>
      </c>
      <c r="U374" s="87">
        <v>0</v>
      </c>
      <c r="V374" s="87">
        <v>0</v>
      </c>
      <c r="W374" s="87">
        <v>0</v>
      </c>
      <c r="X374" s="87">
        <v>0</v>
      </c>
      <c r="Y374" s="87">
        <v>0</v>
      </c>
      <c r="Z374" s="87">
        <v>0</v>
      </c>
      <c r="AA374" s="214">
        <v>0</v>
      </c>
      <c r="AB374" s="214">
        <v>0</v>
      </c>
      <c r="AC374" s="214">
        <v>0</v>
      </c>
      <c r="AD374" s="214">
        <v>0</v>
      </c>
      <c r="AE374" s="214">
        <v>0</v>
      </c>
      <c r="AF374" s="214">
        <v>0</v>
      </c>
      <c r="AG374" s="214">
        <v>0</v>
      </c>
      <c r="AH374" s="214">
        <v>0</v>
      </c>
      <c r="AI374" s="87">
        <v>701270</v>
      </c>
      <c r="AJ374" s="87">
        <v>0</v>
      </c>
      <c r="AK374" s="87">
        <v>701270</v>
      </c>
      <c r="AL374" s="87">
        <v>701270</v>
      </c>
      <c r="AM374" s="87">
        <v>1317600</v>
      </c>
      <c r="AN374" s="87">
        <v>701270</v>
      </c>
      <c r="AO374" s="87">
        <v>701270</v>
      </c>
      <c r="AP374" s="87">
        <v>701000</v>
      </c>
      <c r="AQ374" s="88">
        <v>0</v>
      </c>
      <c r="AR374" s="88">
        <v>0</v>
      </c>
      <c r="AS374" s="88">
        <v>0</v>
      </c>
      <c r="AT374" s="88">
        <v>0</v>
      </c>
      <c r="AU374" s="88">
        <v>0</v>
      </c>
      <c r="AV374" s="88">
        <v>0</v>
      </c>
      <c r="AW374" s="88">
        <v>0</v>
      </c>
      <c r="AX374" s="88">
        <v>0</v>
      </c>
      <c r="AY374" s="87">
        <v>0</v>
      </c>
      <c r="AZ374" s="87">
        <v>0</v>
      </c>
      <c r="BA374" s="87">
        <v>0</v>
      </c>
      <c r="BB374" s="87">
        <v>0</v>
      </c>
      <c r="BC374" s="87">
        <v>0</v>
      </c>
      <c r="BD374" s="87">
        <v>0</v>
      </c>
      <c r="BE374" s="87">
        <v>0</v>
      </c>
      <c r="BF374" s="87">
        <v>0</v>
      </c>
      <c r="BG374" s="88">
        <v>0</v>
      </c>
      <c r="BH374" s="88">
        <v>0</v>
      </c>
      <c r="BI374" s="88">
        <v>0</v>
      </c>
      <c r="BJ374" s="88">
        <v>0</v>
      </c>
      <c r="BK374" s="88">
        <v>0</v>
      </c>
      <c r="BL374" s="88">
        <v>0</v>
      </c>
      <c r="BM374" s="88">
        <v>0</v>
      </c>
      <c r="BN374" s="590">
        <v>0</v>
      </c>
      <c r="BO374" s="171">
        <v>2023</v>
      </c>
      <c r="BP374" s="171">
        <v>1</v>
      </c>
      <c r="BQ374" s="171">
        <v>19</v>
      </c>
      <c r="BS374" s="76" t="str">
        <f t="shared" si="11"/>
        <v>○</v>
      </c>
    </row>
    <row r="375" spans="1:71" x14ac:dyDescent="0.2">
      <c r="A375" s="210">
        <v>1571</v>
      </c>
      <c r="B375" s="211"/>
      <c r="C375" s="212"/>
      <c r="D375" s="211"/>
      <c r="E375" s="212"/>
      <c r="F375" s="211"/>
      <c r="G375" s="211"/>
      <c r="H375" s="212"/>
      <c r="I375" s="211"/>
      <c r="J375" s="211"/>
      <c r="K375" s="211"/>
      <c r="L375" s="171"/>
      <c r="M375" s="171" t="s">
        <v>751</v>
      </c>
      <c r="N375" s="171" t="s">
        <v>281</v>
      </c>
      <c r="O375" s="171" t="s">
        <v>324</v>
      </c>
      <c r="P375" s="171" t="s">
        <v>916</v>
      </c>
      <c r="Q375" s="171"/>
      <c r="R375" s="213">
        <v>147000</v>
      </c>
      <c r="S375" s="87">
        <v>0</v>
      </c>
      <c r="T375" s="87">
        <v>0</v>
      </c>
      <c r="U375" s="87">
        <v>0</v>
      </c>
      <c r="V375" s="87">
        <v>0</v>
      </c>
      <c r="W375" s="87">
        <v>0</v>
      </c>
      <c r="X375" s="87">
        <v>0</v>
      </c>
      <c r="Y375" s="87">
        <v>0</v>
      </c>
      <c r="Z375" s="87">
        <v>0</v>
      </c>
      <c r="AA375" s="214">
        <v>0</v>
      </c>
      <c r="AB375" s="214">
        <v>0</v>
      </c>
      <c r="AC375" s="214">
        <v>0</v>
      </c>
      <c r="AD375" s="214">
        <v>0</v>
      </c>
      <c r="AE375" s="214">
        <v>0</v>
      </c>
      <c r="AF375" s="214">
        <v>0</v>
      </c>
      <c r="AG375" s="214">
        <v>0</v>
      </c>
      <c r="AH375" s="214">
        <v>0</v>
      </c>
      <c r="AI375" s="87">
        <v>147837</v>
      </c>
      <c r="AJ375" s="87">
        <v>0</v>
      </c>
      <c r="AK375" s="87">
        <v>147837</v>
      </c>
      <c r="AL375" s="87">
        <v>147837</v>
      </c>
      <c r="AM375" s="87">
        <v>529200</v>
      </c>
      <c r="AN375" s="87">
        <v>147837</v>
      </c>
      <c r="AO375" s="87">
        <v>147837</v>
      </c>
      <c r="AP375" s="87">
        <v>147000</v>
      </c>
      <c r="AQ375" s="88">
        <v>0</v>
      </c>
      <c r="AR375" s="88">
        <v>0</v>
      </c>
      <c r="AS375" s="88">
        <v>0</v>
      </c>
      <c r="AT375" s="88">
        <v>0</v>
      </c>
      <c r="AU375" s="88">
        <v>0</v>
      </c>
      <c r="AV375" s="88">
        <v>0</v>
      </c>
      <c r="AW375" s="88">
        <v>0</v>
      </c>
      <c r="AX375" s="88">
        <v>0</v>
      </c>
      <c r="AY375" s="87">
        <v>0</v>
      </c>
      <c r="AZ375" s="87">
        <v>0</v>
      </c>
      <c r="BA375" s="87">
        <v>0</v>
      </c>
      <c r="BB375" s="87">
        <v>0</v>
      </c>
      <c r="BC375" s="87">
        <v>0</v>
      </c>
      <c r="BD375" s="87">
        <v>0</v>
      </c>
      <c r="BE375" s="87">
        <v>0</v>
      </c>
      <c r="BF375" s="87">
        <v>0</v>
      </c>
      <c r="BG375" s="88">
        <v>0</v>
      </c>
      <c r="BH375" s="88">
        <v>0</v>
      </c>
      <c r="BI375" s="88">
        <v>0</v>
      </c>
      <c r="BJ375" s="88">
        <v>0</v>
      </c>
      <c r="BK375" s="88">
        <v>0</v>
      </c>
      <c r="BL375" s="88">
        <v>0</v>
      </c>
      <c r="BM375" s="88">
        <v>0</v>
      </c>
      <c r="BN375" s="590">
        <v>0</v>
      </c>
      <c r="BO375" s="171">
        <v>2023</v>
      </c>
      <c r="BP375" s="171">
        <v>1</v>
      </c>
      <c r="BQ375" s="171">
        <v>19</v>
      </c>
      <c r="BS375" s="76" t="str">
        <f t="shared" si="11"/>
        <v>○</v>
      </c>
    </row>
    <row r="376" spans="1:71" x14ac:dyDescent="0.2">
      <c r="A376" s="210">
        <v>1572</v>
      </c>
      <c r="B376" s="211"/>
      <c r="C376" s="212"/>
      <c r="D376" s="211"/>
      <c r="E376" s="212"/>
      <c r="F376" s="211"/>
      <c r="G376" s="211"/>
      <c r="H376" s="212"/>
      <c r="I376" s="211"/>
      <c r="J376" s="211"/>
      <c r="K376" s="211"/>
      <c r="L376" s="171"/>
      <c r="M376" s="171" t="s">
        <v>751</v>
      </c>
      <c r="N376" s="171" t="s">
        <v>281</v>
      </c>
      <c r="O376" s="171" t="s">
        <v>324</v>
      </c>
      <c r="P376" s="171" t="s">
        <v>916</v>
      </c>
      <c r="Q376" s="171"/>
      <c r="R376" s="213">
        <v>447000</v>
      </c>
      <c r="S376" s="87">
        <v>0</v>
      </c>
      <c r="T376" s="87">
        <v>0</v>
      </c>
      <c r="U376" s="87">
        <v>0</v>
      </c>
      <c r="V376" s="87">
        <v>0</v>
      </c>
      <c r="W376" s="87">
        <v>0</v>
      </c>
      <c r="X376" s="87">
        <v>0</v>
      </c>
      <c r="Y376" s="87">
        <v>0</v>
      </c>
      <c r="Z376" s="87">
        <v>0</v>
      </c>
      <c r="AA376" s="214">
        <v>0</v>
      </c>
      <c r="AB376" s="214">
        <v>0</v>
      </c>
      <c r="AC376" s="214">
        <v>0</v>
      </c>
      <c r="AD376" s="214">
        <v>0</v>
      </c>
      <c r="AE376" s="214">
        <v>0</v>
      </c>
      <c r="AF376" s="214">
        <v>0</v>
      </c>
      <c r="AG376" s="214">
        <v>0</v>
      </c>
      <c r="AH376" s="214">
        <v>0</v>
      </c>
      <c r="AI376" s="87">
        <v>447234</v>
      </c>
      <c r="AJ376" s="87">
        <v>0</v>
      </c>
      <c r="AK376" s="87">
        <v>447234</v>
      </c>
      <c r="AL376" s="87">
        <v>447234</v>
      </c>
      <c r="AM376" s="87">
        <v>1566000</v>
      </c>
      <c r="AN376" s="87">
        <v>447234</v>
      </c>
      <c r="AO376" s="87">
        <v>447234</v>
      </c>
      <c r="AP376" s="87">
        <v>447000</v>
      </c>
      <c r="AQ376" s="88">
        <v>0</v>
      </c>
      <c r="AR376" s="88">
        <v>0</v>
      </c>
      <c r="AS376" s="88">
        <v>0</v>
      </c>
      <c r="AT376" s="88">
        <v>0</v>
      </c>
      <c r="AU376" s="88">
        <v>0</v>
      </c>
      <c r="AV376" s="88">
        <v>0</v>
      </c>
      <c r="AW376" s="88">
        <v>0</v>
      </c>
      <c r="AX376" s="88">
        <v>0</v>
      </c>
      <c r="AY376" s="87">
        <v>0</v>
      </c>
      <c r="AZ376" s="87">
        <v>0</v>
      </c>
      <c r="BA376" s="87">
        <v>0</v>
      </c>
      <c r="BB376" s="87">
        <v>0</v>
      </c>
      <c r="BC376" s="87">
        <v>0</v>
      </c>
      <c r="BD376" s="87">
        <v>0</v>
      </c>
      <c r="BE376" s="87">
        <v>0</v>
      </c>
      <c r="BF376" s="87">
        <v>0</v>
      </c>
      <c r="BG376" s="88">
        <v>0</v>
      </c>
      <c r="BH376" s="88">
        <v>0</v>
      </c>
      <c r="BI376" s="88">
        <v>0</v>
      </c>
      <c r="BJ376" s="88">
        <v>0</v>
      </c>
      <c r="BK376" s="88">
        <v>0</v>
      </c>
      <c r="BL376" s="88">
        <v>0</v>
      </c>
      <c r="BM376" s="88">
        <v>0</v>
      </c>
      <c r="BN376" s="590">
        <v>0</v>
      </c>
      <c r="BO376" s="171">
        <v>2023</v>
      </c>
      <c r="BP376" s="171">
        <v>1</v>
      </c>
      <c r="BQ376" s="171">
        <v>19</v>
      </c>
      <c r="BS376" s="76" t="str">
        <f t="shared" si="11"/>
        <v>○</v>
      </c>
    </row>
    <row r="377" spans="1:71" x14ac:dyDescent="0.2">
      <c r="A377" s="210">
        <v>1573</v>
      </c>
      <c r="B377" s="211"/>
      <c r="C377" s="212"/>
      <c r="D377" s="211"/>
      <c r="E377" s="212"/>
      <c r="F377" s="211"/>
      <c r="G377" s="211"/>
      <c r="H377" s="212"/>
      <c r="I377" s="211"/>
      <c r="J377" s="211"/>
      <c r="K377" s="211"/>
      <c r="L377" s="171"/>
      <c r="M377" s="171" t="s">
        <v>751</v>
      </c>
      <c r="N377" s="171" t="s">
        <v>281</v>
      </c>
      <c r="O377" s="171" t="s">
        <v>324</v>
      </c>
      <c r="P377" s="171" t="s">
        <v>916</v>
      </c>
      <c r="Q377" s="171"/>
      <c r="R377" s="213">
        <v>701000</v>
      </c>
      <c r="S377" s="87">
        <v>0</v>
      </c>
      <c r="T377" s="87">
        <v>0</v>
      </c>
      <c r="U377" s="87">
        <v>0</v>
      </c>
      <c r="V377" s="87">
        <v>0</v>
      </c>
      <c r="W377" s="87">
        <v>0</v>
      </c>
      <c r="X377" s="87">
        <v>0</v>
      </c>
      <c r="Y377" s="87">
        <v>0</v>
      </c>
      <c r="Z377" s="87">
        <v>0</v>
      </c>
      <c r="AA377" s="214">
        <v>0</v>
      </c>
      <c r="AB377" s="214">
        <v>0</v>
      </c>
      <c r="AC377" s="214">
        <v>0</v>
      </c>
      <c r="AD377" s="214">
        <v>0</v>
      </c>
      <c r="AE377" s="214">
        <v>0</v>
      </c>
      <c r="AF377" s="214">
        <v>0</v>
      </c>
      <c r="AG377" s="214">
        <v>0</v>
      </c>
      <c r="AH377" s="214">
        <v>0</v>
      </c>
      <c r="AI377" s="87">
        <v>701270</v>
      </c>
      <c r="AJ377" s="87">
        <v>0</v>
      </c>
      <c r="AK377" s="87">
        <v>701270</v>
      </c>
      <c r="AL377" s="87">
        <v>701270</v>
      </c>
      <c r="AM377" s="87">
        <v>1306800</v>
      </c>
      <c r="AN377" s="87">
        <v>701270</v>
      </c>
      <c r="AO377" s="87">
        <v>701270</v>
      </c>
      <c r="AP377" s="87">
        <v>701000</v>
      </c>
      <c r="AQ377" s="88">
        <v>0</v>
      </c>
      <c r="AR377" s="88">
        <v>0</v>
      </c>
      <c r="AS377" s="88">
        <v>0</v>
      </c>
      <c r="AT377" s="88">
        <v>0</v>
      </c>
      <c r="AU377" s="88">
        <v>0</v>
      </c>
      <c r="AV377" s="88">
        <v>0</v>
      </c>
      <c r="AW377" s="88">
        <v>0</v>
      </c>
      <c r="AX377" s="88">
        <v>0</v>
      </c>
      <c r="AY377" s="87">
        <v>0</v>
      </c>
      <c r="AZ377" s="87">
        <v>0</v>
      </c>
      <c r="BA377" s="87">
        <v>0</v>
      </c>
      <c r="BB377" s="87">
        <v>0</v>
      </c>
      <c r="BC377" s="87">
        <v>0</v>
      </c>
      <c r="BD377" s="87">
        <v>0</v>
      </c>
      <c r="BE377" s="87">
        <v>0</v>
      </c>
      <c r="BF377" s="87">
        <v>0</v>
      </c>
      <c r="BG377" s="88">
        <v>0</v>
      </c>
      <c r="BH377" s="88">
        <v>0</v>
      </c>
      <c r="BI377" s="88">
        <v>0</v>
      </c>
      <c r="BJ377" s="88">
        <v>0</v>
      </c>
      <c r="BK377" s="88">
        <v>0</v>
      </c>
      <c r="BL377" s="88">
        <v>0</v>
      </c>
      <c r="BM377" s="88">
        <v>0</v>
      </c>
      <c r="BN377" s="590">
        <v>0</v>
      </c>
      <c r="BO377" s="171">
        <v>2023</v>
      </c>
      <c r="BP377" s="171">
        <v>1</v>
      </c>
      <c r="BQ377" s="171">
        <v>19</v>
      </c>
      <c r="BS377" s="76" t="str">
        <f t="shared" si="11"/>
        <v>○</v>
      </c>
    </row>
    <row r="378" spans="1:71" x14ac:dyDescent="0.2">
      <c r="A378" s="210">
        <v>1574</v>
      </c>
      <c r="B378" s="211"/>
      <c r="C378" s="212"/>
      <c r="D378" s="211"/>
      <c r="E378" s="212"/>
      <c r="F378" s="211"/>
      <c r="G378" s="211"/>
      <c r="H378" s="212"/>
      <c r="I378" s="211"/>
      <c r="J378" s="211"/>
      <c r="K378" s="211"/>
      <c r="L378" s="171"/>
      <c r="M378" s="171" t="s">
        <v>751</v>
      </c>
      <c r="N378" s="171" t="s">
        <v>281</v>
      </c>
      <c r="O378" s="171" t="s">
        <v>324</v>
      </c>
      <c r="P378" s="171" t="s">
        <v>916</v>
      </c>
      <c r="Q378" s="171"/>
      <c r="R378" s="213">
        <v>216000</v>
      </c>
      <c r="S378" s="87">
        <v>0</v>
      </c>
      <c r="T378" s="87">
        <v>0</v>
      </c>
      <c r="U378" s="87">
        <v>0</v>
      </c>
      <c r="V378" s="87">
        <v>0</v>
      </c>
      <c r="W378" s="87">
        <v>0</v>
      </c>
      <c r="X378" s="87">
        <v>0</v>
      </c>
      <c r="Y378" s="87">
        <v>0</v>
      </c>
      <c r="Z378" s="87">
        <v>0</v>
      </c>
      <c r="AA378" s="214">
        <v>0</v>
      </c>
      <c r="AB378" s="214">
        <v>0</v>
      </c>
      <c r="AC378" s="214">
        <v>0</v>
      </c>
      <c r="AD378" s="214">
        <v>0</v>
      </c>
      <c r="AE378" s="214">
        <v>0</v>
      </c>
      <c r="AF378" s="214">
        <v>0</v>
      </c>
      <c r="AG378" s="214">
        <v>0</v>
      </c>
      <c r="AH378" s="214">
        <v>0</v>
      </c>
      <c r="AI378" s="87">
        <v>216089</v>
      </c>
      <c r="AJ378" s="87">
        <v>0</v>
      </c>
      <c r="AK378" s="87">
        <v>216089</v>
      </c>
      <c r="AL378" s="87">
        <v>216089</v>
      </c>
      <c r="AM378" s="87">
        <v>1306800</v>
      </c>
      <c r="AN378" s="87">
        <v>216089</v>
      </c>
      <c r="AO378" s="87">
        <v>216089</v>
      </c>
      <c r="AP378" s="87">
        <v>216000</v>
      </c>
      <c r="AQ378" s="88">
        <v>0</v>
      </c>
      <c r="AR378" s="88">
        <v>0</v>
      </c>
      <c r="AS378" s="88">
        <v>0</v>
      </c>
      <c r="AT378" s="88">
        <v>0</v>
      </c>
      <c r="AU378" s="88">
        <v>0</v>
      </c>
      <c r="AV378" s="88">
        <v>0</v>
      </c>
      <c r="AW378" s="88">
        <v>0</v>
      </c>
      <c r="AX378" s="88">
        <v>0</v>
      </c>
      <c r="AY378" s="87">
        <v>0</v>
      </c>
      <c r="AZ378" s="87">
        <v>0</v>
      </c>
      <c r="BA378" s="87">
        <v>0</v>
      </c>
      <c r="BB378" s="87">
        <v>0</v>
      </c>
      <c r="BC378" s="87">
        <v>0</v>
      </c>
      <c r="BD378" s="87">
        <v>0</v>
      </c>
      <c r="BE378" s="87">
        <v>0</v>
      </c>
      <c r="BF378" s="87">
        <v>0</v>
      </c>
      <c r="BG378" s="88">
        <v>0</v>
      </c>
      <c r="BH378" s="88">
        <v>0</v>
      </c>
      <c r="BI378" s="88">
        <v>0</v>
      </c>
      <c r="BJ378" s="88">
        <v>0</v>
      </c>
      <c r="BK378" s="88">
        <v>0</v>
      </c>
      <c r="BL378" s="88">
        <v>0</v>
      </c>
      <c r="BM378" s="88">
        <v>0</v>
      </c>
      <c r="BN378" s="590">
        <v>0</v>
      </c>
      <c r="BO378" s="171">
        <v>2023</v>
      </c>
      <c r="BP378" s="171">
        <v>1</v>
      </c>
      <c r="BQ378" s="171">
        <v>19</v>
      </c>
      <c r="BS378" s="76" t="str">
        <f t="shared" si="11"/>
        <v>○</v>
      </c>
    </row>
    <row r="379" spans="1:71" x14ac:dyDescent="0.2">
      <c r="A379" s="210">
        <v>1575</v>
      </c>
      <c r="B379" s="211"/>
      <c r="C379" s="212"/>
      <c r="D379" s="211"/>
      <c r="E379" s="212"/>
      <c r="F379" s="211"/>
      <c r="G379" s="211"/>
      <c r="H379" s="212"/>
      <c r="I379" s="211"/>
      <c r="J379" s="211"/>
      <c r="K379" s="211"/>
      <c r="L379" s="171"/>
      <c r="M379" s="171" t="s">
        <v>670</v>
      </c>
      <c r="N379" s="171" t="s">
        <v>313</v>
      </c>
      <c r="O379" s="171" t="s">
        <v>337</v>
      </c>
      <c r="P379" s="171" t="s">
        <v>916</v>
      </c>
      <c r="Q379" s="171"/>
      <c r="R379" s="213">
        <v>1276000</v>
      </c>
      <c r="S379" s="87">
        <v>0</v>
      </c>
      <c r="T379" s="87">
        <v>0</v>
      </c>
      <c r="U379" s="87">
        <v>0</v>
      </c>
      <c r="V379" s="87">
        <v>0</v>
      </c>
      <c r="W379" s="87">
        <v>0</v>
      </c>
      <c r="X379" s="87">
        <v>0</v>
      </c>
      <c r="Y379" s="87">
        <v>0</v>
      </c>
      <c r="Z379" s="87">
        <v>0</v>
      </c>
      <c r="AA379" s="214">
        <v>0</v>
      </c>
      <c r="AB379" s="214">
        <v>0</v>
      </c>
      <c r="AC379" s="214">
        <v>0</v>
      </c>
      <c r="AD379" s="214">
        <v>0</v>
      </c>
      <c r="AE379" s="214">
        <v>0</v>
      </c>
      <c r="AF379" s="214">
        <v>0</v>
      </c>
      <c r="AG379" s="214">
        <v>0</v>
      </c>
      <c r="AH379" s="214">
        <v>0</v>
      </c>
      <c r="AI379" s="87">
        <v>1276566</v>
      </c>
      <c r="AJ379" s="87">
        <v>0</v>
      </c>
      <c r="AK379" s="87">
        <v>1276566</v>
      </c>
      <c r="AL379" s="87">
        <v>1276566</v>
      </c>
      <c r="AM379" s="87">
        <v>1317600</v>
      </c>
      <c r="AN379" s="87">
        <v>1276566</v>
      </c>
      <c r="AO379" s="87">
        <v>1276566</v>
      </c>
      <c r="AP379" s="87">
        <v>1276000</v>
      </c>
      <c r="AQ379" s="88">
        <v>0</v>
      </c>
      <c r="AR379" s="88">
        <v>0</v>
      </c>
      <c r="AS379" s="88">
        <v>0</v>
      </c>
      <c r="AT379" s="88">
        <v>0</v>
      </c>
      <c r="AU379" s="88">
        <v>0</v>
      </c>
      <c r="AV379" s="88">
        <v>0</v>
      </c>
      <c r="AW379" s="88">
        <v>0</v>
      </c>
      <c r="AX379" s="88">
        <v>0</v>
      </c>
      <c r="AY379" s="87">
        <v>0</v>
      </c>
      <c r="AZ379" s="87">
        <v>0</v>
      </c>
      <c r="BA379" s="87">
        <v>0</v>
      </c>
      <c r="BB379" s="87">
        <v>0</v>
      </c>
      <c r="BC379" s="87">
        <v>0</v>
      </c>
      <c r="BD379" s="87">
        <v>0</v>
      </c>
      <c r="BE379" s="87">
        <v>0</v>
      </c>
      <c r="BF379" s="87">
        <v>0</v>
      </c>
      <c r="BG379" s="88">
        <v>0</v>
      </c>
      <c r="BH379" s="88">
        <v>0</v>
      </c>
      <c r="BI379" s="88">
        <v>0</v>
      </c>
      <c r="BJ379" s="88">
        <v>0</v>
      </c>
      <c r="BK379" s="88">
        <v>0</v>
      </c>
      <c r="BL379" s="88">
        <v>0</v>
      </c>
      <c r="BM379" s="88">
        <v>0</v>
      </c>
      <c r="BN379" s="590">
        <v>0</v>
      </c>
      <c r="BO379" s="171">
        <v>2023</v>
      </c>
      <c r="BP379" s="171">
        <v>1</v>
      </c>
      <c r="BQ379" s="171">
        <v>19</v>
      </c>
      <c r="BS379" s="76" t="str">
        <f t="shared" si="11"/>
        <v>○</v>
      </c>
    </row>
    <row r="380" spans="1:71" x14ac:dyDescent="0.2">
      <c r="A380" s="210">
        <v>1576</v>
      </c>
      <c r="B380" s="211"/>
      <c r="C380" s="212"/>
      <c r="D380" s="211"/>
      <c r="E380" s="212"/>
      <c r="F380" s="211"/>
      <c r="G380" s="211"/>
      <c r="H380" s="212"/>
      <c r="I380" s="211"/>
      <c r="J380" s="211"/>
      <c r="K380" s="211"/>
      <c r="L380" s="171"/>
      <c r="M380" s="171" t="s">
        <v>751</v>
      </c>
      <c r="N380" s="171" t="s">
        <v>281</v>
      </c>
      <c r="O380" s="171" t="s">
        <v>324</v>
      </c>
      <c r="P380" s="171" t="s">
        <v>916</v>
      </c>
      <c r="Q380" s="171"/>
      <c r="R380" s="213">
        <v>1300000</v>
      </c>
      <c r="S380" s="87">
        <v>0</v>
      </c>
      <c r="T380" s="87">
        <v>0</v>
      </c>
      <c r="U380" s="87">
        <v>0</v>
      </c>
      <c r="V380" s="87">
        <v>0</v>
      </c>
      <c r="W380" s="87">
        <v>0</v>
      </c>
      <c r="X380" s="87">
        <v>0</v>
      </c>
      <c r="Y380" s="87">
        <v>0</v>
      </c>
      <c r="Z380" s="87">
        <v>0</v>
      </c>
      <c r="AA380" s="214">
        <v>0</v>
      </c>
      <c r="AB380" s="214">
        <v>0</v>
      </c>
      <c r="AC380" s="214">
        <v>0</v>
      </c>
      <c r="AD380" s="214">
        <v>0</v>
      </c>
      <c r="AE380" s="214">
        <v>0</v>
      </c>
      <c r="AF380" s="214">
        <v>0</v>
      </c>
      <c r="AG380" s="214">
        <v>0</v>
      </c>
      <c r="AH380" s="214">
        <v>0</v>
      </c>
      <c r="AI380" s="87">
        <v>1300532</v>
      </c>
      <c r="AJ380" s="87">
        <v>0</v>
      </c>
      <c r="AK380" s="87">
        <v>1300532</v>
      </c>
      <c r="AL380" s="87">
        <v>1300532</v>
      </c>
      <c r="AM380" s="87">
        <v>1576800</v>
      </c>
      <c r="AN380" s="87">
        <v>1300532</v>
      </c>
      <c r="AO380" s="87">
        <v>1300532</v>
      </c>
      <c r="AP380" s="87">
        <v>1300000</v>
      </c>
      <c r="AQ380" s="88">
        <v>0</v>
      </c>
      <c r="AR380" s="88">
        <v>0</v>
      </c>
      <c r="AS380" s="88">
        <v>0</v>
      </c>
      <c r="AT380" s="88">
        <v>0</v>
      </c>
      <c r="AU380" s="88">
        <v>0</v>
      </c>
      <c r="AV380" s="88">
        <v>0</v>
      </c>
      <c r="AW380" s="88">
        <v>0</v>
      </c>
      <c r="AX380" s="88">
        <v>0</v>
      </c>
      <c r="AY380" s="87">
        <v>0</v>
      </c>
      <c r="AZ380" s="87">
        <v>0</v>
      </c>
      <c r="BA380" s="87">
        <v>0</v>
      </c>
      <c r="BB380" s="87">
        <v>0</v>
      </c>
      <c r="BC380" s="87">
        <v>0</v>
      </c>
      <c r="BD380" s="87">
        <v>0</v>
      </c>
      <c r="BE380" s="87">
        <v>0</v>
      </c>
      <c r="BF380" s="87">
        <v>0</v>
      </c>
      <c r="BG380" s="88">
        <v>0</v>
      </c>
      <c r="BH380" s="88">
        <v>0</v>
      </c>
      <c r="BI380" s="88">
        <v>0</v>
      </c>
      <c r="BJ380" s="88">
        <v>0</v>
      </c>
      <c r="BK380" s="88">
        <v>0</v>
      </c>
      <c r="BL380" s="88">
        <v>0</v>
      </c>
      <c r="BM380" s="88">
        <v>0</v>
      </c>
      <c r="BN380" s="590">
        <v>0</v>
      </c>
      <c r="BO380" s="171">
        <v>2023</v>
      </c>
      <c r="BP380" s="171">
        <v>1</v>
      </c>
      <c r="BQ380" s="171">
        <v>19</v>
      </c>
      <c r="BS380" s="76" t="str">
        <f t="shared" si="11"/>
        <v>○</v>
      </c>
    </row>
    <row r="381" spans="1:71" x14ac:dyDescent="0.2">
      <c r="A381" s="210">
        <v>1577</v>
      </c>
      <c r="B381" s="211"/>
      <c r="C381" s="212"/>
      <c r="D381" s="211"/>
      <c r="E381" s="212"/>
      <c r="F381" s="211"/>
      <c r="G381" s="211"/>
      <c r="H381" s="212"/>
      <c r="I381" s="211"/>
      <c r="J381" s="211"/>
      <c r="K381" s="211"/>
      <c r="L381" s="171"/>
      <c r="M381" s="171" t="s">
        <v>751</v>
      </c>
      <c r="N381" s="171" t="s">
        <v>281</v>
      </c>
      <c r="O381" s="171" t="s">
        <v>324</v>
      </c>
      <c r="P381" s="171" t="s">
        <v>916</v>
      </c>
      <c r="Q381" s="171"/>
      <c r="R381" s="213">
        <v>872000</v>
      </c>
      <c r="S381" s="87">
        <v>0</v>
      </c>
      <c r="T381" s="87">
        <v>0</v>
      </c>
      <c r="U381" s="87">
        <v>0</v>
      </c>
      <c r="V381" s="87">
        <v>0</v>
      </c>
      <c r="W381" s="87">
        <v>0</v>
      </c>
      <c r="X381" s="87">
        <v>0</v>
      </c>
      <c r="Y381" s="87">
        <v>0</v>
      </c>
      <c r="Z381" s="87">
        <v>0</v>
      </c>
      <c r="AA381" s="214">
        <v>0</v>
      </c>
      <c r="AB381" s="214">
        <v>0</v>
      </c>
      <c r="AC381" s="214">
        <v>0</v>
      </c>
      <c r="AD381" s="214">
        <v>0</v>
      </c>
      <c r="AE381" s="214">
        <v>0</v>
      </c>
      <c r="AF381" s="214">
        <v>0</v>
      </c>
      <c r="AG381" s="214">
        <v>0</v>
      </c>
      <c r="AH381" s="214">
        <v>0</v>
      </c>
      <c r="AI381" s="87">
        <v>872878</v>
      </c>
      <c r="AJ381" s="87">
        <v>0</v>
      </c>
      <c r="AK381" s="87">
        <v>872878</v>
      </c>
      <c r="AL381" s="87">
        <v>872878</v>
      </c>
      <c r="AM381" s="87">
        <v>1576800</v>
      </c>
      <c r="AN381" s="87">
        <v>872878</v>
      </c>
      <c r="AO381" s="87">
        <v>872878</v>
      </c>
      <c r="AP381" s="87">
        <v>872000</v>
      </c>
      <c r="AQ381" s="88">
        <v>0</v>
      </c>
      <c r="AR381" s="88">
        <v>0</v>
      </c>
      <c r="AS381" s="88">
        <v>0</v>
      </c>
      <c r="AT381" s="88">
        <v>0</v>
      </c>
      <c r="AU381" s="88">
        <v>0</v>
      </c>
      <c r="AV381" s="88">
        <v>0</v>
      </c>
      <c r="AW381" s="88">
        <v>0</v>
      </c>
      <c r="AX381" s="88">
        <v>0</v>
      </c>
      <c r="AY381" s="87">
        <v>0</v>
      </c>
      <c r="AZ381" s="87">
        <v>0</v>
      </c>
      <c r="BA381" s="87">
        <v>0</v>
      </c>
      <c r="BB381" s="87">
        <v>0</v>
      </c>
      <c r="BC381" s="87">
        <v>0</v>
      </c>
      <c r="BD381" s="87">
        <v>0</v>
      </c>
      <c r="BE381" s="87">
        <v>0</v>
      </c>
      <c r="BF381" s="87">
        <v>0</v>
      </c>
      <c r="BG381" s="88">
        <v>0</v>
      </c>
      <c r="BH381" s="88">
        <v>0</v>
      </c>
      <c r="BI381" s="88">
        <v>0</v>
      </c>
      <c r="BJ381" s="88">
        <v>0</v>
      </c>
      <c r="BK381" s="88">
        <v>0</v>
      </c>
      <c r="BL381" s="88">
        <v>0</v>
      </c>
      <c r="BM381" s="88">
        <v>0</v>
      </c>
      <c r="BN381" s="590">
        <v>0</v>
      </c>
      <c r="BO381" s="171">
        <v>2023</v>
      </c>
      <c r="BP381" s="171">
        <v>1</v>
      </c>
      <c r="BQ381" s="171">
        <v>19</v>
      </c>
      <c r="BS381" s="76" t="str">
        <f t="shared" si="11"/>
        <v>○</v>
      </c>
    </row>
    <row r="382" spans="1:71" x14ac:dyDescent="0.2">
      <c r="A382" s="210">
        <v>1578</v>
      </c>
      <c r="B382" s="211"/>
      <c r="C382" s="212"/>
      <c r="D382" s="211"/>
      <c r="E382" s="212"/>
      <c r="F382" s="211"/>
      <c r="G382" s="211"/>
      <c r="H382" s="212"/>
      <c r="I382" s="211"/>
      <c r="J382" s="211"/>
      <c r="K382" s="211"/>
      <c r="L382" s="171"/>
      <c r="M382" s="171" t="s">
        <v>754</v>
      </c>
      <c r="N382" s="171" t="s">
        <v>302</v>
      </c>
      <c r="O382" s="171" t="s">
        <v>505</v>
      </c>
      <c r="P382" s="171" t="s">
        <v>916</v>
      </c>
      <c r="Q382" s="75"/>
      <c r="R382" s="213">
        <v>56000</v>
      </c>
      <c r="S382" s="87">
        <v>0</v>
      </c>
      <c r="T382" s="87">
        <v>0</v>
      </c>
      <c r="U382" s="87">
        <v>0</v>
      </c>
      <c r="V382" s="87">
        <v>0</v>
      </c>
      <c r="W382" s="87">
        <v>0</v>
      </c>
      <c r="X382" s="87">
        <v>0</v>
      </c>
      <c r="Y382" s="87">
        <v>0</v>
      </c>
      <c r="Z382" s="87">
        <v>0</v>
      </c>
      <c r="AA382" s="214">
        <v>0</v>
      </c>
      <c r="AB382" s="214">
        <v>0</v>
      </c>
      <c r="AC382" s="214">
        <v>0</v>
      </c>
      <c r="AD382" s="214">
        <v>0</v>
      </c>
      <c r="AE382" s="214">
        <v>0</v>
      </c>
      <c r="AF382" s="214">
        <v>0</v>
      </c>
      <c r="AG382" s="214">
        <v>0</v>
      </c>
      <c r="AH382" s="214">
        <v>0</v>
      </c>
      <c r="AI382" s="87">
        <v>56155</v>
      </c>
      <c r="AJ382" s="87">
        <v>0</v>
      </c>
      <c r="AK382" s="87">
        <v>56155</v>
      </c>
      <c r="AL382" s="87">
        <v>56155</v>
      </c>
      <c r="AM382" s="87">
        <v>3132000</v>
      </c>
      <c r="AN382" s="87">
        <v>56155</v>
      </c>
      <c r="AO382" s="87">
        <v>56155</v>
      </c>
      <c r="AP382" s="87">
        <v>56000</v>
      </c>
      <c r="AQ382" s="88">
        <v>0</v>
      </c>
      <c r="AR382" s="88">
        <v>0</v>
      </c>
      <c r="AS382" s="88">
        <v>0</v>
      </c>
      <c r="AT382" s="88">
        <v>0</v>
      </c>
      <c r="AU382" s="88">
        <v>0</v>
      </c>
      <c r="AV382" s="88">
        <v>0</v>
      </c>
      <c r="AW382" s="88">
        <v>0</v>
      </c>
      <c r="AX382" s="88">
        <v>0</v>
      </c>
      <c r="AY382" s="87">
        <v>0</v>
      </c>
      <c r="AZ382" s="87">
        <v>0</v>
      </c>
      <c r="BA382" s="87">
        <v>0</v>
      </c>
      <c r="BB382" s="87">
        <v>0</v>
      </c>
      <c r="BC382" s="87">
        <v>0</v>
      </c>
      <c r="BD382" s="87">
        <v>0</v>
      </c>
      <c r="BE382" s="87">
        <v>0</v>
      </c>
      <c r="BF382" s="87">
        <v>0</v>
      </c>
      <c r="BG382" s="88">
        <v>0</v>
      </c>
      <c r="BH382" s="88">
        <v>0</v>
      </c>
      <c r="BI382" s="88">
        <v>0</v>
      </c>
      <c r="BJ382" s="88">
        <v>0</v>
      </c>
      <c r="BK382" s="88">
        <v>0</v>
      </c>
      <c r="BL382" s="88">
        <v>0</v>
      </c>
      <c r="BM382" s="88">
        <v>0</v>
      </c>
      <c r="BN382" s="590">
        <v>0</v>
      </c>
      <c r="BO382" s="171">
        <v>2023</v>
      </c>
      <c r="BP382" s="171">
        <v>1</v>
      </c>
      <c r="BQ382" s="171">
        <v>19</v>
      </c>
      <c r="BS382" s="76" t="str">
        <f t="shared" ref="BS382:BS405" si="12">IF(R382=SUM(Z382,AH382,AP382,BF382,BN382),"○","×")</f>
        <v>○</v>
      </c>
    </row>
    <row r="383" spans="1:71" x14ac:dyDescent="0.2">
      <c r="A383" s="210">
        <v>1579</v>
      </c>
      <c r="B383" s="211"/>
      <c r="C383" s="212"/>
      <c r="D383" s="211"/>
      <c r="E383" s="212"/>
      <c r="F383" s="211"/>
      <c r="G383" s="211"/>
      <c r="H383" s="212"/>
      <c r="I383" s="211"/>
      <c r="J383" s="211"/>
      <c r="K383" s="211"/>
      <c r="L383" s="171"/>
      <c r="M383" s="171" t="s">
        <v>755</v>
      </c>
      <c r="N383" s="171" t="s">
        <v>281</v>
      </c>
      <c r="O383" s="171" t="s">
        <v>719</v>
      </c>
      <c r="P383" s="171" t="s">
        <v>916</v>
      </c>
      <c r="Q383" s="171"/>
      <c r="R383" s="213">
        <v>141000</v>
      </c>
      <c r="S383" s="87">
        <v>0</v>
      </c>
      <c r="T383" s="87">
        <v>0</v>
      </c>
      <c r="U383" s="87">
        <v>0</v>
      </c>
      <c r="V383" s="87">
        <v>0</v>
      </c>
      <c r="W383" s="87">
        <v>0</v>
      </c>
      <c r="X383" s="87">
        <v>0</v>
      </c>
      <c r="Y383" s="87">
        <v>0</v>
      </c>
      <c r="Z383" s="87">
        <v>0</v>
      </c>
      <c r="AA383" s="214">
        <v>0</v>
      </c>
      <c r="AB383" s="214">
        <v>0</v>
      </c>
      <c r="AC383" s="214">
        <v>0</v>
      </c>
      <c r="AD383" s="214">
        <v>0</v>
      </c>
      <c r="AE383" s="214">
        <v>0</v>
      </c>
      <c r="AF383" s="214">
        <v>0</v>
      </c>
      <c r="AG383" s="214">
        <v>0</v>
      </c>
      <c r="AH383" s="214">
        <v>0</v>
      </c>
      <c r="AI383" s="87">
        <v>141660</v>
      </c>
      <c r="AJ383" s="87">
        <v>0</v>
      </c>
      <c r="AK383" s="87">
        <v>141660</v>
      </c>
      <c r="AL383" s="87">
        <v>141660</v>
      </c>
      <c r="AM383" s="87">
        <v>1036800</v>
      </c>
      <c r="AN383" s="87">
        <v>141660</v>
      </c>
      <c r="AO383" s="87">
        <v>141660</v>
      </c>
      <c r="AP383" s="87">
        <v>141000</v>
      </c>
      <c r="AQ383" s="88">
        <v>0</v>
      </c>
      <c r="AR383" s="88">
        <v>0</v>
      </c>
      <c r="AS383" s="88">
        <v>0</v>
      </c>
      <c r="AT383" s="88">
        <v>0</v>
      </c>
      <c r="AU383" s="88">
        <v>0</v>
      </c>
      <c r="AV383" s="88">
        <v>0</v>
      </c>
      <c r="AW383" s="88">
        <v>0</v>
      </c>
      <c r="AX383" s="88">
        <v>0</v>
      </c>
      <c r="AY383" s="87">
        <v>0</v>
      </c>
      <c r="AZ383" s="87">
        <v>0</v>
      </c>
      <c r="BA383" s="87">
        <v>0</v>
      </c>
      <c r="BB383" s="87">
        <v>0</v>
      </c>
      <c r="BC383" s="87">
        <v>0</v>
      </c>
      <c r="BD383" s="87">
        <v>0</v>
      </c>
      <c r="BE383" s="87">
        <v>0</v>
      </c>
      <c r="BF383" s="87">
        <v>0</v>
      </c>
      <c r="BG383" s="88">
        <v>0</v>
      </c>
      <c r="BH383" s="88">
        <v>0</v>
      </c>
      <c r="BI383" s="88">
        <v>0</v>
      </c>
      <c r="BJ383" s="88">
        <v>0</v>
      </c>
      <c r="BK383" s="88">
        <v>0</v>
      </c>
      <c r="BL383" s="88">
        <v>0</v>
      </c>
      <c r="BM383" s="88">
        <v>0</v>
      </c>
      <c r="BN383" s="590">
        <v>0</v>
      </c>
      <c r="BO383" s="171">
        <v>2023</v>
      </c>
      <c r="BP383" s="171">
        <v>1</v>
      </c>
      <c r="BQ383" s="171">
        <v>19</v>
      </c>
      <c r="BS383" s="76" t="str">
        <f t="shared" si="12"/>
        <v>○</v>
      </c>
    </row>
    <row r="384" spans="1:71" x14ac:dyDescent="0.2">
      <c r="A384" s="210">
        <v>1580</v>
      </c>
      <c r="B384" s="211"/>
      <c r="C384" s="212"/>
      <c r="D384" s="211"/>
      <c r="E384" s="212"/>
      <c r="F384" s="211"/>
      <c r="G384" s="211"/>
      <c r="H384" s="212"/>
      <c r="I384" s="211"/>
      <c r="J384" s="211"/>
      <c r="K384" s="211"/>
      <c r="L384" s="171"/>
      <c r="M384" s="171" t="s">
        <v>756</v>
      </c>
      <c r="N384" s="171" t="s">
        <v>302</v>
      </c>
      <c r="O384" s="171" t="s">
        <v>737</v>
      </c>
      <c r="P384" s="171" t="s">
        <v>916</v>
      </c>
      <c r="Q384" s="171"/>
      <c r="R384" s="213">
        <v>660000</v>
      </c>
      <c r="S384" s="87">
        <v>0</v>
      </c>
      <c r="T384" s="87">
        <v>0</v>
      </c>
      <c r="U384" s="87">
        <v>0</v>
      </c>
      <c r="V384" s="87">
        <v>0</v>
      </c>
      <c r="W384" s="87">
        <v>0</v>
      </c>
      <c r="X384" s="87">
        <v>0</v>
      </c>
      <c r="Y384" s="87">
        <v>0</v>
      </c>
      <c r="Z384" s="87">
        <v>0</v>
      </c>
      <c r="AA384" s="214">
        <v>0</v>
      </c>
      <c r="AB384" s="214">
        <v>0</v>
      </c>
      <c r="AC384" s="214">
        <v>0</v>
      </c>
      <c r="AD384" s="214">
        <v>0</v>
      </c>
      <c r="AE384" s="214">
        <v>0</v>
      </c>
      <c r="AF384" s="214">
        <v>0</v>
      </c>
      <c r="AG384" s="214">
        <v>0</v>
      </c>
      <c r="AH384" s="214">
        <v>0</v>
      </c>
      <c r="AI384" s="87">
        <v>660975</v>
      </c>
      <c r="AJ384" s="87">
        <v>0</v>
      </c>
      <c r="AK384" s="87">
        <v>660975</v>
      </c>
      <c r="AL384" s="87">
        <v>660975</v>
      </c>
      <c r="AM384" s="87">
        <v>1094400</v>
      </c>
      <c r="AN384" s="87">
        <v>660975</v>
      </c>
      <c r="AO384" s="87">
        <v>660975</v>
      </c>
      <c r="AP384" s="87">
        <v>660000</v>
      </c>
      <c r="AQ384" s="88">
        <v>0</v>
      </c>
      <c r="AR384" s="88">
        <v>0</v>
      </c>
      <c r="AS384" s="88">
        <v>0</v>
      </c>
      <c r="AT384" s="88">
        <v>0</v>
      </c>
      <c r="AU384" s="88">
        <v>0</v>
      </c>
      <c r="AV384" s="88">
        <v>0</v>
      </c>
      <c r="AW384" s="88">
        <v>0</v>
      </c>
      <c r="AX384" s="88">
        <v>0</v>
      </c>
      <c r="AY384" s="87">
        <v>0</v>
      </c>
      <c r="AZ384" s="87">
        <v>0</v>
      </c>
      <c r="BA384" s="87">
        <v>0</v>
      </c>
      <c r="BB384" s="87">
        <v>0</v>
      </c>
      <c r="BC384" s="87">
        <v>0</v>
      </c>
      <c r="BD384" s="87">
        <v>0</v>
      </c>
      <c r="BE384" s="87">
        <v>0</v>
      </c>
      <c r="BF384" s="87">
        <v>0</v>
      </c>
      <c r="BG384" s="88">
        <v>0</v>
      </c>
      <c r="BH384" s="88">
        <v>0</v>
      </c>
      <c r="BI384" s="88">
        <v>0</v>
      </c>
      <c r="BJ384" s="88">
        <v>0</v>
      </c>
      <c r="BK384" s="88">
        <v>0</v>
      </c>
      <c r="BL384" s="88">
        <v>0</v>
      </c>
      <c r="BM384" s="88">
        <v>0</v>
      </c>
      <c r="BN384" s="590">
        <v>0</v>
      </c>
      <c r="BO384" s="171">
        <v>2023</v>
      </c>
      <c r="BP384" s="171">
        <v>1</v>
      </c>
      <c r="BQ384" s="171">
        <v>19</v>
      </c>
      <c r="BS384" s="76" t="str">
        <f t="shared" si="12"/>
        <v>○</v>
      </c>
    </row>
    <row r="385" spans="1:71" x14ac:dyDescent="0.2">
      <c r="A385" s="210">
        <v>1581</v>
      </c>
      <c r="B385" s="211"/>
      <c r="C385" s="212"/>
      <c r="D385" s="211"/>
      <c r="E385" s="212"/>
      <c r="F385" s="211"/>
      <c r="G385" s="211"/>
      <c r="H385" s="212"/>
      <c r="I385" s="211"/>
      <c r="J385" s="211"/>
      <c r="K385" s="211"/>
      <c r="L385" s="171"/>
      <c r="M385" s="171" t="s">
        <v>757</v>
      </c>
      <c r="N385" s="171" t="s">
        <v>318</v>
      </c>
      <c r="O385" s="171" t="s">
        <v>758</v>
      </c>
      <c r="P385" s="171" t="s">
        <v>916</v>
      </c>
      <c r="Q385" s="171"/>
      <c r="R385" s="213">
        <v>1253000</v>
      </c>
      <c r="S385" s="87">
        <v>0</v>
      </c>
      <c r="T385" s="87">
        <v>0</v>
      </c>
      <c r="U385" s="87">
        <v>0</v>
      </c>
      <c r="V385" s="87">
        <v>0</v>
      </c>
      <c r="W385" s="87">
        <v>0</v>
      </c>
      <c r="X385" s="87">
        <v>0</v>
      </c>
      <c r="Y385" s="87">
        <v>0</v>
      </c>
      <c r="Z385" s="87">
        <v>0</v>
      </c>
      <c r="AA385" s="214">
        <v>0</v>
      </c>
      <c r="AB385" s="214">
        <v>0</v>
      </c>
      <c r="AC385" s="214">
        <v>0</v>
      </c>
      <c r="AD385" s="214">
        <v>0</v>
      </c>
      <c r="AE385" s="214">
        <v>0</v>
      </c>
      <c r="AF385" s="214">
        <v>0</v>
      </c>
      <c r="AG385" s="214">
        <v>0</v>
      </c>
      <c r="AH385" s="214">
        <v>0</v>
      </c>
      <c r="AI385" s="87">
        <v>1253000</v>
      </c>
      <c r="AJ385" s="87">
        <v>0</v>
      </c>
      <c r="AK385" s="87">
        <v>1253000</v>
      </c>
      <c r="AL385" s="87">
        <v>1253000</v>
      </c>
      <c r="AM385" s="87">
        <v>2073600</v>
      </c>
      <c r="AN385" s="87">
        <v>1253000</v>
      </c>
      <c r="AO385" s="87">
        <v>1253000</v>
      </c>
      <c r="AP385" s="87">
        <v>1253000</v>
      </c>
      <c r="AQ385" s="88">
        <v>0</v>
      </c>
      <c r="AR385" s="88">
        <v>0</v>
      </c>
      <c r="AS385" s="88">
        <v>0</v>
      </c>
      <c r="AT385" s="88">
        <v>0</v>
      </c>
      <c r="AU385" s="88">
        <v>0</v>
      </c>
      <c r="AV385" s="88">
        <v>0</v>
      </c>
      <c r="AW385" s="88">
        <v>0</v>
      </c>
      <c r="AX385" s="88">
        <v>0</v>
      </c>
      <c r="AY385" s="87">
        <v>0</v>
      </c>
      <c r="AZ385" s="87">
        <v>0</v>
      </c>
      <c r="BA385" s="87">
        <v>0</v>
      </c>
      <c r="BB385" s="87">
        <v>0</v>
      </c>
      <c r="BC385" s="87">
        <v>0</v>
      </c>
      <c r="BD385" s="87">
        <v>0</v>
      </c>
      <c r="BE385" s="87">
        <v>0</v>
      </c>
      <c r="BF385" s="87">
        <v>0</v>
      </c>
      <c r="BG385" s="88">
        <v>0</v>
      </c>
      <c r="BH385" s="88">
        <v>0</v>
      </c>
      <c r="BI385" s="88">
        <v>0</v>
      </c>
      <c r="BJ385" s="88">
        <v>0</v>
      </c>
      <c r="BK385" s="88">
        <v>0</v>
      </c>
      <c r="BL385" s="88">
        <v>0</v>
      </c>
      <c r="BM385" s="88">
        <v>0</v>
      </c>
      <c r="BN385" s="590">
        <v>0</v>
      </c>
      <c r="BO385" s="171">
        <v>2023</v>
      </c>
      <c r="BP385" s="171">
        <v>1</v>
      </c>
      <c r="BQ385" s="171">
        <v>19</v>
      </c>
      <c r="BS385" s="76" t="str">
        <f t="shared" si="12"/>
        <v>○</v>
      </c>
    </row>
    <row r="386" spans="1:71" x14ac:dyDescent="0.2">
      <c r="A386" s="210">
        <v>1582</v>
      </c>
      <c r="B386" s="211"/>
      <c r="C386" s="212"/>
      <c r="D386" s="211"/>
      <c r="E386" s="212"/>
      <c r="F386" s="211"/>
      <c r="G386" s="211"/>
      <c r="H386" s="212"/>
      <c r="I386" s="211"/>
      <c r="J386" s="211"/>
      <c r="K386" s="211"/>
      <c r="L386" s="171"/>
      <c r="M386" s="171" t="s">
        <v>759</v>
      </c>
      <c r="N386" s="171" t="s">
        <v>493</v>
      </c>
      <c r="O386" s="171" t="s">
        <v>760</v>
      </c>
      <c r="P386" s="171" t="s">
        <v>916</v>
      </c>
      <c r="Q386" s="171"/>
      <c r="R386" s="213">
        <v>112000</v>
      </c>
      <c r="S386" s="87">
        <v>0</v>
      </c>
      <c r="T386" s="87">
        <v>0</v>
      </c>
      <c r="U386" s="87">
        <v>0</v>
      </c>
      <c r="V386" s="87">
        <v>0</v>
      </c>
      <c r="W386" s="87">
        <v>0</v>
      </c>
      <c r="X386" s="87">
        <v>0</v>
      </c>
      <c r="Y386" s="87">
        <v>0</v>
      </c>
      <c r="Z386" s="87">
        <v>0</v>
      </c>
      <c r="AA386" s="214">
        <v>0</v>
      </c>
      <c r="AB386" s="214">
        <v>0</v>
      </c>
      <c r="AC386" s="214">
        <v>0</v>
      </c>
      <c r="AD386" s="214">
        <v>0</v>
      </c>
      <c r="AE386" s="214">
        <v>0</v>
      </c>
      <c r="AF386" s="214">
        <v>0</v>
      </c>
      <c r="AG386" s="214">
        <v>0</v>
      </c>
      <c r="AH386" s="214">
        <v>0</v>
      </c>
      <c r="AI386" s="87">
        <v>112970</v>
      </c>
      <c r="AJ386" s="87">
        <v>0</v>
      </c>
      <c r="AK386" s="87">
        <v>112970</v>
      </c>
      <c r="AL386" s="87">
        <v>112970</v>
      </c>
      <c r="AM386" s="87">
        <v>2721600</v>
      </c>
      <c r="AN386" s="87">
        <v>112970</v>
      </c>
      <c r="AO386" s="87">
        <v>112970</v>
      </c>
      <c r="AP386" s="87">
        <v>112000</v>
      </c>
      <c r="AQ386" s="88">
        <v>0</v>
      </c>
      <c r="AR386" s="88">
        <v>0</v>
      </c>
      <c r="AS386" s="88">
        <v>0</v>
      </c>
      <c r="AT386" s="88">
        <v>0</v>
      </c>
      <c r="AU386" s="88">
        <v>0</v>
      </c>
      <c r="AV386" s="88">
        <v>0</v>
      </c>
      <c r="AW386" s="88">
        <v>0</v>
      </c>
      <c r="AX386" s="88">
        <v>0</v>
      </c>
      <c r="AY386" s="87">
        <v>0</v>
      </c>
      <c r="AZ386" s="87">
        <v>0</v>
      </c>
      <c r="BA386" s="87">
        <v>0</v>
      </c>
      <c r="BB386" s="87">
        <v>0</v>
      </c>
      <c r="BC386" s="87">
        <v>0</v>
      </c>
      <c r="BD386" s="87">
        <v>0</v>
      </c>
      <c r="BE386" s="87">
        <v>0</v>
      </c>
      <c r="BF386" s="87">
        <v>0</v>
      </c>
      <c r="BG386" s="88">
        <v>0</v>
      </c>
      <c r="BH386" s="88">
        <v>0</v>
      </c>
      <c r="BI386" s="88">
        <v>0</v>
      </c>
      <c r="BJ386" s="88">
        <v>0</v>
      </c>
      <c r="BK386" s="88">
        <v>0</v>
      </c>
      <c r="BL386" s="88">
        <v>0</v>
      </c>
      <c r="BM386" s="88">
        <v>0</v>
      </c>
      <c r="BN386" s="590">
        <v>0</v>
      </c>
      <c r="BO386" s="171">
        <v>2023</v>
      </c>
      <c r="BP386" s="171">
        <v>1</v>
      </c>
      <c r="BQ386" s="171">
        <v>19</v>
      </c>
      <c r="BS386" s="76" t="str">
        <f t="shared" si="12"/>
        <v>○</v>
      </c>
    </row>
    <row r="387" spans="1:71" x14ac:dyDescent="0.2">
      <c r="A387" s="210">
        <v>1583</v>
      </c>
      <c r="B387" s="211"/>
      <c r="C387" s="212"/>
      <c r="D387" s="211"/>
      <c r="E387" s="212"/>
      <c r="F387" s="211"/>
      <c r="G387" s="211"/>
      <c r="H387" s="212"/>
      <c r="I387" s="211"/>
      <c r="J387" s="211"/>
      <c r="K387" s="211"/>
      <c r="L387" s="171"/>
      <c r="M387" s="171" t="s">
        <v>487</v>
      </c>
      <c r="N387" s="171" t="s">
        <v>354</v>
      </c>
      <c r="O387" s="171" t="s">
        <v>321</v>
      </c>
      <c r="P387" s="171" t="s">
        <v>916</v>
      </c>
      <c r="Q387" s="171"/>
      <c r="R387" s="213">
        <v>673000</v>
      </c>
      <c r="S387" s="87">
        <v>0</v>
      </c>
      <c r="T387" s="87">
        <v>0</v>
      </c>
      <c r="U387" s="87">
        <v>0</v>
      </c>
      <c r="V387" s="87">
        <v>0</v>
      </c>
      <c r="W387" s="87">
        <v>0</v>
      </c>
      <c r="X387" s="87">
        <v>0</v>
      </c>
      <c r="Y387" s="87">
        <v>0</v>
      </c>
      <c r="Z387" s="87">
        <v>0</v>
      </c>
      <c r="AA387" s="214">
        <v>0</v>
      </c>
      <c r="AB387" s="214">
        <v>0</v>
      </c>
      <c r="AC387" s="214">
        <v>0</v>
      </c>
      <c r="AD387" s="214">
        <v>0</v>
      </c>
      <c r="AE387" s="214">
        <v>0</v>
      </c>
      <c r="AF387" s="214">
        <v>0</v>
      </c>
      <c r="AG387" s="214">
        <v>0</v>
      </c>
      <c r="AH387" s="214">
        <v>0</v>
      </c>
      <c r="AI387" s="87">
        <v>673720</v>
      </c>
      <c r="AJ387" s="87">
        <v>0</v>
      </c>
      <c r="AK387" s="87">
        <v>673720</v>
      </c>
      <c r="AL387" s="87">
        <v>673720</v>
      </c>
      <c r="AM387" s="87">
        <v>856800</v>
      </c>
      <c r="AN387" s="87">
        <v>673720</v>
      </c>
      <c r="AO387" s="87">
        <v>673720</v>
      </c>
      <c r="AP387" s="87">
        <v>673000</v>
      </c>
      <c r="AQ387" s="88">
        <v>0</v>
      </c>
      <c r="AR387" s="88">
        <v>0</v>
      </c>
      <c r="AS387" s="88">
        <v>0</v>
      </c>
      <c r="AT387" s="88">
        <v>0</v>
      </c>
      <c r="AU387" s="88">
        <v>0</v>
      </c>
      <c r="AV387" s="88">
        <v>0</v>
      </c>
      <c r="AW387" s="88">
        <v>0</v>
      </c>
      <c r="AX387" s="88">
        <v>0</v>
      </c>
      <c r="AY387" s="87">
        <v>0</v>
      </c>
      <c r="AZ387" s="87">
        <v>0</v>
      </c>
      <c r="BA387" s="87">
        <v>0</v>
      </c>
      <c r="BB387" s="87">
        <v>0</v>
      </c>
      <c r="BC387" s="87">
        <v>0</v>
      </c>
      <c r="BD387" s="87">
        <v>0</v>
      </c>
      <c r="BE387" s="87">
        <v>0</v>
      </c>
      <c r="BF387" s="87">
        <v>0</v>
      </c>
      <c r="BG387" s="88">
        <v>0</v>
      </c>
      <c r="BH387" s="88">
        <v>0</v>
      </c>
      <c r="BI387" s="88">
        <v>0</v>
      </c>
      <c r="BJ387" s="88">
        <v>0</v>
      </c>
      <c r="BK387" s="88">
        <v>0</v>
      </c>
      <c r="BL387" s="88">
        <v>0</v>
      </c>
      <c r="BM387" s="88">
        <v>0</v>
      </c>
      <c r="BN387" s="590">
        <v>0</v>
      </c>
      <c r="BO387" s="171">
        <v>2023</v>
      </c>
      <c r="BP387" s="171">
        <v>1</v>
      </c>
      <c r="BQ387" s="171">
        <v>19</v>
      </c>
      <c r="BS387" s="76" t="str">
        <f t="shared" si="12"/>
        <v>○</v>
      </c>
    </row>
    <row r="388" spans="1:71" x14ac:dyDescent="0.2">
      <c r="A388" s="210">
        <v>1584</v>
      </c>
      <c r="B388" s="211"/>
      <c r="C388" s="212"/>
      <c r="D388" s="211"/>
      <c r="E388" s="212"/>
      <c r="F388" s="211"/>
      <c r="G388" s="211"/>
      <c r="H388" s="212"/>
      <c r="I388" s="211"/>
      <c r="J388" s="211"/>
      <c r="K388" s="211"/>
      <c r="L388" s="171"/>
      <c r="M388" s="171" t="s">
        <v>407</v>
      </c>
      <c r="N388" s="171" t="s">
        <v>269</v>
      </c>
      <c r="O388" s="171" t="s">
        <v>408</v>
      </c>
      <c r="P388" s="171" t="s">
        <v>916</v>
      </c>
      <c r="Q388" s="171"/>
      <c r="R388" s="213">
        <v>528000</v>
      </c>
      <c r="S388" s="87">
        <v>0</v>
      </c>
      <c r="T388" s="87">
        <v>0</v>
      </c>
      <c r="U388" s="87">
        <v>0</v>
      </c>
      <c r="V388" s="87">
        <v>0</v>
      </c>
      <c r="W388" s="87">
        <v>0</v>
      </c>
      <c r="X388" s="87">
        <v>0</v>
      </c>
      <c r="Y388" s="87">
        <v>0</v>
      </c>
      <c r="Z388" s="87">
        <v>0</v>
      </c>
      <c r="AA388" s="214">
        <v>0</v>
      </c>
      <c r="AB388" s="214">
        <v>0</v>
      </c>
      <c r="AC388" s="214">
        <v>0</v>
      </c>
      <c r="AD388" s="214">
        <v>0</v>
      </c>
      <c r="AE388" s="214">
        <v>0</v>
      </c>
      <c r="AF388" s="214">
        <v>0</v>
      </c>
      <c r="AG388" s="214">
        <v>0</v>
      </c>
      <c r="AH388" s="214">
        <v>0</v>
      </c>
      <c r="AI388" s="87">
        <v>528790</v>
      </c>
      <c r="AJ388" s="87">
        <v>0</v>
      </c>
      <c r="AK388" s="87">
        <v>528790</v>
      </c>
      <c r="AL388" s="87">
        <v>528790</v>
      </c>
      <c r="AM388" s="87">
        <v>2592000</v>
      </c>
      <c r="AN388" s="87">
        <v>528790</v>
      </c>
      <c r="AO388" s="87">
        <v>528790</v>
      </c>
      <c r="AP388" s="87">
        <v>528000</v>
      </c>
      <c r="AQ388" s="88">
        <v>0</v>
      </c>
      <c r="AR388" s="88">
        <v>0</v>
      </c>
      <c r="AS388" s="88">
        <v>0</v>
      </c>
      <c r="AT388" s="88">
        <v>0</v>
      </c>
      <c r="AU388" s="88">
        <v>0</v>
      </c>
      <c r="AV388" s="88">
        <v>0</v>
      </c>
      <c r="AW388" s="88">
        <v>0</v>
      </c>
      <c r="AX388" s="88">
        <v>0</v>
      </c>
      <c r="AY388" s="87">
        <v>0</v>
      </c>
      <c r="AZ388" s="87">
        <v>0</v>
      </c>
      <c r="BA388" s="87">
        <v>0</v>
      </c>
      <c r="BB388" s="87">
        <v>0</v>
      </c>
      <c r="BC388" s="87">
        <v>0</v>
      </c>
      <c r="BD388" s="87">
        <v>0</v>
      </c>
      <c r="BE388" s="87">
        <v>0</v>
      </c>
      <c r="BF388" s="87">
        <v>0</v>
      </c>
      <c r="BG388" s="88">
        <v>0</v>
      </c>
      <c r="BH388" s="88">
        <v>0</v>
      </c>
      <c r="BI388" s="88">
        <v>0</v>
      </c>
      <c r="BJ388" s="88">
        <v>0</v>
      </c>
      <c r="BK388" s="88">
        <v>0</v>
      </c>
      <c r="BL388" s="88">
        <v>0</v>
      </c>
      <c r="BM388" s="88">
        <v>0</v>
      </c>
      <c r="BN388" s="590">
        <v>0</v>
      </c>
      <c r="BO388" s="171">
        <v>2023</v>
      </c>
      <c r="BP388" s="171">
        <v>1</v>
      </c>
      <c r="BQ388" s="171">
        <v>19</v>
      </c>
      <c r="BS388" s="76" t="str">
        <f t="shared" si="12"/>
        <v>○</v>
      </c>
    </row>
    <row r="389" spans="1:71" x14ac:dyDescent="0.2">
      <c r="A389" s="210">
        <v>1585</v>
      </c>
      <c r="B389" s="211"/>
      <c r="C389" s="212"/>
      <c r="D389" s="211"/>
      <c r="E389" s="212"/>
      <c r="F389" s="211"/>
      <c r="G389" s="211"/>
      <c r="H389" s="212"/>
      <c r="I389" s="211"/>
      <c r="J389" s="211"/>
      <c r="K389" s="211"/>
      <c r="L389" s="171"/>
      <c r="M389" s="171">
        <v>1551031</v>
      </c>
      <c r="N389" s="171" t="s">
        <v>416</v>
      </c>
      <c r="O389" s="171" t="s">
        <v>761</v>
      </c>
      <c r="P389" s="171" t="s">
        <v>916</v>
      </c>
      <c r="Q389" s="171"/>
      <c r="R389" s="213">
        <v>447000</v>
      </c>
      <c r="S389" s="87">
        <v>0</v>
      </c>
      <c r="T389" s="87">
        <v>0</v>
      </c>
      <c r="U389" s="87">
        <v>0</v>
      </c>
      <c r="V389" s="87">
        <v>0</v>
      </c>
      <c r="W389" s="87">
        <v>0</v>
      </c>
      <c r="X389" s="87">
        <v>0</v>
      </c>
      <c r="Y389" s="87">
        <v>0</v>
      </c>
      <c r="Z389" s="87">
        <v>0</v>
      </c>
      <c r="AA389" s="214">
        <v>0</v>
      </c>
      <c r="AB389" s="214">
        <v>0</v>
      </c>
      <c r="AC389" s="214">
        <v>0</v>
      </c>
      <c r="AD389" s="214">
        <v>0</v>
      </c>
      <c r="AE389" s="214">
        <v>0</v>
      </c>
      <c r="AF389" s="214">
        <v>0</v>
      </c>
      <c r="AG389" s="214">
        <v>0</v>
      </c>
      <c r="AH389" s="214">
        <v>0</v>
      </c>
      <c r="AI389" s="87">
        <v>447744</v>
      </c>
      <c r="AJ389" s="87">
        <v>0</v>
      </c>
      <c r="AK389" s="87">
        <v>447744</v>
      </c>
      <c r="AL389" s="87">
        <v>447744</v>
      </c>
      <c r="AM389" s="87">
        <v>3074400</v>
      </c>
      <c r="AN389" s="87">
        <v>447744</v>
      </c>
      <c r="AO389" s="87">
        <v>447744</v>
      </c>
      <c r="AP389" s="87">
        <v>447000</v>
      </c>
      <c r="AQ389" s="88">
        <v>0</v>
      </c>
      <c r="AR389" s="88">
        <v>0</v>
      </c>
      <c r="AS389" s="88">
        <v>0</v>
      </c>
      <c r="AT389" s="88">
        <v>0</v>
      </c>
      <c r="AU389" s="88">
        <v>0</v>
      </c>
      <c r="AV389" s="88">
        <v>0</v>
      </c>
      <c r="AW389" s="88">
        <v>0</v>
      </c>
      <c r="AX389" s="88">
        <v>0</v>
      </c>
      <c r="AY389" s="87">
        <v>0</v>
      </c>
      <c r="AZ389" s="87">
        <v>0</v>
      </c>
      <c r="BA389" s="87">
        <v>0</v>
      </c>
      <c r="BB389" s="87">
        <v>0</v>
      </c>
      <c r="BC389" s="87">
        <v>0</v>
      </c>
      <c r="BD389" s="87">
        <v>0</v>
      </c>
      <c r="BE389" s="87">
        <v>0</v>
      </c>
      <c r="BF389" s="87">
        <v>0</v>
      </c>
      <c r="BG389" s="88">
        <v>0</v>
      </c>
      <c r="BH389" s="88">
        <v>0</v>
      </c>
      <c r="BI389" s="88">
        <v>0</v>
      </c>
      <c r="BJ389" s="88">
        <v>0</v>
      </c>
      <c r="BK389" s="88">
        <v>0</v>
      </c>
      <c r="BL389" s="88">
        <v>0</v>
      </c>
      <c r="BM389" s="88">
        <v>0</v>
      </c>
      <c r="BN389" s="590">
        <v>0</v>
      </c>
      <c r="BO389" s="171">
        <v>2023</v>
      </c>
      <c r="BP389" s="171">
        <v>1</v>
      </c>
      <c r="BQ389" s="171">
        <v>19</v>
      </c>
      <c r="BS389" s="76" t="str">
        <f t="shared" si="12"/>
        <v>○</v>
      </c>
    </row>
    <row r="390" spans="1:71" x14ac:dyDescent="0.2">
      <c r="A390" s="210">
        <v>1586</v>
      </c>
      <c r="B390" s="211"/>
      <c r="C390" s="212"/>
      <c r="D390" s="211"/>
      <c r="E390" s="212"/>
      <c r="F390" s="211"/>
      <c r="G390" s="211"/>
      <c r="H390" s="212"/>
      <c r="I390" s="211"/>
      <c r="J390" s="211"/>
      <c r="K390" s="211"/>
      <c r="L390" s="171"/>
      <c r="M390" s="171" t="s">
        <v>762</v>
      </c>
      <c r="N390" s="171" t="s">
        <v>302</v>
      </c>
      <c r="O390" s="171" t="s">
        <v>750</v>
      </c>
      <c r="P390" s="171" t="s">
        <v>916</v>
      </c>
      <c r="Q390" s="171"/>
      <c r="R390" s="213">
        <v>1038000</v>
      </c>
      <c r="S390" s="87">
        <v>0</v>
      </c>
      <c r="T390" s="87">
        <v>0</v>
      </c>
      <c r="U390" s="87">
        <v>0</v>
      </c>
      <c r="V390" s="87">
        <v>0</v>
      </c>
      <c r="W390" s="87">
        <v>0</v>
      </c>
      <c r="X390" s="87">
        <v>0</v>
      </c>
      <c r="Y390" s="87">
        <v>0</v>
      </c>
      <c r="Z390" s="87">
        <v>0</v>
      </c>
      <c r="AA390" s="214">
        <v>0</v>
      </c>
      <c r="AB390" s="214">
        <v>0</v>
      </c>
      <c r="AC390" s="214">
        <v>0</v>
      </c>
      <c r="AD390" s="214">
        <v>0</v>
      </c>
      <c r="AE390" s="214">
        <v>0</v>
      </c>
      <c r="AF390" s="214">
        <v>0</v>
      </c>
      <c r="AG390" s="214">
        <v>0</v>
      </c>
      <c r="AH390" s="214">
        <v>0</v>
      </c>
      <c r="AI390" s="87">
        <v>1038950</v>
      </c>
      <c r="AJ390" s="87">
        <v>0</v>
      </c>
      <c r="AK390" s="87">
        <v>1038950</v>
      </c>
      <c r="AL390" s="87">
        <v>1038950</v>
      </c>
      <c r="AM390" s="87">
        <v>2142000</v>
      </c>
      <c r="AN390" s="87">
        <v>1038950</v>
      </c>
      <c r="AO390" s="87">
        <v>1038950</v>
      </c>
      <c r="AP390" s="87">
        <v>1038000</v>
      </c>
      <c r="AQ390" s="88">
        <v>0</v>
      </c>
      <c r="AR390" s="88">
        <v>0</v>
      </c>
      <c r="AS390" s="88">
        <v>0</v>
      </c>
      <c r="AT390" s="88">
        <v>0</v>
      </c>
      <c r="AU390" s="88">
        <v>0</v>
      </c>
      <c r="AV390" s="88">
        <v>0</v>
      </c>
      <c r="AW390" s="88">
        <v>0</v>
      </c>
      <c r="AX390" s="88">
        <v>0</v>
      </c>
      <c r="AY390" s="87">
        <v>0</v>
      </c>
      <c r="AZ390" s="87">
        <v>0</v>
      </c>
      <c r="BA390" s="87">
        <v>0</v>
      </c>
      <c r="BB390" s="87">
        <v>0</v>
      </c>
      <c r="BC390" s="87">
        <v>0</v>
      </c>
      <c r="BD390" s="87">
        <v>0</v>
      </c>
      <c r="BE390" s="87">
        <v>0</v>
      </c>
      <c r="BF390" s="87">
        <v>0</v>
      </c>
      <c r="BG390" s="88">
        <v>0</v>
      </c>
      <c r="BH390" s="88">
        <v>0</v>
      </c>
      <c r="BI390" s="88">
        <v>0</v>
      </c>
      <c r="BJ390" s="88">
        <v>0</v>
      </c>
      <c r="BK390" s="88">
        <v>0</v>
      </c>
      <c r="BL390" s="88">
        <v>0</v>
      </c>
      <c r="BM390" s="88">
        <v>0</v>
      </c>
      <c r="BN390" s="590">
        <v>0</v>
      </c>
      <c r="BO390" s="171">
        <v>2023</v>
      </c>
      <c r="BP390" s="171">
        <v>1</v>
      </c>
      <c r="BQ390" s="171">
        <v>19</v>
      </c>
      <c r="BS390" s="76" t="str">
        <f t="shared" si="12"/>
        <v>○</v>
      </c>
    </row>
    <row r="391" spans="1:71" x14ac:dyDescent="0.2">
      <c r="A391" s="210">
        <v>1587</v>
      </c>
      <c r="B391" s="211"/>
      <c r="C391" s="212"/>
      <c r="D391" s="211"/>
      <c r="E391" s="212"/>
      <c r="F391" s="211"/>
      <c r="G391" s="211"/>
      <c r="H391" s="212"/>
      <c r="I391" s="211"/>
      <c r="J391" s="211"/>
      <c r="K391" s="211"/>
      <c r="L391" s="171"/>
      <c r="M391" s="171" t="s">
        <v>670</v>
      </c>
      <c r="N391" s="171" t="s">
        <v>313</v>
      </c>
      <c r="O391" s="171" t="s">
        <v>337</v>
      </c>
      <c r="P391" s="171" t="s">
        <v>916</v>
      </c>
      <c r="Q391" s="171"/>
      <c r="R391" s="213">
        <v>1349000</v>
      </c>
      <c r="S391" s="87">
        <v>0</v>
      </c>
      <c r="T391" s="87">
        <v>0</v>
      </c>
      <c r="U391" s="87">
        <v>0</v>
      </c>
      <c r="V391" s="87">
        <v>0</v>
      </c>
      <c r="W391" s="87">
        <v>0</v>
      </c>
      <c r="X391" s="87">
        <v>0</v>
      </c>
      <c r="Y391" s="87">
        <v>0</v>
      </c>
      <c r="Z391" s="87">
        <v>0</v>
      </c>
      <c r="AA391" s="214">
        <v>0</v>
      </c>
      <c r="AB391" s="214">
        <v>0</v>
      </c>
      <c r="AC391" s="214">
        <v>0</v>
      </c>
      <c r="AD391" s="214">
        <v>0</v>
      </c>
      <c r="AE391" s="214">
        <v>0</v>
      </c>
      <c r="AF391" s="214">
        <v>0</v>
      </c>
      <c r="AG391" s="214">
        <v>0</v>
      </c>
      <c r="AH391" s="214">
        <v>0</v>
      </c>
      <c r="AI391" s="87">
        <v>1349918</v>
      </c>
      <c r="AJ391" s="87">
        <v>0</v>
      </c>
      <c r="AK391" s="87">
        <v>1349918</v>
      </c>
      <c r="AL391" s="87">
        <v>1349918</v>
      </c>
      <c r="AM391" s="87">
        <v>2613600</v>
      </c>
      <c r="AN391" s="87">
        <v>1349918</v>
      </c>
      <c r="AO391" s="87">
        <v>1349918</v>
      </c>
      <c r="AP391" s="87">
        <v>1349000</v>
      </c>
      <c r="AQ391" s="88">
        <v>0</v>
      </c>
      <c r="AR391" s="88">
        <v>0</v>
      </c>
      <c r="AS391" s="88">
        <v>0</v>
      </c>
      <c r="AT391" s="88">
        <v>0</v>
      </c>
      <c r="AU391" s="88">
        <v>0</v>
      </c>
      <c r="AV391" s="88">
        <v>0</v>
      </c>
      <c r="AW391" s="88">
        <v>0</v>
      </c>
      <c r="AX391" s="88">
        <v>0</v>
      </c>
      <c r="AY391" s="87">
        <v>0</v>
      </c>
      <c r="AZ391" s="87">
        <v>0</v>
      </c>
      <c r="BA391" s="87">
        <v>0</v>
      </c>
      <c r="BB391" s="87">
        <v>0</v>
      </c>
      <c r="BC391" s="87">
        <v>0</v>
      </c>
      <c r="BD391" s="87">
        <v>0</v>
      </c>
      <c r="BE391" s="87">
        <v>0</v>
      </c>
      <c r="BF391" s="87">
        <v>0</v>
      </c>
      <c r="BG391" s="88">
        <v>0</v>
      </c>
      <c r="BH391" s="88">
        <v>0</v>
      </c>
      <c r="BI391" s="88">
        <v>0</v>
      </c>
      <c r="BJ391" s="88">
        <v>0</v>
      </c>
      <c r="BK391" s="88">
        <v>0</v>
      </c>
      <c r="BL391" s="88">
        <v>0</v>
      </c>
      <c r="BM391" s="88">
        <v>0</v>
      </c>
      <c r="BN391" s="590">
        <v>0</v>
      </c>
      <c r="BO391" s="171">
        <v>2023</v>
      </c>
      <c r="BP391" s="171">
        <v>1</v>
      </c>
      <c r="BQ391" s="171">
        <v>19</v>
      </c>
      <c r="BS391" s="76" t="str">
        <f t="shared" si="12"/>
        <v>○</v>
      </c>
    </row>
    <row r="392" spans="1:71" x14ac:dyDescent="0.2">
      <c r="A392" s="210">
        <v>1588</v>
      </c>
      <c r="B392" s="211"/>
      <c r="C392" s="212"/>
      <c r="D392" s="211"/>
      <c r="E392" s="212"/>
      <c r="F392" s="211"/>
      <c r="G392" s="211"/>
      <c r="H392" s="212"/>
      <c r="I392" s="211"/>
      <c r="J392" s="211"/>
      <c r="K392" s="211"/>
      <c r="L392" s="171"/>
      <c r="M392" s="171" t="s">
        <v>551</v>
      </c>
      <c r="N392" s="171" t="s">
        <v>286</v>
      </c>
      <c r="O392" s="171" t="s">
        <v>552</v>
      </c>
      <c r="P392" s="171" t="s">
        <v>916</v>
      </c>
      <c r="Q392" s="171"/>
      <c r="R392" s="213">
        <v>435000</v>
      </c>
      <c r="S392" s="87">
        <v>0</v>
      </c>
      <c r="T392" s="87">
        <v>0</v>
      </c>
      <c r="U392" s="87">
        <v>0</v>
      </c>
      <c r="V392" s="87">
        <v>0</v>
      </c>
      <c r="W392" s="87">
        <v>0</v>
      </c>
      <c r="X392" s="87">
        <v>0</v>
      </c>
      <c r="Y392" s="87">
        <v>0</v>
      </c>
      <c r="Z392" s="87">
        <v>0</v>
      </c>
      <c r="AA392" s="214">
        <v>0</v>
      </c>
      <c r="AB392" s="214">
        <v>0</v>
      </c>
      <c r="AC392" s="214">
        <v>0</v>
      </c>
      <c r="AD392" s="214">
        <v>0</v>
      </c>
      <c r="AE392" s="214">
        <v>0</v>
      </c>
      <c r="AF392" s="214">
        <v>0</v>
      </c>
      <c r="AG392" s="214">
        <v>0</v>
      </c>
      <c r="AH392" s="214">
        <v>0</v>
      </c>
      <c r="AI392" s="87">
        <v>435014</v>
      </c>
      <c r="AJ392" s="87">
        <v>0</v>
      </c>
      <c r="AK392" s="87">
        <v>435014</v>
      </c>
      <c r="AL392" s="87">
        <v>435014</v>
      </c>
      <c r="AM392" s="87">
        <v>856800</v>
      </c>
      <c r="AN392" s="87">
        <v>435014</v>
      </c>
      <c r="AO392" s="87">
        <v>435014</v>
      </c>
      <c r="AP392" s="87">
        <v>435000</v>
      </c>
      <c r="AQ392" s="88">
        <v>0</v>
      </c>
      <c r="AR392" s="88">
        <v>0</v>
      </c>
      <c r="AS392" s="88">
        <v>0</v>
      </c>
      <c r="AT392" s="88">
        <v>0</v>
      </c>
      <c r="AU392" s="88">
        <v>0</v>
      </c>
      <c r="AV392" s="88">
        <v>0</v>
      </c>
      <c r="AW392" s="88">
        <v>0</v>
      </c>
      <c r="AX392" s="88">
        <v>0</v>
      </c>
      <c r="AY392" s="87">
        <v>0</v>
      </c>
      <c r="AZ392" s="87">
        <v>0</v>
      </c>
      <c r="BA392" s="87">
        <v>0</v>
      </c>
      <c r="BB392" s="87">
        <v>0</v>
      </c>
      <c r="BC392" s="87">
        <v>0</v>
      </c>
      <c r="BD392" s="87">
        <v>0</v>
      </c>
      <c r="BE392" s="87">
        <v>0</v>
      </c>
      <c r="BF392" s="87">
        <v>0</v>
      </c>
      <c r="BG392" s="88">
        <v>0</v>
      </c>
      <c r="BH392" s="88">
        <v>0</v>
      </c>
      <c r="BI392" s="88">
        <v>0</v>
      </c>
      <c r="BJ392" s="88">
        <v>0</v>
      </c>
      <c r="BK392" s="88">
        <v>0</v>
      </c>
      <c r="BL392" s="88">
        <v>0</v>
      </c>
      <c r="BM392" s="88">
        <v>0</v>
      </c>
      <c r="BN392" s="590">
        <v>0</v>
      </c>
      <c r="BO392" s="171">
        <v>2023</v>
      </c>
      <c r="BP392" s="171">
        <v>1</v>
      </c>
      <c r="BQ392" s="171">
        <v>19</v>
      </c>
      <c r="BS392" s="76" t="str">
        <f t="shared" si="12"/>
        <v>○</v>
      </c>
    </row>
    <row r="393" spans="1:71" x14ac:dyDescent="0.2">
      <c r="A393" s="210">
        <v>1589</v>
      </c>
      <c r="B393" s="211"/>
      <c r="C393" s="212"/>
      <c r="D393" s="211"/>
      <c r="E393" s="212"/>
      <c r="F393" s="211"/>
      <c r="G393" s="211"/>
      <c r="H393" s="212"/>
      <c r="I393" s="211"/>
      <c r="J393" s="211"/>
      <c r="K393" s="211"/>
      <c r="L393" s="171"/>
      <c r="M393" s="171" t="s">
        <v>449</v>
      </c>
      <c r="N393" s="171" t="s">
        <v>275</v>
      </c>
      <c r="O393" s="171" t="s">
        <v>450</v>
      </c>
      <c r="P393" s="171" t="s">
        <v>916</v>
      </c>
      <c r="Q393" s="171"/>
      <c r="R393" s="213">
        <v>268000</v>
      </c>
      <c r="S393" s="87">
        <v>0</v>
      </c>
      <c r="T393" s="87">
        <v>0</v>
      </c>
      <c r="U393" s="87">
        <v>0</v>
      </c>
      <c r="V393" s="87">
        <v>0</v>
      </c>
      <c r="W393" s="87">
        <v>0</v>
      </c>
      <c r="X393" s="87">
        <v>0</v>
      </c>
      <c r="Y393" s="87">
        <v>0</v>
      </c>
      <c r="Z393" s="87">
        <v>0</v>
      </c>
      <c r="AA393" s="214">
        <v>0</v>
      </c>
      <c r="AB393" s="214">
        <v>0</v>
      </c>
      <c r="AC393" s="214">
        <v>0</v>
      </c>
      <c r="AD393" s="214">
        <v>0</v>
      </c>
      <c r="AE393" s="214">
        <v>0</v>
      </c>
      <c r="AF393" s="214">
        <v>0</v>
      </c>
      <c r="AG393" s="214">
        <v>0</v>
      </c>
      <c r="AH393" s="214">
        <v>0</v>
      </c>
      <c r="AI393" s="87">
        <v>268668</v>
      </c>
      <c r="AJ393" s="87">
        <v>0</v>
      </c>
      <c r="AK393" s="87">
        <v>268668</v>
      </c>
      <c r="AL393" s="87">
        <v>268668</v>
      </c>
      <c r="AM393" s="87">
        <v>2073600</v>
      </c>
      <c r="AN393" s="87">
        <v>268668</v>
      </c>
      <c r="AO393" s="87">
        <v>268668</v>
      </c>
      <c r="AP393" s="87">
        <v>268000</v>
      </c>
      <c r="AQ393" s="88">
        <v>0</v>
      </c>
      <c r="AR393" s="88">
        <v>0</v>
      </c>
      <c r="AS393" s="88">
        <v>0</v>
      </c>
      <c r="AT393" s="88">
        <v>0</v>
      </c>
      <c r="AU393" s="88">
        <v>0</v>
      </c>
      <c r="AV393" s="88">
        <v>0</v>
      </c>
      <c r="AW393" s="88">
        <v>0</v>
      </c>
      <c r="AX393" s="88">
        <v>0</v>
      </c>
      <c r="AY393" s="87">
        <v>0</v>
      </c>
      <c r="AZ393" s="87">
        <v>0</v>
      </c>
      <c r="BA393" s="87">
        <v>0</v>
      </c>
      <c r="BB393" s="87">
        <v>0</v>
      </c>
      <c r="BC393" s="87">
        <v>0</v>
      </c>
      <c r="BD393" s="87">
        <v>0</v>
      </c>
      <c r="BE393" s="87">
        <v>0</v>
      </c>
      <c r="BF393" s="87">
        <v>0</v>
      </c>
      <c r="BG393" s="88">
        <v>0</v>
      </c>
      <c r="BH393" s="88">
        <v>0</v>
      </c>
      <c r="BI393" s="88">
        <v>0</v>
      </c>
      <c r="BJ393" s="88">
        <v>0</v>
      </c>
      <c r="BK393" s="88">
        <v>0</v>
      </c>
      <c r="BL393" s="88">
        <v>0</v>
      </c>
      <c r="BM393" s="88">
        <v>0</v>
      </c>
      <c r="BN393" s="590">
        <v>0</v>
      </c>
      <c r="BO393" s="171">
        <v>2023</v>
      </c>
      <c r="BP393" s="171">
        <v>1</v>
      </c>
      <c r="BQ393" s="171">
        <v>19</v>
      </c>
      <c r="BS393" s="76" t="str">
        <f t="shared" si="12"/>
        <v>○</v>
      </c>
    </row>
    <row r="394" spans="1:71" x14ac:dyDescent="0.2">
      <c r="A394" s="210">
        <v>1590</v>
      </c>
      <c r="B394" s="211"/>
      <c r="C394" s="212"/>
      <c r="D394" s="211"/>
      <c r="E394" s="212"/>
      <c r="F394" s="211"/>
      <c r="G394" s="211"/>
      <c r="H394" s="212"/>
      <c r="I394" s="211"/>
      <c r="J394" s="211"/>
      <c r="K394" s="211"/>
      <c r="L394" s="171"/>
      <c r="M394" s="171" t="s">
        <v>458</v>
      </c>
      <c r="N394" s="171" t="s">
        <v>269</v>
      </c>
      <c r="O394" s="171" t="s">
        <v>459</v>
      </c>
      <c r="P394" s="171" t="s">
        <v>916</v>
      </c>
      <c r="Q394" s="171"/>
      <c r="R394" s="213">
        <v>310000</v>
      </c>
      <c r="S394" s="87">
        <v>0</v>
      </c>
      <c r="T394" s="87">
        <v>0</v>
      </c>
      <c r="U394" s="87">
        <v>0</v>
      </c>
      <c r="V394" s="87">
        <v>0</v>
      </c>
      <c r="W394" s="87">
        <v>0</v>
      </c>
      <c r="X394" s="87">
        <v>0</v>
      </c>
      <c r="Y394" s="87">
        <v>0</v>
      </c>
      <c r="Z394" s="87">
        <v>0</v>
      </c>
      <c r="AA394" s="214">
        <v>0</v>
      </c>
      <c r="AB394" s="214">
        <v>0</v>
      </c>
      <c r="AC394" s="214">
        <v>0</v>
      </c>
      <c r="AD394" s="214">
        <v>0</v>
      </c>
      <c r="AE394" s="214">
        <v>0</v>
      </c>
      <c r="AF394" s="214">
        <v>0</v>
      </c>
      <c r="AG394" s="214">
        <v>0</v>
      </c>
      <c r="AH394" s="214">
        <v>0</v>
      </c>
      <c r="AI394" s="87">
        <v>310870</v>
      </c>
      <c r="AJ394" s="87">
        <v>0</v>
      </c>
      <c r="AK394" s="87">
        <v>310870</v>
      </c>
      <c r="AL394" s="87">
        <v>310870</v>
      </c>
      <c r="AM394" s="87">
        <v>1566000</v>
      </c>
      <c r="AN394" s="87">
        <v>310870</v>
      </c>
      <c r="AO394" s="87">
        <v>310870</v>
      </c>
      <c r="AP394" s="87">
        <v>310000</v>
      </c>
      <c r="AQ394" s="88">
        <v>0</v>
      </c>
      <c r="AR394" s="88">
        <v>0</v>
      </c>
      <c r="AS394" s="88">
        <v>0</v>
      </c>
      <c r="AT394" s="88">
        <v>0</v>
      </c>
      <c r="AU394" s="88">
        <v>0</v>
      </c>
      <c r="AV394" s="88">
        <v>0</v>
      </c>
      <c r="AW394" s="88">
        <v>0</v>
      </c>
      <c r="AX394" s="88">
        <v>0</v>
      </c>
      <c r="AY394" s="87">
        <v>0</v>
      </c>
      <c r="AZ394" s="87">
        <v>0</v>
      </c>
      <c r="BA394" s="87">
        <v>0</v>
      </c>
      <c r="BB394" s="87">
        <v>0</v>
      </c>
      <c r="BC394" s="87">
        <v>0</v>
      </c>
      <c r="BD394" s="87">
        <v>0</v>
      </c>
      <c r="BE394" s="87">
        <v>0</v>
      </c>
      <c r="BF394" s="87">
        <v>0</v>
      </c>
      <c r="BG394" s="88">
        <v>0</v>
      </c>
      <c r="BH394" s="88">
        <v>0</v>
      </c>
      <c r="BI394" s="88">
        <v>0</v>
      </c>
      <c r="BJ394" s="88">
        <v>0</v>
      </c>
      <c r="BK394" s="88">
        <v>0</v>
      </c>
      <c r="BL394" s="88">
        <v>0</v>
      </c>
      <c r="BM394" s="88">
        <v>0</v>
      </c>
      <c r="BN394" s="590">
        <v>0</v>
      </c>
      <c r="BO394" s="171">
        <v>2023</v>
      </c>
      <c r="BP394" s="171">
        <v>1</v>
      </c>
      <c r="BQ394" s="171">
        <v>19</v>
      </c>
      <c r="BS394" s="76" t="str">
        <f t="shared" si="12"/>
        <v>○</v>
      </c>
    </row>
    <row r="395" spans="1:71" x14ac:dyDescent="0.2">
      <c r="A395" s="210">
        <v>1591</v>
      </c>
      <c r="B395" s="211"/>
      <c r="C395" s="212"/>
      <c r="D395" s="211"/>
      <c r="E395" s="212"/>
      <c r="F395" s="211"/>
      <c r="G395" s="211"/>
      <c r="H395" s="212"/>
      <c r="I395" s="211"/>
      <c r="J395" s="211"/>
      <c r="K395" s="211"/>
      <c r="L395" s="171"/>
      <c r="M395" s="171" t="s">
        <v>569</v>
      </c>
      <c r="N395" s="171" t="s">
        <v>299</v>
      </c>
      <c r="O395" s="171" t="s">
        <v>341</v>
      </c>
      <c r="P395" s="171" t="s">
        <v>916</v>
      </c>
      <c r="Q395" s="171"/>
      <c r="R395" s="213">
        <v>432000</v>
      </c>
      <c r="S395" s="87">
        <v>0</v>
      </c>
      <c r="T395" s="87">
        <v>0</v>
      </c>
      <c r="U395" s="87">
        <v>0</v>
      </c>
      <c r="V395" s="87">
        <v>0</v>
      </c>
      <c r="W395" s="87">
        <v>0</v>
      </c>
      <c r="X395" s="87">
        <v>0</v>
      </c>
      <c r="Y395" s="87">
        <v>0</v>
      </c>
      <c r="Z395" s="87">
        <v>0</v>
      </c>
      <c r="AA395" s="214">
        <v>0</v>
      </c>
      <c r="AB395" s="214">
        <v>0</v>
      </c>
      <c r="AC395" s="214">
        <v>0</v>
      </c>
      <c r="AD395" s="214">
        <v>0</v>
      </c>
      <c r="AE395" s="214">
        <v>0</v>
      </c>
      <c r="AF395" s="214">
        <v>0</v>
      </c>
      <c r="AG395" s="214">
        <v>0</v>
      </c>
      <c r="AH395" s="214">
        <v>0</v>
      </c>
      <c r="AI395" s="87">
        <v>432160</v>
      </c>
      <c r="AJ395" s="87">
        <v>0</v>
      </c>
      <c r="AK395" s="87">
        <v>432160</v>
      </c>
      <c r="AL395" s="87">
        <v>432160</v>
      </c>
      <c r="AM395" s="87">
        <v>2592000</v>
      </c>
      <c r="AN395" s="87">
        <v>432160</v>
      </c>
      <c r="AO395" s="87">
        <v>432160</v>
      </c>
      <c r="AP395" s="87">
        <v>432000</v>
      </c>
      <c r="AQ395" s="88">
        <v>0</v>
      </c>
      <c r="AR395" s="88">
        <v>0</v>
      </c>
      <c r="AS395" s="88">
        <v>0</v>
      </c>
      <c r="AT395" s="88">
        <v>0</v>
      </c>
      <c r="AU395" s="88">
        <v>0</v>
      </c>
      <c r="AV395" s="88">
        <v>0</v>
      </c>
      <c r="AW395" s="88">
        <v>0</v>
      </c>
      <c r="AX395" s="88">
        <v>0</v>
      </c>
      <c r="AY395" s="87">
        <v>0</v>
      </c>
      <c r="AZ395" s="87">
        <v>0</v>
      </c>
      <c r="BA395" s="87">
        <v>0</v>
      </c>
      <c r="BB395" s="87">
        <v>0</v>
      </c>
      <c r="BC395" s="87">
        <v>0</v>
      </c>
      <c r="BD395" s="87">
        <v>0</v>
      </c>
      <c r="BE395" s="87">
        <v>0</v>
      </c>
      <c r="BF395" s="87">
        <v>0</v>
      </c>
      <c r="BG395" s="88">
        <v>0</v>
      </c>
      <c r="BH395" s="88">
        <v>0</v>
      </c>
      <c r="BI395" s="88">
        <v>0</v>
      </c>
      <c r="BJ395" s="88">
        <v>0</v>
      </c>
      <c r="BK395" s="88">
        <v>0</v>
      </c>
      <c r="BL395" s="88">
        <v>0</v>
      </c>
      <c r="BM395" s="88">
        <v>0</v>
      </c>
      <c r="BN395" s="590">
        <v>0</v>
      </c>
      <c r="BO395" s="171">
        <v>2023</v>
      </c>
      <c r="BP395" s="171">
        <v>1</v>
      </c>
      <c r="BQ395" s="171">
        <v>19</v>
      </c>
      <c r="BS395" s="76" t="str">
        <f t="shared" si="12"/>
        <v>○</v>
      </c>
    </row>
    <row r="396" spans="1:71" x14ac:dyDescent="0.2">
      <c r="A396" s="210">
        <v>1592</v>
      </c>
      <c r="B396" s="211"/>
      <c r="C396" s="212"/>
      <c r="D396" s="211"/>
      <c r="E396" s="212"/>
      <c r="F396" s="211"/>
      <c r="G396" s="211"/>
      <c r="H396" s="212"/>
      <c r="I396" s="211"/>
      <c r="J396" s="211"/>
      <c r="K396" s="211"/>
      <c r="L396" s="171"/>
      <c r="M396" s="171" t="s">
        <v>763</v>
      </c>
      <c r="N396" s="171" t="s">
        <v>281</v>
      </c>
      <c r="O396" s="171" t="s">
        <v>764</v>
      </c>
      <c r="P396" s="171" t="s">
        <v>916</v>
      </c>
      <c r="Q396" s="171"/>
      <c r="R396" s="213">
        <v>55000</v>
      </c>
      <c r="S396" s="87">
        <v>0</v>
      </c>
      <c r="T396" s="87">
        <v>0</v>
      </c>
      <c r="U396" s="87">
        <v>0</v>
      </c>
      <c r="V396" s="87">
        <v>0</v>
      </c>
      <c r="W396" s="87">
        <v>0</v>
      </c>
      <c r="X396" s="87">
        <v>0</v>
      </c>
      <c r="Y396" s="87">
        <v>0</v>
      </c>
      <c r="Z396" s="87">
        <v>0</v>
      </c>
      <c r="AA396" s="214">
        <v>0</v>
      </c>
      <c r="AB396" s="214">
        <v>0</v>
      </c>
      <c r="AC396" s="214">
        <v>0</v>
      </c>
      <c r="AD396" s="214">
        <v>0</v>
      </c>
      <c r="AE396" s="214">
        <v>0</v>
      </c>
      <c r="AF396" s="214">
        <v>0</v>
      </c>
      <c r="AG396" s="214">
        <v>0</v>
      </c>
      <c r="AH396" s="214">
        <v>0</v>
      </c>
      <c r="AI396" s="87">
        <v>55000</v>
      </c>
      <c r="AJ396" s="87">
        <v>0</v>
      </c>
      <c r="AK396" s="87">
        <v>55000</v>
      </c>
      <c r="AL396" s="87">
        <v>55000</v>
      </c>
      <c r="AM396" s="87">
        <v>2088000</v>
      </c>
      <c r="AN396" s="87">
        <v>55000</v>
      </c>
      <c r="AO396" s="87">
        <v>55000</v>
      </c>
      <c r="AP396" s="87">
        <v>55000</v>
      </c>
      <c r="AQ396" s="88">
        <v>0</v>
      </c>
      <c r="AR396" s="88">
        <v>0</v>
      </c>
      <c r="AS396" s="88">
        <v>0</v>
      </c>
      <c r="AT396" s="88">
        <v>0</v>
      </c>
      <c r="AU396" s="88">
        <v>0</v>
      </c>
      <c r="AV396" s="88">
        <v>0</v>
      </c>
      <c r="AW396" s="88">
        <v>0</v>
      </c>
      <c r="AX396" s="88">
        <v>0</v>
      </c>
      <c r="AY396" s="87">
        <v>0</v>
      </c>
      <c r="AZ396" s="87">
        <v>0</v>
      </c>
      <c r="BA396" s="87">
        <v>0</v>
      </c>
      <c r="BB396" s="87">
        <v>0</v>
      </c>
      <c r="BC396" s="87">
        <v>0</v>
      </c>
      <c r="BD396" s="87">
        <v>0</v>
      </c>
      <c r="BE396" s="87">
        <v>0</v>
      </c>
      <c r="BF396" s="87">
        <v>0</v>
      </c>
      <c r="BG396" s="88">
        <v>0</v>
      </c>
      <c r="BH396" s="88">
        <v>0</v>
      </c>
      <c r="BI396" s="88">
        <v>0</v>
      </c>
      <c r="BJ396" s="88">
        <v>0</v>
      </c>
      <c r="BK396" s="88">
        <v>0</v>
      </c>
      <c r="BL396" s="88">
        <v>0</v>
      </c>
      <c r="BM396" s="88">
        <v>0</v>
      </c>
      <c r="BN396" s="590">
        <v>0</v>
      </c>
      <c r="BO396" s="171">
        <v>2023</v>
      </c>
      <c r="BP396" s="171">
        <v>1</v>
      </c>
      <c r="BQ396" s="171">
        <v>19</v>
      </c>
      <c r="BS396" s="76" t="str">
        <f t="shared" si="12"/>
        <v>○</v>
      </c>
    </row>
    <row r="397" spans="1:71" x14ac:dyDescent="0.2">
      <c r="A397" s="210">
        <v>1593</v>
      </c>
      <c r="B397" s="211"/>
      <c r="C397" s="212"/>
      <c r="D397" s="211"/>
      <c r="E397" s="212"/>
      <c r="F397" s="211"/>
      <c r="G397" s="211"/>
      <c r="H397" s="212"/>
      <c r="I397" s="211"/>
      <c r="J397" s="211"/>
      <c r="K397" s="211"/>
      <c r="L397" s="171"/>
      <c r="M397" s="171" t="s">
        <v>765</v>
      </c>
      <c r="N397" s="171" t="s">
        <v>278</v>
      </c>
      <c r="O397" s="171" t="s">
        <v>766</v>
      </c>
      <c r="P397" s="171" t="s">
        <v>916</v>
      </c>
      <c r="Q397" s="171"/>
      <c r="R397" s="213">
        <v>241000</v>
      </c>
      <c r="S397" s="87">
        <v>0</v>
      </c>
      <c r="T397" s="87">
        <v>0</v>
      </c>
      <c r="U397" s="87">
        <v>0</v>
      </c>
      <c r="V397" s="87">
        <v>0</v>
      </c>
      <c r="W397" s="87">
        <v>0</v>
      </c>
      <c r="X397" s="87">
        <v>0</v>
      </c>
      <c r="Y397" s="87">
        <v>0</v>
      </c>
      <c r="Z397" s="87">
        <v>0</v>
      </c>
      <c r="AA397" s="214">
        <v>0</v>
      </c>
      <c r="AB397" s="214">
        <v>0</v>
      </c>
      <c r="AC397" s="214">
        <v>0</v>
      </c>
      <c r="AD397" s="214">
        <v>0</v>
      </c>
      <c r="AE397" s="214">
        <v>0</v>
      </c>
      <c r="AF397" s="214">
        <v>0</v>
      </c>
      <c r="AG397" s="214">
        <v>0</v>
      </c>
      <c r="AH397" s="214">
        <v>0</v>
      </c>
      <c r="AI397" s="87">
        <v>241300</v>
      </c>
      <c r="AJ397" s="87">
        <v>0</v>
      </c>
      <c r="AK397" s="87">
        <v>241300</v>
      </c>
      <c r="AL397" s="87">
        <v>241300</v>
      </c>
      <c r="AM397" s="87">
        <v>2592000</v>
      </c>
      <c r="AN397" s="87">
        <v>241300</v>
      </c>
      <c r="AO397" s="87">
        <v>241300</v>
      </c>
      <c r="AP397" s="87">
        <v>241000</v>
      </c>
      <c r="AQ397" s="88">
        <v>0</v>
      </c>
      <c r="AR397" s="88">
        <v>0</v>
      </c>
      <c r="AS397" s="88">
        <v>0</v>
      </c>
      <c r="AT397" s="88">
        <v>0</v>
      </c>
      <c r="AU397" s="88">
        <v>0</v>
      </c>
      <c r="AV397" s="88">
        <v>0</v>
      </c>
      <c r="AW397" s="88">
        <v>0</v>
      </c>
      <c r="AX397" s="88">
        <v>0</v>
      </c>
      <c r="AY397" s="87">
        <v>0</v>
      </c>
      <c r="AZ397" s="87">
        <v>0</v>
      </c>
      <c r="BA397" s="87">
        <v>0</v>
      </c>
      <c r="BB397" s="87">
        <v>0</v>
      </c>
      <c r="BC397" s="87">
        <v>0</v>
      </c>
      <c r="BD397" s="87">
        <v>0</v>
      </c>
      <c r="BE397" s="87">
        <v>0</v>
      </c>
      <c r="BF397" s="87">
        <v>0</v>
      </c>
      <c r="BG397" s="88">
        <v>0</v>
      </c>
      <c r="BH397" s="88">
        <v>0</v>
      </c>
      <c r="BI397" s="88">
        <v>0</v>
      </c>
      <c r="BJ397" s="88">
        <v>0</v>
      </c>
      <c r="BK397" s="88">
        <v>0</v>
      </c>
      <c r="BL397" s="88">
        <v>0</v>
      </c>
      <c r="BM397" s="88">
        <v>0</v>
      </c>
      <c r="BN397" s="590">
        <v>0</v>
      </c>
      <c r="BO397" s="171">
        <v>2023</v>
      </c>
      <c r="BP397" s="171">
        <v>1</v>
      </c>
      <c r="BQ397" s="171">
        <v>19</v>
      </c>
      <c r="BS397" s="76" t="str">
        <f t="shared" si="12"/>
        <v>○</v>
      </c>
    </row>
    <row r="398" spans="1:71" x14ac:dyDescent="0.2">
      <c r="A398" s="210">
        <v>1594</v>
      </c>
      <c r="B398" s="211"/>
      <c r="C398" s="212"/>
      <c r="D398" s="211"/>
      <c r="E398" s="212"/>
      <c r="F398" s="211"/>
      <c r="G398" s="211"/>
      <c r="H398" s="212"/>
      <c r="I398" s="211"/>
      <c r="J398" s="211"/>
      <c r="K398" s="211"/>
      <c r="L398" s="171"/>
      <c r="M398" s="171" t="s">
        <v>767</v>
      </c>
      <c r="N398" s="171" t="s">
        <v>302</v>
      </c>
      <c r="O398" s="171" t="s">
        <v>471</v>
      </c>
      <c r="P398" s="171" t="s">
        <v>916</v>
      </c>
      <c r="Q398" s="171"/>
      <c r="R398" s="213">
        <v>36000</v>
      </c>
      <c r="S398" s="87">
        <v>0</v>
      </c>
      <c r="T398" s="87">
        <v>0</v>
      </c>
      <c r="U398" s="87">
        <v>0</v>
      </c>
      <c r="V398" s="87">
        <v>0</v>
      </c>
      <c r="W398" s="87">
        <v>0</v>
      </c>
      <c r="X398" s="87">
        <v>0</v>
      </c>
      <c r="Y398" s="87">
        <v>0</v>
      </c>
      <c r="Z398" s="87">
        <v>0</v>
      </c>
      <c r="AA398" s="214">
        <v>0</v>
      </c>
      <c r="AB398" s="214">
        <v>0</v>
      </c>
      <c r="AC398" s="214">
        <v>0</v>
      </c>
      <c r="AD398" s="214">
        <v>0</v>
      </c>
      <c r="AE398" s="214">
        <v>0</v>
      </c>
      <c r="AF398" s="214">
        <v>0</v>
      </c>
      <c r="AG398" s="214">
        <v>0</v>
      </c>
      <c r="AH398" s="214">
        <v>0</v>
      </c>
      <c r="AI398" s="87">
        <v>36789</v>
      </c>
      <c r="AJ398" s="87">
        <v>0</v>
      </c>
      <c r="AK398" s="87">
        <v>36789</v>
      </c>
      <c r="AL398" s="87">
        <v>36789</v>
      </c>
      <c r="AM398" s="87">
        <v>4089600</v>
      </c>
      <c r="AN398" s="87">
        <v>36789</v>
      </c>
      <c r="AO398" s="87">
        <v>36789</v>
      </c>
      <c r="AP398" s="87">
        <v>36000</v>
      </c>
      <c r="AQ398" s="88">
        <v>0</v>
      </c>
      <c r="AR398" s="88">
        <v>0</v>
      </c>
      <c r="AS398" s="88">
        <v>0</v>
      </c>
      <c r="AT398" s="88">
        <v>0</v>
      </c>
      <c r="AU398" s="88">
        <v>0</v>
      </c>
      <c r="AV398" s="88">
        <v>0</v>
      </c>
      <c r="AW398" s="88">
        <v>0</v>
      </c>
      <c r="AX398" s="88">
        <v>0</v>
      </c>
      <c r="AY398" s="87">
        <v>0</v>
      </c>
      <c r="AZ398" s="87">
        <v>0</v>
      </c>
      <c r="BA398" s="87">
        <v>0</v>
      </c>
      <c r="BB398" s="87">
        <v>0</v>
      </c>
      <c r="BC398" s="87">
        <v>0</v>
      </c>
      <c r="BD398" s="87">
        <v>0</v>
      </c>
      <c r="BE398" s="87">
        <v>0</v>
      </c>
      <c r="BF398" s="87">
        <v>0</v>
      </c>
      <c r="BG398" s="88">
        <v>0</v>
      </c>
      <c r="BH398" s="88">
        <v>0</v>
      </c>
      <c r="BI398" s="88">
        <v>0</v>
      </c>
      <c r="BJ398" s="88">
        <v>0</v>
      </c>
      <c r="BK398" s="88">
        <v>0</v>
      </c>
      <c r="BL398" s="88">
        <v>0</v>
      </c>
      <c r="BM398" s="88">
        <v>0</v>
      </c>
      <c r="BN398" s="590">
        <v>0</v>
      </c>
      <c r="BO398" s="171">
        <v>2023</v>
      </c>
      <c r="BP398" s="171">
        <v>1</v>
      </c>
      <c r="BQ398" s="171">
        <v>19</v>
      </c>
      <c r="BS398" s="76" t="str">
        <f t="shared" si="12"/>
        <v>○</v>
      </c>
    </row>
    <row r="399" spans="1:71" x14ac:dyDescent="0.2">
      <c r="A399" s="210">
        <v>1595</v>
      </c>
      <c r="B399" s="211"/>
      <c r="C399" s="212"/>
      <c r="D399" s="211"/>
      <c r="E399" s="212"/>
      <c r="F399" s="211"/>
      <c r="G399" s="211"/>
      <c r="H399" s="212"/>
      <c r="I399" s="211"/>
      <c r="J399" s="211"/>
      <c r="K399" s="211"/>
      <c r="L399" s="171"/>
      <c r="M399" s="171" t="s">
        <v>458</v>
      </c>
      <c r="N399" s="171" t="s">
        <v>269</v>
      </c>
      <c r="O399" s="171" t="s">
        <v>459</v>
      </c>
      <c r="P399" s="171" t="s">
        <v>916</v>
      </c>
      <c r="Q399" s="171"/>
      <c r="R399" s="213">
        <v>387000</v>
      </c>
      <c r="S399" s="87">
        <v>0</v>
      </c>
      <c r="T399" s="87">
        <v>0</v>
      </c>
      <c r="U399" s="87">
        <v>0</v>
      </c>
      <c r="V399" s="87">
        <v>0</v>
      </c>
      <c r="W399" s="87">
        <v>0</v>
      </c>
      <c r="X399" s="87">
        <v>0</v>
      </c>
      <c r="Y399" s="87">
        <v>0</v>
      </c>
      <c r="Z399" s="87">
        <v>0</v>
      </c>
      <c r="AA399" s="214">
        <v>0</v>
      </c>
      <c r="AB399" s="214">
        <v>0</v>
      </c>
      <c r="AC399" s="214">
        <v>0</v>
      </c>
      <c r="AD399" s="214">
        <v>0</v>
      </c>
      <c r="AE399" s="214">
        <v>0</v>
      </c>
      <c r="AF399" s="214">
        <v>0</v>
      </c>
      <c r="AG399" s="214">
        <v>0</v>
      </c>
      <c r="AH399" s="214">
        <v>0</v>
      </c>
      <c r="AI399" s="87">
        <v>381338</v>
      </c>
      <c r="AJ399" s="87">
        <v>0</v>
      </c>
      <c r="AK399" s="87">
        <v>381338</v>
      </c>
      <c r="AL399" s="87">
        <v>381338</v>
      </c>
      <c r="AM399" s="87">
        <v>871200</v>
      </c>
      <c r="AN399" s="87">
        <v>381338</v>
      </c>
      <c r="AO399" s="87">
        <v>381338</v>
      </c>
      <c r="AP399" s="87">
        <v>381000</v>
      </c>
      <c r="AQ399" s="88">
        <v>0</v>
      </c>
      <c r="AR399" s="88">
        <v>0</v>
      </c>
      <c r="AS399" s="88">
        <v>0</v>
      </c>
      <c r="AT399" s="88">
        <v>0</v>
      </c>
      <c r="AU399" s="88">
        <v>0</v>
      </c>
      <c r="AV399" s="88">
        <v>0</v>
      </c>
      <c r="AW399" s="88">
        <v>0</v>
      </c>
      <c r="AX399" s="88">
        <v>0</v>
      </c>
      <c r="AY399" s="87">
        <v>0</v>
      </c>
      <c r="AZ399" s="87">
        <v>0</v>
      </c>
      <c r="BA399" s="87">
        <v>0</v>
      </c>
      <c r="BB399" s="87">
        <v>0</v>
      </c>
      <c r="BC399" s="87">
        <v>0</v>
      </c>
      <c r="BD399" s="87">
        <v>0</v>
      </c>
      <c r="BE399" s="87">
        <v>0</v>
      </c>
      <c r="BF399" s="87">
        <v>0</v>
      </c>
      <c r="BG399" s="88">
        <v>6600</v>
      </c>
      <c r="BH399" s="88">
        <v>0</v>
      </c>
      <c r="BI399" s="88">
        <v>6600</v>
      </c>
      <c r="BJ399" s="88">
        <v>6600</v>
      </c>
      <c r="BK399" s="88">
        <v>6600</v>
      </c>
      <c r="BL399" s="88">
        <v>6600</v>
      </c>
      <c r="BM399" s="88">
        <v>6600</v>
      </c>
      <c r="BN399" s="590">
        <v>6000</v>
      </c>
      <c r="BO399" s="171">
        <v>2023</v>
      </c>
      <c r="BP399" s="171">
        <v>1</v>
      </c>
      <c r="BQ399" s="171">
        <v>19</v>
      </c>
      <c r="BS399" s="76" t="str">
        <f t="shared" si="12"/>
        <v>○</v>
      </c>
    </row>
    <row r="400" spans="1:71" x14ac:dyDescent="0.2">
      <c r="A400" s="210">
        <v>1596</v>
      </c>
      <c r="B400" s="211"/>
      <c r="C400" s="212"/>
      <c r="D400" s="211"/>
      <c r="E400" s="212"/>
      <c r="F400" s="211"/>
      <c r="G400" s="211"/>
      <c r="H400" s="212"/>
      <c r="I400" s="211"/>
      <c r="J400" s="211"/>
      <c r="K400" s="211"/>
      <c r="L400" s="171"/>
      <c r="M400" s="171" t="s">
        <v>768</v>
      </c>
      <c r="N400" s="171" t="s">
        <v>416</v>
      </c>
      <c r="O400" s="171" t="s">
        <v>769</v>
      </c>
      <c r="P400" s="171" t="s">
        <v>917</v>
      </c>
      <c r="Q400" s="171"/>
      <c r="R400" s="213">
        <v>139000</v>
      </c>
      <c r="S400" s="87">
        <v>0</v>
      </c>
      <c r="T400" s="87">
        <v>0</v>
      </c>
      <c r="U400" s="87">
        <v>0</v>
      </c>
      <c r="V400" s="87">
        <v>0</v>
      </c>
      <c r="W400" s="87">
        <v>0</v>
      </c>
      <c r="X400" s="87">
        <v>0</v>
      </c>
      <c r="Y400" s="87">
        <v>0</v>
      </c>
      <c r="Z400" s="87">
        <v>0</v>
      </c>
      <c r="AA400" s="214">
        <v>0</v>
      </c>
      <c r="AB400" s="214">
        <v>0</v>
      </c>
      <c r="AC400" s="214">
        <v>0</v>
      </c>
      <c r="AD400" s="214">
        <v>0</v>
      </c>
      <c r="AE400" s="214">
        <v>0</v>
      </c>
      <c r="AF400" s="214">
        <v>0</v>
      </c>
      <c r="AG400" s="214">
        <v>0</v>
      </c>
      <c r="AH400" s="214">
        <v>0</v>
      </c>
      <c r="AI400" s="87">
        <v>139260</v>
      </c>
      <c r="AJ400" s="87">
        <v>0</v>
      </c>
      <c r="AK400" s="87">
        <v>139260</v>
      </c>
      <c r="AL400" s="87">
        <v>139260</v>
      </c>
      <c r="AM400" s="87">
        <v>2116800</v>
      </c>
      <c r="AN400" s="87">
        <v>139260</v>
      </c>
      <c r="AO400" s="87">
        <v>139260</v>
      </c>
      <c r="AP400" s="87">
        <v>139000</v>
      </c>
      <c r="AQ400" s="88">
        <v>0</v>
      </c>
      <c r="AR400" s="88">
        <v>0</v>
      </c>
      <c r="AS400" s="88">
        <v>0</v>
      </c>
      <c r="AT400" s="88">
        <v>0</v>
      </c>
      <c r="AU400" s="88">
        <v>0</v>
      </c>
      <c r="AV400" s="88">
        <v>0</v>
      </c>
      <c r="AW400" s="88">
        <v>0</v>
      </c>
      <c r="AX400" s="88">
        <v>0</v>
      </c>
      <c r="AY400" s="87">
        <v>0</v>
      </c>
      <c r="AZ400" s="87">
        <v>0</v>
      </c>
      <c r="BA400" s="87">
        <v>0</v>
      </c>
      <c r="BB400" s="87">
        <v>0</v>
      </c>
      <c r="BC400" s="87">
        <v>0</v>
      </c>
      <c r="BD400" s="87">
        <v>0</v>
      </c>
      <c r="BE400" s="87">
        <v>0</v>
      </c>
      <c r="BF400" s="87">
        <v>0</v>
      </c>
      <c r="BG400" s="88">
        <v>0</v>
      </c>
      <c r="BH400" s="88">
        <v>0</v>
      </c>
      <c r="BI400" s="88">
        <v>0</v>
      </c>
      <c r="BJ400" s="88">
        <v>0</v>
      </c>
      <c r="BK400" s="88">
        <v>0</v>
      </c>
      <c r="BL400" s="88">
        <v>0</v>
      </c>
      <c r="BM400" s="88">
        <v>0</v>
      </c>
      <c r="BN400" s="590">
        <v>0</v>
      </c>
      <c r="BO400" s="171">
        <v>2023</v>
      </c>
      <c r="BP400" s="171">
        <v>1</v>
      </c>
      <c r="BQ400" s="171">
        <v>19</v>
      </c>
      <c r="BS400" s="76" t="str">
        <f t="shared" si="12"/>
        <v>○</v>
      </c>
    </row>
    <row r="401" spans="1:71" x14ac:dyDescent="0.2">
      <c r="A401" s="210">
        <v>1597</v>
      </c>
      <c r="B401" s="211"/>
      <c r="C401" s="212"/>
      <c r="D401" s="211"/>
      <c r="E401" s="212"/>
      <c r="F401" s="211"/>
      <c r="G401" s="211"/>
      <c r="H401" s="212"/>
      <c r="I401" s="211"/>
      <c r="J401" s="211"/>
      <c r="K401" s="211"/>
      <c r="L401" s="171"/>
      <c r="M401" s="171" t="s">
        <v>458</v>
      </c>
      <c r="N401" s="171" t="s">
        <v>269</v>
      </c>
      <c r="O401" s="171" t="s">
        <v>459</v>
      </c>
      <c r="P401" s="171" t="s">
        <v>916</v>
      </c>
      <c r="Q401" s="171"/>
      <c r="R401" s="213">
        <v>508000</v>
      </c>
      <c r="S401" s="87">
        <v>0</v>
      </c>
      <c r="T401" s="87">
        <v>0</v>
      </c>
      <c r="U401" s="87">
        <v>0</v>
      </c>
      <c r="V401" s="87">
        <v>0</v>
      </c>
      <c r="W401" s="87">
        <v>0</v>
      </c>
      <c r="X401" s="87">
        <v>0</v>
      </c>
      <c r="Y401" s="87">
        <v>0</v>
      </c>
      <c r="Z401" s="87">
        <v>0</v>
      </c>
      <c r="AA401" s="214">
        <v>0</v>
      </c>
      <c r="AB401" s="214">
        <v>0</v>
      </c>
      <c r="AC401" s="214">
        <v>0</v>
      </c>
      <c r="AD401" s="214">
        <v>0</v>
      </c>
      <c r="AE401" s="214">
        <v>0</v>
      </c>
      <c r="AF401" s="214">
        <v>0</v>
      </c>
      <c r="AG401" s="214">
        <v>0</v>
      </c>
      <c r="AH401" s="214">
        <v>0</v>
      </c>
      <c r="AI401" s="87">
        <v>508148</v>
      </c>
      <c r="AJ401" s="87">
        <v>0</v>
      </c>
      <c r="AK401" s="87">
        <v>508148</v>
      </c>
      <c r="AL401" s="87">
        <v>508148</v>
      </c>
      <c r="AM401" s="87">
        <v>1566000</v>
      </c>
      <c r="AN401" s="87">
        <v>508148</v>
      </c>
      <c r="AO401" s="87">
        <v>508148</v>
      </c>
      <c r="AP401" s="87">
        <v>508000</v>
      </c>
      <c r="AQ401" s="88">
        <v>0</v>
      </c>
      <c r="AR401" s="88">
        <v>0</v>
      </c>
      <c r="AS401" s="88">
        <v>0</v>
      </c>
      <c r="AT401" s="88">
        <v>0</v>
      </c>
      <c r="AU401" s="88">
        <v>0</v>
      </c>
      <c r="AV401" s="88">
        <v>0</v>
      </c>
      <c r="AW401" s="88">
        <v>0</v>
      </c>
      <c r="AX401" s="88">
        <v>0</v>
      </c>
      <c r="AY401" s="87">
        <v>0</v>
      </c>
      <c r="AZ401" s="87">
        <v>0</v>
      </c>
      <c r="BA401" s="87">
        <v>0</v>
      </c>
      <c r="BB401" s="87">
        <v>0</v>
      </c>
      <c r="BC401" s="87">
        <v>0</v>
      </c>
      <c r="BD401" s="87">
        <v>0</v>
      </c>
      <c r="BE401" s="87">
        <v>0</v>
      </c>
      <c r="BF401" s="87">
        <v>0</v>
      </c>
      <c r="BG401" s="88">
        <v>0</v>
      </c>
      <c r="BH401" s="88">
        <v>0</v>
      </c>
      <c r="BI401" s="88">
        <v>0</v>
      </c>
      <c r="BJ401" s="88">
        <v>0</v>
      </c>
      <c r="BK401" s="88">
        <v>0</v>
      </c>
      <c r="BL401" s="88">
        <v>0</v>
      </c>
      <c r="BM401" s="88">
        <v>0</v>
      </c>
      <c r="BN401" s="590">
        <v>0</v>
      </c>
      <c r="BO401" s="171">
        <v>2023</v>
      </c>
      <c r="BP401" s="171">
        <v>1</v>
      </c>
      <c r="BQ401" s="171">
        <v>19</v>
      </c>
      <c r="BS401" s="76" t="str">
        <f t="shared" si="12"/>
        <v>○</v>
      </c>
    </row>
    <row r="402" spans="1:71" x14ac:dyDescent="0.2">
      <c r="A402" s="210">
        <v>1598</v>
      </c>
      <c r="B402" s="211"/>
      <c r="C402" s="212"/>
      <c r="D402" s="211"/>
      <c r="E402" s="212"/>
      <c r="F402" s="211"/>
      <c r="G402" s="211"/>
      <c r="H402" s="212"/>
      <c r="I402" s="211"/>
      <c r="J402" s="211"/>
      <c r="K402" s="211"/>
      <c r="L402" s="171"/>
      <c r="M402" s="171" t="s">
        <v>770</v>
      </c>
      <c r="N402" s="171" t="s">
        <v>330</v>
      </c>
      <c r="O402" s="171" t="s">
        <v>771</v>
      </c>
      <c r="P402" s="171" t="s">
        <v>916</v>
      </c>
      <c r="Q402" s="171"/>
      <c r="R402" s="213">
        <v>164000</v>
      </c>
      <c r="S402" s="87">
        <v>0</v>
      </c>
      <c r="T402" s="87">
        <v>0</v>
      </c>
      <c r="U402" s="87">
        <v>0</v>
      </c>
      <c r="V402" s="87">
        <v>0</v>
      </c>
      <c r="W402" s="87">
        <v>0</v>
      </c>
      <c r="X402" s="87">
        <v>0</v>
      </c>
      <c r="Y402" s="87">
        <v>0</v>
      </c>
      <c r="Z402" s="87">
        <v>0</v>
      </c>
      <c r="AA402" s="214">
        <v>0</v>
      </c>
      <c r="AB402" s="214">
        <v>0</v>
      </c>
      <c r="AC402" s="214">
        <v>0</v>
      </c>
      <c r="AD402" s="214">
        <v>0</v>
      </c>
      <c r="AE402" s="214">
        <v>0</v>
      </c>
      <c r="AF402" s="214">
        <v>0</v>
      </c>
      <c r="AG402" s="214">
        <v>0</v>
      </c>
      <c r="AH402" s="214">
        <v>0</v>
      </c>
      <c r="AI402" s="87">
        <v>164340</v>
      </c>
      <c r="AJ402" s="87">
        <v>0</v>
      </c>
      <c r="AK402" s="87">
        <v>164340</v>
      </c>
      <c r="AL402" s="87">
        <v>164340</v>
      </c>
      <c r="AM402" s="87">
        <v>4118400</v>
      </c>
      <c r="AN402" s="87">
        <v>164340</v>
      </c>
      <c r="AO402" s="87">
        <v>164340</v>
      </c>
      <c r="AP402" s="87">
        <v>164000</v>
      </c>
      <c r="AQ402" s="88">
        <v>0</v>
      </c>
      <c r="AR402" s="88">
        <v>0</v>
      </c>
      <c r="AS402" s="88">
        <v>0</v>
      </c>
      <c r="AT402" s="88">
        <v>0</v>
      </c>
      <c r="AU402" s="88">
        <v>0</v>
      </c>
      <c r="AV402" s="88">
        <v>0</v>
      </c>
      <c r="AW402" s="88">
        <v>0</v>
      </c>
      <c r="AX402" s="88">
        <v>0</v>
      </c>
      <c r="AY402" s="87">
        <v>0</v>
      </c>
      <c r="AZ402" s="87">
        <v>0</v>
      </c>
      <c r="BA402" s="87">
        <v>0</v>
      </c>
      <c r="BB402" s="87">
        <v>0</v>
      </c>
      <c r="BC402" s="87">
        <v>0</v>
      </c>
      <c r="BD402" s="87">
        <v>0</v>
      </c>
      <c r="BE402" s="87">
        <v>0</v>
      </c>
      <c r="BF402" s="87">
        <v>0</v>
      </c>
      <c r="BG402" s="88">
        <v>0</v>
      </c>
      <c r="BH402" s="88">
        <v>0</v>
      </c>
      <c r="BI402" s="88">
        <v>0</v>
      </c>
      <c r="BJ402" s="88">
        <v>0</v>
      </c>
      <c r="BK402" s="88">
        <v>0</v>
      </c>
      <c r="BL402" s="88">
        <v>0</v>
      </c>
      <c r="BM402" s="88">
        <v>0</v>
      </c>
      <c r="BN402" s="590">
        <v>0</v>
      </c>
      <c r="BO402" s="171">
        <v>2023</v>
      </c>
      <c r="BP402" s="171">
        <v>1</v>
      </c>
      <c r="BQ402" s="171">
        <v>19</v>
      </c>
      <c r="BS402" s="76" t="str">
        <f t="shared" si="12"/>
        <v>○</v>
      </c>
    </row>
    <row r="403" spans="1:71" x14ac:dyDescent="0.2">
      <c r="A403" s="210">
        <v>1599</v>
      </c>
      <c r="B403" s="211"/>
      <c r="C403" s="212"/>
      <c r="D403" s="211"/>
      <c r="E403" s="212"/>
      <c r="F403" s="211"/>
      <c r="G403" s="211"/>
      <c r="H403" s="212"/>
      <c r="I403" s="211"/>
      <c r="J403" s="211"/>
      <c r="K403" s="211"/>
      <c r="L403" s="171"/>
      <c r="M403" s="171" t="s">
        <v>325</v>
      </c>
      <c r="N403" s="171" t="s">
        <v>269</v>
      </c>
      <c r="O403" s="171" t="s">
        <v>326</v>
      </c>
      <c r="P403" s="171" t="s">
        <v>916</v>
      </c>
      <c r="Q403" s="171"/>
      <c r="R403" s="213">
        <v>970000</v>
      </c>
      <c r="S403" s="87">
        <v>0</v>
      </c>
      <c r="T403" s="87">
        <v>0</v>
      </c>
      <c r="U403" s="87">
        <v>0</v>
      </c>
      <c r="V403" s="87">
        <v>0</v>
      </c>
      <c r="W403" s="87">
        <v>0</v>
      </c>
      <c r="X403" s="87">
        <v>0</v>
      </c>
      <c r="Y403" s="87">
        <v>0</v>
      </c>
      <c r="Z403" s="87">
        <v>0</v>
      </c>
      <c r="AA403" s="214">
        <v>0</v>
      </c>
      <c r="AB403" s="214">
        <v>0</v>
      </c>
      <c r="AC403" s="214">
        <v>0</v>
      </c>
      <c r="AD403" s="214">
        <v>0</v>
      </c>
      <c r="AE403" s="214">
        <v>0</v>
      </c>
      <c r="AF403" s="214">
        <v>0</v>
      </c>
      <c r="AG403" s="214">
        <v>0</v>
      </c>
      <c r="AH403" s="214">
        <v>0</v>
      </c>
      <c r="AI403" s="87">
        <v>970200</v>
      </c>
      <c r="AJ403" s="87">
        <v>0</v>
      </c>
      <c r="AK403" s="87">
        <v>970200</v>
      </c>
      <c r="AL403" s="87">
        <v>970200</v>
      </c>
      <c r="AM403" s="87">
        <v>10440000</v>
      </c>
      <c r="AN403" s="87">
        <v>970200</v>
      </c>
      <c r="AO403" s="87">
        <v>970200</v>
      </c>
      <c r="AP403" s="87">
        <v>970000</v>
      </c>
      <c r="AQ403" s="88">
        <v>0</v>
      </c>
      <c r="AR403" s="88">
        <v>0</v>
      </c>
      <c r="AS403" s="88">
        <v>0</v>
      </c>
      <c r="AT403" s="88">
        <v>0</v>
      </c>
      <c r="AU403" s="88">
        <v>0</v>
      </c>
      <c r="AV403" s="88">
        <v>0</v>
      </c>
      <c r="AW403" s="88">
        <v>0</v>
      </c>
      <c r="AX403" s="88">
        <v>0</v>
      </c>
      <c r="AY403" s="87">
        <v>0</v>
      </c>
      <c r="AZ403" s="87">
        <v>0</v>
      </c>
      <c r="BA403" s="87">
        <v>0</v>
      </c>
      <c r="BB403" s="87">
        <v>0</v>
      </c>
      <c r="BC403" s="87">
        <v>0</v>
      </c>
      <c r="BD403" s="87">
        <v>0</v>
      </c>
      <c r="BE403" s="87">
        <v>0</v>
      </c>
      <c r="BF403" s="87">
        <v>0</v>
      </c>
      <c r="BG403" s="88">
        <v>0</v>
      </c>
      <c r="BH403" s="88">
        <v>0</v>
      </c>
      <c r="BI403" s="88">
        <v>0</v>
      </c>
      <c r="BJ403" s="88">
        <v>0</v>
      </c>
      <c r="BK403" s="88">
        <v>0</v>
      </c>
      <c r="BL403" s="88">
        <v>0</v>
      </c>
      <c r="BM403" s="88">
        <v>0</v>
      </c>
      <c r="BN403" s="590">
        <v>0</v>
      </c>
      <c r="BO403" s="171">
        <v>2023</v>
      </c>
      <c r="BP403" s="171">
        <v>1</v>
      </c>
      <c r="BQ403" s="171">
        <v>19</v>
      </c>
      <c r="BS403" s="76" t="str">
        <f t="shared" si="12"/>
        <v>○</v>
      </c>
    </row>
    <row r="404" spans="1:71" x14ac:dyDescent="0.2">
      <c r="A404" s="210">
        <v>1600</v>
      </c>
      <c r="B404" s="211"/>
      <c r="C404" s="212"/>
      <c r="D404" s="211"/>
      <c r="E404" s="212"/>
      <c r="F404" s="211"/>
      <c r="G404" s="211"/>
      <c r="H404" s="212"/>
      <c r="I404" s="211"/>
      <c r="J404" s="211"/>
      <c r="K404" s="211"/>
      <c r="L404" s="171"/>
      <c r="M404" s="171" t="s">
        <v>458</v>
      </c>
      <c r="N404" s="171" t="s">
        <v>269</v>
      </c>
      <c r="O404" s="171" t="s">
        <v>459</v>
      </c>
      <c r="P404" s="171" t="s">
        <v>916</v>
      </c>
      <c r="Q404" s="171"/>
      <c r="R404" s="213">
        <v>421000</v>
      </c>
      <c r="S404" s="87">
        <v>0</v>
      </c>
      <c r="T404" s="87">
        <v>0</v>
      </c>
      <c r="U404" s="87">
        <v>0</v>
      </c>
      <c r="V404" s="87">
        <v>0</v>
      </c>
      <c r="W404" s="87">
        <v>0</v>
      </c>
      <c r="X404" s="87">
        <v>0</v>
      </c>
      <c r="Y404" s="87">
        <v>0</v>
      </c>
      <c r="Z404" s="87">
        <v>0</v>
      </c>
      <c r="AA404" s="214">
        <v>0</v>
      </c>
      <c r="AB404" s="214">
        <v>0</v>
      </c>
      <c r="AC404" s="214">
        <v>0</v>
      </c>
      <c r="AD404" s="214">
        <v>0</v>
      </c>
      <c r="AE404" s="214">
        <v>0</v>
      </c>
      <c r="AF404" s="214">
        <v>0</v>
      </c>
      <c r="AG404" s="214">
        <v>0</v>
      </c>
      <c r="AH404" s="214">
        <v>0</v>
      </c>
      <c r="AI404" s="87">
        <v>421950</v>
      </c>
      <c r="AJ404" s="87">
        <v>0</v>
      </c>
      <c r="AK404" s="87">
        <v>421950</v>
      </c>
      <c r="AL404" s="87">
        <v>421950</v>
      </c>
      <c r="AM404" s="87">
        <v>1566000</v>
      </c>
      <c r="AN404" s="87">
        <v>421950</v>
      </c>
      <c r="AO404" s="87">
        <v>421950</v>
      </c>
      <c r="AP404" s="87">
        <v>421000</v>
      </c>
      <c r="AQ404" s="88">
        <v>0</v>
      </c>
      <c r="AR404" s="88">
        <v>0</v>
      </c>
      <c r="AS404" s="88">
        <v>0</v>
      </c>
      <c r="AT404" s="88">
        <v>0</v>
      </c>
      <c r="AU404" s="88">
        <v>0</v>
      </c>
      <c r="AV404" s="88">
        <v>0</v>
      </c>
      <c r="AW404" s="88">
        <v>0</v>
      </c>
      <c r="AX404" s="88">
        <v>0</v>
      </c>
      <c r="AY404" s="87">
        <v>0</v>
      </c>
      <c r="AZ404" s="87">
        <v>0</v>
      </c>
      <c r="BA404" s="87">
        <v>0</v>
      </c>
      <c r="BB404" s="87">
        <v>0</v>
      </c>
      <c r="BC404" s="87">
        <v>0</v>
      </c>
      <c r="BD404" s="87">
        <v>0</v>
      </c>
      <c r="BE404" s="87">
        <v>0</v>
      </c>
      <c r="BF404" s="87">
        <v>0</v>
      </c>
      <c r="BG404" s="88">
        <v>0</v>
      </c>
      <c r="BH404" s="88">
        <v>0</v>
      </c>
      <c r="BI404" s="88">
        <v>0</v>
      </c>
      <c r="BJ404" s="88">
        <v>0</v>
      </c>
      <c r="BK404" s="88">
        <v>0</v>
      </c>
      <c r="BL404" s="88">
        <v>0</v>
      </c>
      <c r="BM404" s="88">
        <v>0</v>
      </c>
      <c r="BN404" s="590">
        <v>0</v>
      </c>
      <c r="BO404" s="171">
        <v>2023</v>
      </c>
      <c r="BP404" s="171">
        <v>1</v>
      </c>
      <c r="BQ404" s="171">
        <v>19</v>
      </c>
      <c r="BS404" s="76" t="str">
        <f t="shared" si="12"/>
        <v>○</v>
      </c>
    </row>
    <row r="405" spans="1:71" x14ac:dyDescent="0.2">
      <c r="A405" s="210">
        <v>1601</v>
      </c>
      <c r="B405" s="211"/>
      <c r="C405" s="212"/>
      <c r="D405" s="211"/>
      <c r="E405" s="212"/>
      <c r="F405" s="211"/>
      <c r="G405" s="211"/>
      <c r="H405" s="212"/>
      <c r="I405" s="211"/>
      <c r="J405" s="211"/>
      <c r="K405" s="211"/>
      <c r="L405" s="171"/>
      <c r="M405" s="171" t="s">
        <v>458</v>
      </c>
      <c r="N405" s="171" t="s">
        <v>269</v>
      </c>
      <c r="O405" s="171" t="s">
        <v>459</v>
      </c>
      <c r="P405" s="171" t="s">
        <v>916</v>
      </c>
      <c r="Q405" s="171"/>
      <c r="R405" s="213">
        <v>8380000</v>
      </c>
      <c r="S405" s="87">
        <v>0</v>
      </c>
      <c r="T405" s="87">
        <v>0</v>
      </c>
      <c r="U405" s="87">
        <v>0</v>
      </c>
      <c r="V405" s="87">
        <v>0</v>
      </c>
      <c r="W405" s="87">
        <v>0</v>
      </c>
      <c r="X405" s="87">
        <v>0</v>
      </c>
      <c r="Y405" s="87">
        <v>0</v>
      </c>
      <c r="Z405" s="87">
        <v>0</v>
      </c>
      <c r="AA405" s="214">
        <v>0</v>
      </c>
      <c r="AB405" s="214">
        <v>0</v>
      </c>
      <c r="AC405" s="214">
        <v>0</v>
      </c>
      <c r="AD405" s="214">
        <v>0</v>
      </c>
      <c r="AE405" s="214">
        <v>0</v>
      </c>
      <c r="AF405" s="214">
        <v>0</v>
      </c>
      <c r="AG405" s="214">
        <v>0</v>
      </c>
      <c r="AH405" s="214">
        <v>0</v>
      </c>
      <c r="AI405" s="87">
        <v>8380494</v>
      </c>
      <c r="AJ405" s="87">
        <v>0</v>
      </c>
      <c r="AK405" s="87">
        <v>8380494</v>
      </c>
      <c r="AL405" s="87">
        <v>8380494</v>
      </c>
      <c r="AM405" s="87">
        <v>14414400</v>
      </c>
      <c r="AN405" s="87">
        <v>8380494</v>
      </c>
      <c r="AO405" s="87">
        <v>8380494</v>
      </c>
      <c r="AP405" s="87">
        <v>8380000</v>
      </c>
      <c r="AQ405" s="88">
        <v>0</v>
      </c>
      <c r="AR405" s="88">
        <v>0</v>
      </c>
      <c r="AS405" s="88">
        <v>0</v>
      </c>
      <c r="AT405" s="88">
        <v>0</v>
      </c>
      <c r="AU405" s="88">
        <v>0</v>
      </c>
      <c r="AV405" s="88">
        <v>0</v>
      </c>
      <c r="AW405" s="88">
        <v>0</v>
      </c>
      <c r="AX405" s="88">
        <v>0</v>
      </c>
      <c r="AY405" s="87">
        <v>0</v>
      </c>
      <c r="AZ405" s="87">
        <v>0</v>
      </c>
      <c r="BA405" s="87">
        <v>0</v>
      </c>
      <c r="BB405" s="87">
        <v>0</v>
      </c>
      <c r="BC405" s="87">
        <v>0</v>
      </c>
      <c r="BD405" s="87">
        <v>0</v>
      </c>
      <c r="BE405" s="87">
        <v>0</v>
      </c>
      <c r="BF405" s="87">
        <v>0</v>
      </c>
      <c r="BG405" s="88">
        <v>0</v>
      </c>
      <c r="BH405" s="88">
        <v>0</v>
      </c>
      <c r="BI405" s="88">
        <v>0</v>
      </c>
      <c r="BJ405" s="88">
        <v>0</v>
      </c>
      <c r="BK405" s="88">
        <v>0</v>
      </c>
      <c r="BL405" s="88">
        <v>0</v>
      </c>
      <c r="BM405" s="88">
        <v>0</v>
      </c>
      <c r="BN405" s="590">
        <v>0</v>
      </c>
      <c r="BO405" s="171">
        <v>2023</v>
      </c>
      <c r="BP405" s="171">
        <v>1</v>
      </c>
      <c r="BQ405" s="171">
        <v>19</v>
      </c>
      <c r="BS405" s="76" t="str">
        <f t="shared" si="12"/>
        <v>○</v>
      </c>
    </row>
    <row r="406" spans="1:71" x14ac:dyDescent="0.2">
      <c r="A406" s="175">
        <v>1602</v>
      </c>
      <c r="K406" s="183"/>
      <c r="L406" s="215"/>
      <c r="M406" s="215" t="s">
        <v>501</v>
      </c>
      <c r="N406" s="215" t="s">
        <v>275</v>
      </c>
      <c r="O406" s="215" t="s">
        <v>364</v>
      </c>
      <c r="P406" s="215" t="s">
        <v>916</v>
      </c>
      <c r="Q406" s="75"/>
      <c r="R406" s="86">
        <v>380000</v>
      </c>
      <c r="S406" s="87">
        <v>0</v>
      </c>
      <c r="T406" s="87">
        <v>0</v>
      </c>
      <c r="U406" s="87">
        <v>0</v>
      </c>
      <c r="V406" s="87">
        <v>0</v>
      </c>
      <c r="W406" s="87">
        <v>0</v>
      </c>
      <c r="X406" s="87">
        <v>0</v>
      </c>
      <c r="Y406" s="87">
        <v>0</v>
      </c>
      <c r="Z406" s="87">
        <v>0</v>
      </c>
      <c r="AA406" s="88">
        <v>0</v>
      </c>
      <c r="AB406" s="88">
        <v>0</v>
      </c>
      <c r="AC406" s="88">
        <v>0</v>
      </c>
      <c r="AD406" s="88">
        <v>0</v>
      </c>
      <c r="AE406" s="88">
        <v>0</v>
      </c>
      <c r="AF406" s="88">
        <v>0</v>
      </c>
      <c r="AG406" s="88">
        <v>0</v>
      </c>
      <c r="AH406" s="88">
        <v>0</v>
      </c>
      <c r="AI406" s="87">
        <v>380260</v>
      </c>
      <c r="AJ406" s="87">
        <v>0</v>
      </c>
      <c r="AK406" s="87">
        <v>380260</v>
      </c>
      <c r="AL406" s="87">
        <v>380260</v>
      </c>
      <c r="AM406" s="87">
        <v>972000</v>
      </c>
      <c r="AN406" s="87">
        <v>380260</v>
      </c>
      <c r="AO406" s="87">
        <v>380260</v>
      </c>
      <c r="AP406" s="87">
        <v>380000</v>
      </c>
      <c r="AQ406" s="88">
        <v>0</v>
      </c>
      <c r="AR406" s="88">
        <v>0</v>
      </c>
      <c r="AS406" s="88">
        <v>0</v>
      </c>
      <c r="AT406" s="88">
        <v>0</v>
      </c>
      <c r="AU406" s="88">
        <v>0</v>
      </c>
      <c r="AV406" s="88">
        <v>0</v>
      </c>
      <c r="AW406" s="88">
        <v>0</v>
      </c>
      <c r="AX406" s="88">
        <v>0</v>
      </c>
      <c r="AY406" s="87">
        <v>0</v>
      </c>
      <c r="AZ406" s="87">
        <v>0</v>
      </c>
      <c r="BA406" s="87">
        <v>0</v>
      </c>
      <c r="BB406" s="87">
        <v>0</v>
      </c>
      <c r="BC406" s="87">
        <v>0</v>
      </c>
      <c r="BD406" s="87">
        <v>0</v>
      </c>
      <c r="BE406" s="87">
        <v>0</v>
      </c>
      <c r="BF406" s="87">
        <v>0</v>
      </c>
      <c r="BG406" s="88">
        <v>0</v>
      </c>
      <c r="BH406" s="88">
        <v>0</v>
      </c>
      <c r="BI406" s="88">
        <v>0</v>
      </c>
      <c r="BJ406" s="88">
        <v>0</v>
      </c>
      <c r="BK406" s="88">
        <v>0</v>
      </c>
      <c r="BL406" s="88">
        <v>0</v>
      </c>
      <c r="BM406" s="88">
        <v>0</v>
      </c>
      <c r="BN406" s="590">
        <v>0</v>
      </c>
      <c r="BO406" s="215">
        <v>2023</v>
      </c>
      <c r="BP406" s="215">
        <v>3</v>
      </c>
      <c r="BQ406" s="215">
        <v>30</v>
      </c>
      <c r="BR406" s="81"/>
      <c r="BS406" s="81"/>
    </row>
    <row r="407" spans="1:71" x14ac:dyDescent="0.2">
      <c r="A407" s="210">
        <v>1603</v>
      </c>
      <c r="B407" s="211"/>
      <c r="C407" s="212"/>
      <c r="D407" s="211"/>
      <c r="E407" s="212"/>
      <c r="F407" s="211"/>
      <c r="G407" s="211"/>
      <c r="H407" s="212"/>
      <c r="I407" s="211"/>
      <c r="J407" s="211"/>
      <c r="K407" s="211"/>
      <c r="L407" s="171"/>
      <c r="M407" s="171" t="s">
        <v>772</v>
      </c>
      <c r="N407" s="171" t="s">
        <v>286</v>
      </c>
      <c r="O407" s="171" t="s">
        <v>773</v>
      </c>
      <c r="P407" s="171" t="s">
        <v>916</v>
      </c>
      <c r="Q407" s="171"/>
      <c r="R407" s="213">
        <v>512000</v>
      </c>
      <c r="S407" s="87">
        <v>0</v>
      </c>
      <c r="T407" s="87">
        <v>0</v>
      </c>
      <c r="U407" s="87">
        <v>0</v>
      </c>
      <c r="V407" s="87">
        <v>0</v>
      </c>
      <c r="W407" s="87">
        <v>0</v>
      </c>
      <c r="X407" s="87">
        <v>0</v>
      </c>
      <c r="Y407" s="87">
        <v>0</v>
      </c>
      <c r="Z407" s="87">
        <v>0</v>
      </c>
      <c r="AA407" s="214">
        <v>0</v>
      </c>
      <c r="AB407" s="214">
        <v>0</v>
      </c>
      <c r="AC407" s="214">
        <v>0</v>
      </c>
      <c r="AD407" s="214">
        <v>0</v>
      </c>
      <c r="AE407" s="214">
        <v>0</v>
      </c>
      <c r="AF407" s="214">
        <v>0</v>
      </c>
      <c r="AG407" s="214">
        <v>0</v>
      </c>
      <c r="AH407" s="214">
        <v>0</v>
      </c>
      <c r="AI407" s="87">
        <v>512244</v>
      </c>
      <c r="AJ407" s="87">
        <v>0</v>
      </c>
      <c r="AK407" s="87">
        <v>512244</v>
      </c>
      <c r="AL407" s="87">
        <v>512244</v>
      </c>
      <c r="AM407" s="87">
        <v>1566000</v>
      </c>
      <c r="AN407" s="87">
        <v>512244</v>
      </c>
      <c r="AO407" s="87">
        <v>512244</v>
      </c>
      <c r="AP407" s="87">
        <v>512000</v>
      </c>
      <c r="AQ407" s="88">
        <v>0</v>
      </c>
      <c r="AR407" s="88">
        <v>0</v>
      </c>
      <c r="AS407" s="88">
        <v>0</v>
      </c>
      <c r="AT407" s="88">
        <v>0</v>
      </c>
      <c r="AU407" s="88">
        <v>0</v>
      </c>
      <c r="AV407" s="88">
        <v>0</v>
      </c>
      <c r="AW407" s="88">
        <v>0</v>
      </c>
      <c r="AX407" s="88">
        <v>0</v>
      </c>
      <c r="AY407" s="87">
        <v>0</v>
      </c>
      <c r="AZ407" s="87">
        <v>0</v>
      </c>
      <c r="BA407" s="87">
        <v>0</v>
      </c>
      <c r="BB407" s="87">
        <v>0</v>
      </c>
      <c r="BC407" s="87">
        <v>0</v>
      </c>
      <c r="BD407" s="87">
        <v>0</v>
      </c>
      <c r="BE407" s="87">
        <v>0</v>
      </c>
      <c r="BF407" s="87">
        <v>0</v>
      </c>
      <c r="BG407" s="88">
        <v>0</v>
      </c>
      <c r="BH407" s="88">
        <v>0</v>
      </c>
      <c r="BI407" s="88">
        <v>0</v>
      </c>
      <c r="BJ407" s="88">
        <v>0</v>
      </c>
      <c r="BK407" s="88">
        <v>0</v>
      </c>
      <c r="BL407" s="88">
        <v>0</v>
      </c>
      <c r="BM407" s="88">
        <v>0</v>
      </c>
      <c r="BN407" s="590">
        <v>0</v>
      </c>
      <c r="BO407" s="171">
        <v>2023</v>
      </c>
      <c r="BP407" s="171">
        <v>1</v>
      </c>
      <c r="BQ407" s="171">
        <v>19</v>
      </c>
      <c r="BS407" s="76" t="str">
        <f t="shared" ref="BS407:BS438" si="13">IF(R407=SUM(Z407,AH407,AP407,BF407,BN407),"○","×")</f>
        <v>○</v>
      </c>
    </row>
    <row r="408" spans="1:71" x14ac:dyDescent="0.2">
      <c r="A408" s="210">
        <v>1604</v>
      </c>
      <c r="B408" s="211"/>
      <c r="C408" s="212"/>
      <c r="D408" s="211"/>
      <c r="E408" s="212"/>
      <c r="F408" s="211"/>
      <c r="G408" s="211"/>
      <c r="H408" s="212"/>
      <c r="I408" s="211"/>
      <c r="J408" s="211"/>
      <c r="K408" s="211"/>
      <c r="L408" s="171"/>
      <c r="M408" s="171" t="s">
        <v>774</v>
      </c>
      <c r="N408" s="171" t="s">
        <v>302</v>
      </c>
      <c r="O408" s="171" t="s">
        <v>400</v>
      </c>
      <c r="P408" s="171" t="s">
        <v>916</v>
      </c>
      <c r="Q408" s="171"/>
      <c r="R408" s="213">
        <v>129000</v>
      </c>
      <c r="S408" s="87">
        <v>0</v>
      </c>
      <c r="T408" s="87">
        <v>0</v>
      </c>
      <c r="U408" s="87">
        <v>0</v>
      </c>
      <c r="V408" s="87">
        <v>0</v>
      </c>
      <c r="W408" s="87">
        <v>0</v>
      </c>
      <c r="X408" s="87">
        <v>0</v>
      </c>
      <c r="Y408" s="87">
        <v>0</v>
      </c>
      <c r="Z408" s="87">
        <v>0</v>
      </c>
      <c r="AA408" s="214">
        <v>0</v>
      </c>
      <c r="AB408" s="214">
        <v>0</v>
      </c>
      <c r="AC408" s="214">
        <v>0</v>
      </c>
      <c r="AD408" s="214">
        <v>0</v>
      </c>
      <c r="AE408" s="214">
        <v>0</v>
      </c>
      <c r="AF408" s="214">
        <v>0</v>
      </c>
      <c r="AG408" s="214">
        <v>0</v>
      </c>
      <c r="AH408" s="214">
        <v>0</v>
      </c>
      <c r="AI408" s="87">
        <v>129450</v>
      </c>
      <c r="AJ408" s="87">
        <v>0</v>
      </c>
      <c r="AK408" s="87">
        <v>129450</v>
      </c>
      <c r="AL408" s="87">
        <v>129450</v>
      </c>
      <c r="AM408" s="87">
        <v>6177600</v>
      </c>
      <c r="AN408" s="87">
        <v>129450</v>
      </c>
      <c r="AO408" s="87">
        <v>129450</v>
      </c>
      <c r="AP408" s="87">
        <v>129000</v>
      </c>
      <c r="AQ408" s="88">
        <v>0</v>
      </c>
      <c r="AR408" s="88">
        <v>0</v>
      </c>
      <c r="AS408" s="88">
        <v>0</v>
      </c>
      <c r="AT408" s="88">
        <v>0</v>
      </c>
      <c r="AU408" s="88">
        <v>0</v>
      </c>
      <c r="AV408" s="88">
        <v>0</v>
      </c>
      <c r="AW408" s="88">
        <v>0</v>
      </c>
      <c r="AX408" s="88">
        <v>0</v>
      </c>
      <c r="AY408" s="87">
        <v>0</v>
      </c>
      <c r="AZ408" s="87">
        <v>0</v>
      </c>
      <c r="BA408" s="87">
        <v>0</v>
      </c>
      <c r="BB408" s="87">
        <v>0</v>
      </c>
      <c r="BC408" s="87">
        <v>0</v>
      </c>
      <c r="BD408" s="87">
        <v>0</v>
      </c>
      <c r="BE408" s="87">
        <v>0</v>
      </c>
      <c r="BF408" s="87">
        <v>0</v>
      </c>
      <c r="BG408" s="88">
        <v>0</v>
      </c>
      <c r="BH408" s="88">
        <v>0</v>
      </c>
      <c r="BI408" s="88">
        <v>0</v>
      </c>
      <c r="BJ408" s="88">
        <v>0</v>
      </c>
      <c r="BK408" s="88">
        <v>0</v>
      </c>
      <c r="BL408" s="88">
        <v>0</v>
      </c>
      <c r="BM408" s="88">
        <v>0</v>
      </c>
      <c r="BN408" s="590">
        <v>0</v>
      </c>
      <c r="BO408" s="171">
        <v>2023</v>
      </c>
      <c r="BP408" s="171">
        <v>1</v>
      </c>
      <c r="BQ408" s="171">
        <v>19</v>
      </c>
      <c r="BS408" s="76" t="str">
        <f t="shared" si="13"/>
        <v>○</v>
      </c>
    </row>
    <row r="409" spans="1:71" x14ac:dyDescent="0.2">
      <c r="A409" s="210">
        <v>1605</v>
      </c>
      <c r="B409" s="211"/>
      <c r="C409" s="212"/>
      <c r="D409" s="211"/>
      <c r="E409" s="212"/>
      <c r="F409" s="211"/>
      <c r="G409" s="211"/>
      <c r="H409" s="212"/>
      <c r="I409" s="211"/>
      <c r="J409" s="211"/>
      <c r="K409" s="211"/>
      <c r="L409" s="171"/>
      <c r="M409" s="171" t="s">
        <v>775</v>
      </c>
      <c r="N409" s="171" t="s">
        <v>354</v>
      </c>
      <c r="O409" s="171" t="s">
        <v>400</v>
      </c>
      <c r="P409" s="171" t="s">
        <v>916</v>
      </c>
      <c r="Q409" s="171"/>
      <c r="R409" s="213">
        <v>406000</v>
      </c>
      <c r="S409" s="87">
        <v>0</v>
      </c>
      <c r="T409" s="87">
        <v>0</v>
      </c>
      <c r="U409" s="87">
        <v>0</v>
      </c>
      <c r="V409" s="87">
        <v>0</v>
      </c>
      <c r="W409" s="87">
        <v>0</v>
      </c>
      <c r="X409" s="87">
        <v>0</v>
      </c>
      <c r="Y409" s="87">
        <v>0</v>
      </c>
      <c r="Z409" s="87">
        <v>0</v>
      </c>
      <c r="AA409" s="214">
        <v>0</v>
      </c>
      <c r="AB409" s="214">
        <v>0</v>
      </c>
      <c r="AC409" s="214">
        <v>0</v>
      </c>
      <c r="AD409" s="214">
        <v>0</v>
      </c>
      <c r="AE409" s="214">
        <v>0</v>
      </c>
      <c r="AF409" s="214">
        <v>0</v>
      </c>
      <c r="AG409" s="214">
        <v>0</v>
      </c>
      <c r="AH409" s="214">
        <v>0</v>
      </c>
      <c r="AI409" s="87">
        <v>406465</v>
      </c>
      <c r="AJ409" s="87">
        <v>0</v>
      </c>
      <c r="AK409" s="87">
        <v>406465</v>
      </c>
      <c r="AL409" s="87">
        <v>406465</v>
      </c>
      <c r="AM409" s="87">
        <v>1749600</v>
      </c>
      <c r="AN409" s="87">
        <v>406465</v>
      </c>
      <c r="AO409" s="87">
        <v>406465</v>
      </c>
      <c r="AP409" s="87">
        <v>406000</v>
      </c>
      <c r="AQ409" s="88">
        <v>0</v>
      </c>
      <c r="AR409" s="88">
        <v>0</v>
      </c>
      <c r="AS409" s="88">
        <v>0</v>
      </c>
      <c r="AT409" s="88">
        <v>0</v>
      </c>
      <c r="AU409" s="88">
        <v>0</v>
      </c>
      <c r="AV409" s="88">
        <v>0</v>
      </c>
      <c r="AW409" s="88">
        <v>0</v>
      </c>
      <c r="AX409" s="88">
        <v>0</v>
      </c>
      <c r="AY409" s="87">
        <v>0</v>
      </c>
      <c r="AZ409" s="87">
        <v>0</v>
      </c>
      <c r="BA409" s="87">
        <v>0</v>
      </c>
      <c r="BB409" s="87">
        <v>0</v>
      </c>
      <c r="BC409" s="87">
        <v>0</v>
      </c>
      <c r="BD409" s="87">
        <v>0</v>
      </c>
      <c r="BE409" s="87">
        <v>0</v>
      </c>
      <c r="BF409" s="87">
        <v>0</v>
      </c>
      <c r="BG409" s="88">
        <v>0</v>
      </c>
      <c r="BH409" s="88">
        <v>0</v>
      </c>
      <c r="BI409" s="88">
        <v>0</v>
      </c>
      <c r="BJ409" s="88">
        <v>0</v>
      </c>
      <c r="BK409" s="88">
        <v>0</v>
      </c>
      <c r="BL409" s="88">
        <v>0</v>
      </c>
      <c r="BM409" s="88">
        <v>0</v>
      </c>
      <c r="BN409" s="590">
        <v>0</v>
      </c>
      <c r="BO409" s="171">
        <v>2023</v>
      </c>
      <c r="BP409" s="171">
        <v>1</v>
      </c>
      <c r="BQ409" s="171">
        <v>19</v>
      </c>
      <c r="BS409" s="76" t="str">
        <f t="shared" si="13"/>
        <v>○</v>
      </c>
    </row>
    <row r="410" spans="1:71" x14ac:dyDescent="0.2">
      <c r="A410" s="210">
        <v>1606</v>
      </c>
      <c r="B410" s="211"/>
      <c r="C410" s="212"/>
      <c r="D410" s="211"/>
      <c r="E410" s="212"/>
      <c r="F410" s="211"/>
      <c r="G410" s="211"/>
      <c r="H410" s="212"/>
      <c r="I410" s="211"/>
      <c r="J410" s="211"/>
      <c r="K410" s="211"/>
      <c r="L410" s="171"/>
      <c r="M410" s="171" t="s">
        <v>458</v>
      </c>
      <c r="N410" s="171" t="s">
        <v>269</v>
      </c>
      <c r="O410" s="171" t="s">
        <v>459</v>
      </c>
      <c r="P410" s="171" t="s">
        <v>916</v>
      </c>
      <c r="Q410" s="171"/>
      <c r="R410" s="213">
        <v>536000</v>
      </c>
      <c r="S410" s="87">
        <v>0</v>
      </c>
      <c r="T410" s="87">
        <v>0</v>
      </c>
      <c r="U410" s="87">
        <v>0</v>
      </c>
      <c r="V410" s="87">
        <v>0</v>
      </c>
      <c r="W410" s="87">
        <v>0</v>
      </c>
      <c r="X410" s="87">
        <v>0</v>
      </c>
      <c r="Y410" s="87">
        <v>0</v>
      </c>
      <c r="Z410" s="87">
        <v>0</v>
      </c>
      <c r="AA410" s="214">
        <v>0</v>
      </c>
      <c r="AB410" s="214">
        <v>0</v>
      </c>
      <c r="AC410" s="214">
        <v>0</v>
      </c>
      <c r="AD410" s="214">
        <v>0</v>
      </c>
      <c r="AE410" s="214">
        <v>0</v>
      </c>
      <c r="AF410" s="214">
        <v>0</v>
      </c>
      <c r="AG410" s="214">
        <v>0</v>
      </c>
      <c r="AH410" s="214">
        <v>0</v>
      </c>
      <c r="AI410" s="87">
        <v>536600</v>
      </c>
      <c r="AJ410" s="87">
        <v>0</v>
      </c>
      <c r="AK410" s="87">
        <v>536600</v>
      </c>
      <c r="AL410" s="87">
        <v>536600</v>
      </c>
      <c r="AM410" s="87">
        <v>1566000</v>
      </c>
      <c r="AN410" s="87">
        <v>536600</v>
      </c>
      <c r="AO410" s="87">
        <v>536600</v>
      </c>
      <c r="AP410" s="87">
        <v>536000</v>
      </c>
      <c r="AQ410" s="88">
        <v>0</v>
      </c>
      <c r="AR410" s="88">
        <v>0</v>
      </c>
      <c r="AS410" s="88">
        <v>0</v>
      </c>
      <c r="AT410" s="88">
        <v>0</v>
      </c>
      <c r="AU410" s="88">
        <v>0</v>
      </c>
      <c r="AV410" s="88">
        <v>0</v>
      </c>
      <c r="AW410" s="88">
        <v>0</v>
      </c>
      <c r="AX410" s="88">
        <v>0</v>
      </c>
      <c r="AY410" s="87">
        <v>0</v>
      </c>
      <c r="AZ410" s="87">
        <v>0</v>
      </c>
      <c r="BA410" s="87">
        <v>0</v>
      </c>
      <c r="BB410" s="87">
        <v>0</v>
      </c>
      <c r="BC410" s="87">
        <v>0</v>
      </c>
      <c r="BD410" s="87">
        <v>0</v>
      </c>
      <c r="BE410" s="87">
        <v>0</v>
      </c>
      <c r="BF410" s="87">
        <v>0</v>
      </c>
      <c r="BG410" s="88">
        <v>0</v>
      </c>
      <c r="BH410" s="88">
        <v>0</v>
      </c>
      <c r="BI410" s="88">
        <v>0</v>
      </c>
      <c r="BJ410" s="88">
        <v>0</v>
      </c>
      <c r="BK410" s="88">
        <v>0</v>
      </c>
      <c r="BL410" s="88">
        <v>0</v>
      </c>
      <c r="BM410" s="88">
        <v>0</v>
      </c>
      <c r="BN410" s="590">
        <v>0</v>
      </c>
      <c r="BO410" s="171">
        <v>2023</v>
      </c>
      <c r="BP410" s="171">
        <v>1</v>
      </c>
      <c r="BQ410" s="171">
        <v>19</v>
      </c>
      <c r="BS410" s="76" t="str">
        <f t="shared" si="13"/>
        <v>○</v>
      </c>
    </row>
    <row r="411" spans="1:71" x14ac:dyDescent="0.2">
      <c r="A411" s="210">
        <v>1607</v>
      </c>
      <c r="B411" s="211"/>
      <c r="C411" s="212"/>
      <c r="D411" s="211"/>
      <c r="E411" s="212"/>
      <c r="F411" s="211"/>
      <c r="G411" s="211"/>
      <c r="H411" s="212"/>
      <c r="I411" s="211"/>
      <c r="J411" s="211"/>
      <c r="K411" s="211"/>
      <c r="L411" s="171"/>
      <c r="M411" s="171">
        <v>1559023</v>
      </c>
      <c r="N411" s="171" t="s">
        <v>278</v>
      </c>
      <c r="O411" s="171" t="s">
        <v>776</v>
      </c>
      <c r="P411" s="171" t="s">
        <v>916</v>
      </c>
      <c r="Q411" s="171"/>
      <c r="R411" s="213">
        <v>380000</v>
      </c>
      <c r="S411" s="87">
        <v>0</v>
      </c>
      <c r="T411" s="87">
        <v>0</v>
      </c>
      <c r="U411" s="87">
        <v>0</v>
      </c>
      <c r="V411" s="87">
        <v>0</v>
      </c>
      <c r="W411" s="87">
        <v>0</v>
      </c>
      <c r="X411" s="87">
        <v>0</v>
      </c>
      <c r="Y411" s="87">
        <v>0</v>
      </c>
      <c r="Z411" s="87">
        <v>0</v>
      </c>
      <c r="AA411" s="214">
        <v>0</v>
      </c>
      <c r="AB411" s="214">
        <v>0</v>
      </c>
      <c r="AC411" s="214">
        <v>0</v>
      </c>
      <c r="AD411" s="214">
        <v>0</v>
      </c>
      <c r="AE411" s="214">
        <v>0</v>
      </c>
      <c r="AF411" s="214">
        <v>0</v>
      </c>
      <c r="AG411" s="214">
        <v>0</v>
      </c>
      <c r="AH411" s="214">
        <v>0</v>
      </c>
      <c r="AI411" s="87">
        <v>380800</v>
      </c>
      <c r="AJ411" s="87">
        <v>0</v>
      </c>
      <c r="AK411" s="87">
        <v>380800</v>
      </c>
      <c r="AL411" s="87">
        <v>380800</v>
      </c>
      <c r="AM411" s="87">
        <v>1652400</v>
      </c>
      <c r="AN411" s="87">
        <v>380800</v>
      </c>
      <c r="AO411" s="87">
        <v>380800</v>
      </c>
      <c r="AP411" s="87">
        <v>380000</v>
      </c>
      <c r="AQ411" s="88">
        <v>0</v>
      </c>
      <c r="AR411" s="88">
        <v>0</v>
      </c>
      <c r="AS411" s="88">
        <v>0</v>
      </c>
      <c r="AT411" s="88">
        <v>0</v>
      </c>
      <c r="AU411" s="88">
        <v>0</v>
      </c>
      <c r="AV411" s="88">
        <v>0</v>
      </c>
      <c r="AW411" s="88">
        <v>0</v>
      </c>
      <c r="AX411" s="88">
        <v>0</v>
      </c>
      <c r="AY411" s="87">
        <v>0</v>
      </c>
      <c r="AZ411" s="87">
        <v>0</v>
      </c>
      <c r="BA411" s="87">
        <v>0</v>
      </c>
      <c r="BB411" s="87">
        <v>0</v>
      </c>
      <c r="BC411" s="87">
        <v>0</v>
      </c>
      <c r="BD411" s="87">
        <v>0</v>
      </c>
      <c r="BE411" s="87">
        <v>0</v>
      </c>
      <c r="BF411" s="87">
        <v>0</v>
      </c>
      <c r="BG411" s="88">
        <v>0</v>
      </c>
      <c r="BH411" s="88">
        <v>0</v>
      </c>
      <c r="BI411" s="88">
        <v>0</v>
      </c>
      <c r="BJ411" s="88">
        <v>0</v>
      </c>
      <c r="BK411" s="88">
        <v>0</v>
      </c>
      <c r="BL411" s="88">
        <v>0</v>
      </c>
      <c r="BM411" s="88">
        <v>0</v>
      </c>
      <c r="BN411" s="590">
        <v>0</v>
      </c>
      <c r="BO411" s="171">
        <v>2023</v>
      </c>
      <c r="BP411" s="171">
        <v>1</v>
      </c>
      <c r="BQ411" s="171">
        <v>19</v>
      </c>
      <c r="BS411" s="76" t="str">
        <f t="shared" si="13"/>
        <v>○</v>
      </c>
    </row>
    <row r="412" spans="1:71" x14ac:dyDescent="0.2">
      <c r="A412" s="210">
        <v>1608</v>
      </c>
      <c r="B412" s="211"/>
      <c r="C412" s="212"/>
      <c r="D412" s="211"/>
      <c r="E412" s="212"/>
      <c r="F412" s="211"/>
      <c r="G412" s="211"/>
      <c r="H412" s="212"/>
      <c r="I412" s="211"/>
      <c r="J412" s="211"/>
      <c r="K412" s="211"/>
      <c r="L412" s="171"/>
      <c r="M412" s="171" t="s">
        <v>268</v>
      </c>
      <c r="N412" s="171" t="s">
        <v>269</v>
      </c>
      <c r="O412" s="171" t="s">
        <v>270</v>
      </c>
      <c r="P412" s="171" t="s">
        <v>916</v>
      </c>
      <c r="Q412" s="171"/>
      <c r="R412" s="213">
        <v>84000</v>
      </c>
      <c r="S412" s="87">
        <v>0</v>
      </c>
      <c r="T412" s="87">
        <v>0</v>
      </c>
      <c r="U412" s="87">
        <v>0</v>
      </c>
      <c r="V412" s="87">
        <v>0</v>
      </c>
      <c r="W412" s="87">
        <v>0</v>
      </c>
      <c r="X412" s="87">
        <v>0</v>
      </c>
      <c r="Y412" s="87">
        <v>0</v>
      </c>
      <c r="Z412" s="87">
        <v>0</v>
      </c>
      <c r="AA412" s="214">
        <v>0</v>
      </c>
      <c r="AB412" s="214">
        <v>0</v>
      </c>
      <c r="AC412" s="214">
        <v>0</v>
      </c>
      <c r="AD412" s="214">
        <v>0</v>
      </c>
      <c r="AE412" s="214">
        <v>0</v>
      </c>
      <c r="AF412" s="214">
        <v>0</v>
      </c>
      <c r="AG412" s="214">
        <v>0</v>
      </c>
      <c r="AH412" s="214">
        <v>0</v>
      </c>
      <c r="AI412" s="87">
        <v>84552</v>
      </c>
      <c r="AJ412" s="87">
        <v>0</v>
      </c>
      <c r="AK412" s="87">
        <v>84552</v>
      </c>
      <c r="AL412" s="87">
        <v>84552</v>
      </c>
      <c r="AM412" s="87">
        <v>1728000</v>
      </c>
      <c r="AN412" s="87">
        <v>84552</v>
      </c>
      <c r="AO412" s="87">
        <v>84552</v>
      </c>
      <c r="AP412" s="87">
        <v>84000</v>
      </c>
      <c r="AQ412" s="88">
        <v>0</v>
      </c>
      <c r="AR412" s="88">
        <v>0</v>
      </c>
      <c r="AS412" s="88">
        <v>0</v>
      </c>
      <c r="AT412" s="88">
        <v>0</v>
      </c>
      <c r="AU412" s="88">
        <v>0</v>
      </c>
      <c r="AV412" s="88">
        <v>0</v>
      </c>
      <c r="AW412" s="88">
        <v>0</v>
      </c>
      <c r="AX412" s="88">
        <v>0</v>
      </c>
      <c r="AY412" s="87">
        <v>0</v>
      </c>
      <c r="AZ412" s="87">
        <v>0</v>
      </c>
      <c r="BA412" s="87">
        <v>0</v>
      </c>
      <c r="BB412" s="87">
        <v>0</v>
      </c>
      <c r="BC412" s="87">
        <v>0</v>
      </c>
      <c r="BD412" s="87">
        <v>0</v>
      </c>
      <c r="BE412" s="87">
        <v>0</v>
      </c>
      <c r="BF412" s="87">
        <v>0</v>
      </c>
      <c r="BG412" s="88">
        <v>0</v>
      </c>
      <c r="BH412" s="88">
        <v>0</v>
      </c>
      <c r="BI412" s="88">
        <v>0</v>
      </c>
      <c r="BJ412" s="88">
        <v>0</v>
      </c>
      <c r="BK412" s="88">
        <v>0</v>
      </c>
      <c r="BL412" s="88">
        <v>0</v>
      </c>
      <c r="BM412" s="88">
        <v>0</v>
      </c>
      <c r="BN412" s="590">
        <v>0</v>
      </c>
      <c r="BO412" s="171">
        <v>2023</v>
      </c>
      <c r="BP412" s="171">
        <v>1</v>
      </c>
      <c r="BQ412" s="171">
        <v>19</v>
      </c>
      <c r="BS412" s="76" t="str">
        <f t="shared" si="13"/>
        <v>○</v>
      </c>
    </row>
    <row r="413" spans="1:71" x14ac:dyDescent="0.2">
      <c r="A413" s="210">
        <v>1609</v>
      </c>
      <c r="B413" s="211"/>
      <c r="C413" s="212"/>
      <c r="D413" s="211"/>
      <c r="E413" s="212"/>
      <c r="F413" s="211"/>
      <c r="G413" s="211"/>
      <c r="H413" s="212"/>
      <c r="I413" s="211"/>
      <c r="J413" s="211"/>
      <c r="K413" s="211"/>
      <c r="L413" s="171"/>
      <c r="M413" s="171" t="s">
        <v>696</v>
      </c>
      <c r="N413" s="171" t="s">
        <v>269</v>
      </c>
      <c r="O413" s="171" t="s">
        <v>432</v>
      </c>
      <c r="P413" s="171" t="s">
        <v>916</v>
      </c>
      <c r="Q413" s="171"/>
      <c r="R413" s="213">
        <v>198000</v>
      </c>
      <c r="S413" s="87">
        <v>0</v>
      </c>
      <c r="T413" s="87">
        <v>0</v>
      </c>
      <c r="U413" s="87">
        <v>0</v>
      </c>
      <c r="V413" s="87">
        <v>0</v>
      </c>
      <c r="W413" s="87">
        <v>0</v>
      </c>
      <c r="X413" s="87">
        <v>0</v>
      </c>
      <c r="Y413" s="87">
        <v>0</v>
      </c>
      <c r="Z413" s="87">
        <v>0</v>
      </c>
      <c r="AA413" s="214">
        <v>0</v>
      </c>
      <c r="AB413" s="214">
        <v>0</v>
      </c>
      <c r="AC413" s="214">
        <v>0</v>
      </c>
      <c r="AD413" s="214">
        <v>0</v>
      </c>
      <c r="AE413" s="214">
        <v>0</v>
      </c>
      <c r="AF413" s="214">
        <v>0</v>
      </c>
      <c r="AG413" s="214">
        <v>0</v>
      </c>
      <c r="AH413" s="214">
        <v>0</v>
      </c>
      <c r="AI413" s="87">
        <v>198000</v>
      </c>
      <c r="AJ413" s="87">
        <v>0</v>
      </c>
      <c r="AK413" s="87">
        <v>198000</v>
      </c>
      <c r="AL413" s="87">
        <v>198000</v>
      </c>
      <c r="AM413" s="87">
        <v>8640000</v>
      </c>
      <c r="AN413" s="87">
        <v>198000</v>
      </c>
      <c r="AO413" s="87">
        <v>198000</v>
      </c>
      <c r="AP413" s="87">
        <v>198000</v>
      </c>
      <c r="AQ413" s="88">
        <v>0</v>
      </c>
      <c r="AR413" s="88">
        <v>0</v>
      </c>
      <c r="AS413" s="88">
        <v>0</v>
      </c>
      <c r="AT413" s="88">
        <v>0</v>
      </c>
      <c r="AU413" s="88">
        <v>0</v>
      </c>
      <c r="AV413" s="88">
        <v>0</v>
      </c>
      <c r="AW413" s="88">
        <v>0</v>
      </c>
      <c r="AX413" s="88">
        <v>0</v>
      </c>
      <c r="AY413" s="87">
        <v>0</v>
      </c>
      <c r="AZ413" s="87">
        <v>0</v>
      </c>
      <c r="BA413" s="87">
        <v>0</v>
      </c>
      <c r="BB413" s="87">
        <v>0</v>
      </c>
      <c r="BC413" s="87">
        <v>0</v>
      </c>
      <c r="BD413" s="87">
        <v>0</v>
      </c>
      <c r="BE413" s="87">
        <v>0</v>
      </c>
      <c r="BF413" s="87">
        <v>0</v>
      </c>
      <c r="BG413" s="88">
        <v>0</v>
      </c>
      <c r="BH413" s="88">
        <v>0</v>
      </c>
      <c r="BI413" s="88">
        <v>0</v>
      </c>
      <c r="BJ413" s="88">
        <v>0</v>
      </c>
      <c r="BK413" s="88">
        <v>0</v>
      </c>
      <c r="BL413" s="88">
        <v>0</v>
      </c>
      <c r="BM413" s="88">
        <v>0</v>
      </c>
      <c r="BN413" s="590">
        <v>0</v>
      </c>
      <c r="BO413" s="171">
        <v>2023</v>
      </c>
      <c r="BP413" s="171">
        <v>1</v>
      </c>
      <c r="BQ413" s="171">
        <v>19</v>
      </c>
      <c r="BS413" s="76" t="str">
        <f t="shared" si="13"/>
        <v>○</v>
      </c>
    </row>
    <row r="414" spans="1:71" x14ac:dyDescent="0.2">
      <c r="A414" s="210">
        <v>1610</v>
      </c>
      <c r="B414" s="211"/>
      <c r="C414" s="212"/>
      <c r="D414" s="211"/>
      <c r="E414" s="212"/>
      <c r="F414" s="211"/>
      <c r="G414" s="211"/>
      <c r="H414" s="212"/>
      <c r="I414" s="211"/>
      <c r="J414" s="211"/>
      <c r="K414" s="211"/>
      <c r="L414" s="171"/>
      <c r="M414" s="171" t="s">
        <v>777</v>
      </c>
      <c r="N414" s="171" t="s">
        <v>275</v>
      </c>
      <c r="O414" s="171" t="s">
        <v>750</v>
      </c>
      <c r="P414" s="171" t="s">
        <v>916</v>
      </c>
      <c r="Q414" s="171"/>
      <c r="R414" s="213">
        <v>195000</v>
      </c>
      <c r="S414" s="87">
        <v>0</v>
      </c>
      <c r="T414" s="87">
        <v>0</v>
      </c>
      <c r="U414" s="87">
        <v>0</v>
      </c>
      <c r="V414" s="87">
        <v>0</v>
      </c>
      <c r="W414" s="87">
        <v>0</v>
      </c>
      <c r="X414" s="87">
        <v>0</v>
      </c>
      <c r="Y414" s="87">
        <v>0</v>
      </c>
      <c r="Z414" s="87">
        <v>0</v>
      </c>
      <c r="AA414" s="214">
        <v>0</v>
      </c>
      <c r="AB414" s="214">
        <v>0</v>
      </c>
      <c r="AC414" s="214">
        <v>0</v>
      </c>
      <c r="AD414" s="214">
        <v>0</v>
      </c>
      <c r="AE414" s="214">
        <v>0</v>
      </c>
      <c r="AF414" s="214">
        <v>0</v>
      </c>
      <c r="AG414" s="214">
        <v>0</v>
      </c>
      <c r="AH414" s="214">
        <v>0</v>
      </c>
      <c r="AI414" s="87">
        <v>195250</v>
      </c>
      <c r="AJ414" s="87">
        <v>0</v>
      </c>
      <c r="AK414" s="87">
        <v>195250</v>
      </c>
      <c r="AL414" s="87">
        <v>195250</v>
      </c>
      <c r="AM414" s="87">
        <v>1440000</v>
      </c>
      <c r="AN414" s="87">
        <v>195250</v>
      </c>
      <c r="AO414" s="87">
        <v>195250</v>
      </c>
      <c r="AP414" s="87">
        <v>195000</v>
      </c>
      <c r="AQ414" s="88">
        <v>0</v>
      </c>
      <c r="AR414" s="88">
        <v>0</v>
      </c>
      <c r="AS414" s="88">
        <v>0</v>
      </c>
      <c r="AT414" s="88">
        <v>0</v>
      </c>
      <c r="AU414" s="88">
        <v>0</v>
      </c>
      <c r="AV414" s="88">
        <v>0</v>
      </c>
      <c r="AW414" s="88">
        <v>0</v>
      </c>
      <c r="AX414" s="88">
        <v>0</v>
      </c>
      <c r="AY414" s="87">
        <v>0</v>
      </c>
      <c r="AZ414" s="87">
        <v>0</v>
      </c>
      <c r="BA414" s="87">
        <v>0</v>
      </c>
      <c r="BB414" s="87">
        <v>0</v>
      </c>
      <c r="BC414" s="87">
        <v>0</v>
      </c>
      <c r="BD414" s="87">
        <v>0</v>
      </c>
      <c r="BE414" s="87">
        <v>0</v>
      </c>
      <c r="BF414" s="87">
        <v>0</v>
      </c>
      <c r="BG414" s="88">
        <v>0</v>
      </c>
      <c r="BH414" s="88">
        <v>0</v>
      </c>
      <c r="BI414" s="88">
        <v>0</v>
      </c>
      <c r="BJ414" s="88">
        <v>0</v>
      </c>
      <c r="BK414" s="88">
        <v>0</v>
      </c>
      <c r="BL414" s="88">
        <v>0</v>
      </c>
      <c r="BM414" s="88">
        <v>0</v>
      </c>
      <c r="BN414" s="590">
        <v>0</v>
      </c>
      <c r="BO414" s="171">
        <v>2023</v>
      </c>
      <c r="BP414" s="171">
        <v>1</v>
      </c>
      <c r="BQ414" s="171">
        <v>19</v>
      </c>
      <c r="BS414" s="76" t="str">
        <f t="shared" si="13"/>
        <v>○</v>
      </c>
    </row>
    <row r="415" spans="1:71" x14ac:dyDescent="0.2">
      <c r="A415" s="210">
        <v>1611</v>
      </c>
      <c r="B415" s="211"/>
      <c r="C415" s="212"/>
      <c r="D415" s="211"/>
      <c r="E415" s="212"/>
      <c r="F415" s="211"/>
      <c r="G415" s="211"/>
      <c r="H415" s="212"/>
      <c r="I415" s="211"/>
      <c r="J415" s="211"/>
      <c r="K415" s="211"/>
      <c r="L415" s="171"/>
      <c r="M415" s="171" t="s">
        <v>778</v>
      </c>
      <c r="N415" s="171" t="s">
        <v>275</v>
      </c>
      <c r="O415" s="171" t="s">
        <v>341</v>
      </c>
      <c r="P415" s="171" t="s">
        <v>916</v>
      </c>
      <c r="Q415" s="171"/>
      <c r="R415" s="213">
        <v>372000</v>
      </c>
      <c r="S415" s="87">
        <v>0</v>
      </c>
      <c r="T415" s="87">
        <v>0</v>
      </c>
      <c r="U415" s="87">
        <v>0</v>
      </c>
      <c r="V415" s="87">
        <v>0</v>
      </c>
      <c r="W415" s="87">
        <v>0</v>
      </c>
      <c r="X415" s="87">
        <v>0</v>
      </c>
      <c r="Y415" s="87">
        <v>0</v>
      </c>
      <c r="Z415" s="87">
        <v>0</v>
      </c>
      <c r="AA415" s="214">
        <v>0</v>
      </c>
      <c r="AB415" s="214">
        <v>0</v>
      </c>
      <c r="AC415" s="214">
        <v>0</v>
      </c>
      <c r="AD415" s="214">
        <v>0</v>
      </c>
      <c r="AE415" s="214">
        <v>0</v>
      </c>
      <c r="AF415" s="214">
        <v>0</v>
      </c>
      <c r="AG415" s="214">
        <v>0</v>
      </c>
      <c r="AH415" s="214">
        <v>0</v>
      </c>
      <c r="AI415" s="87">
        <v>372520</v>
      </c>
      <c r="AJ415" s="87">
        <v>0</v>
      </c>
      <c r="AK415" s="87">
        <v>372520</v>
      </c>
      <c r="AL415" s="87">
        <v>372520</v>
      </c>
      <c r="AM415" s="87">
        <v>2678400</v>
      </c>
      <c r="AN415" s="87">
        <v>372520</v>
      </c>
      <c r="AO415" s="87">
        <v>372520</v>
      </c>
      <c r="AP415" s="87">
        <v>372000</v>
      </c>
      <c r="AQ415" s="88">
        <v>0</v>
      </c>
      <c r="AR415" s="88">
        <v>0</v>
      </c>
      <c r="AS415" s="88">
        <v>0</v>
      </c>
      <c r="AT415" s="88">
        <v>0</v>
      </c>
      <c r="AU415" s="88">
        <v>0</v>
      </c>
      <c r="AV415" s="88">
        <v>0</v>
      </c>
      <c r="AW415" s="88">
        <v>0</v>
      </c>
      <c r="AX415" s="88">
        <v>0</v>
      </c>
      <c r="AY415" s="87">
        <v>0</v>
      </c>
      <c r="AZ415" s="87">
        <v>0</v>
      </c>
      <c r="BA415" s="87">
        <v>0</v>
      </c>
      <c r="BB415" s="87">
        <v>0</v>
      </c>
      <c r="BC415" s="87">
        <v>0</v>
      </c>
      <c r="BD415" s="87">
        <v>0</v>
      </c>
      <c r="BE415" s="87">
        <v>0</v>
      </c>
      <c r="BF415" s="87">
        <v>0</v>
      </c>
      <c r="BG415" s="88">
        <v>0</v>
      </c>
      <c r="BH415" s="88">
        <v>0</v>
      </c>
      <c r="BI415" s="88">
        <v>0</v>
      </c>
      <c r="BJ415" s="88">
        <v>0</v>
      </c>
      <c r="BK415" s="88">
        <v>0</v>
      </c>
      <c r="BL415" s="88">
        <v>0</v>
      </c>
      <c r="BM415" s="88">
        <v>0</v>
      </c>
      <c r="BN415" s="590">
        <v>0</v>
      </c>
      <c r="BO415" s="171">
        <v>2023</v>
      </c>
      <c r="BP415" s="171">
        <v>1</v>
      </c>
      <c r="BQ415" s="171">
        <v>19</v>
      </c>
      <c r="BS415" s="76" t="str">
        <f t="shared" si="13"/>
        <v>○</v>
      </c>
    </row>
    <row r="416" spans="1:71" x14ac:dyDescent="0.2">
      <c r="A416" s="210">
        <v>1612</v>
      </c>
      <c r="B416" s="211"/>
      <c r="C416" s="212"/>
      <c r="D416" s="211"/>
      <c r="E416" s="212"/>
      <c r="F416" s="211"/>
      <c r="G416" s="211"/>
      <c r="H416" s="212"/>
      <c r="I416" s="211"/>
      <c r="J416" s="211"/>
      <c r="K416" s="211"/>
      <c r="L416" s="171"/>
      <c r="M416" s="171" t="s">
        <v>779</v>
      </c>
      <c r="N416" s="171" t="s">
        <v>269</v>
      </c>
      <c r="O416" s="171" t="s">
        <v>780</v>
      </c>
      <c r="P416" s="171" t="s">
        <v>916</v>
      </c>
      <c r="Q416" s="171"/>
      <c r="R416" s="213">
        <v>320000</v>
      </c>
      <c r="S416" s="87">
        <v>0</v>
      </c>
      <c r="T416" s="87">
        <v>0</v>
      </c>
      <c r="U416" s="87">
        <v>0</v>
      </c>
      <c r="V416" s="87">
        <v>0</v>
      </c>
      <c r="W416" s="87">
        <v>0</v>
      </c>
      <c r="X416" s="87">
        <v>0</v>
      </c>
      <c r="Y416" s="87">
        <v>0</v>
      </c>
      <c r="Z416" s="87">
        <v>0</v>
      </c>
      <c r="AA416" s="214">
        <v>0</v>
      </c>
      <c r="AB416" s="214">
        <v>0</v>
      </c>
      <c r="AC416" s="214">
        <v>0</v>
      </c>
      <c r="AD416" s="214">
        <v>0</v>
      </c>
      <c r="AE416" s="214">
        <v>0</v>
      </c>
      <c r="AF416" s="214">
        <v>0</v>
      </c>
      <c r="AG416" s="214">
        <v>0</v>
      </c>
      <c r="AH416" s="214">
        <v>0</v>
      </c>
      <c r="AI416" s="87">
        <v>320940</v>
      </c>
      <c r="AJ416" s="87">
        <v>0</v>
      </c>
      <c r="AK416" s="87">
        <v>320940</v>
      </c>
      <c r="AL416" s="87">
        <v>320940</v>
      </c>
      <c r="AM416" s="87">
        <v>3132000</v>
      </c>
      <c r="AN416" s="87">
        <v>320940</v>
      </c>
      <c r="AO416" s="87">
        <v>320940</v>
      </c>
      <c r="AP416" s="87">
        <v>320000</v>
      </c>
      <c r="AQ416" s="88">
        <v>0</v>
      </c>
      <c r="AR416" s="88">
        <v>0</v>
      </c>
      <c r="AS416" s="88">
        <v>0</v>
      </c>
      <c r="AT416" s="88">
        <v>0</v>
      </c>
      <c r="AU416" s="88">
        <v>0</v>
      </c>
      <c r="AV416" s="88">
        <v>0</v>
      </c>
      <c r="AW416" s="88">
        <v>0</v>
      </c>
      <c r="AX416" s="88">
        <v>0</v>
      </c>
      <c r="AY416" s="87">
        <v>0</v>
      </c>
      <c r="AZ416" s="87">
        <v>0</v>
      </c>
      <c r="BA416" s="87">
        <v>0</v>
      </c>
      <c r="BB416" s="87">
        <v>0</v>
      </c>
      <c r="BC416" s="87">
        <v>0</v>
      </c>
      <c r="BD416" s="87">
        <v>0</v>
      </c>
      <c r="BE416" s="87">
        <v>0</v>
      </c>
      <c r="BF416" s="87">
        <v>0</v>
      </c>
      <c r="BG416" s="88">
        <v>0</v>
      </c>
      <c r="BH416" s="88">
        <v>0</v>
      </c>
      <c r="BI416" s="88">
        <v>0</v>
      </c>
      <c r="BJ416" s="88">
        <v>0</v>
      </c>
      <c r="BK416" s="88">
        <v>0</v>
      </c>
      <c r="BL416" s="88">
        <v>0</v>
      </c>
      <c r="BM416" s="88">
        <v>0</v>
      </c>
      <c r="BN416" s="590">
        <v>0</v>
      </c>
      <c r="BO416" s="171">
        <v>2023</v>
      </c>
      <c r="BP416" s="171">
        <v>1</v>
      </c>
      <c r="BQ416" s="171">
        <v>19</v>
      </c>
      <c r="BS416" s="76" t="str">
        <f t="shared" si="13"/>
        <v>○</v>
      </c>
    </row>
    <row r="417" spans="1:71" x14ac:dyDescent="0.2">
      <c r="A417" s="210">
        <v>1613</v>
      </c>
      <c r="B417" s="211"/>
      <c r="C417" s="212"/>
      <c r="D417" s="211"/>
      <c r="E417" s="212"/>
      <c r="F417" s="211"/>
      <c r="G417" s="211"/>
      <c r="H417" s="212"/>
      <c r="I417" s="211"/>
      <c r="J417" s="211"/>
      <c r="K417" s="211"/>
      <c r="L417" s="171"/>
      <c r="M417" s="171" t="s">
        <v>781</v>
      </c>
      <c r="N417" s="171" t="s">
        <v>286</v>
      </c>
      <c r="O417" s="171" t="s">
        <v>782</v>
      </c>
      <c r="P417" s="171" t="s">
        <v>916</v>
      </c>
      <c r="Q417" s="171"/>
      <c r="R417" s="213">
        <v>368000</v>
      </c>
      <c r="S417" s="87">
        <v>0</v>
      </c>
      <c r="T417" s="87">
        <v>0</v>
      </c>
      <c r="U417" s="87">
        <v>0</v>
      </c>
      <c r="V417" s="87">
        <v>0</v>
      </c>
      <c r="W417" s="87">
        <v>0</v>
      </c>
      <c r="X417" s="87">
        <v>0</v>
      </c>
      <c r="Y417" s="87">
        <v>0</v>
      </c>
      <c r="Z417" s="87">
        <v>0</v>
      </c>
      <c r="AA417" s="214">
        <v>0</v>
      </c>
      <c r="AB417" s="214">
        <v>0</v>
      </c>
      <c r="AC417" s="214">
        <v>0</v>
      </c>
      <c r="AD417" s="214">
        <v>0</v>
      </c>
      <c r="AE417" s="214">
        <v>0</v>
      </c>
      <c r="AF417" s="214">
        <v>0</v>
      </c>
      <c r="AG417" s="214">
        <v>0</v>
      </c>
      <c r="AH417" s="214">
        <v>0</v>
      </c>
      <c r="AI417" s="87">
        <v>368188</v>
      </c>
      <c r="AJ417" s="87">
        <v>0</v>
      </c>
      <c r="AK417" s="87">
        <v>368188</v>
      </c>
      <c r="AL417" s="87">
        <v>368188</v>
      </c>
      <c r="AM417" s="87">
        <v>4248000</v>
      </c>
      <c r="AN417" s="87">
        <v>368188</v>
      </c>
      <c r="AO417" s="87">
        <v>368188</v>
      </c>
      <c r="AP417" s="87">
        <v>368000</v>
      </c>
      <c r="AQ417" s="88">
        <v>0</v>
      </c>
      <c r="AR417" s="88">
        <v>0</v>
      </c>
      <c r="AS417" s="88">
        <v>0</v>
      </c>
      <c r="AT417" s="88">
        <v>0</v>
      </c>
      <c r="AU417" s="88">
        <v>0</v>
      </c>
      <c r="AV417" s="88">
        <v>0</v>
      </c>
      <c r="AW417" s="88">
        <v>0</v>
      </c>
      <c r="AX417" s="88">
        <v>0</v>
      </c>
      <c r="AY417" s="87">
        <v>0</v>
      </c>
      <c r="AZ417" s="87">
        <v>0</v>
      </c>
      <c r="BA417" s="87">
        <v>0</v>
      </c>
      <c r="BB417" s="87">
        <v>0</v>
      </c>
      <c r="BC417" s="87">
        <v>0</v>
      </c>
      <c r="BD417" s="87">
        <v>0</v>
      </c>
      <c r="BE417" s="87">
        <v>0</v>
      </c>
      <c r="BF417" s="87">
        <v>0</v>
      </c>
      <c r="BG417" s="88">
        <v>0</v>
      </c>
      <c r="BH417" s="88">
        <v>0</v>
      </c>
      <c r="BI417" s="88">
        <v>0</v>
      </c>
      <c r="BJ417" s="88">
        <v>0</v>
      </c>
      <c r="BK417" s="88">
        <v>0</v>
      </c>
      <c r="BL417" s="88">
        <v>0</v>
      </c>
      <c r="BM417" s="88">
        <v>0</v>
      </c>
      <c r="BN417" s="590">
        <v>0</v>
      </c>
      <c r="BO417" s="171">
        <v>2023</v>
      </c>
      <c r="BP417" s="171">
        <v>1</v>
      </c>
      <c r="BQ417" s="171">
        <v>19</v>
      </c>
      <c r="BS417" s="76" t="str">
        <f t="shared" si="13"/>
        <v>○</v>
      </c>
    </row>
    <row r="418" spans="1:71" x14ac:dyDescent="0.2">
      <c r="A418" s="210">
        <v>1614</v>
      </c>
      <c r="B418" s="211"/>
      <c r="C418" s="212"/>
      <c r="D418" s="211"/>
      <c r="E418" s="212"/>
      <c r="F418" s="211"/>
      <c r="G418" s="211"/>
      <c r="H418" s="212"/>
      <c r="I418" s="211"/>
      <c r="J418" s="211"/>
      <c r="K418" s="211"/>
      <c r="L418" s="171"/>
      <c r="M418" s="171" t="s">
        <v>783</v>
      </c>
      <c r="N418" s="171" t="s">
        <v>330</v>
      </c>
      <c r="O418" s="171" t="s">
        <v>784</v>
      </c>
      <c r="P418" s="171" t="s">
        <v>916</v>
      </c>
      <c r="Q418" s="171"/>
      <c r="R418" s="213">
        <v>124000</v>
      </c>
      <c r="S418" s="87">
        <v>0</v>
      </c>
      <c r="T418" s="87">
        <v>0</v>
      </c>
      <c r="U418" s="87">
        <v>0</v>
      </c>
      <c r="V418" s="87">
        <v>0</v>
      </c>
      <c r="W418" s="87">
        <v>0</v>
      </c>
      <c r="X418" s="87">
        <v>0</v>
      </c>
      <c r="Y418" s="87">
        <v>0</v>
      </c>
      <c r="Z418" s="87">
        <v>0</v>
      </c>
      <c r="AA418" s="214">
        <v>0</v>
      </c>
      <c r="AB418" s="214">
        <v>0</v>
      </c>
      <c r="AC418" s="214">
        <v>0</v>
      </c>
      <c r="AD418" s="214">
        <v>0</v>
      </c>
      <c r="AE418" s="214">
        <v>0</v>
      </c>
      <c r="AF418" s="214">
        <v>0</v>
      </c>
      <c r="AG418" s="214">
        <v>0</v>
      </c>
      <c r="AH418" s="214">
        <v>0</v>
      </c>
      <c r="AI418" s="87">
        <v>124250</v>
      </c>
      <c r="AJ418" s="87">
        <v>0</v>
      </c>
      <c r="AK418" s="87">
        <v>124250</v>
      </c>
      <c r="AL418" s="87">
        <v>124250</v>
      </c>
      <c r="AM418" s="87">
        <v>4712400</v>
      </c>
      <c r="AN418" s="87">
        <v>124250</v>
      </c>
      <c r="AO418" s="87">
        <v>124250</v>
      </c>
      <c r="AP418" s="87">
        <v>124000</v>
      </c>
      <c r="AQ418" s="88">
        <v>0</v>
      </c>
      <c r="AR418" s="88">
        <v>0</v>
      </c>
      <c r="AS418" s="88">
        <v>0</v>
      </c>
      <c r="AT418" s="88">
        <v>0</v>
      </c>
      <c r="AU418" s="88">
        <v>0</v>
      </c>
      <c r="AV418" s="88">
        <v>0</v>
      </c>
      <c r="AW418" s="88">
        <v>0</v>
      </c>
      <c r="AX418" s="88">
        <v>0</v>
      </c>
      <c r="AY418" s="87">
        <v>0</v>
      </c>
      <c r="AZ418" s="87">
        <v>0</v>
      </c>
      <c r="BA418" s="87">
        <v>0</v>
      </c>
      <c r="BB418" s="87">
        <v>0</v>
      </c>
      <c r="BC418" s="87">
        <v>0</v>
      </c>
      <c r="BD418" s="87">
        <v>0</v>
      </c>
      <c r="BE418" s="87">
        <v>0</v>
      </c>
      <c r="BF418" s="87">
        <v>0</v>
      </c>
      <c r="BG418" s="88">
        <v>0</v>
      </c>
      <c r="BH418" s="88">
        <v>0</v>
      </c>
      <c r="BI418" s="88">
        <v>0</v>
      </c>
      <c r="BJ418" s="88">
        <v>0</v>
      </c>
      <c r="BK418" s="88">
        <v>0</v>
      </c>
      <c r="BL418" s="88">
        <v>0</v>
      </c>
      <c r="BM418" s="88">
        <v>0</v>
      </c>
      <c r="BN418" s="590">
        <v>0</v>
      </c>
      <c r="BO418" s="171">
        <v>2023</v>
      </c>
      <c r="BP418" s="171">
        <v>1</v>
      </c>
      <c r="BQ418" s="171">
        <v>19</v>
      </c>
      <c r="BS418" s="76" t="str">
        <f t="shared" si="13"/>
        <v>○</v>
      </c>
    </row>
    <row r="419" spans="1:71" x14ac:dyDescent="0.2">
      <c r="A419" s="210">
        <v>1615</v>
      </c>
      <c r="B419" s="211"/>
      <c r="C419" s="212"/>
      <c r="D419" s="211"/>
      <c r="E419" s="212"/>
      <c r="F419" s="211"/>
      <c r="G419" s="211"/>
      <c r="H419" s="212"/>
      <c r="I419" s="211"/>
      <c r="J419" s="211"/>
      <c r="K419" s="211"/>
      <c r="L419" s="171"/>
      <c r="M419" s="171">
        <v>1552090</v>
      </c>
      <c r="N419" s="171" t="s">
        <v>286</v>
      </c>
      <c r="O419" s="171" t="s">
        <v>645</v>
      </c>
      <c r="P419" s="171" t="s">
        <v>916</v>
      </c>
      <c r="Q419" s="171"/>
      <c r="R419" s="213">
        <v>63000</v>
      </c>
      <c r="S419" s="87">
        <v>0</v>
      </c>
      <c r="T419" s="87">
        <v>0</v>
      </c>
      <c r="U419" s="87">
        <v>0</v>
      </c>
      <c r="V419" s="87">
        <v>0</v>
      </c>
      <c r="W419" s="87">
        <v>0</v>
      </c>
      <c r="X419" s="87">
        <v>0</v>
      </c>
      <c r="Y419" s="87">
        <v>0</v>
      </c>
      <c r="Z419" s="87">
        <v>0</v>
      </c>
      <c r="AA419" s="214">
        <v>0</v>
      </c>
      <c r="AB419" s="214">
        <v>0</v>
      </c>
      <c r="AC419" s="214">
        <v>0</v>
      </c>
      <c r="AD419" s="214">
        <v>0</v>
      </c>
      <c r="AE419" s="214">
        <v>0</v>
      </c>
      <c r="AF419" s="214">
        <v>0</v>
      </c>
      <c r="AG419" s="214">
        <v>0</v>
      </c>
      <c r="AH419" s="214">
        <v>0</v>
      </c>
      <c r="AI419" s="87">
        <v>63518</v>
      </c>
      <c r="AJ419" s="87">
        <v>0</v>
      </c>
      <c r="AK419" s="87">
        <v>63518</v>
      </c>
      <c r="AL419" s="87">
        <v>63518</v>
      </c>
      <c r="AM419" s="87">
        <v>1566000</v>
      </c>
      <c r="AN419" s="87">
        <v>63518</v>
      </c>
      <c r="AO419" s="87">
        <v>63518</v>
      </c>
      <c r="AP419" s="87">
        <v>63000</v>
      </c>
      <c r="AQ419" s="88">
        <v>0</v>
      </c>
      <c r="AR419" s="88">
        <v>0</v>
      </c>
      <c r="AS419" s="88">
        <v>0</v>
      </c>
      <c r="AT419" s="88">
        <v>0</v>
      </c>
      <c r="AU419" s="88">
        <v>0</v>
      </c>
      <c r="AV419" s="88">
        <v>0</v>
      </c>
      <c r="AW419" s="88">
        <v>0</v>
      </c>
      <c r="AX419" s="88">
        <v>0</v>
      </c>
      <c r="AY419" s="87">
        <v>0</v>
      </c>
      <c r="AZ419" s="87">
        <v>0</v>
      </c>
      <c r="BA419" s="87">
        <v>0</v>
      </c>
      <c r="BB419" s="87">
        <v>0</v>
      </c>
      <c r="BC419" s="87">
        <v>0</v>
      </c>
      <c r="BD419" s="87">
        <v>0</v>
      </c>
      <c r="BE419" s="87">
        <v>0</v>
      </c>
      <c r="BF419" s="87">
        <v>0</v>
      </c>
      <c r="BG419" s="88">
        <v>0</v>
      </c>
      <c r="BH419" s="88">
        <v>0</v>
      </c>
      <c r="BI419" s="88">
        <v>0</v>
      </c>
      <c r="BJ419" s="88">
        <v>0</v>
      </c>
      <c r="BK419" s="88">
        <v>0</v>
      </c>
      <c r="BL419" s="88">
        <v>0</v>
      </c>
      <c r="BM419" s="88">
        <v>0</v>
      </c>
      <c r="BN419" s="590">
        <v>0</v>
      </c>
      <c r="BO419" s="171">
        <v>2023</v>
      </c>
      <c r="BP419" s="171">
        <v>1</v>
      </c>
      <c r="BQ419" s="171">
        <v>19</v>
      </c>
      <c r="BS419" s="76" t="str">
        <f t="shared" si="13"/>
        <v>○</v>
      </c>
    </row>
    <row r="420" spans="1:71" x14ac:dyDescent="0.2">
      <c r="A420" s="210">
        <v>1616</v>
      </c>
      <c r="B420" s="211"/>
      <c r="C420" s="212"/>
      <c r="D420" s="211"/>
      <c r="E420" s="212"/>
      <c r="F420" s="211"/>
      <c r="G420" s="211"/>
      <c r="H420" s="212"/>
      <c r="I420" s="211"/>
      <c r="J420" s="211"/>
      <c r="K420" s="211"/>
      <c r="L420" s="171"/>
      <c r="M420" s="171" t="s">
        <v>595</v>
      </c>
      <c r="N420" s="171" t="s">
        <v>275</v>
      </c>
      <c r="O420" s="171" t="s">
        <v>596</v>
      </c>
      <c r="P420" s="171" t="s">
        <v>916</v>
      </c>
      <c r="Q420" s="171"/>
      <c r="R420" s="213">
        <v>587000</v>
      </c>
      <c r="S420" s="87">
        <v>0</v>
      </c>
      <c r="T420" s="87">
        <v>0</v>
      </c>
      <c r="U420" s="87">
        <v>0</v>
      </c>
      <c r="V420" s="87">
        <v>0</v>
      </c>
      <c r="W420" s="87">
        <v>0</v>
      </c>
      <c r="X420" s="87">
        <v>0</v>
      </c>
      <c r="Y420" s="87">
        <v>0</v>
      </c>
      <c r="Z420" s="87">
        <v>0</v>
      </c>
      <c r="AA420" s="214">
        <v>0</v>
      </c>
      <c r="AB420" s="214">
        <v>0</v>
      </c>
      <c r="AC420" s="214">
        <v>0</v>
      </c>
      <c r="AD420" s="214">
        <v>0</v>
      </c>
      <c r="AE420" s="214">
        <v>0</v>
      </c>
      <c r="AF420" s="214">
        <v>0</v>
      </c>
      <c r="AG420" s="214">
        <v>0</v>
      </c>
      <c r="AH420" s="214">
        <v>0</v>
      </c>
      <c r="AI420" s="87">
        <v>587060</v>
      </c>
      <c r="AJ420" s="87">
        <v>0</v>
      </c>
      <c r="AK420" s="87">
        <v>587060</v>
      </c>
      <c r="AL420" s="87">
        <v>587060</v>
      </c>
      <c r="AM420" s="87">
        <v>4302000</v>
      </c>
      <c r="AN420" s="87">
        <v>587060</v>
      </c>
      <c r="AO420" s="87">
        <v>587060</v>
      </c>
      <c r="AP420" s="87">
        <v>587000</v>
      </c>
      <c r="AQ420" s="88">
        <v>0</v>
      </c>
      <c r="AR420" s="88">
        <v>0</v>
      </c>
      <c r="AS420" s="88">
        <v>0</v>
      </c>
      <c r="AT420" s="88">
        <v>0</v>
      </c>
      <c r="AU420" s="88">
        <v>0</v>
      </c>
      <c r="AV420" s="88">
        <v>0</v>
      </c>
      <c r="AW420" s="88">
        <v>0</v>
      </c>
      <c r="AX420" s="88">
        <v>0</v>
      </c>
      <c r="AY420" s="87">
        <v>0</v>
      </c>
      <c r="AZ420" s="87">
        <v>0</v>
      </c>
      <c r="BA420" s="87">
        <v>0</v>
      </c>
      <c r="BB420" s="87">
        <v>0</v>
      </c>
      <c r="BC420" s="87">
        <v>0</v>
      </c>
      <c r="BD420" s="87">
        <v>0</v>
      </c>
      <c r="BE420" s="87">
        <v>0</v>
      </c>
      <c r="BF420" s="87">
        <v>0</v>
      </c>
      <c r="BG420" s="88">
        <v>0</v>
      </c>
      <c r="BH420" s="88">
        <v>0</v>
      </c>
      <c r="BI420" s="88">
        <v>0</v>
      </c>
      <c r="BJ420" s="88">
        <v>0</v>
      </c>
      <c r="BK420" s="88">
        <v>0</v>
      </c>
      <c r="BL420" s="88">
        <v>0</v>
      </c>
      <c r="BM420" s="88">
        <v>0</v>
      </c>
      <c r="BN420" s="590">
        <v>0</v>
      </c>
      <c r="BO420" s="171">
        <v>2023</v>
      </c>
      <c r="BP420" s="171">
        <v>1</v>
      </c>
      <c r="BQ420" s="171">
        <v>19</v>
      </c>
      <c r="BS420" s="76" t="str">
        <f t="shared" si="13"/>
        <v>○</v>
      </c>
    </row>
    <row r="421" spans="1:71" x14ac:dyDescent="0.2">
      <c r="A421" s="210">
        <v>1617</v>
      </c>
      <c r="B421" s="211"/>
      <c r="C421" s="212"/>
      <c r="D421" s="211"/>
      <c r="E421" s="212"/>
      <c r="F421" s="211"/>
      <c r="G421" s="211"/>
      <c r="H421" s="212"/>
      <c r="I421" s="211"/>
      <c r="J421" s="211"/>
      <c r="K421" s="211"/>
      <c r="L421" s="171"/>
      <c r="M421" s="171" t="s">
        <v>454</v>
      </c>
      <c r="N421" s="171" t="s">
        <v>275</v>
      </c>
      <c r="O421" s="171" t="s">
        <v>328</v>
      </c>
      <c r="P421" s="171" t="s">
        <v>916</v>
      </c>
      <c r="Q421" s="171"/>
      <c r="R421" s="213">
        <v>314000</v>
      </c>
      <c r="S421" s="87">
        <v>0</v>
      </c>
      <c r="T421" s="87">
        <v>0</v>
      </c>
      <c r="U421" s="87">
        <v>0</v>
      </c>
      <c r="V421" s="87">
        <v>0</v>
      </c>
      <c r="W421" s="87">
        <v>0</v>
      </c>
      <c r="X421" s="87">
        <v>0</v>
      </c>
      <c r="Y421" s="87">
        <v>0</v>
      </c>
      <c r="Z421" s="87">
        <v>0</v>
      </c>
      <c r="AA421" s="214">
        <v>0</v>
      </c>
      <c r="AB421" s="214">
        <v>0</v>
      </c>
      <c r="AC421" s="214">
        <v>0</v>
      </c>
      <c r="AD421" s="214">
        <v>0</v>
      </c>
      <c r="AE421" s="214">
        <v>0</v>
      </c>
      <c r="AF421" s="214">
        <v>0</v>
      </c>
      <c r="AG421" s="214">
        <v>0</v>
      </c>
      <c r="AH421" s="214">
        <v>0</v>
      </c>
      <c r="AI421" s="87">
        <v>314491</v>
      </c>
      <c r="AJ421" s="87">
        <v>0</v>
      </c>
      <c r="AK421" s="87">
        <v>314491</v>
      </c>
      <c r="AL421" s="87">
        <v>314491</v>
      </c>
      <c r="AM421" s="87">
        <v>6609600</v>
      </c>
      <c r="AN421" s="87">
        <v>314491</v>
      </c>
      <c r="AO421" s="87">
        <v>314491</v>
      </c>
      <c r="AP421" s="87">
        <v>314000</v>
      </c>
      <c r="AQ421" s="88">
        <v>0</v>
      </c>
      <c r="AR421" s="88">
        <v>0</v>
      </c>
      <c r="AS421" s="88">
        <v>0</v>
      </c>
      <c r="AT421" s="88">
        <v>0</v>
      </c>
      <c r="AU421" s="88">
        <v>0</v>
      </c>
      <c r="AV421" s="88">
        <v>0</v>
      </c>
      <c r="AW421" s="88">
        <v>0</v>
      </c>
      <c r="AX421" s="88">
        <v>0</v>
      </c>
      <c r="AY421" s="87">
        <v>0</v>
      </c>
      <c r="AZ421" s="87">
        <v>0</v>
      </c>
      <c r="BA421" s="87">
        <v>0</v>
      </c>
      <c r="BB421" s="87">
        <v>0</v>
      </c>
      <c r="BC421" s="87">
        <v>0</v>
      </c>
      <c r="BD421" s="87">
        <v>0</v>
      </c>
      <c r="BE421" s="87">
        <v>0</v>
      </c>
      <c r="BF421" s="87">
        <v>0</v>
      </c>
      <c r="BG421" s="88">
        <v>0</v>
      </c>
      <c r="BH421" s="88">
        <v>0</v>
      </c>
      <c r="BI421" s="88">
        <v>0</v>
      </c>
      <c r="BJ421" s="88">
        <v>0</v>
      </c>
      <c r="BK421" s="88">
        <v>0</v>
      </c>
      <c r="BL421" s="88">
        <v>0</v>
      </c>
      <c r="BM421" s="88">
        <v>0</v>
      </c>
      <c r="BN421" s="590">
        <v>0</v>
      </c>
      <c r="BO421" s="171">
        <v>2023</v>
      </c>
      <c r="BP421" s="171">
        <v>1</v>
      </c>
      <c r="BQ421" s="171">
        <v>19</v>
      </c>
      <c r="BS421" s="76" t="str">
        <f t="shared" si="13"/>
        <v>○</v>
      </c>
    </row>
    <row r="422" spans="1:71" x14ac:dyDescent="0.2">
      <c r="A422" s="210">
        <v>1618</v>
      </c>
      <c r="B422" s="211"/>
      <c r="C422" s="212"/>
      <c r="D422" s="211"/>
      <c r="E422" s="212"/>
      <c r="F422" s="211"/>
      <c r="G422" s="211"/>
      <c r="H422" s="212"/>
      <c r="I422" s="211"/>
      <c r="J422" s="211"/>
      <c r="K422" s="211"/>
      <c r="L422" s="171"/>
      <c r="M422" s="171" t="s">
        <v>742</v>
      </c>
      <c r="N422" s="171" t="s">
        <v>269</v>
      </c>
      <c r="O422" s="171" t="s">
        <v>545</v>
      </c>
      <c r="P422" s="171" t="s">
        <v>916</v>
      </c>
      <c r="Q422" s="171"/>
      <c r="R422" s="213">
        <v>293000</v>
      </c>
      <c r="S422" s="87">
        <v>0</v>
      </c>
      <c r="T422" s="87">
        <v>0</v>
      </c>
      <c r="U422" s="87">
        <v>0</v>
      </c>
      <c r="V422" s="87">
        <v>0</v>
      </c>
      <c r="W422" s="87">
        <v>0</v>
      </c>
      <c r="X422" s="87">
        <v>0</v>
      </c>
      <c r="Y422" s="87">
        <v>0</v>
      </c>
      <c r="Z422" s="87">
        <v>0</v>
      </c>
      <c r="AA422" s="214">
        <v>0</v>
      </c>
      <c r="AB422" s="214">
        <v>0</v>
      </c>
      <c r="AC422" s="214">
        <v>0</v>
      </c>
      <c r="AD422" s="214">
        <v>0</v>
      </c>
      <c r="AE422" s="214">
        <v>0</v>
      </c>
      <c r="AF422" s="214">
        <v>0</v>
      </c>
      <c r="AG422" s="214">
        <v>0</v>
      </c>
      <c r="AH422" s="214">
        <v>0</v>
      </c>
      <c r="AI422" s="87">
        <v>293259</v>
      </c>
      <c r="AJ422" s="87">
        <v>0</v>
      </c>
      <c r="AK422" s="87">
        <v>293259</v>
      </c>
      <c r="AL422" s="87">
        <v>293259</v>
      </c>
      <c r="AM422" s="87">
        <v>9072000</v>
      </c>
      <c r="AN422" s="87">
        <v>293259</v>
      </c>
      <c r="AO422" s="87">
        <v>293259</v>
      </c>
      <c r="AP422" s="87">
        <v>293000</v>
      </c>
      <c r="AQ422" s="88">
        <v>0</v>
      </c>
      <c r="AR422" s="88">
        <v>0</v>
      </c>
      <c r="AS422" s="88">
        <v>0</v>
      </c>
      <c r="AT422" s="88">
        <v>0</v>
      </c>
      <c r="AU422" s="88">
        <v>0</v>
      </c>
      <c r="AV422" s="88">
        <v>0</v>
      </c>
      <c r="AW422" s="88">
        <v>0</v>
      </c>
      <c r="AX422" s="88">
        <v>0</v>
      </c>
      <c r="AY422" s="87">
        <v>0</v>
      </c>
      <c r="AZ422" s="87">
        <v>0</v>
      </c>
      <c r="BA422" s="87">
        <v>0</v>
      </c>
      <c r="BB422" s="87">
        <v>0</v>
      </c>
      <c r="BC422" s="87">
        <v>0</v>
      </c>
      <c r="BD422" s="87">
        <v>0</v>
      </c>
      <c r="BE422" s="87">
        <v>0</v>
      </c>
      <c r="BF422" s="87">
        <v>0</v>
      </c>
      <c r="BG422" s="88">
        <v>0</v>
      </c>
      <c r="BH422" s="88">
        <v>0</v>
      </c>
      <c r="BI422" s="88">
        <v>0</v>
      </c>
      <c r="BJ422" s="88">
        <v>0</v>
      </c>
      <c r="BK422" s="88">
        <v>0</v>
      </c>
      <c r="BL422" s="88">
        <v>0</v>
      </c>
      <c r="BM422" s="88">
        <v>0</v>
      </c>
      <c r="BN422" s="590">
        <v>0</v>
      </c>
      <c r="BO422" s="171">
        <v>2023</v>
      </c>
      <c r="BP422" s="171">
        <v>1</v>
      </c>
      <c r="BQ422" s="171">
        <v>19</v>
      </c>
      <c r="BS422" s="76" t="str">
        <f t="shared" si="13"/>
        <v>○</v>
      </c>
    </row>
    <row r="423" spans="1:71" x14ac:dyDescent="0.2">
      <c r="A423" s="210">
        <v>1619</v>
      </c>
      <c r="B423" s="211"/>
      <c r="C423" s="212"/>
      <c r="D423" s="211"/>
      <c r="E423" s="212"/>
      <c r="F423" s="211"/>
      <c r="G423" s="211"/>
      <c r="H423" s="212"/>
      <c r="I423" s="211"/>
      <c r="J423" s="211"/>
      <c r="K423" s="211"/>
      <c r="L423" s="171"/>
      <c r="M423" s="171" t="s">
        <v>785</v>
      </c>
      <c r="N423" s="171" t="s">
        <v>286</v>
      </c>
      <c r="O423" s="171" t="s">
        <v>786</v>
      </c>
      <c r="P423" s="171" t="s">
        <v>916</v>
      </c>
      <c r="Q423" s="171"/>
      <c r="R423" s="213">
        <v>97000</v>
      </c>
      <c r="S423" s="87">
        <v>0</v>
      </c>
      <c r="T423" s="87">
        <v>0</v>
      </c>
      <c r="U423" s="87">
        <v>0</v>
      </c>
      <c r="V423" s="87">
        <v>0</v>
      </c>
      <c r="W423" s="87">
        <v>0</v>
      </c>
      <c r="X423" s="87">
        <v>0</v>
      </c>
      <c r="Y423" s="87">
        <v>0</v>
      </c>
      <c r="Z423" s="87">
        <v>0</v>
      </c>
      <c r="AA423" s="214">
        <v>0</v>
      </c>
      <c r="AB423" s="214">
        <v>0</v>
      </c>
      <c r="AC423" s="214">
        <v>0</v>
      </c>
      <c r="AD423" s="214">
        <v>0</v>
      </c>
      <c r="AE423" s="214">
        <v>0</v>
      </c>
      <c r="AF423" s="214">
        <v>0</v>
      </c>
      <c r="AG423" s="214">
        <v>0</v>
      </c>
      <c r="AH423" s="214">
        <v>0</v>
      </c>
      <c r="AI423" s="87">
        <v>97055</v>
      </c>
      <c r="AJ423" s="87">
        <v>0</v>
      </c>
      <c r="AK423" s="87">
        <v>97055</v>
      </c>
      <c r="AL423" s="87">
        <v>97055</v>
      </c>
      <c r="AM423" s="87">
        <v>1566000</v>
      </c>
      <c r="AN423" s="87">
        <v>97055</v>
      </c>
      <c r="AO423" s="87">
        <v>97055</v>
      </c>
      <c r="AP423" s="87">
        <v>97000</v>
      </c>
      <c r="AQ423" s="88">
        <v>0</v>
      </c>
      <c r="AR423" s="88">
        <v>0</v>
      </c>
      <c r="AS423" s="88">
        <v>0</v>
      </c>
      <c r="AT423" s="88">
        <v>0</v>
      </c>
      <c r="AU423" s="88">
        <v>0</v>
      </c>
      <c r="AV423" s="88">
        <v>0</v>
      </c>
      <c r="AW423" s="88">
        <v>0</v>
      </c>
      <c r="AX423" s="88">
        <v>0</v>
      </c>
      <c r="AY423" s="87">
        <v>0</v>
      </c>
      <c r="AZ423" s="87">
        <v>0</v>
      </c>
      <c r="BA423" s="87">
        <v>0</v>
      </c>
      <c r="BB423" s="87">
        <v>0</v>
      </c>
      <c r="BC423" s="87">
        <v>0</v>
      </c>
      <c r="BD423" s="87">
        <v>0</v>
      </c>
      <c r="BE423" s="87">
        <v>0</v>
      </c>
      <c r="BF423" s="87">
        <v>0</v>
      </c>
      <c r="BG423" s="88">
        <v>0</v>
      </c>
      <c r="BH423" s="88">
        <v>0</v>
      </c>
      <c r="BI423" s="88">
        <v>0</v>
      </c>
      <c r="BJ423" s="88">
        <v>0</v>
      </c>
      <c r="BK423" s="88">
        <v>0</v>
      </c>
      <c r="BL423" s="88">
        <v>0</v>
      </c>
      <c r="BM423" s="88">
        <v>0</v>
      </c>
      <c r="BN423" s="590">
        <v>0</v>
      </c>
      <c r="BO423" s="171">
        <v>2023</v>
      </c>
      <c r="BP423" s="171">
        <v>1</v>
      </c>
      <c r="BQ423" s="171">
        <v>19</v>
      </c>
      <c r="BS423" s="76" t="str">
        <f t="shared" si="13"/>
        <v>○</v>
      </c>
    </row>
    <row r="424" spans="1:71" x14ac:dyDescent="0.2">
      <c r="A424" s="210">
        <v>1620</v>
      </c>
      <c r="B424" s="211"/>
      <c r="C424" s="212"/>
      <c r="D424" s="211"/>
      <c r="E424" s="212"/>
      <c r="F424" s="211"/>
      <c r="G424" s="211"/>
      <c r="H424" s="212"/>
      <c r="I424" s="211"/>
      <c r="J424" s="211"/>
      <c r="K424" s="211"/>
      <c r="L424" s="171"/>
      <c r="M424" s="171" t="s">
        <v>787</v>
      </c>
      <c r="N424" s="171" t="s">
        <v>269</v>
      </c>
      <c r="O424" s="171" t="s">
        <v>750</v>
      </c>
      <c r="P424" s="171" t="s">
        <v>916</v>
      </c>
      <c r="Q424" s="171"/>
      <c r="R424" s="213">
        <v>150000</v>
      </c>
      <c r="S424" s="87">
        <v>0</v>
      </c>
      <c r="T424" s="87">
        <v>0</v>
      </c>
      <c r="U424" s="87">
        <v>0</v>
      </c>
      <c r="V424" s="87">
        <v>0</v>
      </c>
      <c r="W424" s="87">
        <v>0</v>
      </c>
      <c r="X424" s="87">
        <v>0</v>
      </c>
      <c r="Y424" s="87">
        <v>0</v>
      </c>
      <c r="Z424" s="87">
        <v>0</v>
      </c>
      <c r="AA424" s="214">
        <v>0</v>
      </c>
      <c r="AB424" s="214">
        <v>0</v>
      </c>
      <c r="AC424" s="214">
        <v>0</v>
      </c>
      <c r="AD424" s="214">
        <v>0</v>
      </c>
      <c r="AE424" s="214">
        <v>0</v>
      </c>
      <c r="AF424" s="214">
        <v>0</v>
      </c>
      <c r="AG424" s="214">
        <v>0</v>
      </c>
      <c r="AH424" s="214">
        <v>0</v>
      </c>
      <c r="AI424" s="87">
        <v>150280</v>
      </c>
      <c r="AJ424" s="87">
        <v>0</v>
      </c>
      <c r="AK424" s="87">
        <v>150280</v>
      </c>
      <c r="AL424" s="87">
        <v>150280</v>
      </c>
      <c r="AM424" s="87">
        <v>4752000</v>
      </c>
      <c r="AN424" s="87">
        <v>150280</v>
      </c>
      <c r="AO424" s="87">
        <v>150280</v>
      </c>
      <c r="AP424" s="87">
        <v>150000</v>
      </c>
      <c r="AQ424" s="88">
        <v>0</v>
      </c>
      <c r="AR424" s="88">
        <v>0</v>
      </c>
      <c r="AS424" s="88">
        <v>0</v>
      </c>
      <c r="AT424" s="88">
        <v>0</v>
      </c>
      <c r="AU424" s="88">
        <v>0</v>
      </c>
      <c r="AV424" s="88">
        <v>0</v>
      </c>
      <c r="AW424" s="88">
        <v>0</v>
      </c>
      <c r="AX424" s="88">
        <v>0</v>
      </c>
      <c r="AY424" s="87">
        <v>0</v>
      </c>
      <c r="AZ424" s="87">
        <v>0</v>
      </c>
      <c r="BA424" s="87">
        <v>0</v>
      </c>
      <c r="BB424" s="87">
        <v>0</v>
      </c>
      <c r="BC424" s="87">
        <v>0</v>
      </c>
      <c r="BD424" s="87">
        <v>0</v>
      </c>
      <c r="BE424" s="87">
        <v>0</v>
      </c>
      <c r="BF424" s="87">
        <v>0</v>
      </c>
      <c r="BG424" s="88">
        <v>0</v>
      </c>
      <c r="BH424" s="88">
        <v>0</v>
      </c>
      <c r="BI424" s="88">
        <v>0</v>
      </c>
      <c r="BJ424" s="88">
        <v>0</v>
      </c>
      <c r="BK424" s="88">
        <v>0</v>
      </c>
      <c r="BL424" s="88">
        <v>0</v>
      </c>
      <c r="BM424" s="88">
        <v>0</v>
      </c>
      <c r="BN424" s="590">
        <v>0</v>
      </c>
      <c r="BO424" s="171">
        <v>2023</v>
      </c>
      <c r="BP424" s="171">
        <v>1</v>
      </c>
      <c r="BQ424" s="171">
        <v>19</v>
      </c>
      <c r="BS424" s="76" t="str">
        <f t="shared" si="13"/>
        <v>○</v>
      </c>
    </row>
    <row r="425" spans="1:71" x14ac:dyDescent="0.2">
      <c r="A425" s="210">
        <v>1621</v>
      </c>
      <c r="B425" s="211"/>
      <c r="C425" s="212"/>
      <c r="D425" s="211"/>
      <c r="E425" s="212"/>
      <c r="F425" s="211"/>
      <c r="G425" s="211"/>
      <c r="H425" s="212"/>
      <c r="I425" s="211"/>
      <c r="J425" s="211"/>
      <c r="K425" s="211"/>
      <c r="L425" s="171"/>
      <c r="M425" s="171" t="s">
        <v>283</v>
      </c>
      <c r="N425" s="171" t="s">
        <v>269</v>
      </c>
      <c r="O425" s="171" t="s">
        <v>284</v>
      </c>
      <c r="P425" s="171" t="s">
        <v>916</v>
      </c>
      <c r="Q425" s="171"/>
      <c r="R425" s="213">
        <v>167000</v>
      </c>
      <c r="S425" s="87">
        <v>0</v>
      </c>
      <c r="T425" s="87">
        <v>0</v>
      </c>
      <c r="U425" s="87">
        <v>0</v>
      </c>
      <c r="V425" s="87">
        <v>0</v>
      </c>
      <c r="W425" s="87">
        <v>0</v>
      </c>
      <c r="X425" s="87">
        <v>0</v>
      </c>
      <c r="Y425" s="87">
        <v>0</v>
      </c>
      <c r="Z425" s="87">
        <v>0</v>
      </c>
      <c r="AA425" s="214">
        <v>0</v>
      </c>
      <c r="AB425" s="214">
        <v>0</v>
      </c>
      <c r="AC425" s="214">
        <v>0</v>
      </c>
      <c r="AD425" s="214">
        <v>0</v>
      </c>
      <c r="AE425" s="214">
        <v>0</v>
      </c>
      <c r="AF425" s="214">
        <v>0</v>
      </c>
      <c r="AG425" s="214">
        <v>0</v>
      </c>
      <c r="AH425" s="214">
        <v>0</v>
      </c>
      <c r="AI425" s="87">
        <v>167970</v>
      </c>
      <c r="AJ425" s="87">
        <v>0</v>
      </c>
      <c r="AK425" s="87">
        <v>167970</v>
      </c>
      <c r="AL425" s="87">
        <v>167970</v>
      </c>
      <c r="AM425" s="87">
        <v>3456000</v>
      </c>
      <c r="AN425" s="87">
        <v>167970</v>
      </c>
      <c r="AO425" s="87">
        <v>167970</v>
      </c>
      <c r="AP425" s="87">
        <v>167000</v>
      </c>
      <c r="AQ425" s="88">
        <v>0</v>
      </c>
      <c r="AR425" s="88">
        <v>0</v>
      </c>
      <c r="AS425" s="88">
        <v>0</v>
      </c>
      <c r="AT425" s="88">
        <v>0</v>
      </c>
      <c r="AU425" s="88">
        <v>0</v>
      </c>
      <c r="AV425" s="88">
        <v>0</v>
      </c>
      <c r="AW425" s="88">
        <v>0</v>
      </c>
      <c r="AX425" s="88">
        <v>0</v>
      </c>
      <c r="AY425" s="87">
        <v>0</v>
      </c>
      <c r="AZ425" s="87">
        <v>0</v>
      </c>
      <c r="BA425" s="87">
        <v>0</v>
      </c>
      <c r="BB425" s="87">
        <v>0</v>
      </c>
      <c r="BC425" s="87">
        <v>0</v>
      </c>
      <c r="BD425" s="87">
        <v>0</v>
      </c>
      <c r="BE425" s="87">
        <v>0</v>
      </c>
      <c r="BF425" s="87">
        <v>0</v>
      </c>
      <c r="BG425" s="88">
        <v>0</v>
      </c>
      <c r="BH425" s="88">
        <v>0</v>
      </c>
      <c r="BI425" s="88">
        <v>0</v>
      </c>
      <c r="BJ425" s="88">
        <v>0</v>
      </c>
      <c r="BK425" s="88">
        <v>0</v>
      </c>
      <c r="BL425" s="88">
        <v>0</v>
      </c>
      <c r="BM425" s="88">
        <v>0</v>
      </c>
      <c r="BN425" s="590">
        <v>0</v>
      </c>
      <c r="BO425" s="171">
        <v>2023</v>
      </c>
      <c r="BP425" s="171">
        <v>1</v>
      </c>
      <c r="BQ425" s="171">
        <v>19</v>
      </c>
      <c r="BS425" s="76" t="str">
        <f t="shared" si="13"/>
        <v>○</v>
      </c>
    </row>
    <row r="426" spans="1:71" x14ac:dyDescent="0.2">
      <c r="A426" s="210">
        <v>1622</v>
      </c>
      <c r="B426" s="211"/>
      <c r="C426" s="212"/>
      <c r="D426" s="211"/>
      <c r="E426" s="212"/>
      <c r="F426" s="211"/>
      <c r="G426" s="211"/>
      <c r="H426" s="212"/>
      <c r="I426" s="211"/>
      <c r="J426" s="211"/>
      <c r="K426" s="211"/>
      <c r="L426" s="171"/>
      <c r="M426" s="171" t="s">
        <v>788</v>
      </c>
      <c r="N426" s="171" t="s">
        <v>493</v>
      </c>
      <c r="O426" s="171" t="s">
        <v>789</v>
      </c>
      <c r="P426" s="171" t="s">
        <v>916</v>
      </c>
      <c r="Q426" s="171"/>
      <c r="R426" s="213">
        <v>373000</v>
      </c>
      <c r="S426" s="87">
        <v>0</v>
      </c>
      <c r="T426" s="87">
        <v>0</v>
      </c>
      <c r="U426" s="87">
        <v>0</v>
      </c>
      <c r="V426" s="87">
        <v>0</v>
      </c>
      <c r="W426" s="87">
        <v>0</v>
      </c>
      <c r="X426" s="87">
        <v>0</v>
      </c>
      <c r="Y426" s="87">
        <v>0</v>
      </c>
      <c r="Z426" s="87">
        <v>0</v>
      </c>
      <c r="AA426" s="214">
        <v>0</v>
      </c>
      <c r="AB426" s="214">
        <v>0</v>
      </c>
      <c r="AC426" s="214">
        <v>0</v>
      </c>
      <c r="AD426" s="214">
        <v>0</v>
      </c>
      <c r="AE426" s="214">
        <v>0</v>
      </c>
      <c r="AF426" s="214">
        <v>0</v>
      </c>
      <c r="AG426" s="214">
        <v>0</v>
      </c>
      <c r="AH426" s="214">
        <v>0</v>
      </c>
      <c r="AI426" s="87">
        <v>373900</v>
      </c>
      <c r="AJ426" s="87">
        <v>0</v>
      </c>
      <c r="AK426" s="87">
        <v>373900</v>
      </c>
      <c r="AL426" s="87">
        <v>373900</v>
      </c>
      <c r="AM426" s="87">
        <v>2610000</v>
      </c>
      <c r="AN426" s="87">
        <v>373900</v>
      </c>
      <c r="AO426" s="87">
        <v>373900</v>
      </c>
      <c r="AP426" s="87">
        <v>373000</v>
      </c>
      <c r="AQ426" s="88">
        <v>0</v>
      </c>
      <c r="AR426" s="88">
        <v>0</v>
      </c>
      <c r="AS426" s="88">
        <v>0</v>
      </c>
      <c r="AT426" s="88">
        <v>0</v>
      </c>
      <c r="AU426" s="88">
        <v>0</v>
      </c>
      <c r="AV426" s="88">
        <v>0</v>
      </c>
      <c r="AW426" s="88">
        <v>0</v>
      </c>
      <c r="AX426" s="88">
        <v>0</v>
      </c>
      <c r="AY426" s="87">
        <v>0</v>
      </c>
      <c r="AZ426" s="87">
        <v>0</v>
      </c>
      <c r="BA426" s="87">
        <v>0</v>
      </c>
      <c r="BB426" s="87">
        <v>0</v>
      </c>
      <c r="BC426" s="87">
        <v>0</v>
      </c>
      <c r="BD426" s="87">
        <v>0</v>
      </c>
      <c r="BE426" s="87">
        <v>0</v>
      </c>
      <c r="BF426" s="87">
        <v>0</v>
      </c>
      <c r="BG426" s="88">
        <v>0</v>
      </c>
      <c r="BH426" s="88">
        <v>0</v>
      </c>
      <c r="BI426" s="88">
        <v>0</v>
      </c>
      <c r="BJ426" s="88">
        <v>0</v>
      </c>
      <c r="BK426" s="88">
        <v>0</v>
      </c>
      <c r="BL426" s="88">
        <v>0</v>
      </c>
      <c r="BM426" s="88">
        <v>0</v>
      </c>
      <c r="BN426" s="590">
        <v>0</v>
      </c>
      <c r="BO426" s="171">
        <v>2023</v>
      </c>
      <c r="BP426" s="171">
        <v>1</v>
      </c>
      <c r="BQ426" s="171">
        <v>19</v>
      </c>
      <c r="BS426" s="76" t="str">
        <f t="shared" si="13"/>
        <v>○</v>
      </c>
    </row>
    <row r="427" spans="1:71" x14ac:dyDescent="0.2">
      <c r="A427" s="210">
        <v>1623</v>
      </c>
      <c r="B427" s="211"/>
      <c r="C427" s="212"/>
      <c r="D427" s="211"/>
      <c r="E427" s="212"/>
      <c r="F427" s="211"/>
      <c r="G427" s="211"/>
      <c r="H427" s="212"/>
      <c r="I427" s="211"/>
      <c r="J427" s="211"/>
      <c r="K427" s="211"/>
      <c r="L427" s="171"/>
      <c r="M427" s="171" t="s">
        <v>392</v>
      </c>
      <c r="N427" s="171" t="s">
        <v>393</v>
      </c>
      <c r="O427" s="171" t="s">
        <v>394</v>
      </c>
      <c r="P427" s="171" t="s">
        <v>916</v>
      </c>
      <c r="Q427" s="171"/>
      <c r="R427" s="213">
        <v>840000</v>
      </c>
      <c r="S427" s="87">
        <v>0</v>
      </c>
      <c r="T427" s="87">
        <v>0</v>
      </c>
      <c r="U427" s="87">
        <v>0</v>
      </c>
      <c r="V427" s="87">
        <v>0</v>
      </c>
      <c r="W427" s="87">
        <v>0</v>
      </c>
      <c r="X427" s="87">
        <v>0</v>
      </c>
      <c r="Y427" s="87">
        <v>0</v>
      </c>
      <c r="Z427" s="87">
        <v>0</v>
      </c>
      <c r="AA427" s="214">
        <v>0</v>
      </c>
      <c r="AB427" s="214">
        <v>0</v>
      </c>
      <c r="AC427" s="214">
        <v>0</v>
      </c>
      <c r="AD427" s="214">
        <v>0</v>
      </c>
      <c r="AE427" s="214">
        <v>0</v>
      </c>
      <c r="AF427" s="214">
        <v>0</v>
      </c>
      <c r="AG427" s="214">
        <v>0</v>
      </c>
      <c r="AH427" s="214">
        <v>0</v>
      </c>
      <c r="AI427" s="87">
        <v>840690</v>
      </c>
      <c r="AJ427" s="87">
        <v>0</v>
      </c>
      <c r="AK427" s="87">
        <v>840690</v>
      </c>
      <c r="AL427" s="87">
        <v>840690</v>
      </c>
      <c r="AM427" s="87">
        <v>1728000</v>
      </c>
      <c r="AN427" s="87">
        <v>840690</v>
      </c>
      <c r="AO427" s="87">
        <v>840690</v>
      </c>
      <c r="AP427" s="87">
        <v>840000</v>
      </c>
      <c r="AQ427" s="88">
        <v>0</v>
      </c>
      <c r="AR427" s="88">
        <v>0</v>
      </c>
      <c r="AS427" s="88">
        <v>0</v>
      </c>
      <c r="AT427" s="88">
        <v>0</v>
      </c>
      <c r="AU427" s="88">
        <v>0</v>
      </c>
      <c r="AV427" s="88">
        <v>0</v>
      </c>
      <c r="AW427" s="88">
        <v>0</v>
      </c>
      <c r="AX427" s="88">
        <v>0</v>
      </c>
      <c r="AY427" s="87">
        <v>0</v>
      </c>
      <c r="AZ427" s="87">
        <v>0</v>
      </c>
      <c r="BA427" s="87">
        <v>0</v>
      </c>
      <c r="BB427" s="87">
        <v>0</v>
      </c>
      <c r="BC427" s="87">
        <v>0</v>
      </c>
      <c r="BD427" s="87">
        <v>0</v>
      </c>
      <c r="BE427" s="87">
        <v>0</v>
      </c>
      <c r="BF427" s="87">
        <v>0</v>
      </c>
      <c r="BG427" s="88">
        <v>0</v>
      </c>
      <c r="BH427" s="88">
        <v>0</v>
      </c>
      <c r="BI427" s="88">
        <v>0</v>
      </c>
      <c r="BJ427" s="88">
        <v>0</v>
      </c>
      <c r="BK427" s="88">
        <v>0</v>
      </c>
      <c r="BL427" s="88">
        <v>0</v>
      </c>
      <c r="BM427" s="88">
        <v>0</v>
      </c>
      <c r="BN427" s="590">
        <v>0</v>
      </c>
      <c r="BO427" s="171">
        <v>2023</v>
      </c>
      <c r="BP427" s="171">
        <v>1</v>
      </c>
      <c r="BQ427" s="171">
        <v>19</v>
      </c>
      <c r="BS427" s="76" t="str">
        <f t="shared" si="13"/>
        <v>○</v>
      </c>
    </row>
    <row r="428" spans="1:71" x14ac:dyDescent="0.2">
      <c r="A428" s="210">
        <v>1624</v>
      </c>
      <c r="B428" s="211"/>
      <c r="C428" s="212"/>
      <c r="D428" s="211"/>
      <c r="E428" s="212"/>
      <c r="F428" s="211"/>
      <c r="G428" s="211"/>
      <c r="H428" s="212"/>
      <c r="I428" s="211"/>
      <c r="J428" s="211"/>
      <c r="K428" s="211"/>
      <c r="L428" s="171"/>
      <c r="M428" s="171" t="s">
        <v>749</v>
      </c>
      <c r="N428" s="171" t="s">
        <v>313</v>
      </c>
      <c r="O428" s="171" t="s">
        <v>750</v>
      </c>
      <c r="P428" s="171" t="s">
        <v>916</v>
      </c>
      <c r="Q428" s="171"/>
      <c r="R428" s="213">
        <v>293000</v>
      </c>
      <c r="S428" s="87">
        <v>0</v>
      </c>
      <c r="T428" s="87">
        <v>0</v>
      </c>
      <c r="U428" s="87">
        <v>0</v>
      </c>
      <c r="V428" s="87">
        <v>0</v>
      </c>
      <c r="W428" s="87">
        <v>0</v>
      </c>
      <c r="X428" s="87">
        <v>0</v>
      </c>
      <c r="Y428" s="87">
        <v>0</v>
      </c>
      <c r="Z428" s="87">
        <v>0</v>
      </c>
      <c r="AA428" s="214">
        <v>0</v>
      </c>
      <c r="AB428" s="214">
        <v>0</v>
      </c>
      <c r="AC428" s="214">
        <v>0</v>
      </c>
      <c r="AD428" s="214">
        <v>0</v>
      </c>
      <c r="AE428" s="214">
        <v>0</v>
      </c>
      <c r="AF428" s="214">
        <v>0</v>
      </c>
      <c r="AG428" s="214">
        <v>0</v>
      </c>
      <c r="AH428" s="214">
        <v>0</v>
      </c>
      <c r="AI428" s="87">
        <v>293944</v>
      </c>
      <c r="AJ428" s="87">
        <v>0</v>
      </c>
      <c r="AK428" s="87">
        <v>293944</v>
      </c>
      <c r="AL428" s="87">
        <v>293944</v>
      </c>
      <c r="AM428" s="87">
        <v>8409600</v>
      </c>
      <c r="AN428" s="87">
        <v>293944</v>
      </c>
      <c r="AO428" s="87">
        <v>293944</v>
      </c>
      <c r="AP428" s="87">
        <v>293000</v>
      </c>
      <c r="AQ428" s="88">
        <v>0</v>
      </c>
      <c r="AR428" s="88">
        <v>0</v>
      </c>
      <c r="AS428" s="88">
        <v>0</v>
      </c>
      <c r="AT428" s="88">
        <v>0</v>
      </c>
      <c r="AU428" s="88">
        <v>0</v>
      </c>
      <c r="AV428" s="88">
        <v>0</v>
      </c>
      <c r="AW428" s="88">
        <v>0</v>
      </c>
      <c r="AX428" s="88">
        <v>0</v>
      </c>
      <c r="AY428" s="87">
        <v>0</v>
      </c>
      <c r="AZ428" s="87">
        <v>0</v>
      </c>
      <c r="BA428" s="87">
        <v>0</v>
      </c>
      <c r="BB428" s="87">
        <v>0</v>
      </c>
      <c r="BC428" s="87">
        <v>0</v>
      </c>
      <c r="BD428" s="87">
        <v>0</v>
      </c>
      <c r="BE428" s="87">
        <v>0</v>
      </c>
      <c r="BF428" s="87">
        <v>0</v>
      </c>
      <c r="BG428" s="88">
        <v>0</v>
      </c>
      <c r="BH428" s="88">
        <v>0</v>
      </c>
      <c r="BI428" s="88">
        <v>0</v>
      </c>
      <c r="BJ428" s="88">
        <v>0</v>
      </c>
      <c r="BK428" s="88">
        <v>0</v>
      </c>
      <c r="BL428" s="88">
        <v>0</v>
      </c>
      <c r="BM428" s="88">
        <v>0</v>
      </c>
      <c r="BN428" s="590">
        <v>0</v>
      </c>
      <c r="BO428" s="171">
        <v>2023</v>
      </c>
      <c r="BP428" s="171">
        <v>1</v>
      </c>
      <c r="BQ428" s="171">
        <v>19</v>
      </c>
      <c r="BS428" s="76" t="str">
        <f t="shared" si="13"/>
        <v>○</v>
      </c>
    </row>
    <row r="429" spans="1:71" x14ac:dyDescent="0.2">
      <c r="A429" s="210">
        <v>1626</v>
      </c>
      <c r="B429" s="211"/>
      <c r="C429" s="212"/>
      <c r="D429" s="211"/>
      <c r="E429" s="212"/>
      <c r="F429" s="211"/>
      <c r="G429" s="211"/>
      <c r="H429" s="212"/>
      <c r="I429" s="211"/>
      <c r="J429" s="211"/>
      <c r="K429" s="211"/>
      <c r="L429" s="171"/>
      <c r="M429" s="171" t="s">
        <v>790</v>
      </c>
      <c r="N429" s="171" t="s">
        <v>313</v>
      </c>
      <c r="O429" s="171" t="s">
        <v>276</v>
      </c>
      <c r="P429" s="171" t="s">
        <v>916</v>
      </c>
      <c r="Q429" s="171"/>
      <c r="R429" s="213">
        <v>314000</v>
      </c>
      <c r="S429" s="87">
        <v>0</v>
      </c>
      <c r="T429" s="87">
        <v>0</v>
      </c>
      <c r="U429" s="87">
        <v>0</v>
      </c>
      <c r="V429" s="87">
        <v>0</v>
      </c>
      <c r="W429" s="87">
        <v>0</v>
      </c>
      <c r="X429" s="87">
        <v>0</v>
      </c>
      <c r="Y429" s="87">
        <v>0</v>
      </c>
      <c r="Z429" s="87">
        <v>0</v>
      </c>
      <c r="AA429" s="214">
        <v>0</v>
      </c>
      <c r="AB429" s="214">
        <v>0</v>
      </c>
      <c r="AC429" s="214">
        <v>0</v>
      </c>
      <c r="AD429" s="214">
        <v>0</v>
      </c>
      <c r="AE429" s="214">
        <v>0</v>
      </c>
      <c r="AF429" s="214">
        <v>0</v>
      </c>
      <c r="AG429" s="214">
        <v>0</v>
      </c>
      <c r="AH429" s="214">
        <v>0</v>
      </c>
      <c r="AI429" s="87">
        <v>314440</v>
      </c>
      <c r="AJ429" s="87">
        <v>0</v>
      </c>
      <c r="AK429" s="87">
        <v>314440</v>
      </c>
      <c r="AL429" s="87">
        <v>314440</v>
      </c>
      <c r="AM429" s="87">
        <v>2538000</v>
      </c>
      <c r="AN429" s="87">
        <v>314440</v>
      </c>
      <c r="AO429" s="87">
        <v>314440</v>
      </c>
      <c r="AP429" s="87">
        <v>314000</v>
      </c>
      <c r="AQ429" s="88">
        <v>0</v>
      </c>
      <c r="AR429" s="88">
        <v>0</v>
      </c>
      <c r="AS429" s="88">
        <v>0</v>
      </c>
      <c r="AT429" s="88">
        <v>0</v>
      </c>
      <c r="AU429" s="88">
        <v>0</v>
      </c>
      <c r="AV429" s="88">
        <v>0</v>
      </c>
      <c r="AW429" s="88">
        <v>0</v>
      </c>
      <c r="AX429" s="88">
        <v>0</v>
      </c>
      <c r="AY429" s="87">
        <v>0</v>
      </c>
      <c r="AZ429" s="87">
        <v>0</v>
      </c>
      <c r="BA429" s="87">
        <v>0</v>
      </c>
      <c r="BB429" s="87">
        <v>0</v>
      </c>
      <c r="BC429" s="87">
        <v>0</v>
      </c>
      <c r="BD429" s="87">
        <v>0</v>
      </c>
      <c r="BE429" s="87">
        <v>0</v>
      </c>
      <c r="BF429" s="87">
        <v>0</v>
      </c>
      <c r="BG429" s="88">
        <v>0</v>
      </c>
      <c r="BH429" s="88">
        <v>0</v>
      </c>
      <c r="BI429" s="88">
        <v>0</v>
      </c>
      <c r="BJ429" s="88">
        <v>0</v>
      </c>
      <c r="BK429" s="88">
        <v>0</v>
      </c>
      <c r="BL429" s="88">
        <v>0</v>
      </c>
      <c r="BM429" s="88">
        <v>0</v>
      </c>
      <c r="BN429" s="590">
        <v>0</v>
      </c>
      <c r="BO429" s="171">
        <v>2023</v>
      </c>
      <c r="BP429" s="171">
        <v>1</v>
      </c>
      <c r="BQ429" s="171">
        <v>19</v>
      </c>
      <c r="BS429" s="76" t="str">
        <f t="shared" si="13"/>
        <v>○</v>
      </c>
    </row>
    <row r="430" spans="1:71" x14ac:dyDescent="0.2">
      <c r="A430" s="210">
        <v>1627</v>
      </c>
      <c r="B430" s="211"/>
      <c r="C430" s="212"/>
      <c r="D430" s="211"/>
      <c r="E430" s="212"/>
      <c r="F430" s="211"/>
      <c r="G430" s="211"/>
      <c r="H430" s="212"/>
      <c r="I430" s="211"/>
      <c r="J430" s="211"/>
      <c r="K430" s="211"/>
      <c r="L430" s="171"/>
      <c r="M430" s="171" t="s">
        <v>791</v>
      </c>
      <c r="N430" s="171" t="s">
        <v>275</v>
      </c>
      <c r="O430" s="171" t="s">
        <v>284</v>
      </c>
      <c r="P430" s="171" t="s">
        <v>916</v>
      </c>
      <c r="Q430" s="171"/>
      <c r="R430" s="213">
        <v>503000</v>
      </c>
      <c r="S430" s="87">
        <v>0</v>
      </c>
      <c r="T430" s="87">
        <v>0</v>
      </c>
      <c r="U430" s="87">
        <v>0</v>
      </c>
      <c r="V430" s="87">
        <v>0</v>
      </c>
      <c r="W430" s="87">
        <v>0</v>
      </c>
      <c r="X430" s="87">
        <v>0</v>
      </c>
      <c r="Y430" s="87">
        <v>0</v>
      </c>
      <c r="Z430" s="87">
        <v>0</v>
      </c>
      <c r="AA430" s="214">
        <v>0</v>
      </c>
      <c r="AB430" s="214">
        <v>0</v>
      </c>
      <c r="AC430" s="214">
        <v>0</v>
      </c>
      <c r="AD430" s="214">
        <v>0</v>
      </c>
      <c r="AE430" s="214">
        <v>0</v>
      </c>
      <c r="AF430" s="214">
        <v>0</v>
      </c>
      <c r="AG430" s="214">
        <v>0</v>
      </c>
      <c r="AH430" s="214">
        <v>0</v>
      </c>
      <c r="AI430" s="87">
        <v>503072</v>
      </c>
      <c r="AJ430" s="87">
        <v>0</v>
      </c>
      <c r="AK430" s="87">
        <v>503072</v>
      </c>
      <c r="AL430" s="87">
        <v>503072</v>
      </c>
      <c r="AM430" s="87">
        <v>1756800</v>
      </c>
      <c r="AN430" s="87">
        <v>503072</v>
      </c>
      <c r="AO430" s="87">
        <v>503072</v>
      </c>
      <c r="AP430" s="87">
        <v>503000</v>
      </c>
      <c r="AQ430" s="88">
        <v>0</v>
      </c>
      <c r="AR430" s="88">
        <v>0</v>
      </c>
      <c r="AS430" s="88">
        <v>0</v>
      </c>
      <c r="AT430" s="88">
        <v>0</v>
      </c>
      <c r="AU430" s="88">
        <v>0</v>
      </c>
      <c r="AV430" s="88">
        <v>0</v>
      </c>
      <c r="AW430" s="88">
        <v>0</v>
      </c>
      <c r="AX430" s="88">
        <v>0</v>
      </c>
      <c r="AY430" s="87">
        <v>0</v>
      </c>
      <c r="AZ430" s="87">
        <v>0</v>
      </c>
      <c r="BA430" s="87">
        <v>0</v>
      </c>
      <c r="BB430" s="87">
        <v>0</v>
      </c>
      <c r="BC430" s="87">
        <v>0</v>
      </c>
      <c r="BD430" s="87">
        <v>0</v>
      </c>
      <c r="BE430" s="87">
        <v>0</v>
      </c>
      <c r="BF430" s="87">
        <v>0</v>
      </c>
      <c r="BG430" s="88">
        <v>0</v>
      </c>
      <c r="BH430" s="88">
        <v>0</v>
      </c>
      <c r="BI430" s="88">
        <v>0</v>
      </c>
      <c r="BJ430" s="88">
        <v>0</v>
      </c>
      <c r="BK430" s="88">
        <v>0</v>
      </c>
      <c r="BL430" s="88">
        <v>0</v>
      </c>
      <c r="BM430" s="88">
        <v>0</v>
      </c>
      <c r="BN430" s="590">
        <v>0</v>
      </c>
      <c r="BO430" s="171">
        <v>2023</v>
      </c>
      <c r="BP430" s="171">
        <v>1</v>
      </c>
      <c r="BQ430" s="171">
        <v>19</v>
      </c>
      <c r="BS430" s="76" t="str">
        <f t="shared" si="13"/>
        <v>○</v>
      </c>
    </row>
    <row r="431" spans="1:71" x14ac:dyDescent="0.2">
      <c r="A431" s="210">
        <v>1629</v>
      </c>
      <c r="B431" s="211"/>
      <c r="C431" s="212"/>
      <c r="D431" s="211"/>
      <c r="E431" s="212"/>
      <c r="F431" s="211"/>
      <c r="G431" s="211"/>
      <c r="H431" s="212"/>
      <c r="I431" s="211"/>
      <c r="J431" s="211"/>
      <c r="K431" s="211"/>
      <c r="L431" s="171"/>
      <c r="M431" s="171" t="s">
        <v>792</v>
      </c>
      <c r="N431" s="171" t="s">
        <v>286</v>
      </c>
      <c r="O431" s="171" t="s">
        <v>793</v>
      </c>
      <c r="P431" s="171" t="s">
        <v>916</v>
      </c>
      <c r="Q431" s="171"/>
      <c r="R431" s="213">
        <v>31000</v>
      </c>
      <c r="S431" s="87">
        <v>0</v>
      </c>
      <c r="T431" s="87">
        <v>0</v>
      </c>
      <c r="U431" s="87">
        <v>0</v>
      </c>
      <c r="V431" s="87">
        <v>0</v>
      </c>
      <c r="W431" s="87">
        <v>0</v>
      </c>
      <c r="X431" s="87">
        <v>0</v>
      </c>
      <c r="Y431" s="87">
        <v>0</v>
      </c>
      <c r="Z431" s="87">
        <v>0</v>
      </c>
      <c r="AA431" s="214">
        <v>0</v>
      </c>
      <c r="AB431" s="214">
        <v>0</v>
      </c>
      <c r="AC431" s="214">
        <v>0</v>
      </c>
      <c r="AD431" s="214">
        <v>0</v>
      </c>
      <c r="AE431" s="214">
        <v>0</v>
      </c>
      <c r="AF431" s="214">
        <v>0</v>
      </c>
      <c r="AG431" s="214">
        <v>0</v>
      </c>
      <c r="AH431" s="214">
        <v>0</v>
      </c>
      <c r="AI431" s="87">
        <v>31075</v>
      </c>
      <c r="AJ431" s="87">
        <v>0</v>
      </c>
      <c r="AK431" s="87">
        <v>31075</v>
      </c>
      <c r="AL431" s="87">
        <v>31075</v>
      </c>
      <c r="AM431" s="87">
        <v>630000</v>
      </c>
      <c r="AN431" s="87">
        <v>31075</v>
      </c>
      <c r="AO431" s="87">
        <v>31075</v>
      </c>
      <c r="AP431" s="87">
        <v>31000</v>
      </c>
      <c r="AQ431" s="88">
        <v>0</v>
      </c>
      <c r="AR431" s="88">
        <v>0</v>
      </c>
      <c r="AS431" s="88">
        <v>0</v>
      </c>
      <c r="AT431" s="88">
        <v>0</v>
      </c>
      <c r="AU431" s="88">
        <v>0</v>
      </c>
      <c r="AV431" s="88">
        <v>0</v>
      </c>
      <c r="AW431" s="88">
        <v>0</v>
      </c>
      <c r="AX431" s="88">
        <v>0</v>
      </c>
      <c r="AY431" s="87">
        <v>0</v>
      </c>
      <c r="AZ431" s="87">
        <v>0</v>
      </c>
      <c r="BA431" s="87">
        <v>0</v>
      </c>
      <c r="BB431" s="87">
        <v>0</v>
      </c>
      <c r="BC431" s="87">
        <v>0</v>
      </c>
      <c r="BD431" s="87">
        <v>0</v>
      </c>
      <c r="BE431" s="87">
        <v>0</v>
      </c>
      <c r="BF431" s="87">
        <v>0</v>
      </c>
      <c r="BG431" s="88">
        <v>0</v>
      </c>
      <c r="BH431" s="88">
        <v>0</v>
      </c>
      <c r="BI431" s="88">
        <v>0</v>
      </c>
      <c r="BJ431" s="88">
        <v>0</v>
      </c>
      <c r="BK431" s="88">
        <v>0</v>
      </c>
      <c r="BL431" s="88">
        <v>0</v>
      </c>
      <c r="BM431" s="88">
        <v>0</v>
      </c>
      <c r="BN431" s="590">
        <v>0</v>
      </c>
      <c r="BO431" s="171">
        <v>2023</v>
      </c>
      <c r="BP431" s="171">
        <v>1</v>
      </c>
      <c r="BQ431" s="171">
        <v>19</v>
      </c>
      <c r="BS431" s="76" t="str">
        <f t="shared" si="13"/>
        <v>○</v>
      </c>
    </row>
    <row r="432" spans="1:71" x14ac:dyDescent="0.2">
      <c r="A432" s="210">
        <v>1630</v>
      </c>
      <c r="B432" s="211"/>
      <c r="C432" s="212"/>
      <c r="D432" s="211"/>
      <c r="E432" s="212"/>
      <c r="F432" s="211"/>
      <c r="G432" s="211"/>
      <c r="H432" s="212"/>
      <c r="I432" s="211"/>
      <c r="J432" s="211"/>
      <c r="K432" s="211"/>
      <c r="L432" s="171"/>
      <c r="M432" s="171" t="s">
        <v>794</v>
      </c>
      <c r="N432" s="171" t="s">
        <v>286</v>
      </c>
      <c r="O432" s="171" t="s">
        <v>408</v>
      </c>
      <c r="P432" s="171" t="s">
        <v>916</v>
      </c>
      <c r="Q432" s="171"/>
      <c r="R432" s="213">
        <v>113000</v>
      </c>
      <c r="S432" s="87">
        <v>0</v>
      </c>
      <c r="T432" s="87">
        <v>0</v>
      </c>
      <c r="U432" s="87">
        <v>0</v>
      </c>
      <c r="V432" s="87">
        <v>0</v>
      </c>
      <c r="W432" s="87">
        <v>0</v>
      </c>
      <c r="X432" s="87">
        <v>0</v>
      </c>
      <c r="Y432" s="87">
        <v>0</v>
      </c>
      <c r="Z432" s="87">
        <v>0</v>
      </c>
      <c r="AA432" s="214">
        <v>0</v>
      </c>
      <c r="AB432" s="214">
        <v>0</v>
      </c>
      <c r="AC432" s="214">
        <v>0</v>
      </c>
      <c r="AD432" s="214">
        <v>0</v>
      </c>
      <c r="AE432" s="214">
        <v>0</v>
      </c>
      <c r="AF432" s="214">
        <v>0</v>
      </c>
      <c r="AG432" s="214">
        <v>0</v>
      </c>
      <c r="AH432" s="214">
        <v>0</v>
      </c>
      <c r="AI432" s="87">
        <v>113873</v>
      </c>
      <c r="AJ432" s="87">
        <v>0</v>
      </c>
      <c r="AK432" s="87">
        <v>113873</v>
      </c>
      <c r="AL432" s="87">
        <v>113873</v>
      </c>
      <c r="AM432" s="87">
        <v>2160000</v>
      </c>
      <c r="AN432" s="87">
        <v>113873</v>
      </c>
      <c r="AO432" s="87">
        <v>113873</v>
      </c>
      <c r="AP432" s="87">
        <v>113000</v>
      </c>
      <c r="AQ432" s="88">
        <v>0</v>
      </c>
      <c r="AR432" s="88">
        <v>0</v>
      </c>
      <c r="AS432" s="88">
        <v>0</v>
      </c>
      <c r="AT432" s="88">
        <v>0</v>
      </c>
      <c r="AU432" s="88">
        <v>0</v>
      </c>
      <c r="AV432" s="88">
        <v>0</v>
      </c>
      <c r="AW432" s="88">
        <v>0</v>
      </c>
      <c r="AX432" s="88">
        <v>0</v>
      </c>
      <c r="AY432" s="87">
        <v>0</v>
      </c>
      <c r="AZ432" s="87">
        <v>0</v>
      </c>
      <c r="BA432" s="87">
        <v>0</v>
      </c>
      <c r="BB432" s="87">
        <v>0</v>
      </c>
      <c r="BC432" s="87">
        <v>0</v>
      </c>
      <c r="BD432" s="87">
        <v>0</v>
      </c>
      <c r="BE432" s="87">
        <v>0</v>
      </c>
      <c r="BF432" s="87">
        <v>0</v>
      </c>
      <c r="BG432" s="88">
        <v>0</v>
      </c>
      <c r="BH432" s="88">
        <v>0</v>
      </c>
      <c r="BI432" s="88">
        <v>0</v>
      </c>
      <c r="BJ432" s="88">
        <v>0</v>
      </c>
      <c r="BK432" s="88">
        <v>0</v>
      </c>
      <c r="BL432" s="88">
        <v>0</v>
      </c>
      <c r="BM432" s="88">
        <v>0</v>
      </c>
      <c r="BN432" s="590">
        <v>0</v>
      </c>
      <c r="BO432" s="171">
        <v>2023</v>
      </c>
      <c r="BP432" s="171">
        <v>1</v>
      </c>
      <c r="BQ432" s="171">
        <v>19</v>
      </c>
      <c r="BS432" s="76" t="str">
        <f t="shared" si="13"/>
        <v>○</v>
      </c>
    </row>
    <row r="433" spans="1:71" x14ac:dyDescent="0.2">
      <c r="A433" s="210">
        <v>1631</v>
      </c>
      <c r="B433" s="211"/>
      <c r="C433" s="212"/>
      <c r="D433" s="211"/>
      <c r="E433" s="212"/>
      <c r="F433" s="211"/>
      <c r="G433" s="211"/>
      <c r="H433" s="212"/>
      <c r="I433" s="211"/>
      <c r="J433" s="211"/>
      <c r="K433" s="211"/>
      <c r="L433" s="171"/>
      <c r="M433" s="171" t="s">
        <v>384</v>
      </c>
      <c r="N433" s="171" t="s">
        <v>275</v>
      </c>
      <c r="O433" s="171" t="s">
        <v>385</v>
      </c>
      <c r="P433" s="171" t="s">
        <v>916</v>
      </c>
      <c r="Q433" s="171"/>
      <c r="R433" s="213">
        <v>369000</v>
      </c>
      <c r="S433" s="87">
        <v>0</v>
      </c>
      <c r="T433" s="87">
        <v>0</v>
      </c>
      <c r="U433" s="87">
        <v>0</v>
      </c>
      <c r="V433" s="87">
        <v>0</v>
      </c>
      <c r="W433" s="87">
        <v>0</v>
      </c>
      <c r="X433" s="87">
        <v>0</v>
      </c>
      <c r="Y433" s="87">
        <v>0</v>
      </c>
      <c r="Z433" s="87">
        <v>0</v>
      </c>
      <c r="AA433" s="214">
        <v>0</v>
      </c>
      <c r="AB433" s="214">
        <v>0</v>
      </c>
      <c r="AC433" s="214">
        <v>0</v>
      </c>
      <c r="AD433" s="214">
        <v>0</v>
      </c>
      <c r="AE433" s="214">
        <v>0</v>
      </c>
      <c r="AF433" s="214">
        <v>0</v>
      </c>
      <c r="AG433" s="214">
        <v>0</v>
      </c>
      <c r="AH433" s="214">
        <v>0</v>
      </c>
      <c r="AI433" s="87">
        <v>369968</v>
      </c>
      <c r="AJ433" s="87">
        <v>0</v>
      </c>
      <c r="AK433" s="87">
        <v>369968</v>
      </c>
      <c r="AL433" s="87">
        <v>369968</v>
      </c>
      <c r="AM433" s="87">
        <v>2160000</v>
      </c>
      <c r="AN433" s="87">
        <v>369968</v>
      </c>
      <c r="AO433" s="87">
        <v>369968</v>
      </c>
      <c r="AP433" s="87">
        <v>369000</v>
      </c>
      <c r="AQ433" s="88">
        <v>0</v>
      </c>
      <c r="AR433" s="88">
        <v>0</v>
      </c>
      <c r="AS433" s="88">
        <v>0</v>
      </c>
      <c r="AT433" s="88">
        <v>0</v>
      </c>
      <c r="AU433" s="88">
        <v>0</v>
      </c>
      <c r="AV433" s="88">
        <v>0</v>
      </c>
      <c r="AW433" s="88">
        <v>0</v>
      </c>
      <c r="AX433" s="88">
        <v>0</v>
      </c>
      <c r="AY433" s="87">
        <v>0</v>
      </c>
      <c r="AZ433" s="87">
        <v>0</v>
      </c>
      <c r="BA433" s="87">
        <v>0</v>
      </c>
      <c r="BB433" s="87">
        <v>0</v>
      </c>
      <c r="BC433" s="87">
        <v>0</v>
      </c>
      <c r="BD433" s="87">
        <v>0</v>
      </c>
      <c r="BE433" s="87">
        <v>0</v>
      </c>
      <c r="BF433" s="87">
        <v>0</v>
      </c>
      <c r="BG433" s="88">
        <v>0</v>
      </c>
      <c r="BH433" s="88">
        <v>0</v>
      </c>
      <c r="BI433" s="88">
        <v>0</v>
      </c>
      <c r="BJ433" s="88">
        <v>0</v>
      </c>
      <c r="BK433" s="88">
        <v>0</v>
      </c>
      <c r="BL433" s="88">
        <v>0</v>
      </c>
      <c r="BM433" s="88">
        <v>0</v>
      </c>
      <c r="BN433" s="590">
        <v>0</v>
      </c>
      <c r="BO433" s="171">
        <v>2023</v>
      </c>
      <c r="BP433" s="171">
        <v>1</v>
      </c>
      <c r="BQ433" s="171">
        <v>19</v>
      </c>
      <c r="BS433" s="76" t="str">
        <f t="shared" si="13"/>
        <v>○</v>
      </c>
    </row>
    <row r="434" spans="1:71" x14ac:dyDescent="0.2">
      <c r="A434" s="210">
        <v>1632</v>
      </c>
      <c r="B434" s="211"/>
      <c r="C434" s="212"/>
      <c r="D434" s="211"/>
      <c r="E434" s="212"/>
      <c r="F434" s="211"/>
      <c r="G434" s="211"/>
      <c r="H434" s="212"/>
      <c r="I434" s="211"/>
      <c r="J434" s="211"/>
      <c r="K434" s="211"/>
      <c r="L434" s="171"/>
      <c r="M434" s="171" t="s">
        <v>268</v>
      </c>
      <c r="N434" s="171" t="s">
        <v>269</v>
      </c>
      <c r="O434" s="171" t="s">
        <v>270</v>
      </c>
      <c r="P434" s="171" t="s">
        <v>916</v>
      </c>
      <c r="Q434" s="171"/>
      <c r="R434" s="213">
        <v>353000</v>
      </c>
      <c r="S434" s="87">
        <v>0</v>
      </c>
      <c r="T434" s="87">
        <v>0</v>
      </c>
      <c r="U434" s="87">
        <v>0</v>
      </c>
      <c r="V434" s="87">
        <v>0</v>
      </c>
      <c r="W434" s="87">
        <v>0</v>
      </c>
      <c r="X434" s="87">
        <v>0</v>
      </c>
      <c r="Y434" s="87">
        <v>0</v>
      </c>
      <c r="Z434" s="87">
        <v>0</v>
      </c>
      <c r="AA434" s="214">
        <v>0</v>
      </c>
      <c r="AB434" s="214">
        <v>0</v>
      </c>
      <c r="AC434" s="214">
        <v>0</v>
      </c>
      <c r="AD434" s="214">
        <v>0</v>
      </c>
      <c r="AE434" s="214">
        <v>0</v>
      </c>
      <c r="AF434" s="214">
        <v>0</v>
      </c>
      <c r="AG434" s="214">
        <v>0</v>
      </c>
      <c r="AH434" s="214">
        <v>0</v>
      </c>
      <c r="AI434" s="87">
        <v>353100</v>
      </c>
      <c r="AJ434" s="87">
        <v>0</v>
      </c>
      <c r="AK434" s="87">
        <v>353100</v>
      </c>
      <c r="AL434" s="87">
        <v>353100</v>
      </c>
      <c r="AM434" s="87">
        <v>2073600</v>
      </c>
      <c r="AN434" s="87">
        <v>353100</v>
      </c>
      <c r="AO434" s="87">
        <v>353100</v>
      </c>
      <c r="AP434" s="87">
        <v>353000</v>
      </c>
      <c r="AQ434" s="88">
        <v>0</v>
      </c>
      <c r="AR434" s="88">
        <v>0</v>
      </c>
      <c r="AS434" s="88">
        <v>0</v>
      </c>
      <c r="AT434" s="88">
        <v>0</v>
      </c>
      <c r="AU434" s="88">
        <v>0</v>
      </c>
      <c r="AV434" s="88">
        <v>0</v>
      </c>
      <c r="AW434" s="88">
        <v>0</v>
      </c>
      <c r="AX434" s="88">
        <v>0</v>
      </c>
      <c r="AY434" s="87">
        <v>0</v>
      </c>
      <c r="AZ434" s="87">
        <v>0</v>
      </c>
      <c r="BA434" s="87">
        <v>0</v>
      </c>
      <c r="BB434" s="87">
        <v>0</v>
      </c>
      <c r="BC434" s="87">
        <v>0</v>
      </c>
      <c r="BD434" s="87">
        <v>0</v>
      </c>
      <c r="BE434" s="87">
        <v>0</v>
      </c>
      <c r="BF434" s="87">
        <v>0</v>
      </c>
      <c r="BG434" s="88">
        <v>0</v>
      </c>
      <c r="BH434" s="88">
        <v>0</v>
      </c>
      <c r="BI434" s="88">
        <v>0</v>
      </c>
      <c r="BJ434" s="88">
        <v>0</v>
      </c>
      <c r="BK434" s="88">
        <v>0</v>
      </c>
      <c r="BL434" s="88">
        <v>0</v>
      </c>
      <c r="BM434" s="88">
        <v>0</v>
      </c>
      <c r="BN434" s="590">
        <v>0</v>
      </c>
      <c r="BO434" s="171">
        <v>2023</v>
      </c>
      <c r="BP434" s="171">
        <v>1</v>
      </c>
      <c r="BQ434" s="171">
        <v>19</v>
      </c>
      <c r="BS434" s="76" t="str">
        <f t="shared" si="13"/>
        <v>○</v>
      </c>
    </row>
    <row r="435" spans="1:71" x14ac:dyDescent="0.2">
      <c r="A435" s="210">
        <v>1633</v>
      </c>
      <c r="B435" s="211"/>
      <c r="C435" s="212"/>
      <c r="D435" s="211"/>
      <c r="E435" s="212"/>
      <c r="F435" s="211"/>
      <c r="G435" s="211"/>
      <c r="H435" s="212"/>
      <c r="I435" s="211"/>
      <c r="J435" s="211"/>
      <c r="K435" s="211"/>
      <c r="L435" s="171"/>
      <c r="M435" s="171" t="s">
        <v>687</v>
      </c>
      <c r="N435" s="171" t="s">
        <v>278</v>
      </c>
      <c r="O435" s="171" t="s">
        <v>316</v>
      </c>
      <c r="P435" s="171" t="s">
        <v>916</v>
      </c>
      <c r="Q435" s="171"/>
      <c r="R435" s="213">
        <v>345000</v>
      </c>
      <c r="S435" s="87">
        <v>0</v>
      </c>
      <c r="T435" s="87">
        <v>0</v>
      </c>
      <c r="U435" s="87">
        <v>0</v>
      </c>
      <c r="V435" s="87">
        <v>0</v>
      </c>
      <c r="W435" s="87">
        <v>0</v>
      </c>
      <c r="X435" s="87">
        <v>0</v>
      </c>
      <c r="Y435" s="87">
        <v>0</v>
      </c>
      <c r="Z435" s="87">
        <v>0</v>
      </c>
      <c r="AA435" s="214">
        <v>0</v>
      </c>
      <c r="AB435" s="214">
        <v>0</v>
      </c>
      <c r="AC435" s="214">
        <v>0</v>
      </c>
      <c r="AD435" s="214">
        <v>0</v>
      </c>
      <c r="AE435" s="214">
        <v>0</v>
      </c>
      <c r="AF435" s="214">
        <v>0</v>
      </c>
      <c r="AG435" s="214">
        <v>0</v>
      </c>
      <c r="AH435" s="214">
        <v>0</v>
      </c>
      <c r="AI435" s="87">
        <v>345840</v>
      </c>
      <c r="AJ435" s="87">
        <v>0</v>
      </c>
      <c r="AK435" s="87">
        <v>345840</v>
      </c>
      <c r="AL435" s="87">
        <v>345840</v>
      </c>
      <c r="AM435" s="87">
        <v>3067200</v>
      </c>
      <c r="AN435" s="87">
        <v>345840</v>
      </c>
      <c r="AO435" s="87">
        <v>345840</v>
      </c>
      <c r="AP435" s="87">
        <v>345000</v>
      </c>
      <c r="AQ435" s="88">
        <v>0</v>
      </c>
      <c r="AR435" s="88">
        <v>0</v>
      </c>
      <c r="AS435" s="88">
        <v>0</v>
      </c>
      <c r="AT435" s="88">
        <v>0</v>
      </c>
      <c r="AU435" s="88">
        <v>0</v>
      </c>
      <c r="AV435" s="88">
        <v>0</v>
      </c>
      <c r="AW435" s="88">
        <v>0</v>
      </c>
      <c r="AX435" s="88">
        <v>0</v>
      </c>
      <c r="AY435" s="87">
        <v>0</v>
      </c>
      <c r="AZ435" s="87">
        <v>0</v>
      </c>
      <c r="BA435" s="87">
        <v>0</v>
      </c>
      <c r="BB435" s="87">
        <v>0</v>
      </c>
      <c r="BC435" s="87">
        <v>0</v>
      </c>
      <c r="BD435" s="87">
        <v>0</v>
      </c>
      <c r="BE435" s="87">
        <v>0</v>
      </c>
      <c r="BF435" s="87">
        <v>0</v>
      </c>
      <c r="BG435" s="88">
        <v>0</v>
      </c>
      <c r="BH435" s="88">
        <v>0</v>
      </c>
      <c r="BI435" s="88">
        <v>0</v>
      </c>
      <c r="BJ435" s="88">
        <v>0</v>
      </c>
      <c r="BK435" s="88">
        <v>0</v>
      </c>
      <c r="BL435" s="88">
        <v>0</v>
      </c>
      <c r="BM435" s="88">
        <v>0</v>
      </c>
      <c r="BN435" s="590">
        <v>0</v>
      </c>
      <c r="BO435" s="171">
        <v>2023</v>
      </c>
      <c r="BP435" s="171">
        <v>1</v>
      </c>
      <c r="BQ435" s="171">
        <v>19</v>
      </c>
      <c r="BS435" s="76" t="str">
        <f t="shared" si="13"/>
        <v>○</v>
      </c>
    </row>
    <row r="436" spans="1:71" x14ac:dyDescent="0.2">
      <c r="A436" s="210">
        <v>1634</v>
      </c>
      <c r="B436" s="211"/>
      <c r="C436" s="212"/>
      <c r="D436" s="211"/>
      <c r="E436" s="212"/>
      <c r="F436" s="211"/>
      <c r="G436" s="211"/>
      <c r="H436" s="212"/>
      <c r="I436" s="211"/>
      <c r="J436" s="211"/>
      <c r="K436" s="211"/>
      <c r="L436" s="171"/>
      <c r="M436" s="171" t="s">
        <v>699</v>
      </c>
      <c r="N436" s="171" t="s">
        <v>700</v>
      </c>
      <c r="O436" s="171" t="s">
        <v>430</v>
      </c>
      <c r="P436" s="171" t="s">
        <v>916</v>
      </c>
      <c r="Q436" s="171"/>
      <c r="R436" s="213">
        <v>3153000</v>
      </c>
      <c r="S436" s="87">
        <v>0</v>
      </c>
      <c r="T436" s="87">
        <v>0</v>
      </c>
      <c r="U436" s="87">
        <v>0</v>
      </c>
      <c r="V436" s="87">
        <v>0</v>
      </c>
      <c r="W436" s="87">
        <v>0</v>
      </c>
      <c r="X436" s="87">
        <v>0</v>
      </c>
      <c r="Y436" s="87">
        <v>0</v>
      </c>
      <c r="Z436" s="87">
        <v>0</v>
      </c>
      <c r="AA436" s="214">
        <v>0</v>
      </c>
      <c r="AB436" s="214">
        <v>0</v>
      </c>
      <c r="AC436" s="214">
        <v>0</v>
      </c>
      <c r="AD436" s="214">
        <v>0</v>
      </c>
      <c r="AE436" s="214">
        <v>0</v>
      </c>
      <c r="AF436" s="214">
        <v>0</v>
      </c>
      <c r="AG436" s="214">
        <v>0</v>
      </c>
      <c r="AH436" s="214">
        <v>0</v>
      </c>
      <c r="AI436" s="87">
        <v>4706120</v>
      </c>
      <c r="AJ436" s="87">
        <v>0</v>
      </c>
      <c r="AK436" s="87">
        <v>4706120</v>
      </c>
      <c r="AL436" s="87">
        <v>4706120</v>
      </c>
      <c r="AM436" s="87">
        <v>3153600</v>
      </c>
      <c r="AN436" s="87">
        <v>3153600</v>
      </c>
      <c r="AO436" s="87">
        <v>3153600</v>
      </c>
      <c r="AP436" s="87">
        <v>3153000</v>
      </c>
      <c r="AQ436" s="88">
        <v>0</v>
      </c>
      <c r="AR436" s="88">
        <v>0</v>
      </c>
      <c r="AS436" s="88">
        <v>0</v>
      </c>
      <c r="AT436" s="88">
        <v>0</v>
      </c>
      <c r="AU436" s="88">
        <v>0</v>
      </c>
      <c r="AV436" s="88">
        <v>0</v>
      </c>
      <c r="AW436" s="88">
        <v>0</v>
      </c>
      <c r="AX436" s="88">
        <v>0</v>
      </c>
      <c r="AY436" s="87">
        <v>0</v>
      </c>
      <c r="AZ436" s="87">
        <v>0</v>
      </c>
      <c r="BA436" s="87">
        <v>0</v>
      </c>
      <c r="BB436" s="87">
        <v>0</v>
      </c>
      <c r="BC436" s="87">
        <v>0</v>
      </c>
      <c r="BD436" s="87">
        <v>0</v>
      </c>
      <c r="BE436" s="87">
        <v>0</v>
      </c>
      <c r="BF436" s="87">
        <v>0</v>
      </c>
      <c r="BG436" s="88">
        <v>0</v>
      </c>
      <c r="BH436" s="88">
        <v>0</v>
      </c>
      <c r="BI436" s="88">
        <v>0</v>
      </c>
      <c r="BJ436" s="88">
        <v>0</v>
      </c>
      <c r="BK436" s="88">
        <v>0</v>
      </c>
      <c r="BL436" s="88">
        <v>0</v>
      </c>
      <c r="BM436" s="88">
        <v>0</v>
      </c>
      <c r="BN436" s="590">
        <v>0</v>
      </c>
      <c r="BO436" s="171">
        <v>2023</v>
      </c>
      <c r="BP436" s="171">
        <v>1</v>
      </c>
      <c r="BQ436" s="171">
        <v>19</v>
      </c>
      <c r="BS436" s="76" t="str">
        <f t="shared" si="13"/>
        <v>○</v>
      </c>
    </row>
    <row r="437" spans="1:71" x14ac:dyDescent="0.2">
      <c r="A437" s="210">
        <v>1635</v>
      </c>
      <c r="B437" s="211"/>
      <c r="C437" s="212"/>
      <c r="D437" s="211"/>
      <c r="E437" s="212"/>
      <c r="F437" s="211"/>
      <c r="G437" s="211"/>
      <c r="H437" s="212"/>
      <c r="I437" s="211"/>
      <c r="J437" s="211"/>
      <c r="K437" s="211"/>
      <c r="L437" s="171"/>
      <c r="M437" s="171" t="s">
        <v>583</v>
      </c>
      <c r="N437" s="171" t="s">
        <v>299</v>
      </c>
      <c r="O437" s="171" t="s">
        <v>584</v>
      </c>
      <c r="P437" s="171" t="s">
        <v>916</v>
      </c>
      <c r="Q437" s="171"/>
      <c r="R437" s="213">
        <v>20000</v>
      </c>
      <c r="S437" s="87">
        <v>0</v>
      </c>
      <c r="T437" s="87">
        <v>0</v>
      </c>
      <c r="U437" s="87">
        <v>0</v>
      </c>
      <c r="V437" s="87">
        <v>0</v>
      </c>
      <c r="W437" s="87">
        <v>0</v>
      </c>
      <c r="X437" s="87">
        <v>0</v>
      </c>
      <c r="Y437" s="87">
        <v>0</v>
      </c>
      <c r="Z437" s="87">
        <v>0</v>
      </c>
      <c r="AA437" s="214">
        <v>0</v>
      </c>
      <c r="AB437" s="214">
        <v>0</v>
      </c>
      <c r="AC437" s="214">
        <v>0</v>
      </c>
      <c r="AD437" s="214">
        <v>0</v>
      </c>
      <c r="AE437" s="214">
        <v>0</v>
      </c>
      <c r="AF437" s="214">
        <v>0</v>
      </c>
      <c r="AG437" s="214">
        <v>0</v>
      </c>
      <c r="AH437" s="214">
        <v>0</v>
      </c>
      <c r="AI437" s="87">
        <v>20000</v>
      </c>
      <c r="AJ437" s="87">
        <v>0</v>
      </c>
      <c r="AK437" s="87">
        <v>20000</v>
      </c>
      <c r="AL437" s="87">
        <v>20000</v>
      </c>
      <c r="AM437" s="87">
        <v>1029600</v>
      </c>
      <c r="AN437" s="87">
        <v>20000</v>
      </c>
      <c r="AO437" s="87">
        <v>20000</v>
      </c>
      <c r="AP437" s="87">
        <v>20000</v>
      </c>
      <c r="AQ437" s="88">
        <v>0</v>
      </c>
      <c r="AR437" s="88">
        <v>0</v>
      </c>
      <c r="AS437" s="88">
        <v>0</v>
      </c>
      <c r="AT437" s="88">
        <v>0</v>
      </c>
      <c r="AU437" s="88">
        <v>0</v>
      </c>
      <c r="AV437" s="88">
        <v>0</v>
      </c>
      <c r="AW437" s="88">
        <v>0</v>
      </c>
      <c r="AX437" s="88">
        <v>0</v>
      </c>
      <c r="AY437" s="87">
        <v>0</v>
      </c>
      <c r="AZ437" s="87">
        <v>0</v>
      </c>
      <c r="BA437" s="87">
        <v>0</v>
      </c>
      <c r="BB437" s="87">
        <v>0</v>
      </c>
      <c r="BC437" s="87">
        <v>0</v>
      </c>
      <c r="BD437" s="87">
        <v>0</v>
      </c>
      <c r="BE437" s="87">
        <v>0</v>
      </c>
      <c r="BF437" s="87">
        <v>0</v>
      </c>
      <c r="BG437" s="88">
        <v>0</v>
      </c>
      <c r="BH437" s="88">
        <v>0</v>
      </c>
      <c r="BI437" s="88">
        <v>0</v>
      </c>
      <c r="BJ437" s="88">
        <v>0</v>
      </c>
      <c r="BK437" s="88">
        <v>0</v>
      </c>
      <c r="BL437" s="88">
        <v>0</v>
      </c>
      <c r="BM437" s="88">
        <v>0</v>
      </c>
      <c r="BN437" s="590">
        <v>0</v>
      </c>
      <c r="BO437" s="171">
        <v>2023</v>
      </c>
      <c r="BP437" s="171">
        <v>1</v>
      </c>
      <c r="BQ437" s="171">
        <v>19</v>
      </c>
      <c r="BS437" s="76" t="str">
        <f t="shared" si="13"/>
        <v>○</v>
      </c>
    </row>
    <row r="438" spans="1:71" x14ac:dyDescent="0.2">
      <c r="A438" s="210">
        <v>1636</v>
      </c>
      <c r="B438" s="211"/>
      <c r="C438" s="212"/>
      <c r="D438" s="211"/>
      <c r="E438" s="212"/>
      <c r="F438" s="211"/>
      <c r="G438" s="211"/>
      <c r="H438" s="212"/>
      <c r="I438" s="211"/>
      <c r="J438" s="211"/>
      <c r="K438" s="211"/>
      <c r="L438" s="171"/>
      <c r="M438" s="171" t="s">
        <v>325</v>
      </c>
      <c r="N438" s="171" t="s">
        <v>269</v>
      </c>
      <c r="O438" s="171" t="s">
        <v>326</v>
      </c>
      <c r="P438" s="171" t="s">
        <v>916</v>
      </c>
      <c r="Q438" s="171"/>
      <c r="R438" s="213">
        <v>491000</v>
      </c>
      <c r="S438" s="87">
        <v>0</v>
      </c>
      <c r="T438" s="87">
        <v>0</v>
      </c>
      <c r="U438" s="87">
        <v>0</v>
      </c>
      <c r="V438" s="87">
        <v>0</v>
      </c>
      <c r="W438" s="87">
        <v>0</v>
      </c>
      <c r="X438" s="87">
        <v>0</v>
      </c>
      <c r="Y438" s="87">
        <v>0</v>
      </c>
      <c r="Z438" s="87">
        <v>0</v>
      </c>
      <c r="AA438" s="214">
        <v>0</v>
      </c>
      <c r="AB438" s="214">
        <v>0</v>
      </c>
      <c r="AC438" s="214">
        <v>0</v>
      </c>
      <c r="AD438" s="214">
        <v>0</v>
      </c>
      <c r="AE438" s="214">
        <v>0</v>
      </c>
      <c r="AF438" s="214">
        <v>0</v>
      </c>
      <c r="AG438" s="214">
        <v>0</v>
      </c>
      <c r="AH438" s="214">
        <v>0</v>
      </c>
      <c r="AI438" s="87">
        <v>491445</v>
      </c>
      <c r="AJ438" s="87">
        <v>0</v>
      </c>
      <c r="AK438" s="87">
        <v>491445</v>
      </c>
      <c r="AL438" s="87">
        <v>491445</v>
      </c>
      <c r="AM438" s="87">
        <v>4176000</v>
      </c>
      <c r="AN438" s="87">
        <v>491445</v>
      </c>
      <c r="AO438" s="87">
        <v>491445</v>
      </c>
      <c r="AP438" s="87">
        <v>491000</v>
      </c>
      <c r="AQ438" s="88">
        <v>0</v>
      </c>
      <c r="AR438" s="88">
        <v>0</v>
      </c>
      <c r="AS438" s="88">
        <v>0</v>
      </c>
      <c r="AT438" s="88">
        <v>0</v>
      </c>
      <c r="AU438" s="88">
        <v>0</v>
      </c>
      <c r="AV438" s="88">
        <v>0</v>
      </c>
      <c r="AW438" s="88">
        <v>0</v>
      </c>
      <c r="AX438" s="88">
        <v>0</v>
      </c>
      <c r="AY438" s="87">
        <v>0</v>
      </c>
      <c r="AZ438" s="87">
        <v>0</v>
      </c>
      <c r="BA438" s="87">
        <v>0</v>
      </c>
      <c r="BB438" s="87">
        <v>0</v>
      </c>
      <c r="BC438" s="87">
        <v>0</v>
      </c>
      <c r="BD438" s="87">
        <v>0</v>
      </c>
      <c r="BE438" s="87">
        <v>0</v>
      </c>
      <c r="BF438" s="87">
        <v>0</v>
      </c>
      <c r="BG438" s="88">
        <v>0</v>
      </c>
      <c r="BH438" s="88">
        <v>0</v>
      </c>
      <c r="BI438" s="88">
        <v>0</v>
      </c>
      <c r="BJ438" s="88">
        <v>0</v>
      </c>
      <c r="BK438" s="88">
        <v>0</v>
      </c>
      <c r="BL438" s="88">
        <v>0</v>
      </c>
      <c r="BM438" s="88">
        <v>0</v>
      </c>
      <c r="BN438" s="590">
        <v>0</v>
      </c>
      <c r="BO438" s="171">
        <v>2023</v>
      </c>
      <c r="BP438" s="171">
        <v>1</v>
      </c>
      <c r="BQ438" s="171">
        <v>19</v>
      </c>
      <c r="BS438" s="76" t="str">
        <f t="shared" si="13"/>
        <v>○</v>
      </c>
    </row>
    <row r="439" spans="1:71" x14ac:dyDescent="0.2">
      <c r="A439" s="210">
        <v>1637</v>
      </c>
      <c r="B439" s="211"/>
      <c r="C439" s="212"/>
      <c r="D439" s="211"/>
      <c r="E439" s="212"/>
      <c r="F439" s="211"/>
      <c r="G439" s="211"/>
      <c r="H439" s="212"/>
      <c r="I439" s="211"/>
      <c r="J439" s="211"/>
      <c r="K439" s="211"/>
      <c r="L439" s="171"/>
      <c r="M439" s="171" t="s">
        <v>795</v>
      </c>
      <c r="N439" s="171" t="s">
        <v>796</v>
      </c>
      <c r="O439" s="171" t="s">
        <v>448</v>
      </c>
      <c r="P439" s="171" t="s">
        <v>916</v>
      </c>
      <c r="Q439" s="171"/>
      <c r="R439" s="213">
        <v>371000</v>
      </c>
      <c r="S439" s="87">
        <v>0</v>
      </c>
      <c r="T439" s="87">
        <v>0</v>
      </c>
      <c r="U439" s="87">
        <v>0</v>
      </c>
      <c r="V439" s="87">
        <v>0</v>
      </c>
      <c r="W439" s="87">
        <v>0</v>
      </c>
      <c r="X439" s="87">
        <v>0</v>
      </c>
      <c r="Y439" s="87">
        <v>0</v>
      </c>
      <c r="Z439" s="87">
        <v>0</v>
      </c>
      <c r="AA439" s="214">
        <v>0</v>
      </c>
      <c r="AB439" s="214">
        <v>0</v>
      </c>
      <c r="AC439" s="214">
        <v>0</v>
      </c>
      <c r="AD439" s="214">
        <v>0</v>
      </c>
      <c r="AE439" s="214">
        <v>0</v>
      </c>
      <c r="AF439" s="214">
        <v>0</v>
      </c>
      <c r="AG439" s="214">
        <v>0</v>
      </c>
      <c r="AH439" s="214">
        <v>0</v>
      </c>
      <c r="AI439" s="87">
        <v>371220</v>
      </c>
      <c r="AJ439" s="87">
        <v>0</v>
      </c>
      <c r="AK439" s="87">
        <v>371220</v>
      </c>
      <c r="AL439" s="87">
        <v>371220</v>
      </c>
      <c r="AM439" s="87">
        <v>1576800</v>
      </c>
      <c r="AN439" s="87">
        <v>371220</v>
      </c>
      <c r="AO439" s="87">
        <v>371220</v>
      </c>
      <c r="AP439" s="87">
        <v>371000</v>
      </c>
      <c r="AQ439" s="88">
        <v>0</v>
      </c>
      <c r="AR439" s="88">
        <v>0</v>
      </c>
      <c r="AS439" s="88">
        <v>0</v>
      </c>
      <c r="AT439" s="88">
        <v>0</v>
      </c>
      <c r="AU439" s="88">
        <v>0</v>
      </c>
      <c r="AV439" s="88">
        <v>0</v>
      </c>
      <c r="AW439" s="88">
        <v>0</v>
      </c>
      <c r="AX439" s="88">
        <v>0</v>
      </c>
      <c r="AY439" s="87">
        <v>0</v>
      </c>
      <c r="AZ439" s="87">
        <v>0</v>
      </c>
      <c r="BA439" s="87">
        <v>0</v>
      </c>
      <c r="BB439" s="87">
        <v>0</v>
      </c>
      <c r="BC439" s="87">
        <v>0</v>
      </c>
      <c r="BD439" s="87">
        <v>0</v>
      </c>
      <c r="BE439" s="87">
        <v>0</v>
      </c>
      <c r="BF439" s="87">
        <v>0</v>
      </c>
      <c r="BG439" s="88">
        <v>0</v>
      </c>
      <c r="BH439" s="88">
        <v>0</v>
      </c>
      <c r="BI439" s="88">
        <v>0</v>
      </c>
      <c r="BJ439" s="88">
        <v>0</v>
      </c>
      <c r="BK439" s="88">
        <v>0</v>
      </c>
      <c r="BL439" s="88">
        <v>0</v>
      </c>
      <c r="BM439" s="88">
        <v>0</v>
      </c>
      <c r="BN439" s="590">
        <v>0</v>
      </c>
      <c r="BO439" s="171">
        <v>2023</v>
      </c>
      <c r="BP439" s="171">
        <v>1</v>
      </c>
      <c r="BQ439" s="171">
        <v>19</v>
      </c>
      <c r="BS439" s="76" t="str">
        <f t="shared" ref="BS439:BS470" si="14">IF(R439=SUM(Z439,AH439,AP439,BF439,BN439),"○","×")</f>
        <v>○</v>
      </c>
    </row>
    <row r="440" spans="1:71" x14ac:dyDescent="0.2">
      <c r="A440" s="210">
        <v>1638</v>
      </c>
      <c r="B440" s="211"/>
      <c r="C440" s="212"/>
      <c r="D440" s="211"/>
      <c r="E440" s="212"/>
      <c r="F440" s="211"/>
      <c r="G440" s="211"/>
      <c r="H440" s="212"/>
      <c r="I440" s="211"/>
      <c r="J440" s="211"/>
      <c r="K440" s="211"/>
      <c r="L440" s="171"/>
      <c r="M440" s="171" t="s">
        <v>433</v>
      </c>
      <c r="N440" s="171" t="s">
        <v>318</v>
      </c>
      <c r="O440" s="171" t="s">
        <v>279</v>
      </c>
      <c r="P440" s="171" t="s">
        <v>916</v>
      </c>
      <c r="Q440" s="171"/>
      <c r="R440" s="213">
        <v>49000</v>
      </c>
      <c r="S440" s="87">
        <v>0</v>
      </c>
      <c r="T440" s="87">
        <v>0</v>
      </c>
      <c r="U440" s="87">
        <v>0</v>
      </c>
      <c r="V440" s="87">
        <v>0</v>
      </c>
      <c r="W440" s="87">
        <v>0</v>
      </c>
      <c r="X440" s="87">
        <v>0</v>
      </c>
      <c r="Y440" s="87">
        <v>0</v>
      </c>
      <c r="Z440" s="87">
        <v>0</v>
      </c>
      <c r="AA440" s="214">
        <v>0</v>
      </c>
      <c r="AB440" s="214">
        <v>0</v>
      </c>
      <c r="AC440" s="214">
        <v>0</v>
      </c>
      <c r="AD440" s="214">
        <v>0</v>
      </c>
      <c r="AE440" s="214">
        <v>0</v>
      </c>
      <c r="AF440" s="214">
        <v>0</v>
      </c>
      <c r="AG440" s="214">
        <v>0</v>
      </c>
      <c r="AH440" s="214">
        <v>0</v>
      </c>
      <c r="AI440" s="87">
        <v>49500</v>
      </c>
      <c r="AJ440" s="87">
        <v>0</v>
      </c>
      <c r="AK440" s="87">
        <v>49500</v>
      </c>
      <c r="AL440" s="87">
        <v>49500</v>
      </c>
      <c r="AM440" s="87">
        <v>2628000</v>
      </c>
      <c r="AN440" s="87">
        <v>49500</v>
      </c>
      <c r="AO440" s="87">
        <v>49500</v>
      </c>
      <c r="AP440" s="87">
        <v>49000</v>
      </c>
      <c r="AQ440" s="88">
        <v>0</v>
      </c>
      <c r="AR440" s="88">
        <v>0</v>
      </c>
      <c r="AS440" s="88">
        <v>0</v>
      </c>
      <c r="AT440" s="88">
        <v>0</v>
      </c>
      <c r="AU440" s="88">
        <v>0</v>
      </c>
      <c r="AV440" s="88">
        <v>0</v>
      </c>
      <c r="AW440" s="88">
        <v>0</v>
      </c>
      <c r="AX440" s="88">
        <v>0</v>
      </c>
      <c r="AY440" s="87">
        <v>0</v>
      </c>
      <c r="AZ440" s="87">
        <v>0</v>
      </c>
      <c r="BA440" s="87">
        <v>0</v>
      </c>
      <c r="BB440" s="87">
        <v>0</v>
      </c>
      <c r="BC440" s="87">
        <v>0</v>
      </c>
      <c r="BD440" s="87">
        <v>0</v>
      </c>
      <c r="BE440" s="87">
        <v>0</v>
      </c>
      <c r="BF440" s="87">
        <v>0</v>
      </c>
      <c r="BG440" s="88">
        <v>0</v>
      </c>
      <c r="BH440" s="88">
        <v>0</v>
      </c>
      <c r="BI440" s="88">
        <v>0</v>
      </c>
      <c r="BJ440" s="88">
        <v>0</v>
      </c>
      <c r="BK440" s="88">
        <v>0</v>
      </c>
      <c r="BL440" s="88">
        <v>0</v>
      </c>
      <c r="BM440" s="88">
        <v>0</v>
      </c>
      <c r="BN440" s="590">
        <v>0</v>
      </c>
      <c r="BO440" s="171">
        <v>2023</v>
      </c>
      <c r="BP440" s="171">
        <v>1</v>
      </c>
      <c r="BQ440" s="171">
        <v>19</v>
      </c>
      <c r="BS440" s="76" t="str">
        <f t="shared" si="14"/>
        <v>○</v>
      </c>
    </row>
    <row r="441" spans="1:71" x14ac:dyDescent="0.2">
      <c r="A441" s="210">
        <v>1639</v>
      </c>
      <c r="B441" s="211"/>
      <c r="C441" s="212"/>
      <c r="D441" s="211"/>
      <c r="E441" s="212"/>
      <c r="F441" s="211"/>
      <c r="G441" s="211"/>
      <c r="H441" s="212"/>
      <c r="I441" s="211"/>
      <c r="J441" s="211"/>
      <c r="K441" s="211"/>
      <c r="L441" s="171"/>
      <c r="M441" s="171" t="s">
        <v>797</v>
      </c>
      <c r="N441" s="171" t="s">
        <v>798</v>
      </c>
      <c r="O441" s="171" t="s">
        <v>324</v>
      </c>
      <c r="P441" s="171" t="s">
        <v>916</v>
      </c>
      <c r="Q441" s="171"/>
      <c r="R441" s="213">
        <v>70000</v>
      </c>
      <c r="S441" s="87">
        <v>0</v>
      </c>
      <c r="T441" s="87">
        <v>0</v>
      </c>
      <c r="U441" s="87">
        <v>0</v>
      </c>
      <c r="V441" s="87">
        <v>0</v>
      </c>
      <c r="W441" s="87">
        <v>0</v>
      </c>
      <c r="X441" s="87">
        <v>0</v>
      </c>
      <c r="Y441" s="87">
        <v>0</v>
      </c>
      <c r="Z441" s="87">
        <v>0</v>
      </c>
      <c r="AA441" s="214">
        <v>0</v>
      </c>
      <c r="AB441" s="214">
        <v>0</v>
      </c>
      <c r="AC441" s="214">
        <v>0</v>
      </c>
      <c r="AD441" s="214">
        <v>0</v>
      </c>
      <c r="AE441" s="214">
        <v>0</v>
      </c>
      <c r="AF441" s="214">
        <v>0</v>
      </c>
      <c r="AG441" s="214">
        <v>0</v>
      </c>
      <c r="AH441" s="214">
        <v>0</v>
      </c>
      <c r="AI441" s="87">
        <v>70544</v>
      </c>
      <c r="AJ441" s="87">
        <v>0</v>
      </c>
      <c r="AK441" s="87">
        <v>70544</v>
      </c>
      <c r="AL441" s="87">
        <v>70544</v>
      </c>
      <c r="AM441" s="87">
        <v>2178000</v>
      </c>
      <c r="AN441" s="87">
        <v>70544</v>
      </c>
      <c r="AO441" s="87">
        <v>70544</v>
      </c>
      <c r="AP441" s="87">
        <v>70000</v>
      </c>
      <c r="AQ441" s="88">
        <v>0</v>
      </c>
      <c r="AR441" s="88">
        <v>0</v>
      </c>
      <c r="AS441" s="88">
        <v>0</v>
      </c>
      <c r="AT441" s="88">
        <v>0</v>
      </c>
      <c r="AU441" s="88">
        <v>0</v>
      </c>
      <c r="AV441" s="88">
        <v>0</v>
      </c>
      <c r="AW441" s="88">
        <v>0</v>
      </c>
      <c r="AX441" s="88">
        <v>0</v>
      </c>
      <c r="AY441" s="87">
        <v>0</v>
      </c>
      <c r="AZ441" s="87">
        <v>0</v>
      </c>
      <c r="BA441" s="87">
        <v>0</v>
      </c>
      <c r="BB441" s="87">
        <v>0</v>
      </c>
      <c r="BC441" s="87">
        <v>0</v>
      </c>
      <c r="BD441" s="87">
        <v>0</v>
      </c>
      <c r="BE441" s="87">
        <v>0</v>
      </c>
      <c r="BF441" s="87">
        <v>0</v>
      </c>
      <c r="BG441" s="88">
        <v>0</v>
      </c>
      <c r="BH441" s="88">
        <v>0</v>
      </c>
      <c r="BI441" s="88">
        <v>0</v>
      </c>
      <c r="BJ441" s="88">
        <v>0</v>
      </c>
      <c r="BK441" s="88">
        <v>0</v>
      </c>
      <c r="BL441" s="88">
        <v>0</v>
      </c>
      <c r="BM441" s="88">
        <v>0</v>
      </c>
      <c r="BN441" s="590">
        <v>0</v>
      </c>
      <c r="BO441" s="171">
        <v>2023</v>
      </c>
      <c r="BP441" s="171">
        <v>1</v>
      </c>
      <c r="BQ441" s="171">
        <v>19</v>
      </c>
      <c r="BS441" s="76" t="str">
        <f t="shared" si="14"/>
        <v>○</v>
      </c>
    </row>
    <row r="442" spans="1:71" x14ac:dyDescent="0.2">
      <c r="A442" s="210">
        <v>1640</v>
      </c>
      <c r="B442" s="211"/>
      <c r="C442" s="212"/>
      <c r="D442" s="211"/>
      <c r="E442" s="212"/>
      <c r="F442" s="211"/>
      <c r="G442" s="211"/>
      <c r="H442" s="212"/>
      <c r="I442" s="211"/>
      <c r="J442" s="211"/>
      <c r="K442" s="211"/>
      <c r="L442" s="171"/>
      <c r="M442" s="171" t="s">
        <v>772</v>
      </c>
      <c r="N442" s="171" t="s">
        <v>286</v>
      </c>
      <c r="O442" s="171" t="s">
        <v>773</v>
      </c>
      <c r="P442" s="171" t="s">
        <v>916</v>
      </c>
      <c r="Q442" s="171"/>
      <c r="R442" s="213">
        <v>1377000</v>
      </c>
      <c r="S442" s="87">
        <v>0</v>
      </c>
      <c r="T442" s="87">
        <v>0</v>
      </c>
      <c r="U442" s="87">
        <v>0</v>
      </c>
      <c r="V442" s="87">
        <v>0</v>
      </c>
      <c r="W442" s="87">
        <v>0</v>
      </c>
      <c r="X442" s="87">
        <v>0</v>
      </c>
      <c r="Y442" s="87">
        <v>0</v>
      </c>
      <c r="Z442" s="87">
        <v>0</v>
      </c>
      <c r="AA442" s="214">
        <v>0</v>
      </c>
      <c r="AB442" s="214">
        <v>0</v>
      </c>
      <c r="AC442" s="214">
        <v>0</v>
      </c>
      <c r="AD442" s="214">
        <v>0</v>
      </c>
      <c r="AE442" s="214">
        <v>0</v>
      </c>
      <c r="AF442" s="214">
        <v>0</v>
      </c>
      <c r="AG442" s="214">
        <v>0</v>
      </c>
      <c r="AH442" s="214">
        <v>0</v>
      </c>
      <c r="AI442" s="87">
        <v>1377171</v>
      </c>
      <c r="AJ442" s="87">
        <v>0</v>
      </c>
      <c r="AK442" s="87">
        <v>1377171</v>
      </c>
      <c r="AL442" s="87">
        <v>1377171</v>
      </c>
      <c r="AM442" s="87">
        <v>1382400</v>
      </c>
      <c r="AN442" s="87">
        <v>1377171</v>
      </c>
      <c r="AO442" s="87">
        <v>1377171</v>
      </c>
      <c r="AP442" s="87">
        <v>1377000</v>
      </c>
      <c r="AQ442" s="88">
        <v>0</v>
      </c>
      <c r="AR442" s="88">
        <v>0</v>
      </c>
      <c r="AS442" s="88">
        <v>0</v>
      </c>
      <c r="AT442" s="88">
        <v>0</v>
      </c>
      <c r="AU442" s="88">
        <v>0</v>
      </c>
      <c r="AV442" s="88">
        <v>0</v>
      </c>
      <c r="AW442" s="88">
        <v>0</v>
      </c>
      <c r="AX442" s="88">
        <v>0</v>
      </c>
      <c r="AY442" s="87">
        <v>0</v>
      </c>
      <c r="AZ442" s="87">
        <v>0</v>
      </c>
      <c r="BA442" s="87">
        <v>0</v>
      </c>
      <c r="BB442" s="87">
        <v>0</v>
      </c>
      <c r="BC442" s="87">
        <v>0</v>
      </c>
      <c r="BD442" s="87">
        <v>0</v>
      </c>
      <c r="BE442" s="87">
        <v>0</v>
      </c>
      <c r="BF442" s="87">
        <v>0</v>
      </c>
      <c r="BG442" s="88">
        <v>0</v>
      </c>
      <c r="BH442" s="88">
        <v>0</v>
      </c>
      <c r="BI442" s="88">
        <v>0</v>
      </c>
      <c r="BJ442" s="88">
        <v>0</v>
      </c>
      <c r="BK442" s="88">
        <v>0</v>
      </c>
      <c r="BL442" s="88">
        <v>0</v>
      </c>
      <c r="BM442" s="88">
        <v>0</v>
      </c>
      <c r="BN442" s="590">
        <v>0</v>
      </c>
      <c r="BO442" s="171">
        <v>2023</v>
      </c>
      <c r="BP442" s="171">
        <v>1</v>
      </c>
      <c r="BQ442" s="171">
        <v>19</v>
      </c>
      <c r="BS442" s="76" t="str">
        <f t="shared" si="14"/>
        <v>○</v>
      </c>
    </row>
    <row r="443" spans="1:71" x14ac:dyDescent="0.2">
      <c r="A443" s="210">
        <v>1641</v>
      </c>
      <c r="B443" s="211"/>
      <c r="C443" s="212"/>
      <c r="D443" s="211"/>
      <c r="E443" s="212"/>
      <c r="F443" s="211"/>
      <c r="G443" s="211"/>
      <c r="H443" s="212"/>
      <c r="I443" s="211"/>
      <c r="J443" s="211"/>
      <c r="K443" s="211"/>
      <c r="L443" s="171"/>
      <c r="M443" s="171" t="s">
        <v>325</v>
      </c>
      <c r="N443" s="171" t="s">
        <v>269</v>
      </c>
      <c r="O443" s="171" t="s">
        <v>326</v>
      </c>
      <c r="P443" s="171" t="s">
        <v>916</v>
      </c>
      <c r="Q443" s="171"/>
      <c r="R443" s="213">
        <v>176000</v>
      </c>
      <c r="S443" s="87">
        <v>0</v>
      </c>
      <c r="T443" s="87">
        <v>0</v>
      </c>
      <c r="U443" s="87">
        <v>0</v>
      </c>
      <c r="V443" s="87">
        <v>0</v>
      </c>
      <c r="W443" s="87">
        <v>0</v>
      </c>
      <c r="X443" s="87">
        <v>0</v>
      </c>
      <c r="Y443" s="87">
        <v>0</v>
      </c>
      <c r="Z443" s="87">
        <v>0</v>
      </c>
      <c r="AA443" s="214">
        <v>0</v>
      </c>
      <c r="AB443" s="214">
        <v>0</v>
      </c>
      <c r="AC443" s="214">
        <v>0</v>
      </c>
      <c r="AD443" s="214">
        <v>0</v>
      </c>
      <c r="AE443" s="214">
        <v>0</v>
      </c>
      <c r="AF443" s="214">
        <v>0</v>
      </c>
      <c r="AG443" s="214">
        <v>0</v>
      </c>
      <c r="AH443" s="214">
        <v>0</v>
      </c>
      <c r="AI443" s="87">
        <v>176160</v>
      </c>
      <c r="AJ443" s="87">
        <v>0</v>
      </c>
      <c r="AK443" s="87">
        <v>176160</v>
      </c>
      <c r="AL443" s="87">
        <v>176160</v>
      </c>
      <c r="AM443" s="87">
        <v>1728000</v>
      </c>
      <c r="AN443" s="87">
        <v>176160</v>
      </c>
      <c r="AO443" s="87">
        <v>176160</v>
      </c>
      <c r="AP443" s="87">
        <v>176000</v>
      </c>
      <c r="AQ443" s="88">
        <v>0</v>
      </c>
      <c r="AR443" s="88">
        <v>0</v>
      </c>
      <c r="AS443" s="88">
        <v>0</v>
      </c>
      <c r="AT443" s="88">
        <v>0</v>
      </c>
      <c r="AU443" s="88">
        <v>0</v>
      </c>
      <c r="AV443" s="88">
        <v>0</v>
      </c>
      <c r="AW443" s="88">
        <v>0</v>
      </c>
      <c r="AX443" s="88">
        <v>0</v>
      </c>
      <c r="AY443" s="87">
        <v>0</v>
      </c>
      <c r="AZ443" s="87">
        <v>0</v>
      </c>
      <c r="BA443" s="87">
        <v>0</v>
      </c>
      <c r="BB443" s="87">
        <v>0</v>
      </c>
      <c r="BC443" s="87">
        <v>0</v>
      </c>
      <c r="BD443" s="87">
        <v>0</v>
      </c>
      <c r="BE443" s="87">
        <v>0</v>
      </c>
      <c r="BF443" s="87">
        <v>0</v>
      </c>
      <c r="BG443" s="88">
        <v>0</v>
      </c>
      <c r="BH443" s="88">
        <v>0</v>
      </c>
      <c r="BI443" s="88">
        <v>0</v>
      </c>
      <c r="BJ443" s="88">
        <v>0</v>
      </c>
      <c r="BK443" s="88">
        <v>0</v>
      </c>
      <c r="BL443" s="88">
        <v>0</v>
      </c>
      <c r="BM443" s="88">
        <v>0</v>
      </c>
      <c r="BN443" s="590">
        <v>0</v>
      </c>
      <c r="BO443" s="171">
        <v>2023</v>
      </c>
      <c r="BP443" s="171">
        <v>1</v>
      </c>
      <c r="BQ443" s="171">
        <v>19</v>
      </c>
      <c r="BS443" s="76" t="str">
        <f t="shared" si="14"/>
        <v>○</v>
      </c>
    </row>
    <row r="444" spans="1:71" x14ac:dyDescent="0.2">
      <c r="A444" s="210">
        <v>1642</v>
      </c>
      <c r="B444" s="211"/>
      <c r="C444" s="212"/>
      <c r="D444" s="211"/>
      <c r="E444" s="212"/>
      <c r="F444" s="211"/>
      <c r="G444" s="211"/>
      <c r="H444" s="212"/>
      <c r="I444" s="211"/>
      <c r="J444" s="211"/>
      <c r="K444" s="211"/>
      <c r="L444" s="171"/>
      <c r="M444" s="171" t="s">
        <v>799</v>
      </c>
      <c r="N444" s="171" t="s">
        <v>275</v>
      </c>
      <c r="O444" s="171" t="s">
        <v>412</v>
      </c>
      <c r="P444" s="171" t="s">
        <v>916</v>
      </c>
      <c r="Q444" s="171"/>
      <c r="R444" s="213">
        <v>61000</v>
      </c>
      <c r="S444" s="87">
        <v>0</v>
      </c>
      <c r="T444" s="87">
        <v>0</v>
      </c>
      <c r="U444" s="87">
        <v>0</v>
      </c>
      <c r="V444" s="87">
        <v>0</v>
      </c>
      <c r="W444" s="87">
        <v>0</v>
      </c>
      <c r="X444" s="87">
        <v>0</v>
      </c>
      <c r="Y444" s="87">
        <v>0</v>
      </c>
      <c r="Z444" s="87">
        <v>0</v>
      </c>
      <c r="AA444" s="214">
        <v>0</v>
      </c>
      <c r="AB444" s="214">
        <v>0</v>
      </c>
      <c r="AC444" s="214">
        <v>0</v>
      </c>
      <c r="AD444" s="214">
        <v>0</v>
      </c>
      <c r="AE444" s="214">
        <v>0</v>
      </c>
      <c r="AF444" s="214">
        <v>0</v>
      </c>
      <c r="AG444" s="214">
        <v>0</v>
      </c>
      <c r="AH444" s="214">
        <v>0</v>
      </c>
      <c r="AI444" s="87">
        <v>61160</v>
      </c>
      <c r="AJ444" s="87">
        <v>0</v>
      </c>
      <c r="AK444" s="87">
        <v>61160</v>
      </c>
      <c r="AL444" s="87">
        <v>61160</v>
      </c>
      <c r="AM444" s="87">
        <v>2574000</v>
      </c>
      <c r="AN444" s="87">
        <v>61160</v>
      </c>
      <c r="AO444" s="87">
        <v>61160</v>
      </c>
      <c r="AP444" s="87">
        <v>61000</v>
      </c>
      <c r="AQ444" s="88">
        <v>0</v>
      </c>
      <c r="AR444" s="88">
        <v>0</v>
      </c>
      <c r="AS444" s="88">
        <v>0</v>
      </c>
      <c r="AT444" s="88">
        <v>0</v>
      </c>
      <c r="AU444" s="88">
        <v>0</v>
      </c>
      <c r="AV444" s="88">
        <v>0</v>
      </c>
      <c r="AW444" s="88">
        <v>0</v>
      </c>
      <c r="AX444" s="88">
        <v>0</v>
      </c>
      <c r="AY444" s="87">
        <v>0</v>
      </c>
      <c r="AZ444" s="87">
        <v>0</v>
      </c>
      <c r="BA444" s="87">
        <v>0</v>
      </c>
      <c r="BB444" s="87">
        <v>0</v>
      </c>
      <c r="BC444" s="87">
        <v>0</v>
      </c>
      <c r="BD444" s="87">
        <v>0</v>
      </c>
      <c r="BE444" s="87">
        <v>0</v>
      </c>
      <c r="BF444" s="87">
        <v>0</v>
      </c>
      <c r="BG444" s="88">
        <v>0</v>
      </c>
      <c r="BH444" s="88">
        <v>0</v>
      </c>
      <c r="BI444" s="88">
        <v>0</v>
      </c>
      <c r="BJ444" s="88">
        <v>0</v>
      </c>
      <c r="BK444" s="88">
        <v>0</v>
      </c>
      <c r="BL444" s="88">
        <v>0</v>
      </c>
      <c r="BM444" s="88">
        <v>0</v>
      </c>
      <c r="BN444" s="590">
        <v>0</v>
      </c>
      <c r="BO444" s="171">
        <v>2023</v>
      </c>
      <c r="BP444" s="171">
        <v>1</v>
      </c>
      <c r="BQ444" s="171">
        <v>19</v>
      </c>
      <c r="BS444" s="76" t="str">
        <f t="shared" si="14"/>
        <v>○</v>
      </c>
    </row>
    <row r="445" spans="1:71" x14ac:dyDescent="0.2">
      <c r="A445" s="210">
        <v>1643</v>
      </c>
      <c r="B445" s="211"/>
      <c r="C445" s="212"/>
      <c r="D445" s="211"/>
      <c r="E445" s="212"/>
      <c r="F445" s="211"/>
      <c r="G445" s="211"/>
      <c r="H445" s="212"/>
      <c r="I445" s="211"/>
      <c r="J445" s="211"/>
      <c r="K445" s="211"/>
      <c r="L445" s="171"/>
      <c r="M445" s="171" t="s">
        <v>800</v>
      </c>
      <c r="N445" s="171" t="s">
        <v>313</v>
      </c>
      <c r="O445" s="171" t="s">
        <v>641</v>
      </c>
      <c r="P445" s="171" t="s">
        <v>916</v>
      </c>
      <c r="Q445" s="171"/>
      <c r="R445" s="213">
        <v>288000</v>
      </c>
      <c r="S445" s="87">
        <v>0</v>
      </c>
      <c r="T445" s="87">
        <v>0</v>
      </c>
      <c r="U445" s="87">
        <v>0</v>
      </c>
      <c r="V445" s="87">
        <v>0</v>
      </c>
      <c r="W445" s="87">
        <v>0</v>
      </c>
      <c r="X445" s="87">
        <v>0</v>
      </c>
      <c r="Y445" s="87">
        <v>0</v>
      </c>
      <c r="Z445" s="87">
        <v>0</v>
      </c>
      <c r="AA445" s="214">
        <v>0</v>
      </c>
      <c r="AB445" s="214">
        <v>0</v>
      </c>
      <c r="AC445" s="214">
        <v>0</v>
      </c>
      <c r="AD445" s="214">
        <v>0</v>
      </c>
      <c r="AE445" s="214">
        <v>0</v>
      </c>
      <c r="AF445" s="214">
        <v>0</v>
      </c>
      <c r="AG445" s="214">
        <v>0</v>
      </c>
      <c r="AH445" s="214">
        <v>0</v>
      </c>
      <c r="AI445" s="87">
        <v>288301</v>
      </c>
      <c r="AJ445" s="87">
        <v>0</v>
      </c>
      <c r="AK445" s="87">
        <v>288301</v>
      </c>
      <c r="AL445" s="87">
        <v>288301</v>
      </c>
      <c r="AM445" s="87">
        <v>4165200</v>
      </c>
      <c r="AN445" s="87">
        <v>288301</v>
      </c>
      <c r="AO445" s="87">
        <v>288301</v>
      </c>
      <c r="AP445" s="87">
        <v>288000</v>
      </c>
      <c r="AQ445" s="88">
        <v>0</v>
      </c>
      <c r="AR445" s="88">
        <v>0</v>
      </c>
      <c r="AS445" s="88">
        <v>0</v>
      </c>
      <c r="AT445" s="88">
        <v>0</v>
      </c>
      <c r="AU445" s="88">
        <v>0</v>
      </c>
      <c r="AV445" s="88">
        <v>0</v>
      </c>
      <c r="AW445" s="88">
        <v>0</v>
      </c>
      <c r="AX445" s="88">
        <v>0</v>
      </c>
      <c r="AY445" s="87">
        <v>0</v>
      </c>
      <c r="AZ445" s="87">
        <v>0</v>
      </c>
      <c r="BA445" s="87">
        <v>0</v>
      </c>
      <c r="BB445" s="87">
        <v>0</v>
      </c>
      <c r="BC445" s="87">
        <v>0</v>
      </c>
      <c r="BD445" s="87">
        <v>0</v>
      </c>
      <c r="BE445" s="87">
        <v>0</v>
      </c>
      <c r="BF445" s="87">
        <v>0</v>
      </c>
      <c r="BG445" s="88">
        <v>0</v>
      </c>
      <c r="BH445" s="88">
        <v>0</v>
      </c>
      <c r="BI445" s="88">
        <v>0</v>
      </c>
      <c r="BJ445" s="88">
        <v>0</v>
      </c>
      <c r="BK445" s="88">
        <v>0</v>
      </c>
      <c r="BL445" s="88">
        <v>0</v>
      </c>
      <c r="BM445" s="88">
        <v>0</v>
      </c>
      <c r="BN445" s="590">
        <v>0</v>
      </c>
      <c r="BO445" s="171">
        <v>2023</v>
      </c>
      <c r="BP445" s="171">
        <v>1</v>
      </c>
      <c r="BQ445" s="171">
        <v>19</v>
      </c>
      <c r="BS445" s="76" t="str">
        <f t="shared" si="14"/>
        <v>○</v>
      </c>
    </row>
    <row r="446" spans="1:71" x14ac:dyDescent="0.2">
      <c r="A446" s="210">
        <v>1644</v>
      </c>
      <c r="B446" s="211"/>
      <c r="C446" s="212"/>
      <c r="D446" s="211"/>
      <c r="E446" s="212"/>
      <c r="F446" s="211"/>
      <c r="G446" s="211"/>
      <c r="H446" s="212"/>
      <c r="I446" s="211"/>
      <c r="J446" s="211"/>
      <c r="K446" s="211"/>
      <c r="L446" s="171"/>
      <c r="M446" s="171" t="s">
        <v>801</v>
      </c>
      <c r="N446" s="171" t="s">
        <v>286</v>
      </c>
      <c r="O446" s="171" t="s">
        <v>576</v>
      </c>
      <c r="P446" s="171" t="s">
        <v>916</v>
      </c>
      <c r="Q446" s="171"/>
      <c r="R446" s="213">
        <v>74000</v>
      </c>
      <c r="S446" s="87">
        <v>0</v>
      </c>
      <c r="T446" s="87">
        <v>0</v>
      </c>
      <c r="U446" s="87">
        <v>0</v>
      </c>
      <c r="V446" s="87">
        <v>0</v>
      </c>
      <c r="W446" s="87">
        <v>0</v>
      </c>
      <c r="X446" s="87">
        <v>0</v>
      </c>
      <c r="Y446" s="87">
        <v>0</v>
      </c>
      <c r="Z446" s="87">
        <v>0</v>
      </c>
      <c r="AA446" s="214">
        <v>0</v>
      </c>
      <c r="AB446" s="214">
        <v>0</v>
      </c>
      <c r="AC446" s="214">
        <v>0</v>
      </c>
      <c r="AD446" s="214">
        <v>0</v>
      </c>
      <c r="AE446" s="214">
        <v>0</v>
      </c>
      <c r="AF446" s="214">
        <v>0</v>
      </c>
      <c r="AG446" s="214">
        <v>0</v>
      </c>
      <c r="AH446" s="214">
        <v>0</v>
      </c>
      <c r="AI446" s="87">
        <v>74688</v>
      </c>
      <c r="AJ446" s="87">
        <v>0</v>
      </c>
      <c r="AK446" s="87">
        <v>74688</v>
      </c>
      <c r="AL446" s="87">
        <v>74688</v>
      </c>
      <c r="AM446" s="87">
        <v>4633200</v>
      </c>
      <c r="AN446" s="87">
        <v>74688</v>
      </c>
      <c r="AO446" s="87">
        <v>74688</v>
      </c>
      <c r="AP446" s="87">
        <v>74000</v>
      </c>
      <c r="AQ446" s="88">
        <v>0</v>
      </c>
      <c r="AR446" s="88">
        <v>0</v>
      </c>
      <c r="AS446" s="88">
        <v>0</v>
      </c>
      <c r="AT446" s="88">
        <v>0</v>
      </c>
      <c r="AU446" s="88">
        <v>0</v>
      </c>
      <c r="AV446" s="88">
        <v>0</v>
      </c>
      <c r="AW446" s="88">
        <v>0</v>
      </c>
      <c r="AX446" s="88">
        <v>0</v>
      </c>
      <c r="AY446" s="87">
        <v>0</v>
      </c>
      <c r="AZ446" s="87">
        <v>0</v>
      </c>
      <c r="BA446" s="87">
        <v>0</v>
      </c>
      <c r="BB446" s="87">
        <v>0</v>
      </c>
      <c r="BC446" s="87">
        <v>0</v>
      </c>
      <c r="BD446" s="87">
        <v>0</v>
      </c>
      <c r="BE446" s="87">
        <v>0</v>
      </c>
      <c r="BF446" s="87">
        <v>0</v>
      </c>
      <c r="BG446" s="88">
        <v>0</v>
      </c>
      <c r="BH446" s="88">
        <v>0</v>
      </c>
      <c r="BI446" s="88">
        <v>0</v>
      </c>
      <c r="BJ446" s="88">
        <v>0</v>
      </c>
      <c r="BK446" s="88">
        <v>0</v>
      </c>
      <c r="BL446" s="88">
        <v>0</v>
      </c>
      <c r="BM446" s="88">
        <v>0</v>
      </c>
      <c r="BN446" s="590">
        <v>0</v>
      </c>
      <c r="BO446" s="171">
        <v>2023</v>
      </c>
      <c r="BP446" s="171">
        <v>1</v>
      </c>
      <c r="BQ446" s="171">
        <v>19</v>
      </c>
      <c r="BS446" s="76" t="str">
        <f t="shared" si="14"/>
        <v>○</v>
      </c>
    </row>
    <row r="447" spans="1:71" x14ac:dyDescent="0.2">
      <c r="A447" s="210">
        <v>1645</v>
      </c>
      <c r="B447" s="211"/>
      <c r="C447" s="212"/>
      <c r="D447" s="211"/>
      <c r="E447" s="212"/>
      <c r="F447" s="211"/>
      <c r="G447" s="211"/>
      <c r="H447" s="212"/>
      <c r="I447" s="211"/>
      <c r="J447" s="211"/>
      <c r="K447" s="211"/>
      <c r="L447" s="171"/>
      <c r="M447" s="171" t="s">
        <v>802</v>
      </c>
      <c r="N447" s="171" t="s">
        <v>299</v>
      </c>
      <c r="O447" s="171" t="s">
        <v>476</v>
      </c>
      <c r="P447" s="171" t="s">
        <v>916</v>
      </c>
      <c r="Q447" s="171"/>
      <c r="R447" s="213">
        <v>639000</v>
      </c>
      <c r="S447" s="87">
        <v>0</v>
      </c>
      <c r="T447" s="87">
        <v>0</v>
      </c>
      <c r="U447" s="87">
        <v>0</v>
      </c>
      <c r="V447" s="87">
        <v>0</v>
      </c>
      <c r="W447" s="87">
        <v>0</v>
      </c>
      <c r="X447" s="87">
        <v>0</v>
      </c>
      <c r="Y447" s="87">
        <v>0</v>
      </c>
      <c r="Z447" s="87">
        <v>0</v>
      </c>
      <c r="AA447" s="214">
        <v>0</v>
      </c>
      <c r="AB447" s="214">
        <v>0</v>
      </c>
      <c r="AC447" s="214">
        <v>0</v>
      </c>
      <c r="AD447" s="214">
        <v>0</v>
      </c>
      <c r="AE447" s="214">
        <v>0</v>
      </c>
      <c r="AF447" s="214">
        <v>0</v>
      </c>
      <c r="AG447" s="214">
        <v>0</v>
      </c>
      <c r="AH447" s="214">
        <v>0</v>
      </c>
      <c r="AI447" s="87">
        <v>639605</v>
      </c>
      <c r="AJ447" s="87">
        <v>0</v>
      </c>
      <c r="AK447" s="87">
        <v>639605</v>
      </c>
      <c r="AL447" s="87">
        <v>639605</v>
      </c>
      <c r="AM447" s="87">
        <v>2973600</v>
      </c>
      <c r="AN447" s="87">
        <v>639605</v>
      </c>
      <c r="AO447" s="87">
        <v>639605</v>
      </c>
      <c r="AP447" s="87">
        <v>639000</v>
      </c>
      <c r="AQ447" s="88">
        <v>0</v>
      </c>
      <c r="AR447" s="88">
        <v>0</v>
      </c>
      <c r="AS447" s="88">
        <v>0</v>
      </c>
      <c r="AT447" s="88">
        <v>0</v>
      </c>
      <c r="AU447" s="88">
        <v>0</v>
      </c>
      <c r="AV447" s="88">
        <v>0</v>
      </c>
      <c r="AW447" s="88">
        <v>0</v>
      </c>
      <c r="AX447" s="88">
        <v>0</v>
      </c>
      <c r="AY447" s="87">
        <v>0</v>
      </c>
      <c r="AZ447" s="87">
        <v>0</v>
      </c>
      <c r="BA447" s="87">
        <v>0</v>
      </c>
      <c r="BB447" s="87">
        <v>0</v>
      </c>
      <c r="BC447" s="87">
        <v>0</v>
      </c>
      <c r="BD447" s="87">
        <v>0</v>
      </c>
      <c r="BE447" s="87">
        <v>0</v>
      </c>
      <c r="BF447" s="87">
        <v>0</v>
      </c>
      <c r="BG447" s="88">
        <v>0</v>
      </c>
      <c r="BH447" s="88">
        <v>0</v>
      </c>
      <c r="BI447" s="88">
        <v>0</v>
      </c>
      <c r="BJ447" s="88">
        <v>0</v>
      </c>
      <c r="BK447" s="88">
        <v>0</v>
      </c>
      <c r="BL447" s="88">
        <v>0</v>
      </c>
      <c r="BM447" s="88">
        <v>0</v>
      </c>
      <c r="BN447" s="590">
        <v>0</v>
      </c>
      <c r="BO447" s="171">
        <v>2023</v>
      </c>
      <c r="BP447" s="171">
        <v>1</v>
      </c>
      <c r="BQ447" s="171">
        <v>19</v>
      </c>
      <c r="BS447" s="76" t="str">
        <f t="shared" si="14"/>
        <v>○</v>
      </c>
    </row>
    <row r="448" spans="1:71" x14ac:dyDescent="0.2">
      <c r="A448" s="210">
        <v>1646</v>
      </c>
      <c r="B448" s="211"/>
      <c r="C448" s="212"/>
      <c r="D448" s="211"/>
      <c r="E448" s="212"/>
      <c r="F448" s="211"/>
      <c r="G448" s="211"/>
      <c r="H448" s="212"/>
      <c r="I448" s="211"/>
      <c r="J448" s="211"/>
      <c r="K448" s="211"/>
      <c r="L448" s="171"/>
      <c r="M448" s="171" t="s">
        <v>803</v>
      </c>
      <c r="N448" s="171" t="s">
        <v>306</v>
      </c>
      <c r="O448" s="171" t="s">
        <v>563</v>
      </c>
      <c r="P448" s="171" t="s">
        <v>916</v>
      </c>
      <c r="Q448" s="171"/>
      <c r="R448" s="213">
        <v>541000</v>
      </c>
      <c r="S448" s="87">
        <v>0</v>
      </c>
      <c r="T448" s="87">
        <v>0</v>
      </c>
      <c r="U448" s="87">
        <v>0</v>
      </c>
      <c r="V448" s="87">
        <v>0</v>
      </c>
      <c r="W448" s="87">
        <v>0</v>
      </c>
      <c r="X448" s="87">
        <v>0</v>
      </c>
      <c r="Y448" s="87">
        <v>0</v>
      </c>
      <c r="Z448" s="87">
        <v>0</v>
      </c>
      <c r="AA448" s="214">
        <v>0</v>
      </c>
      <c r="AB448" s="214">
        <v>0</v>
      </c>
      <c r="AC448" s="214">
        <v>0</v>
      </c>
      <c r="AD448" s="214">
        <v>0</v>
      </c>
      <c r="AE448" s="214">
        <v>0</v>
      </c>
      <c r="AF448" s="214">
        <v>0</v>
      </c>
      <c r="AG448" s="214">
        <v>0</v>
      </c>
      <c r="AH448" s="214">
        <v>0</v>
      </c>
      <c r="AI448" s="87">
        <v>541200</v>
      </c>
      <c r="AJ448" s="87">
        <v>0</v>
      </c>
      <c r="AK448" s="87">
        <v>541200</v>
      </c>
      <c r="AL448" s="87">
        <v>541200</v>
      </c>
      <c r="AM448" s="87">
        <v>2059200</v>
      </c>
      <c r="AN448" s="87">
        <v>541200</v>
      </c>
      <c r="AO448" s="87">
        <v>541200</v>
      </c>
      <c r="AP448" s="87">
        <v>541000</v>
      </c>
      <c r="AQ448" s="88">
        <v>0</v>
      </c>
      <c r="AR448" s="88">
        <v>0</v>
      </c>
      <c r="AS448" s="88">
        <v>0</v>
      </c>
      <c r="AT448" s="88">
        <v>0</v>
      </c>
      <c r="AU448" s="88">
        <v>0</v>
      </c>
      <c r="AV448" s="88">
        <v>0</v>
      </c>
      <c r="AW448" s="88">
        <v>0</v>
      </c>
      <c r="AX448" s="88">
        <v>0</v>
      </c>
      <c r="AY448" s="87">
        <v>0</v>
      </c>
      <c r="AZ448" s="87">
        <v>0</v>
      </c>
      <c r="BA448" s="87">
        <v>0</v>
      </c>
      <c r="BB448" s="87">
        <v>0</v>
      </c>
      <c r="BC448" s="87">
        <v>0</v>
      </c>
      <c r="BD448" s="87">
        <v>0</v>
      </c>
      <c r="BE448" s="87">
        <v>0</v>
      </c>
      <c r="BF448" s="87">
        <v>0</v>
      </c>
      <c r="BG448" s="88">
        <v>0</v>
      </c>
      <c r="BH448" s="88">
        <v>0</v>
      </c>
      <c r="BI448" s="88">
        <v>0</v>
      </c>
      <c r="BJ448" s="88">
        <v>0</v>
      </c>
      <c r="BK448" s="88">
        <v>0</v>
      </c>
      <c r="BL448" s="88">
        <v>0</v>
      </c>
      <c r="BM448" s="88">
        <v>0</v>
      </c>
      <c r="BN448" s="590">
        <v>0</v>
      </c>
      <c r="BO448" s="171">
        <v>2023</v>
      </c>
      <c r="BP448" s="171">
        <v>1</v>
      </c>
      <c r="BQ448" s="171">
        <v>19</v>
      </c>
      <c r="BS448" s="76" t="str">
        <f t="shared" si="14"/>
        <v>○</v>
      </c>
    </row>
    <row r="449" spans="1:71" x14ac:dyDescent="0.2">
      <c r="A449" s="210">
        <v>1647</v>
      </c>
      <c r="B449" s="211"/>
      <c r="C449" s="212"/>
      <c r="D449" s="211"/>
      <c r="E449" s="212"/>
      <c r="F449" s="211"/>
      <c r="G449" s="211"/>
      <c r="H449" s="212"/>
      <c r="I449" s="211"/>
      <c r="J449" s="211"/>
      <c r="K449" s="211"/>
      <c r="L449" s="171"/>
      <c r="M449" s="171" t="s">
        <v>804</v>
      </c>
      <c r="N449" s="171" t="s">
        <v>275</v>
      </c>
      <c r="O449" s="171" t="s">
        <v>641</v>
      </c>
      <c r="P449" s="171" t="s">
        <v>916</v>
      </c>
      <c r="Q449" s="171"/>
      <c r="R449" s="213">
        <v>807000</v>
      </c>
      <c r="S449" s="87">
        <v>0</v>
      </c>
      <c r="T449" s="87">
        <v>0</v>
      </c>
      <c r="U449" s="87">
        <v>0</v>
      </c>
      <c r="V449" s="87">
        <v>0</v>
      </c>
      <c r="W449" s="87">
        <v>0</v>
      </c>
      <c r="X449" s="87">
        <v>0</v>
      </c>
      <c r="Y449" s="87">
        <v>0</v>
      </c>
      <c r="Z449" s="87">
        <v>0</v>
      </c>
      <c r="AA449" s="214">
        <v>0</v>
      </c>
      <c r="AB449" s="214">
        <v>0</v>
      </c>
      <c r="AC449" s="214">
        <v>0</v>
      </c>
      <c r="AD449" s="214">
        <v>0</v>
      </c>
      <c r="AE449" s="214">
        <v>0</v>
      </c>
      <c r="AF449" s="214">
        <v>0</v>
      </c>
      <c r="AG449" s="214">
        <v>0</v>
      </c>
      <c r="AH449" s="214">
        <v>0</v>
      </c>
      <c r="AI449" s="87">
        <v>807600</v>
      </c>
      <c r="AJ449" s="87">
        <v>0</v>
      </c>
      <c r="AK449" s="87">
        <v>807600</v>
      </c>
      <c r="AL449" s="87">
        <v>807600</v>
      </c>
      <c r="AM449" s="87">
        <v>1742400</v>
      </c>
      <c r="AN449" s="87">
        <v>807600</v>
      </c>
      <c r="AO449" s="87">
        <v>807600</v>
      </c>
      <c r="AP449" s="87">
        <v>807000</v>
      </c>
      <c r="AQ449" s="88">
        <v>0</v>
      </c>
      <c r="AR449" s="88">
        <v>0</v>
      </c>
      <c r="AS449" s="88">
        <v>0</v>
      </c>
      <c r="AT449" s="88">
        <v>0</v>
      </c>
      <c r="AU449" s="88">
        <v>0</v>
      </c>
      <c r="AV449" s="88">
        <v>0</v>
      </c>
      <c r="AW449" s="88">
        <v>0</v>
      </c>
      <c r="AX449" s="88">
        <v>0</v>
      </c>
      <c r="AY449" s="87">
        <v>0</v>
      </c>
      <c r="AZ449" s="87">
        <v>0</v>
      </c>
      <c r="BA449" s="87">
        <v>0</v>
      </c>
      <c r="BB449" s="87">
        <v>0</v>
      </c>
      <c r="BC449" s="87">
        <v>0</v>
      </c>
      <c r="BD449" s="87">
        <v>0</v>
      </c>
      <c r="BE449" s="87">
        <v>0</v>
      </c>
      <c r="BF449" s="87">
        <v>0</v>
      </c>
      <c r="BG449" s="88">
        <v>0</v>
      </c>
      <c r="BH449" s="88">
        <v>0</v>
      </c>
      <c r="BI449" s="88">
        <v>0</v>
      </c>
      <c r="BJ449" s="88">
        <v>0</v>
      </c>
      <c r="BK449" s="88">
        <v>0</v>
      </c>
      <c r="BL449" s="88">
        <v>0</v>
      </c>
      <c r="BM449" s="88">
        <v>0</v>
      </c>
      <c r="BN449" s="590">
        <v>0</v>
      </c>
      <c r="BO449" s="171">
        <v>2023</v>
      </c>
      <c r="BP449" s="171">
        <v>1</v>
      </c>
      <c r="BQ449" s="171">
        <v>19</v>
      </c>
      <c r="BS449" s="76" t="str">
        <f t="shared" si="14"/>
        <v>○</v>
      </c>
    </row>
    <row r="450" spans="1:71" x14ac:dyDescent="0.2">
      <c r="A450" s="210">
        <v>1648</v>
      </c>
      <c r="B450" s="211"/>
      <c r="C450" s="212"/>
      <c r="D450" s="211"/>
      <c r="E450" s="212"/>
      <c r="F450" s="211"/>
      <c r="G450" s="211"/>
      <c r="H450" s="212"/>
      <c r="I450" s="211"/>
      <c r="J450" s="211"/>
      <c r="K450" s="211"/>
      <c r="L450" s="171"/>
      <c r="M450" s="171" t="s">
        <v>498</v>
      </c>
      <c r="N450" s="171" t="s">
        <v>299</v>
      </c>
      <c r="O450" s="171" t="s">
        <v>292</v>
      </c>
      <c r="P450" s="171" t="s">
        <v>916</v>
      </c>
      <c r="Q450" s="171"/>
      <c r="R450" s="213">
        <v>109000</v>
      </c>
      <c r="S450" s="87">
        <v>0</v>
      </c>
      <c r="T450" s="87">
        <v>0</v>
      </c>
      <c r="U450" s="87">
        <v>0</v>
      </c>
      <c r="V450" s="87">
        <v>0</v>
      </c>
      <c r="W450" s="87">
        <v>0</v>
      </c>
      <c r="X450" s="87">
        <v>0</v>
      </c>
      <c r="Y450" s="87">
        <v>0</v>
      </c>
      <c r="Z450" s="87">
        <v>0</v>
      </c>
      <c r="AA450" s="214">
        <v>0</v>
      </c>
      <c r="AB450" s="214">
        <v>0</v>
      </c>
      <c r="AC450" s="214">
        <v>0</v>
      </c>
      <c r="AD450" s="214">
        <v>0</v>
      </c>
      <c r="AE450" s="214">
        <v>0</v>
      </c>
      <c r="AF450" s="214">
        <v>0</v>
      </c>
      <c r="AG450" s="214">
        <v>0</v>
      </c>
      <c r="AH450" s="214">
        <v>0</v>
      </c>
      <c r="AI450" s="87">
        <v>109930</v>
      </c>
      <c r="AJ450" s="87">
        <v>0</v>
      </c>
      <c r="AK450" s="87">
        <v>109930</v>
      </c>
      <c r="AL450" s="87">
        <v>109930</v>
      </c>
      <c r="AM450" s="87">
        <v>1026000</v>
      </c>
      <c r="AN450" s="87">
        <v>109930</v>
      </c>
      <c r="AO450" s="87">
        <v>109930</v>
      </c>
      <c r="AP450" s="87">
        <v>109000</v>
      </c>
      <c r="AQ450" s="88">
        <v>0</v>
      </c>
      <c r="AR450" s="88">
        <v>0</v>
      </c>
      <c r="AS450" s="88">
        <v>0</v>
      </c>
      <c r="AT450" s="88">
        <v>0</v>
      </c>
      <c r="AU450" s="88">
        <v>0</v>
      </c>
      <c r="AV450" s="88">
        <v>0</v>
      </c>
      <c r="AW450" s="88">
        <v>0</v>
      </c>
      <c r="AX450" s="88">
        <v>0</v>
      </c>
      <c r="AY450" s="87">
        <v>0</v>
      </c>
      <c r="AZ450" s="87">
        <v>0</v>
      </c>
      <c r="BA450" s="87">
        <v>0</v>
      </c>
      <c r="BB450" s="87">
        <v>0</v>
      </c>
      <c r="BC450" s="87">
        <v>0</v>
      </c>
      <c r="BD450" s="87">
        <v>0</v>
      </c>
      <c r="BE450" s="87">
        <v>0</v>
      </c>
      <c r="BF450" s="87">
        <v>0</v>
      </c>
      <c r="BG450" s="88">
        <v>0</v>
      </c>
      <c r="BH450" s="88">
        <v>0</v>
      </c>
      <c r="BI450" s="88">
        <v>0</v>
      </c>
      <c r="BJ450" s="88">
        <v>0</v>
      </c>
      <c r="BK450" s="88">
        <v>0</v>
      </c>
      <c r="BL450" s="88">
        <v>0</v>
      </c>
      <c r="BM450" s="88">
        <v>0</v>
      </c>
      <c r="BN450" s="590">
        <v>0</v>
      </c>
      <c r="BO450" s="171">
        <v>2023</v>
      </c>
      <c r="BP450" s="171">
        <v>1</v>
      </c>
      <c r="BQ450" s="171">
        <v>19</v>
      </c>
      <c r="BS450" s="76" t="str">
        <f t="shared" si="14"/>
        <v>○</v>
      </c>
    </row>
    <row r="451" spans="1:71" x14ac:dyDescent="0.2">
      <c r="A451" s="210">
        <v>1649</v>
      </c>
      <c r="B451" s="211"/>
      <c r="C451" s="212"/>
      <c r="D451" s="211"/>
      <c r="E451" s="212"/>
      <c r="F451" s="211"/>
      <c r="G451" s="211"/>
      <c r="H451" s="212"/>
      <c r="I451" s="211"/>
      <c r="J451" s="211"/>
      <c r="K451" s="211"/>
      <c r="L451" s="171"/>
      <c r="M451" s="171" t="s">
        <v>639</v>
      </c>
      <c r="N451" s="171" t="s">
        <v>289</v>
      </c>
      <c r="O451" s="171" t="s">
        <v>408</v>
      </c>
      <c r="P451" s="171" t="s">
        <v>916</v>
      </c>
      <c r="Q451" s="171"/>
      <c r="R451" s="213">
        <v>489000</v>
      </c>
      <c r="S451" s="87">
        <v>0</v>
      </c>
      <c r="T451" s="87">
        <v>0</v>
      </c>
      <c r="U451" s="87">
        <v>0</v>
      </c>
      <c r="V451" s="87">
        <v>0</v>
      </c>
      <c r="W451" s="87">
        <v>0</v>
      </c>
      <c r="X451" s="87">
        <v>0</v>
      </c>
      <c r="Y451" s="87">
        <v>0</v>
      </c>
      <c r="Z451" s="87">
        <v>0</v>
      </c>
      <c r="AA451" s="214">
        <v>0</v>
      </c>
      <c r="AB451" s="214">
        <v>0</v>
      </c>
      <c r="AC451" s="214">
        <v>0</v>
      </c>
      <c r="AD451" s="214">
        <v>0</v>
      </c>
      <c r="AE451" s="214">
        <v>0</v>
      </c>
      <c r="AF451" s="214">
        <v>0</v>
      </c>
      <c r="AG451" s="214">
        <v>0</v>
      </c>
      <c r="AH451" s="214">
        <v>0</v>
      </c>
      <c r="AI451" s="87">
        <v>489192</v>
      </c>
      <c r="AJ451" s="87">
        <v>0</v>
      </c>
      <c r="AK451" s="87">
        <v>489192</v>
      </c>
      <c r="AL451" s="87">
        <v>489192</v>
      </c>
      <c r="AM451" s="87">
        <v>11016000</v>
      </c>
      <c r="AN451" s="87">
        <v>489192</v>
      </c>
      <c r="AO451" s="87">
        <v>489192</v>
      </c>
      <c r="AP451" s="87">
        <v>489000</v>
      </c>
      <c r="AQ451" s="88">
        <v>0</v>
      </c>
      <c r="AR451" s="88">
        <v>0</v>
      </c>
      <c r="AS451" s="88">
        <v>0</v>
      </c>
      <c r="AT451" s="88">
        <v>0</v>
      </c>
      <c r="AU451" s="88">
        <v>0</v>
      </c>
      <c r="AV451" s="88">
        <v>0</v>
      </c>
      <c r="AW451" s="88">
        <v>0</v>
      </c>
      <c r="AX451" s="88">
        <v>0</v>
      </c>
      <c r="AY451" s="87">
        <v>0</v>
      </c>
      <c r="AZ451" s="87">
        <v>0</v>
      </c>
      <c r="BA451" s="87">
        <v>0</v>
      </c>
      <c r="BB451" s="87">
        <v>0</v>
      </c>
      <c r="BC451" s="87">
        <v>0</v>
      </c>
      <c r="BD451" s="87">
        <v>0</v>
      </c>
      <c r="BE451" s="87">
        <v>0</v>
      </c>
      <c r="BF451" s="87">
        <v>0</v>
      </c>
      <c r="BG451" s="88">
        <v>0</v>
      </c>
      <c r="BH451" s="88">
        <v>0</v>
      </c>
      <c r="BI451" s="88">
        <v>0</v>
      </c>
      <c r="BJ451" s="88">
        <v>0</v>
      </c>
      <c r="BK451" s="88">
        <v>0</v>
      </c>
      <c r="BL451" s="88">
        <v>0</v>
      </c>
      <c r="BM451" s="88">
        <v>0</v>
      </c>
      <c r="BN451" s="590">
        <v>0</v>
      </c>
      <c r="BO451" s="171">
        <v>2023</v>
      </c>
      <c r="BP451" s="171">
        <v>1</v>
      </c>
      <c r="BQ451" s="171">
        <v>19</v>
      </c>
      <c r="BS451" s="76" t="str">
        <f t="shared" si="14"/>
        <v>○</v>
      </c>
    </row>
    <row r="452" spans="1:71" x14ac:dyDescent="0.2">
      <c r="A452" s="210">
        <v>1650</v>
      </c>
      <c r="B452" s="211"/>
      <c r="C452" s="212"/>
      <c r="D452" s="211"/>
      <c r="E452" s="212"/>
      <c r="F452" s="211"/>
      <c r="G452" s="211"/>
      <c r="H452" s="212"/>
      <c r="I452" s="211"/>
      <c r="J452" s="211"/>
      <c r="K452" s="211"/>
      <c r="L452" s="171"/>
      <c r="M452" s="171" t="s">
        <v>805</v>
      </c>
      <c r="N452" s="171" t="s">
        <v>313</v>
      </c>
      <c r="O452" s="171" t="s">
        <v>396</v>
      </c>
      <c r="P452" s="171" t="s">
        <v>916</v>
      </c>
      <c r="Q452" s="171"/>
      <c r="R452" s="213">
        <v>1722000</v>
      </c>
      <c r="S452" s="87">
        <v>0</v>
      </c>
      <c r="T452" s="87">
        <v>0</v>
      </c>
      <c r="U452" s="87">
        <v>0</v>
      </c>
      <c r="V452" s="87">
        <v>0</v>
      </c>
      <c r="W452" s="87">
        <v>0</v>
      </c>
      <c r="X452" s="87">
        <v>0</v>
      </c>
      <c r="Y452" s="87">
        <v>0</v>
      </c>
      <c r="Z452" s="87">
        <v>0</v>
      </c>
      <c r="AA452" s="214">
        <v>0</v>
      </c>
      <c r="AB452" s="214">
        <v>0</v>
      </c>
      <c r="AC452" s="214">
        <v>0</v>
      </c>
      <c r="AD452" s="214">
        <v>0</v>
      </c>
      <c r="AE452" s="214">
        <v>0</v>
      </c>
      <c r="AF452" s="214">
        <v>0</v>
      </c>
      <c r="AG452" s="214">
        <v>0</v>
      </c>
      <c r="AH452" s="214">
        <v>0</v>
      </c>
      <c r="AI452" s="87">
        <v>1722660</v>
      </c>
      <c r="AJ452" s="87">
        <v>0</v>
      </c>
      <c r="AK452" s="87">
        <v>1722660</v>
      </c>
      <c r="AL452" s="87">
        <v>1722660</v>
      </c>
      <c r="AM452" s="87">
        <v>2088000</v>
      </c>
      <c r="AN452" s="87">
        <v>1722660</v>
      </c>
      <c r="AO452" s="87">
        <v>1722660</v>
      </c>
      <c r="AP452" s="87">
        <v>1722000</v>
      </c>
      <c r="AQ452" s="88">
        <v>0</v>
      </c>
      <c r="AR452" s="88">
        <v>0</v>
      </c>
      <c r="AS452" s="88">
        <v>0</v>
      </c>
      <c r="AT452" s="88">
        <v>0</v>
      </c>
      <c r="AU452" s="88">
        <v>0</v>
      </c>
      <c r="AV452" s="88">
        <v>0</v>
      </c>
      <c r="AW452" s="88">
        <v>0</v>
      </c>
      <c r="AX452" s="88">
        <v>0</v>
      </c>
      <c r="AY452" s="87">
        <v>0</v>
      </c>
      <c r="AZ452" s="87">
        <v>0</v>
      </c>
      <c r="BA452" s="87">
        <v>0</v>
      </c>
      <c r="BB452" s="87">
        <v>0</v>
      </c>
      <c r="BC452" s="87">
        <v>0</v>
      </c>
      <c r="BD452" s="87">
        <v>0</v>
      </c>
      <c r="BE452" s="87">
        <v>0</v>
      </c>
      <c r="BF452" s="87">
        <v>0</v>
      </c>
      <c r="BG452" s="88">
        <v>0</v>
      </c>
      <c r="BH452" s="88">
        <v>0</v>
      </c>
      <c r="BI452" s="88">
        <v>0</v>
      </c>
      <c r="BJ452" s="88">
        <v>0</v>
      </c>
      <c r="BK452" s="88">
        <v>0</v>
      </c>
      <c r="BL452" s="88">
        <v>0</v>
      </c>
      <c r="BM452" s="88">
        <v>0</v>
      </c>
      <c r="BN452" s="590">
        <v>0</v>
      </c>
      <c r="BO452" s="171">
        <v>2023</v>
      </c>
      <c r="BP452" s="171">
        <v>1</v>
      </c>
      <c r="BQ452" s="171">
        <v>19</v>
      </c>
      <c r="BS452" s="76" t="str">
        <f t="shared" si="14"/>
        <v>○</v>
      </c>
    </row>
    <row r="453" spans="1:71" x14ac:dyDescent="0.2">
      <c r="A453" s="210">
        <v>1651</v>
      </c>
      <c r="B453" s="211"/>
      <c r="C453" s="212"/>
      <c r="D453" s="211"/>
      <c r="E453" s="212"/>
      <c r="F453" s="211"/>
      <c r="G453" s="211"/>
      <c r="H453" s="212"/>
      <c r="I453" s="211"/>
      <c r="J453" s="211"/>
      <c r="K453" s="211"/>
      <c r="L453" s="171"/>
      <c r="M453" s="171" t="s">
        <v>806</v>
      </c>
      <c r="N453" s="171" t="s">
        <v>269</v>
      </c>
      <c r="O453" s="171" t="s">
        <v>807</v>
      </c>
      <c r="P453" s="171" t="s">
        <v>916</v>
      </c>
      <c r="Q453" s="171"/>
      <c r="R453" s="213">
        <v>22000</v>
      </c>
      <c r="S453" s="87">
        <v>0</v>
      </c>
      <c r="T453" s="87">
        <v>0</v>
      </c>
      <c r="U453" s="87">
        <v>0</v>
      </c>
      <c r="V453" s="87">
        <v>0</v>
      </c>
      <c r="W453" s="87">
        <v>0</v>
      </c>
      <c r="X453" s="87">
        <v>0</v>
      </c>
      <c r="Y453" s="87">
        <v>0</v>
      </c>
      <c r="Z453" s="87">
        <v>0</v>
      </c>
      <c r="AA453" s="214">
        <v>0</v>
      </c>
      <c r="AB453" s="214">
        <v>0</v>
      </c>
      <c r="AC453" s="214">
        <v>0</v>
      </c>
      <c r="AD453" s="214">
        <v>0</v>
      </c>
      <c r="AE453" s="214">
        <v>0</v>
      </c>
      <c r="AF453" s="214">
        <v>0</v>
      </c>
      <c r="AG453" s="214">
        <v>0</v>
      </c>
      <c r="AH453" s="214">
        <v>0</v>
      </c>
      <c r="AI453" s="87">
        <v>22053</v>
      </c>
      <c r="AJ453" s="87">
        <v>0</v>
      </c>
      <c r="AK453" s="87">
        <v>22053</v>
      </c>
      <c r="AL453" s="87">
        <v>22053</v>
      </c>
      <c r="AM453" s="87">
        <v>2574000</v>
      </c>
      <c r="AN453" s="87">
        <v>22053</v>
      </c>
      <c r="AO453" s="87">
        <v>22053</v>
      </c>
      <c r="AP453" s="87">
        <v>22000</v>
      </c>
      <c r="AQ453" s="88">
        <v>0</v>
      </c>
      <c r="AR453" s="88">
        <v>0</v>
      </c>
      <c r="AS453" s="88">
        <v>0</v>
      </c>
      <c r="AT453" s="88">
        <v>0</v>
      </c>
      <c r="AU453" s="88">
        <v>0</v>
      </c>
      <c r="AV453" s="88">
        <v>0</v>
      </c>
      <c r="AW453" s="88">
        <v>0</v>
      </c>
      <c r="AX453" s="88">
        <v>0</v>
      </c>
      <c r="AY453" s="87">
        <v>0</v>
      </c>
      <c r="AZ453" s="87">
        <v>0</v>
      </c>
      <c r="BA453" s="87">
        <v>0</v>
      </c>
      <c r="BB453" s="87">
        <v>0</v>
      </c>
      <c r="BC453" s="87">
        <v>0</v>
      </c>
      <c r="BD453" s="87">
        <v>0</v>
      </c>
      <c r="BE453" s="87">
        <v>0</v>
      </c>
      <c r="BF453" s="87">
        <v>0</v>
      </c>
      <c r="BG453" s="88">
        <v>0</v>
      </c>
      <c r="BH453" s="88">
        <v>0</v>
      </c>
      <c r="BI453" s="88">
        <v>0</v>
      </c>
      <c r="BJ453" s="88">
        <v>0</v>
      </c>
      <c r="BK453" s="88">
        <v>0</v>
      </c>
      <c r="BL453" s="88">
        <v>0</v>
      </c>
      <c r="BM453" s="88">
        <v>0</v>
      </c>
      <c r="BN453" s="590">
        <v>0</v>
      </c>
      <c r="BO453" s="171">
        <v>2023</v>
      </c>
      <c r="BP453" s="171">
        <v>1</v>
      </c>
      <c r="BQ453" s="171">
        <v>19</v>
      </c>
      <c r="BS453" s="76" t="str">
        <f t="shared" si="14"/>
        <v>○</v>
      </c>
    </row>
    <row r="454" spans="1:71" x14ac:dyDescent="0.2">
      <c r="A454" s="210">
        <v>1652</v>
      </c>
      <c r="B454" s="211"/>
      <c r="C454" s="212"/>
      <c r="D454" s="211"/>
      <c r="E454" s="212"/>
      <c r="F454" s="211"/>
      <c r="G454" s="211"/>
      <c r="H454" s="212"/>
      <c r="I454" s="211"/>
      <c r="J454" s="211"/>
      <c r="K454" s="211"/>
      <c r="L454" s="171"/>
      <c r="M454" s="171" t="s">
        <v>808</v>
      </c>
      <c r="N454" s="171" t="s">
        <v>269</v>
      </c>
      <c r="O454" s="171" t="s">
        <v>809</v>
      </c>
      <c r="P454" s="171" t="s">
        <v>916</v>
      </c>
      <c r="Q454" s="171"/>
      <c r="R454" s="213">
        <v>32000</v>
      </c>
      <c r="S454" s="87">
        <v>0</v>
      </c>
      <c r="T454" s="87">
        <v>0</v>
      </c>
      <c r="U454" s="87">
        <v>0</v>
      </c>
      <c r="V454" s="87">
        <v>0</v>
      </c>
      <c r="W454" s="87">
        <v>0</v>
      </c>
      <c r="X454" s="87">
        <v>0</v>
      </c>
      <c r="Y454" s="87">
        <v>0</v>
      </c>
      <c r="Z454" s="87">
        <v>0</v>
      </c>
      <c r="AA454" s="214">
        <v>0</v>
      </c>
      <c r="AB454" s="214">
        <v>0</v>
      </c>
      <c r="AC454" s="214">
        <v>0</v>
      </c>
      <c r="AD454" s="214">
        <v>0</v>
      </c>
      <c r="AE454" s="214">
        <v>0</v>
      </c>
      <c r="AF454" s="214">
        <v>0</v>
      </c>
      <c r="AG454" s="214">
        <v>0</v>
      </c>
      <c r="AH454" s="214">
        <v>0</v>
      </c>
      <c r="AI454" s="87">
        <v>32662</v>
      </c>
      <c r="AJ454" s="87">
        <v>0</v>
      </c>
      <c r="AK454" s="87">
        <v>32662</v>
      </c>
      <c r="AL454" s="87">
        <v>32662</v>
      </c>
      <c r="AM454" s="87">
        <v>1094400</v>
      </c>
      <c r="AN454" s="87">
        <v>32662</v>
      </c>
      <c r="AO454" s="87">
        <v>32662</v>
      </c>
      <c r="AP454" s="87">
        <v>32000</v>
      </c>
      <c r="AQ454" s="88">
        <v>0</v>
      </c>
      <c r="AR454" s="88">
        <v>0</v>
      </c>
      <c r="AS454" s="88">
        <v>0</v>
      </c>
      <c r="AT454" s="88">
        <v>0</v>
      </c>
      <c r="AU454" s="88">
        <v>0</v>
      </c>
      <c r="AV454" s="88">
        <v>0</v>
      </c>
      <c r="AW454" s="88">
        <v>0</v>
      </c>
      <c r="AX454" s="88">
        <v>0</v>
      </c>
      <c r="AY454" s="87">
        <v>0</v>
      </c>
      <c r="AZ454" s="87">
        <v>0</v>
      </c>
      <c r="BA454" s="87">
        <v>0</v>
      </c>
      <c r="BB454" s="87">
        <v>0</v>
      </c>
      <c r="BC454" s="87">
        <v>0</v>
      </c>
      <c r="BD454" s="87">
        <v>0</v>
      </c>
      <c r="BE454" s="87">
        <v>0</v>
      </c>
      <c r="BF454" s="87">
        <v>0</v>
      </c>
      <c r="BG454" s="88">
        <v>0</v>
      </c>
      <c r="BH454" s="88">
        <v>0</v>
      </c>
      <c r="BI454" s="88">
        <v>0</v>
      </c>
      <c r="BJ454" s="88">
        <v>0</v>
      </c>
      <c r="BK454" s="88">
        <v>0</v>
      </c>
      <c r="BL454" s="88">
        <v>0</v>
      </c>
      <c r="BM454" s="88">
        <v>0</v>
      </c>
      <c r="BN454" s="590">
        <v>0</v>
      </c>
      <c r="BO454" s="171">
        <v>2023</v>
      </c>
      <c r="BP454" s="171">
        <v>1</v>
      </c>
      <c r="BQ454" s="171">
        <v>19</v>
      </c>
      <c r="BS454" s="76" t="str">
        <f t="shared" si="14"/>
        <v>○</v>
      </c>
    </row>
    <row r="455" spans="1:71" x14ac:dyDescent="0.2">
      <c r="A455" s="210">
        <v>1653</v>
      </c>
      <c r="B455" s="211"/>
      <c r="C455" s="212"/>
      <c r="D455" s="211"/>
      <c r="E455" s="212"/>
      <c r="F455" s="211"/>
      <c r="G455" s="211"/>
      <c r="H455" s="212"/>
      <c r="I455" s="211"/>
      <c r="J455" s="211"/>
      <c r="K455" s="211"/>
      <c r="L455" s="171"/>
      <c r="M455" s="171" t="s">
        <v>693</v>
      </c>
      <c r="N455" s="171" t="s">
        <v>302</v>
      </c>
      <c r="O455" s="171" t="s">
        <v>412</v>
      </c>
      <c r="P455" s="171" t="s">
        <v>916</v>
      </c>
      <c r="Q455" s="171"/>
      <c r="R455" s="213">
        <v>466000</v>
      </c>
      <c r="S455" s="87">
        <v>0</v>
      </c>
      <c r="T455" s="87">
        <v>0</v>
      </c>
      <c r="U455" s="87">
        <v>0</v>
      </c>
      <c r="V455" s="87">
        <v>0</v>
      </c>
      <c r="W455" s="87">
        <v>0</v>
      </c>
      <c r="X455" s="87">
        <v>0</v>
      </c>
      <c r="Y455" s="87">
        <v>0</v>
      </c>
      <c r="Z455" s="87">
        <v>0</v>
      </c>
      <c r="AA455" s="214">
        <v>0</v>
      </c>
      <c r="AB455" s="214">
        <v>0</v>
      </c>
      <c r="AC455" s="214">
        <v>0</v>
      </c>
      <c r="AD455" s="214">
        <v>0</v>
      </c>
      <c r="AE455" s="214">
        <v>0</v>
      </c>
      <c r="AF455" s="214">
        <v>0</v>
      </c>
      <c r="AG455" s="214">
        <v>0</v>
      </c>
      <c r="AH455" s="214">
        <v>0</v>
      </c>
      <c r="AI455" s="87">
        <v>466121</v>
      </c>
      <c r="AJ455" s="87">
        <v>0</v>
      </c>
      <c r="AK455" s="87">
        <v>466121</v>
      </c>
      <c r="AL455" s="87">
        <v>466121</v>
      </c>
      <c r="AM455" s="87">
        <v>684000</v>
      </c>
      <c r="AN455" s="87">
        <v>466121</v>
      </c>
      <c r="AO455" s="87">
        <v>466121</v>
      </c>
      <c r="AP455" s="87">
        <v>466000</v>
      </c>
      <c r="AQ455" s="88">
        <v>0</v>
      </c>
      <c r="AR455" s="88">
        <v>0</v>
      </c>
      <c r="AS455" s="88">
        <v>0</v>
      </c>
      <c r="AT455" s="88">
        <v>0</v>
      </c>
      <c r="AU455" s="88">
        <v>0</v>
      </c>
      <c r="AV455" s="88">
        <v>0</v>
      </c>
      <c r="AW455" s="88">
        <v>0</v>
      </c>
      <c r="AX455" s="88">
        <v>0</v>
      </c>
      <c r="AY455" s="87">
        <v>0</v>
      </c>
      <c r="AZ455" s="87">
        <v>0</v>
      </c>
      <c r="BA455" s="87">
        <v>0</v>
      </c>
      <c r="BB455" s="87">
        <v>0</v>
      </c>
      <c r="BC455" s="87">
        <v>0</v>
      </c>
      <c r="BD455" s="87">
        <v>0</v>
      </c>
      <c r="BE455" s="87">
        <v>0</v>
      </c>
      <c r="BF455" s="87">
        <v>0</v>
      </c>
      <c r="BG455" s="88">
        <v>0</v>
      </c>
      <c r="BH455" s="88">
        <v>0</v>
      </c>
      <c r="BI455" s="88">
        <v>0</v>
      </c>
      <c r="BJ455" s="88">
        <v>0</v>
      </c>
      <c r="BK455" s="88">
        <v>0</v>
      </c>
      <c r="BL455" s="88">
        <v>0</v>
      </c>
      <c r="BM455" s="88">
        <v>0</v>
      </c>
      <c r="BN455" s="590">
        <v>0</v>
      </c>
      <c r="BO455" s="171">
        <v>2023</v>
      </c>
      <c r="BP455" s="171">
        <v>1</v>
      </c>
      <c r="BQ455" s="171">
        <v>19</v>
      </c>
      <c r="BS455" s="76" t="str">
        <f t="shared" si="14"/>
        <v>○</v>
      </c>
    </row>
    <row r="456" spans="1:71" x14ac:dyDescent="0.2">
      <c r="A456" s="210">
        <v>1654</v>
      </c>
      <c r="B456" s="211"/>
      <c r="C456" s="212"/>
      <c r="D456" s="211"/>
      <c r="E456" s="212"/>
      <c r="F456" s="211"/>
      <c r="G456" s="211"/>
      <c r="H456" s="212"/>
      <c r="I456" s="211"/>
      <c r="J456" s="211"/>
      <c r="K456" s="211"/>
      <c r="L456" s="171"/>
      <c r="M456" s="171" t="s">
        <v>610</v>
      </c>
      <c r="N456" s="171" t="s">
        <v>269</v>
      </c>
      <c r="O456" s="171" t="s">
        <v>476</v>
      </c>
      <c r="P456" s="171" t="s">
        <v>916</v>
      </c>
      <c r="Q456" s="171"/>
      <c r="R456" s="213">
        <v>153000</v>
      </c>
      <c r="S456" s="87">
        <v>0</v>
      </c>
      <c r="T456" s="87">
        <v>0</v>
      </c>
      <c r="U456" s="87">
        <v>0</v>
      </c>
      <c r="V456" s="87">
        <v>0</v>
      </c>
      <c r="W456" s="87">
        <v>0</v>
      </c>
      <c r="X456" s="87">
        <v>0</v>
      </c>
      <c r="Y456" s="87">
        <v>0</v>
      </c>
      <c r="Z456" s="87">
        <v>0</v>
      </c>
      <c r="AA456" s="214">
        <v>0</v>
      </c>
      <c r="AB456" s="214">
        <v>0</v>
      </c>
      <c r="AC456" s="214">
        <v>0</v>
      </c>
      <c r="AD456" s="214">
        <v>0</v>
      </c>
      <c r="AE456" s="214">
        <v>0</v>
      </c>
      <c r="AF456" s="214">
        <v>0</v>
      </c>
      <c r="AG456" s="214">
        <v>0</v>
      </c>
      <c r="AH456" s="214">
        <v>0</v>
      </c>
      <c r="AI456" s="87">
        <v>153040</v>
      </c>
      <c r="AJ456" s="87">
        <v>0</v>
      </c>
      <c r="AK456" s="87">
        <v>153040</v>
      </c>
      <c r="AL456" s="87">
        <v>153040</v>
      </c>
      <c r="AM456" s="87">
        <v>5220000</v>
      </c>
      <c r="AN456" s="87">
        <v>153040</v>
      </c>
      <c r="AO456" s="87">
        <v>153040</v>
      </c>
      <c r="AP456" s="87">
        <v>153000</v>
      </c>
      <c r="AQ456" s="88">
        <v>0</v>
      </c>
      <c r="AR456" s="88">
        <v>0</v>
      </c>
      <c r="AS456" s="88">
        <v>0</v>
      </c>
      <c r="AT456" s="88">
        <v>0</v>
      </c>
      <c r="AU456" s="88">
        <v>0</v>
      </c>
      <c r="AV456" s="88">
        <v>0</v>
      </c>
      <c r="AW456" s="88">
        <v>0</v>
      </c>
      <c r="AX456" s="88">
        <v>0</v>
      </c>
      <c r="AY456" s="87">
        <v>0</v>
      </c>
      <c r="AZ456" s="87">
        <v>0</v>
      </c>
      <c r="BA456" s="87">
        <v>0</v>
      </c>
      <c r="BB456" s="87">
        <v>0</v>
      </c>
      <c r="BC456" s="87">
        <v>0</v>
      </c>
      <c r="BD456" s="87">
        <v>0</v>
      </c>
      <c r="BE456" s="87">
        <v>0</v>
      </c>
      <c r="BF456" s="87">
        <v>0</v>
      </c>
      <c r="BG456" s="88">
        <v>0</v>
      </c>
      <c r="BH456" s="88">
        <v>0</v>
      </c>
      <c r="BI456" s="88">
        <v>0</v>
      </c>
      <c r="BJ456" s="88">
        <v>0</v>
      </c>
      <c r="BK456" s="88">
        <v>0</v>
      </c>
      <c r="BL456" s="88">
        <v>0</v>
      </c>
      <c r="BM456" s="88">
        <v>0</v>
      </c>
      <c r="BN456" s="590">
        <v>0</v>
      </c>
      <c r="BO456" s="171">
        <v>2023</v>
      </c>
      <c r="BP456" s="171">
        <v>1</v>
      </c>
      <c r="BQ456" s="171">
        <v>19</v>
      </c>
      <c r="BS456" s="76" t="str">
        <f t="shared" si="14"/>
        <v>○</v>
      </c>
    </row>
    <row r="457" spans="1:71" x14ac:dyDescent="0.2">
      <c r="A457" s="210">
        <v>1655</v>
      </c>
      <c r="B457" s="211"/>
      <c r="C457" s="212"/>
      <c r="D457" s="211"/>
      <c r="E457" s="212"/>
      <c r="F457" s="211"/>
      <c r="G457" s="211"/>
      <c r="H457" s="212"/>
      <c r="I457" s="211"/>
      <c r="J457" s="211"/>
      <c r="K457" s="211"/>
      <c r="L457" s="171"/>
      <c r="M457" s="171" t="s">
        <v>810</v>
      </c>
      <c r="N457" s="171" t="s">
        <v>393</v>
      </c>
      <c r="O457" s="171" t="s">
        <v>811</v>
      </c>
      <c r="P457" s="171" t="s">
        <v>916</v>
      </c>
      <c r="Q457" s="171"/>
      <c r="R457" s="213">
        <v>99000</v>
      </c>
      <c r="S457" s="87">
        <v>0</v>
      </c>
      <c r="T457" s="87">
        <v>0</v>
      </c>
      <c r="U457" s="87">
        <v>0</v>
      </c>
      <c r="V457" s="87">
        <v>0</v>
      </c>
      <c r="W457" s="87">
        <v>0</v>
      </c>
      <c r="X457" s="87">
        <v>0</v>
      </c>
      <c r="Y457" s="87">
        <v>0</v>
      </c>
      <c r="Z457" s="87">
        <v>0</v>
      </c>
      <c r="AA457" s="214">
        <v>0</v>
      </c>
      <c r="AB457" s="214">
        <v>0</v>
      </c>
      <c r="AC457" s="214">
        <v>0</v>
      </c>
      <c r="AD457" s="214">
        <v>0</v>
      </c>
      <c r="AE457" s="214">
        <v>0</v>
      </c>
      <c r="AF457" s="214">
        <v>0</v>
      </c>
      <c r="AG457" s="214">
        <v>0</v>
      </c>
      <c r="AH457" s="214">
        <v>0</v>
      </c>
      <c r="AI457" s="87">
        <v>99350</v>
      </c>
      <c r="AJ457" s="87">
        <v>0</v>
      </c>
      <c r="AK457" s="87">
        <v>99350</v>
      </c>
      <c r="AL457" s="87">
        <v>99350</v>
      </c>
      <c r="AM457" s="87">
        <v>1296000</v>
      </c>
      <c r="AN457" s="87">
        <v>99350</v>
      </c>
      <c r="AO457" s="87">
        <v>99350</v>
      </c>
      <c r="AP457" s="87">
        <v>99000</v>
      </c>
      <c r="AQ457" s="88">
        <v>0</v>
      </c>
      <c r="AR457" s="88">
        <v>0</v>
      </c>
      <c r="AS457" s="88">
        <v>0</v>
      </c>
      <c r="AT457" s="88">
        <v>0</v>
      </c>
      <c r="AU457" s="88">
        <v>0</v>
      </c>
      <c r="AV457" s="88">
        <v>0</v>
      </c>
      <c r="AW457" s="88">
        <v>0</v>
      </c>
      <c r="AX457" s="88">
        <v>0</v>
      </c>
      <c r="AY457" s="87">
        <v>0</v>
      </c>
      <c r="AZ457" s="87">
        <v>0</v>
      </c>
      <c r="BA457" s="87">
        <v>0</v>
      </c>
      <c r="BB457" s="87">
        <v>0</v>
      </c>
      <c r="BC457" s="87">
        <v>0</v>
      </c>
      <c r="BD457" s="87">
        <v>0</v>
      </c>
      <c r="BE457" s="87">
        <v>0</v>
      </c>
      <c r="BF457" s="87">
        <v>0</v>
      </c>
      <c r="BG457" s="88">
        <v>0</v>
      </c>
      <c r="BH457" s="88">
        <v>0</v>
      </c>
      <c r="BI457" s="88">
        <v>0</v>
      </c>
      <c r="BJ457" s="88">
        <v>0</v>
      </c>
      <c r="BK457" s="88">
        <v>0</v>
      </c>
      <c r="BL457" s="88">
        <v>0</v>
      </c>
      <c r="BM457" s="88">
        <v>0</v>
      </c>
      <c r="BN457" s="590">
        <v>0</v>
      </c>
      <c r="BO457" s="171">
        <v>2023</v>
      </c>
      <c r="BP457" s="171">
        <v>1</v>
      </c>
      <c r="BQ457" s="171">
        <v>19</v>
      </c>
      <c r="BS457" s="76" t="str">
        <f t="shared" si="14"/>
        <v>○</v>
      </c>
    </row>
    <row r="458" spans="1:71" x14ac:dyDescent="0.2">
      <c r="A458" s="210">
        <v>1656</v>
      </c>
      <c r="B458" s="211"/>
      <c r="C458" s="212"/>
      <c r="D458" s="211"/>
      <c r="E458" s="212"/>
      <c r="F458" s="211"/>
      <c r="G458" s="211"/>
      <c r="H458" s="212"/>
      <c r="I458" s="211"/>
      <c r="J458" s="211"/>
      <c r="K458" s="211"/>
      <c r="L458" s="171"/>
      <c r="M458" s="171" t="s">
        <v>778</v>
      </c>
      <c r="N458" s="171" t="s">
        <v>275</v>
      </c>
      <c r="O458" s="171" t="s">
        <v>341</v>
      </c>
      <c r="P458" s="171" t="s">
        <v>916</v>
      </c>
      <c r="Q458" s="171"/>
      <c r="R458" s="213">
        <v>216000</v>
      </c>
      <c r="S458" s="87">
        <v>0</v>
      </c>
      <c r="T458" s="87">
        <v>0</v>
      </c>
      <c r="U458" s="87">
        <v>0</v>
      </c>
      <c r="V458" s="87">
        <v>0</v>
      </c>
      <c r="W458" s="87">
        <v>0</v>
      </c>
      <c r="X458" s="87">
        <v>0</v>
      </c>
      <c r="Y458" s="87">
        <v>0</v>
      </c>
      <c r="Z458" s="87">
        <v>0</v>
      </c>
      <c r="AA458" s="214">
        <v>0</v>
      </c>
      <c r="AB458" s="214">
        <v>0</v>
      </c>
      <c r="AC458" s="214">
        <v>0</v>
      </c>
      <c r="AD458" s="214">
        <v>0</v>
      </c>
      <c r="AE458" s="214">
        <v>0</v>
      </c>
      <c r="AF458" s="214">
        <v>0</v>
      </c>
      <c r="AG458" s="214">
        <v>0</v>
      </c>
      <c r="AH458" s="214">
        <v>0</v>
      </c>
      <c r="AI458" s="87">
        <v>216100</v>
      </c>
      <c r="AJ458" s="87">
        <v>0</v>
      </c>
      <c r="AK458" s="87">
        <v>216100</v>
      </c>
      <c r="AL458" s="87">
        <v>216100</v>
      </c>
      <c r="AM458" s="87">
        <v>5184000</v>
      </c>
      <c r="AN458" s="87">
        <v>216100</v>
      </c>
      <c r="AO458" s="87">
        <v>216100</v>
      </c>
      <c r="AP458" s="87">
        <v>216000</v>
      </c>
      <c r="AQ458" s="88">
        <v>0</v>
      </c>
      <c r="AR458" s="88">
        <v>0</v>
      </c>
      <c r="AS458" s="88">
        <v>0</v>
      </c>
      <c r="AT458" s="88">
        <v>0</v>
      </c>
      <c r="AU458" s="88">
        <v>0</v>
      </c>
      <c r="AV458" s="88">
        <v>0</v>
      </c>
      <c r="AW458" s="88">
        <v>0</v>
      </c>
      <c r="AX458" s="88">
        <v>0</v>
      </c>
      <c r="AY458" s="87">
        <v>0</v>
      </c>
      <c r="AZ458" s="87">
        <v>0</v>
      </c>
      <c r="BA458" s="87">
        <v>0</v>
      </c>
      <c r="BB458" s="87">
        <v>0</v>
      </c>
      <c r="BC458" s="87">
        <v>0</v>
      </c>
      <c r="BD458" s="87">
        <v>0</v>
      </c>
      <c r="BE458" s="87">
        <v>0</v>
      </c>
      <c r="BF458" s="87">
        <v>0</v>
      </c>
      <c r="BG458" s="88">
        <v>0</v>
      </c>
      <c r="BH458" s="88">
        <v>0</v>
      </c>
      <c r="BI458" s="88">
        <v>0</v>
      </c>
      <c r="BJ458" s="88">
        <v>0</v>
      </c>
      <c r="BK458" s="88">
        <v>0</v>
      </c>
      <c r="BL458" s="88">
        <v>0</v>
      </c>
      <c r="BM458" s="88">
        <v>0</v>
      </c>
      <c r="BN458" s="590">
        <v>0</v>
      </c>
      <c r="BO458" s="171">
        <v>2023</v>
      </c>
      <c r="BP458" s="171">
        <v>1</v>
      </c>
      <c r="BQ458" s="171">
        <v>19</v>
      </c>
      <c r="BS458" s="76" t="str">
        <f t="shared" si="14"/>
        <v>○</v>
      </c>
    </row>
    <row r="459" spans="1:71" x14ac:dyDescent="0.2">
      <c r="A459" s="210">
        <v>1658</v>
      </c>
      <c r="B459" s="211"/>
      <c r="C459" s="212"/>
      <c r="D459" s="211"/>
      <c r="E459" s="212"/>
      <c r="F459" s="211"/>
      <c r="G459" s="211"/>
      <c r="H459" s="212"/>
      <c r="I459" s="211"/>
      <c r="J459" s="211"/>
      <c r="K459" s="211"/>
      <c r="L459" s="171"/>
      <c r="M459" s="171" t="s">
        <v>445</v>
      </c>
      <c r="N459" s="171" t="s">
        <v>269</v>
      </c>
      <c r="O459" s="171" t="s">
        <v>446</v>
      </c>
      <c r="P459" s="171" t="s">
        <v>916</v>
      </c>
      <c r="Q459" s="171"/>
      <c r="R459" s="213">
        <v>229000</v>
      </c>
      <c r="S459" s="87">
        <v>0</v>
      </c>
      <c r="T459" s="87">
        <v>0</v>
      </c>
      <c r="U459" s="87">
        <v>0</v>
      </c>
      <c r="V459" s="87">
        <v>0</v>
      </c>
      <c r="W459" s="87">
        <v>0</v>
      </c>
      <c r="X459" s="87">
        <v>0</v>
      </c>
      <c r="Y459" s="87">
        <v>0</v>
      </c>
      <c r="Z459" s="87">
        <v>0</v>
      </c>
      <c r="AA459" s="214">
        <v>0</v>
      </c>
      <c r="AB459" s="214">
        <v>0</v>
      </c>
      <c r="AC459" s="214">
        <v>0</v>
      </c>
      <c r="AD459" s="214">
        <v>0</v>
      </c>
      <c r="AE459" s="214">
        <v>0</v>
      </c>
      <c r="AF459" s="214">
        <v>0</v>
      </c>
      <c r="AG459" s="214">
        <v>0</v>
      </c>
      <c r="AH459" s="214">
        <v>0</v>
      </c>
      <c r="AI459" s="87">
        <v>229350</v>
      </c>
      <c r="AJ459" s="87">
        <v>0</v>
      </c>
      <c r="AK459" s="87">
        <v>229350</v>
      </c>
      <c r="AL459" s="87">
        <v>229350</v>
      </c>
      <c r="AM459" s="87">
        <v>1112400</v>
      </c>
      <c r="AN459" s="87">
        <v>229350</v>
      </c>
      <c r="AO459" s="87">
        <v>229350</v>
      </c>
      <c r="AP459" s="87">
        <v>229000</v>
      </c>
      <c r="AQ459" s="88">
        <v>0</v>
      </c>
      <c r="AR459" s="88">
        <v>0</v>
      </c>
      <c r="AS459" s="88">
        <v>0</v>
      </c>
      <c r="AT459" s="88">
        <v>0</v>
      </c>
      <c r="AU459" s="88">
        <v>0</v>
      </c>
      <c r="AV459" s="88">
        <v>0</v>
      </c>
      <c r="AW459" s="88">
        <v>0</v>
      </c>
      <c r="AX459" s="88">
        <v>0</v>
      </c>
      <c r="AY459" s="87">
        <v>0</v>
      </c>
      <c r="AZ459" s="87">
        <v>0</v>
      </c>
      <c r="BA459" s="87">
        <v>0</v>
      </c>
      <c r="BB459" s="87">
        <v>0</v>
      </c>
      <c r="BC459" s="87">
        <v>0</v>
      </c>
      <c r="BD459" s="87">
        <v>0</v>
      </c>
      <c r="BE459" s="87">
        <v>0</v>
      </c>
      <c r="BF459" s="87">
        <v>0</v>
      </c>
      <c r="BG459" s="88">
        <v>0</v>
      </c>
      <c r="BH459" s="88">
        <v>0</v>
      </c>
      <c r="BI459" s="88">
        <v>0</v>
      </c>
      <c r="BJ459" s="88">
        <v>0</v>
      </c>
      <c r="BK459" s="88">
        <v>0</v>
      </c>
      <c r="BL459" s="88">
        <v>0</v>
      </c>
      <c r="BM459" s="88">
        <v>0</v>
      </c>
      <c r="BN459" s="590">
        <v>0</v>
      </c>
      <c r="BO459" s="171">
        <v>2023</v>
      </c>
      <c r="BP459" s="171">
        <v>1</v>
      </c>
      <c r="BQ459" s="171">
        <v>19</v>
      </c>
      <c r="BS459" s="76" t="str">
        <f t="shared" si="14"/>
        <v>○</v>
      </c>
    </row>
    <row r="460" spans="1:71" x14ac:dyDescent="0.2">
      <c r="A460" s="210">
        <v>1660</v>
      </c>
      <c r="B460" s="211"/>
      <c r="C460" s="212"/>
      <c r="D460" s="211"/>
      <c r="E460" s="212"/>
      <c r="F460" s="211"/>
      <c r="G460" s="211"/>
      <c r="H460" s="212"/>
      <c r="I460" s="211"/>
      <c r="J460" s="211"/>
      <c r="K460" s="211"/>
      <c r="L460" s="171"/>
      <c r="M460" s="171" t="s">
        <v>283</v>
      </c>
      <c r="N460" s="171" t="s">
        <v>269</v>
      </c>
      <c r="O460" s="171" t="s">
        <v>284</v>
      </c>
      <c r="P460" s="171" t="s">
        <v>916</v>
      </c>
      <c r="Q460" s="171"/>
      <c r="R460" s="213">
        <v>75000</v>
      </c>
      <c r="S460" s="87">
        <v>0</v>
      </c>
      <c r="T460" s="87">
        <v>0</v>
      </c>
      <c r="U460" s="87">
        <v>0</v>
      </c>
      <c r="V460" s="87">
        <v>0</v>
      </c>
      <c r="W460" s="87">
        <v>0</v>
      </c>
      <c r="X460" s="87">
        <v>0</v>
      </c>
      <c r="Y460" s="87">
        <v>0</v>
      </c>
      <c r="Z460" s="87">
        <v>0</v>
      </c>
      <c r="AA460" s="214">
        <v>0</v>
      </c>
      <c r="AB460" s="214">
        <v>0</v>
      </c>
      <c r="AC460" s="214">
        <v>0</v>
      </c>
      <c r="AD460" s="214">
        <v>0</v>
      </c>
      <c r="AE460" s="214">
        <v>0</v>
      </c>
      <c r="AF460" s="214">
        <v>0</v>
      </c>
      <c r="AG460" s="214">
        <v>0</v>
      </c>
      <c r="AH460" s="214">
        <v>0</v>
      </c>
      <c r="AI460" s="87">
        <v>75118</v>
      </c>
      <c r="AJ460" s="87">
        <v>0</v>
      </c>
      <c r="AK460" s="87">
        <v>75118</v>
      </c>
      <c r="AL460" s="87">
        <v>75118</v>
      </c>
      <c r="AM460" s="87">
        <v>1576800</v>
      </c>
      <c r="AN460" s="87">
        <v>75118</v>
      </c>
      <c r="AO460" s="87">
        <v>75118</v>
      </c>
      <c r="AP460" s="87">
        <v>75000</v>
      </c>
      <c r="AQ460" s="88">
        <v>0</v>
      </c>
      <c r="AR460" s="88">
        <v>0</v>
      </c>
      <c r="AS460" s="88">
        <v>0</v>
      </c>
      <c r="AT460" s="88">
        <v>0</v>
      </c>
      <c r="AU460" s="88">
        <v>0</v>
      </c>
      <c r="AV460" s="88">
        <v>0</v>
      </c>
      <c r="AW460" s="88">
        <v>0</v>
      </c>
      <c r="AX460" s="88">
        <v>0</v>
      </c>
      <c r="AY460" s="87">
        <v>0</v>
      </c>
      <c r="AZ460" s="87">
        <v>0</v>
      </c>
      <c r="BA460" s="87">
        <v>0</v>
      </c>
      <c r="BB460" s="87">
        <v>0</v>
      </c>
      <c r="BC460" s="87">
        <v>0</v>
      </c>
      <c r="BD460" s="87">
        <v>0</v>
      </c>
      <c r="BE460" s="87">
        <v>0</v>
      </c>
      <c r="BF460" s="87">
        <v>0</v>
      </c>
      <c r="BG460" s="88">
        <v>0</v>
      </c>
      <c r="BH460" s="88">
        <v>0</v>
      </c>
      <c r="BI460" s="88">
        <v>0</v>
      </c>
      <c r="BJ460" s="88">
        <v>0</v>
      </c>
      <c r="BK460" s="88">
        <v>0</v>
      </c>
      <c r="BL460" s="88">
        <v>0</v>
      </c>
      <c r="BM460" s="88">
        <v>0</v>
      </c>
      <c r="BN460" s="590">
        <v>0</v>
      </c>
      <c r="BO460" s="171">
        <v>2023</v>
      </c>
      <c r="BP460" s="171">
        <v>1</v>
      </c>
      <c r="BQ460" s="171">
        <v>19</v>
      </c>
      <c r="BS460" s="76" t="str">
        <f t="shared" si="14"/>
        <v>○</v>
      </c>
    </row>
    <row r="461" spans="1:71" x14ac:dyDescent="0.2">
      <c r="A461" s="210">
        <v>1662</v>
      </c>
      <c r="B461" s="211"/>
      <c r="C461" s="212"/>
      <c r="D461" s="211"/>
      <c r="E461" s="212"/>
      <c r="F461" s="211"/>
      <c r="G461" s="211"/>
      <c r="H461" s="212"/>
      <c r="I461" s="211"/>
      <c r="J461" s="211"/>
      <c r="K461" s="211"/>
      <c r="L461" s="171"/>
      <c r="M461" s="171" t="s">
        <v>812</v>
      </c>
      <c r="N461" s="171" t="s">
        <v>318</v>
      </c>
      <c r="O461" s="171" t="s">
        <v>596</v>
      </c>
      <c r="P461" s="171" t="s">
        <v>916</v>
      </c>
      <c r="Q461" s="171"/>
      <c r="R461" s="213">
        <v>594000</v>
      </c>
      <c r="S461" s="87">
        <v>0</v>
      </c>
      <c r="T461" s="87">
        <v>0</v>
      </c>
      <c r="U461" s="87">
        <v>0</v>
      </c>
      <c r="V461" s="87">
        <v>0</v>
      </c>
      <c r="W461" s="87">
        <v>0</v>
      </c>
      <c r="X461" s="87">
        <v>0</v>
      </c>
      <c r="Y461" s="87">
        <v>0</v>
      </c>
      <c r="Z461" s="87">
        <v>0</v>
      </c>
      <c r="AA461" s="214">
        <v>0</v>
      </c>
      <c r="AB461" s="214">
        <v>0</v>
      </c>
      <c r="AC461" s="214">
        <v>0</v>
      </c>
      <c r="AD461" s="214">
        <v>0</v>
      </c>
      <c r="AE461" s="214">
        <v>0</v>
      </c>
      <c r="AF461" s="214">
        <v>0</v>
      </c>
      <c r="AG461" s="214">
        <v>0</v>
      </c>
      <c r="AH461" s="214">
        <v>0</v>
      </c>
      <c r="AI461" s="87">
        <v>594288</v>
      </c>
      <c r="AJ461" s="87">
        <v>0</v>
      </c>
      <c r="AK461" s="87">
        <v>594288</v>
      </c>
      <c r="AL461" s="87">
        <v>594288</v>
      </c>
      <c r="AM461" s="87">
        <v>1713600</v>
      </c>
      <c r="AN461" s="87">
        <v>594288</v>
      </c>
      <c r="AO461" s="87">
        <v>594288</v>
      </c>
      <c r="AP461" s="87">
        <v>594000</v>
      </c>
      <c r="AQ461" s="88">
        <v>0</v>
      </c>
      <c r="AR461" s="88">
        <v>0</v>
      </c>
      <c r="AS461" s="88">
        <v>0</v>
      </c>
      <c r="AT461" s="88">
        <v>0</v>
      </c>
      <c r="AU461" s="88">
        <v>0</v>
      </c>
      <c r="AV461" s="88">
        <v>0</v>
      </c>
      <c r="AW461" s="88">
        <v>0</v>
      </c>
      <c r="AX461" s="88">
        <v>0</v>
      </c>
      <c r="AY461" s="87">
        <v>0</v>
      </c>
      <c r="AZ461" s="87">
        <v>0</v>
      </c>
      <c r="BA461" s="87">
        <v>0</v>
      </c>
      <c r="BB461" s="87">
        <v>0</v>
      </c>
      <c r="BC461" s="87">
        <v>0</v>
      </c>
      <c r="BD461" s="87">
        <v>0</v>
      </c>
      <c r="BE461" s="87">
        <v>0</v>
      </c>
      <c r="BF461" s="87">
        <v>0</v>
      </c>
      <c r="BG461" s="88">
        <v>0</v>
      </c>
      <c r="BH461" s="88">
        <v>0</v>
      </c>
      <c r="BI461" s="88">
        <v>0</v>
      </c>
      <c r="BJ461" s="88">
        <v>0</v>
      </c>
      <c r="BK461" s="88">
        <v>0</v>
      </c>
      <c r="BL461" s="88">
        <v>0</v>
      </c>
      <c r="BM461" s="88">
        <v>0</v>
      </c>
      <c r="BN461" s="590">
        <v>0</v>
      </c>
      <c r="BO461" s="171">
        <v>2023</v>
      </c>
      <c r="BP461" s="171">
        <v>1</v>
      </c>
      <c r="BQ461" s="171">
        <v>19</v>
      </c>
      <c r="BS461" s="76" t="str">
        <f t="shared" si="14"/>
        <v>○</v>
      </c>
    </row>
    <row r="462" spans="1:71" x14ac:dyDescent="0.2">
      <c r="A462" s="210">
        <v>1663</v>
      </c>
      <c r="B462" s="211"/>
      <c r="C462" s="212"/>
      <c r="D462" s="211"/>
      <c r="E462" s="212"/>
      <c r="F462" s="211"/>
      <c r="G462" s="211"/>
      <c r="H462" s="212"/>
      <c r="I462" s="211"/>
      <c r="J462" s="211"/>
      <c r="K462" s="211"/>
      <c r="L462" s="171"/>
      <c r="M462" s="171" t="s">
        <v>813</v>
      </c>
      <c r="N462" s="171" t="s">
        <v>269</v>
      </c>
      <c r="O462" s="171" t="s">
        <v>814</v>
      </c>
      <c r="P462" s="171" t="s">
        <v>917</v>
      </c>
      <c r="Q462" s="171"/>
      <c r="R462" s="213">
        <v>192000</v>
      </c>
      <c r="S462" s="87">
        <v>0</v>
      </c>
      <c r="T462" s="87">
        <v>0</v>
      </c>
      <c r="U462" s="87">
        <v>0</v>
      </c>
      <c r="V462" s="87">
        <v>0</v>
      </c>
      <c r="W462" s="87">
        <v>0</v>
      </c>
      <c r="X462" s="87">
        <v>0</v>
      </c>
      <c r="Y462" s="87">
        <v>0</v>
      </c>
      <c r="Z462" s="87">
        <v>0</v>
      </c>
      <c r="AA462" s="214">
        <v>0</v>
      </c>
      <c r="AB462" s="214">
        <v>0</v>
      </c>
      <c r="AC462" s="214">
        <v>0</v>
      </c>
      <c r="AD462" s="214">
        <v>0</v>
      </c>
      <c r="AE462" s="214">
        <v>0</v>
      </c>
      <c r="AF462" s="214">
        <v>0</v>
      </c>
      <c r="AG462" s="214">
        <v>0</v>
      </c>
      <c r="AH462" s="214">
        <v>0</v>
      </c>
      <c r="AI462" s="87">
        <v>192624</v>
      </c>
      <c r="AJ462" s="87">
        <v>0</v>
      </c>
      <c r="AK462" s="87">
        <v>192624</v>
      </c>
      <c r="AL462" s="87">
        <v>192624</v>
      </c>
      <c r="AM462" s="87">
        <v>2430000</v>
      </c>
      <c r="AN462" s="87">
        <v>192624</v>
      </c>
      <c r="AO462" s="87">
        <v>192624</v>
      </c>
      <c r="AP462" s="87">
        <v>192000</v>
      </c>
      <c r="AQ462" s="88">
        <v>0</v>
      </c>
      <c r="AR462" s="88">
        <v>0</v>
      </c>
      <c r="AS462" s="88">
        <v>0</v>
      </c>
      <c r="AT462" s="88">
        <v>0</v>
      </c>
      <c r="AU462" s="88">
        <v>0</v>
      </c>
      <c r="AV462" s="88">
        <v>0</v>
      </c>
      <c r="AW462" s="88">
        <v>0</v>
      </c>
      <c r="AX462" s="88">
        <v>0</v>
      </c>
      <c r="AY462" s="87">
        <v>0</v>
      </c>
      <c r="AZ462" s="87">
        <v>0</v>
      </c>
      <c r="BA462" s="87">
        <v>0</v>
      </c>
      <c r="BB462" s="87">
        <v>0</v>
      </c>
      <c r="BC462" s="87">
        <v>0</v>
      </c>
      <c r="BD462" s="87">
        <v>0</v>
      </c>
      <c r="BE462" s="87">
        <v>0</v>
      </c>
      <c r="BF462" s="87">
        <v>0</v>
      </c>
      <c r="BG462" s="88">
        <v>0</v>
      </c>
      <c r="BH462" s="88">
        <v>0</v>
      </c>
      <c r="BI462" s="88">
        <v>0</v>
      </c>
      <c r="BJ462" s="88">
        <v>0</v>
      </c>
      <c r="BK462" s="88">
        <v>0</v>
      </c>
      <c r="BL462" s="88">
        <v>0</v>
      </c>
      <c r="BM462" s="88">
        <v>0</v>
      </c>
      <c r="BN462" s="590">
        <v>0</v>
      </c>
      <c r="BO462" s="171">
        <v>2023</v>
      </c>
      <c r="BP462" s="171">
        <v>1</v>
      </c>
      <c r="BQ462" s="171">
        <v>19</v>
      </c>
      <c r="BS462" s="76" t="str">
        <f t="shared" si="14"/>
        <v>○</v>
      </c>
    </row>
    <row r="463" spans="1:71" x14ac:dyDescent="0.2">
      <c r="A463" s="210">
        <v>1664</v>
      </c>
      <c r="B463" s="211"/>
      <c r="C463" s="212"/>
      <c r="D463" s="211"/>
      <c r="E463" s="212"/>
      <c r="F463" s="211"/>
      <c r="G463" s="211"/>
      <c r="H463" s="212"/>
      <c r="I463" s="211"/>
      <c r="J463" s="211"/>
      <c r="K463" s="211"/>
      <c r="L463" s="171"/>
      <c r="M463" s="171" t="s">
        <v>365</v>
      </c>
      <c r="N463" s="171" t="s">
        <v>289</v>
      </c>
      <c r="O463" s="171" t="s">
        <v>303</v>
      </c>
      <c r="P463" s="171" t="s">
        <v>916</v>
      </c>
      <c r="Q463" s="171"/>
      <c r="R463" s="213">
        <v>387000</v>
      </c>
      <c r="S463" s="87">
        <v>0</v>
      </c>
      <c r="T463" s="87">
        <v>0</v>
      </c>
      <c r="U463" s="87">
        <v>0</v>
      </c>
      <c r="V463" s="87">
        <v>0</v>
      </c>
      <c r="W463" s="87">
        <v>0</v>
      </c>
      <c r="X463" s="87">
        <v>0</v>
      </c>
      <c r="Y463" s="87">
        <v>0</v>
      </c>
      <c r="Z463" s="87">
        <v>0</v>
      </c>
      <c r="AA463" s="214">
        <v>0</v>
      </c>
      <c r="AB463" s="214">
        <v>0</v>
      </c>
      <c r="AC463" s="214">
        <v>0</v>
      </c>
      <c r="AD463" s="214">
        <v>0</v>
      </c>
      <c r="AE463" s="214">
        <v>0</v>
      </c>
      <c r="AF463" s="214">
        <v>0</v>
      </c>
      <c r="AG463" s="214">
        <v>0</v>
      </c>
      <c r="AH463" s="214">
        <v>0</v>
      </c>
      <c r="AI463" s="87">
        <v>387820</v>
      </c>
      <c r="AJ463" s="87">
        <v>0</v>
      </c>
      <c r="AK463" s="87">
        <v>387820</v>
      </c>
      <c r="AL463" s="87">
        <v>387820</v>
      </c>
      <c r="AM463" s="87">
        <v>2610000</v>
      </c>
      <c r="AN463" s="87">
        <v>387820</v>
      </c>
      <c r="AO463" s="87">
        <v>387820</v>
      </c>
      <c r="AP463" s="87">
        <v>387000</v>
      </c>
      <c r="AQ463" s="88">
        <v>0</v>
      </c>
      <c r="AR463" s="88">
        <v>0</v>
      </c>
      <c r="AS463" s="88">
        <v>0</v>
      </c>
      <c r="AT463" s="88">
        <v>0</v>
      </c>
      <c r="AU463" s="88">
        <v>0</v>
      </c>
      <c r="AV463" s="88">
        <v>0</v>
      </c>
      <c r="AW463" s="88">
        <v>0</v>
      </c>
      <c r="AX463" s="88">
        <v>0</v>
      </c>
      <c r="AY463" s="87">
        <v>0</v>
      </c>
      <c r="AZ463" s="87">
        <v>0</v>
      </c>
      <c r="BA463" s="87">
        <v>0</v>
      </c>
      <c r="BB463" s="87">
        <v>0</v>
      </c>
      <c r="BC463" s="87">
        <v>0</v>
      </c>
      <c r="BD463" s="87">
        <v>0</v>
      </c>
      <c r="BE463" s="87">
        <v>0</v>
      </c>
      <c r="BF463" s="87">
        <v>0</v>
      </c>
      <c r="BG463" s="88">
        <v>0</v>
      </c>
      <c r="BH463" s="88">
        <v>0</v>
      </c>
      <c r="BI463" s="88">
        <v>0</v>
      </c>
      <c r="BJ463" s="88">
        <v>0</v>
      </c>
      <c r="BK463" s="88">
        <v>0</v>
      </c>
      <c r="BL463" s="88">
        <v>0</v>
      </c>
      <c r="BM463" s="88">
        <v>0</v>
      </c>
      <c r="BN463" s="590">
        <v>0</v>
      </c>
      <c r="BO463" s="171">
        <v>2023</v>
      </c>
      <c r="BP463" s="171">
        <v>1</v>
      </c>
      <c r="BQ463" s="171">
        <v>19</v>
      </c>
      <c r="BS463" s="76" t="str">
        <f t="shared" si="14"/>
        <v>○</v>
      </c>
    </row>
    <row r="464" spans="1:71" x14ac:dyDescent="0.2">
      <c r="A464" s="210">
        <v>1666</v>
      </c>
      <c r="B464" s="211"/>
      <c r="C464" s="212"/>
      <c r="D464" s="211"/>
      <c r="E464" s="212"/>
      <c r="F464" s="211"/>
      <c r="G464" s="211"/>
      <c r="H464" s="212"/>
      <c r="I464" s="211"/>
      <c r="J464" s="211"/>
      <c r="K464" s="211"/>
      <c r="L464" s="171"/>
      <c r="M464" s="171" t="s">
        <v>534</v>
      </c>
      <c r="N464" s="171" t="s">
        <v>275</v>
      </c>
      <c r="O464" s="171" t="s">
        <v>396</v>
      </c>
      <c r="P464" s="171" t="s">
        <v>916</v>
      </c>
      <c r="Q464" s="171"/>
      <c r="R464" s="213">
        <v>329000</v>
      </c>
      <c r="S464" s="87">
        <v>0</v>
      </c>
      <c r="T464" s="87">
        <v>0</v>
      </c>
      <c r="U464" s="87">
        <v>0</v>
      </c>
      <c r="V464" s="87">
        <v>0</v>
      </c>
      <c r="W464" s="87">
        <v>0</v>
      </c>
      <c r="X464" s="87">
        <v>0</v>
      </c>
      <c r="Y464" s="87">
        <v>0</v>
      </c>
      <c r="Z464" s="87">
        <v>0</v>
      </c>
      <c r="AA464" s="214">
        <v>0</v>
      </c>
      <c r="AB464" s="214">
        <v>0</v>
      </c>
      <c r="AC464" s="214">
        <v>0</v>
      </c>
      <c r="AD464" s="214">
        <v>0</v>
      </c>
      <c r="AE464" s="214">
        <v>0</v>
      </c>
      <c r="AF464" s="214">
        <v>0</v>
      </c>
      <c r="AG464" s="214">
        <v>0</v>
      </c>
      <c r="AH464" s="214">
        <v>0</v>
      </c>
      <c r="AI464" s="87">
        <v>329530</v>
      </c>
      <c r="AJ464" s="87">
        <v>0</v>
      </c>
      <c r="AK464" s="87">
        <v>329530</v>
      </c>
      <c r="AL464" s="87">
        <v>329530</v>
      </c>
      <c r="AM464" s="87">
        <v>3888000</v>
      </c>
      <c r="AN464" s="87">
        <v>329530</v>
      </c>
      <c r="AO464" s="87">
        <v>329530</v>
      </c>
      <c r="AP464" s="87">
        <v>329000</v>
      </c>
      <c r="AQ464" s="88">
        <v>0</v>
      </c>
      <c r="AR464" s="88">
        <v>0</v>
      </c>
      <c r="AS464" s="88">
        <v>0</v>
      </c>
      <c r="AT464" s="88">
        <v>0</v>
      </c>
      <c r="AU464" s="88">
        <v>0</v>
      </c>
      <c r="AV464" s="88">
        <v>0</v>
      </c>
      <c r="AW464" s="88">
        <v>0</v>
      </c>
      <c r="AX464" s="88">
        <v>0</v>
      </c>
      <c r="AY464" s="87">
        <v>0</v>
      </c>
      <c r="AZ464" s="87">
        <v>0</v>
      </c>
      <c r="BA464" s="87">
        <v>0</v>
      </c>
      <c r="BB464" s="87">
        <v>0</v>
      </c>
      <c r="BC464" s="87">
        <v>0</v>
      </c>
      <c r="BD464" s="87">
        <v>0</v>
      </c>
      <c r="BE464" s="87">
        <v>0</v>
      </c>
      <c r="BF464" s="87">
        <v>0</v>
      </c>
      <c r="BG464" s="88">
        <v>0</v>
      </c>
      <c r="BH464" s="88">
        <v>0</v>
      </c>
      <c r="BI464" s="88">
        <v>0</v>
      </c>
      <c r="BJ464" s="88">
        <v>0</v>
      </c>
      <c r="BK464" s="88">
        <v>0</v>
      </c>
      <c r="BL464" s="88">
        <v>0</v>
      </c>
      <c r="BM464" s="88">
        <v>0</v>
      </c>
      <c r="BN464" s="590">
        <v>0</v>
      </c>
      <c r="BO464" s="171">
        <v>2023</v>
      </c>
      <c r="BP464" s="171">
        <v>1</v>
      </c>
      <c r="BQ464" s="171">
        <v>19</v>
      </c>
      <c r="BS464" s="76" t="str">
        <f t="shared" si="14"/>
        <v>○</v>
      </c>
    </row>
    <row r="465" spans="1:71" x14ac:dyDescent="0.2">
      <c r="A465" s="210">
        <v>1667</v>
      </c>
      <c r="B465" s="211"/>
      <c r="C465" s="212"/>
      <c r="D465" s="211"/>
      <c r="E465" s="212"/>
      <c r="F465" s="211"/>
      <c r="G465" s="211"/>
      <c r="H465" s="212"/>
      <c r="I465" s="211"/>
      <c r="J465" s="211"/>
      <c r="K465" s="211"/>
      <c r="L465" s="171"/>
      <c r="M465" s="171" t="s">
        <v>815</v>
      </c>
      <c r="N465" s="171" t="s">
        <v>272</v>
      </c>
      <c r="O465" s="171" t="s">
        <v>816</v>
      </c>
      <c r="P465" s="171" t="s">
        <v>916</v>
      </c>
      <c r="Q465" s="171"/>
      <c r="R465" s="213">
        <v>942000</v>
      </c>
      <c r="S465" s="87">
        <v>0</v>
      </c>
      <c r="T465" s="87">
        <v>0</v>
      </c>
      <c r="U465" s="87">
        <v>0</v>
      </c>
      <c r="V465" s="87">
        <v>0</v>
      </c>
      <c r="W465" s="87">
        <v>0</v>
      </c>
      <c r="X465" s="87">
        <v>0</v>
      </c>
      <c r="Y465" s="87">
        <v>0</v>
      </c>
      <c r="Z465" s="87">
        <v>0</v>
      </c>
      <c r="AA465" s="214">
        <v>0</v>
      </c>
      <c r="AB465" s="214">
        <v>0</v>
      </c>
      <c r="AC465" s="214">
        <v>0</v>
      </c>
      <c r="AD465" s="214">
        <v>0</v>
      </c>
      <c r="AE465" s="214">
        <v>0</v>
      </c>
      <c r="AF465" s="214">
        <v>0</v>
      </c>
      <c r="AG465" s="214">
        <v>0</v>
      </c>
      <c r="AH465" s="214">
        <v>0</v>
      </c>
      <c r="AI465" s="87">
        <v>942328</v>
      </c>
      <c r="AJ465" s="87">
        <v>0</v>
      </c>
      <c r="AK465" s="87">
        <v>942328</v>
      </c>
      <c r="AL465" s="87">
        <v>942328</v>
      </c>
      <c r="AM465" s="87">
        <v>1728000</v>
      </c>
      <c r="AN465" s="87">
        <v>942328</v>
      </c>
      <c r="AO465" s="87">
        <v>942328</v>
      </c>
      <c r="AP465" s="87">
        <v>942000</v>
      </c>
      <c r="AQ465" s="88">
        <v>0</v>
      </c>
      <c r="AR465" s="88">
        <v>0</v>
      </c>
      <c r="AS465" s="88">
        <v>0</v>
      </c>
      <c r="AT465" s="88">
        <v>0</v>
      </c>
      <c r="AU465" s="88">
        <v>0</v>
      </c>
      <c r="AV465" s="88">
        <v>0</v>
      </c>
      <c r="AW465" s="88">
        <v>0</v>
      </c>
      <c r="AX465" s="88">
        <v>0</v>
      </c>
      <c r="AY465" s="87">
        <v>0</v>
      </c>
      <c r="AZ465" s="87">
        <v>0</v>
      </c>
      <c r="BA465" s="87">
        <v>0</v>
      </c>
      <c r="BB465" s="87">
        <v>0</v>
      </c>
      <c r="BC465" s="87">
        <v>0</v>
      </c>
      <c r="BD465" s="87">
        <v>0</v>
      </c>
      <c r="BE465" s="87">
        <v>0</v>
      </c>
      <c r="BF465" s="87">
        <v>0</v>
      </c>
      <c r="BG465" s="88">
        <v>0</v>
      </c>
      <c r="BH465" s="88">
        <v>0</v>
      </c>
      <c r="BI465" s="88">
        <v>0</v>
      </c>
      <c r="BJ465" s="88">
        <v>0</v>
      </c>
      <c r="BK465" s="88">
        <v>0</v>
      </c>
      <c r="BL465" s="88">
        <v>0</v>
      </c>
      <c r="BM465" s="88">
        <v>0</v>
      </c>
      <c r="BN465" s="590">
        <v>0</v>
      </c>
      <c r="BO465" s="171">
        <v>2023</v>
      </c>
      <c r="BP465" s="171">
        <v>1</v>
      </c>
      <c r="BQ465" s="171">
        <v>19</v>
      </c>
      <c r="BS465" s="76" t="str">
        <f t="shared" si="14"/>
        <v>○</v>
      </c>
    </row>
    <row r="466" spans="1:71" x14ac:dyDescent="0.2">
      <c r="A466" s="210">
        <v>1668</v>
      </c>
      <c r="B466" s="211"/>
      <c r="C466" s="212"/>
      <c r="D466" s="211"/>
      <c r="E466" s="212"/>
      <c r="F466" s="211"/>
      <c r="G466" s="211"/>
      <c r="H466" s="212"/>
      <c r="I466" s="211"/>
      <c r="J466" s="211"/>
      <c r="K466" s="211"/>
      <c r="L466" s="171"/>
      <c r="M466" s="171" t="s">
        <v>817</v>
      </c>
      <c r="N466" s="171" t="s">
        <v>313</v>
      </c>
      <c r="O466" s="171" t="s">
        <v>622</v>
      </c>
      <c r="P466" s="171" t="s">
        <v>916</v>
      </c>
      <c r="Q466" s="171"/>
      <c r="R466" s="213">
        <v>166000</v>
      </c>
      <c r="S466" s="87">
        <v>0</v>
      </c>
      <c r="T466" s="87">
        <v>0</v>
      </c>
      <c r="U466" s="87">
        <v>0</v>
      </c>
      <c r="V466" s="87">
        <v>0</v>
      </c>
      <c r="W466" s="87">
        <v>0</v>
      </c>
      <c r="X466" s="87">
        <v>0</v>
      </c>
      <c r="Y466" s="87">
        <v>0</v>
      </c>
      <c r="Z466" s="87">
        <v>0</v>
      </c>
      <c r="AA466" s="214">
        <v>0</v>
      </c>
      <c r="AB466" s="214">
        <v>0</v>
      </c>
      <c r="AC466" s="214">
        <v>0</v>
      </c>
      <c r="AD466" s="214">
        <v>0</v>
      </c>
      <c r="AE466" s="214">
        <v>0</v>
      </c>
      <c r="AF466" s="214">
        <v>0</v>
      </c>
      <c r="AG466" s="214">
        <v>0</v>
      </c>
      <c r="AH466" s="214">
        <v>0</v>
      </c>
      <c r="AI466" s="87">
        <v>166995</v>
      </c>
      <c r="AJ466" s="87">
        <v>0</v>
      </c>
      <c r="AK466" s="87">
        <v>166995</v>
      </c>
      <c r="AL466" s="87">
        <v>166995</v>
      </c>
      <c r="AM466" s="87">
        <v>1022400</v>
      </c>
      <c r="AN466" s="87">
        <v>166995</v>
      </c>
      <c r="AO466" s="87">
        <v>166995</v>
      </c>
      <c r="AP466" s="87">
        <v>166000</v>
      </c>
      <c r="AQ466" s="88">
        <v>0</v>
      </c>
      <c r="AR466" s="88">
        <v>0</v>
      </c>
      <c r="AS466" s="88">
        <v>0</v>
      </c>
      <c r="AT466" s="88">
        <v>0</v>
      </c>
      <c r="AU466" s="88">
        <v>0</v>
      </c>
      <c r="AV466" s="88">
        <v>0</v>
      </c>
      <c r="AW466" s="88">
        <v>0</v>
      </c>
      <c r="AX466" s="88">
        <v>0</v>
      </c>
      <c r="AY466" s="87">
        <v>0</v>
      </c>
      <c r="AZ466" s="87">
        <v>0</v>
      </c>
      <c r="BA466" s="87">
        <v>0</v>
      </c>
      <c r="BB466" s="87">
        <v>0</v>
      </c>
      <c r="BC466" s="87">
        <v>0</v>
      </c>
      <c r="BD466" s="87">
        <v>0</v>
      </c>
      <c r="BE466" s="87">
        <v>0</v>
      </c>
      <c r="BF466" s="87">
        <v>0</v>
      </c>
      <c r="BG466" s="88">
        <v>0</v>
      </c>
      <c r="BH466" s="88">
        <v>0</v>
      </c>
      <c r="BI466" s="88">
        <v>0</v>
      </c>
      <c r="BJ466" s="88">
        <v>0</v>
      </c>
      <c r="BK466" s="88">
        <v>0</v>
      </c>
      <c r="BL466" s="88">
        <v>0</v>
      </c>
      <c r="BM466" s="88">
        <v>0</v>
      </c>
      <c r="BN466" s="590">
        <v>0</v>
      </c>
      <c r="BO466" s="171">
        <v>2023</v>
      </c>
      <c r="BP466" s="171">
        <v>1</v>
      </c>
      <c r="BQ466" s="171">
        <v>19</v>
      </c>
      <c r="BS466" s="76" t="str">
        <f t="shared" si="14"/>
        <v>○</v>
      </c>
    </row>
    <row r="467" spans="1:71" x14ac:dyDescent="0.2">
      <c r="A467" s="210">
        <v>1670</v>
      </c>
      <c r="B467" s="211"/>
      <c r="C467" s="212"/>
      <c r="D467" s="211"/>
      <c r="E467" s="212"/>
      <c r="F467" s="211"/>
      <c r="G467" s="211"/>
      <c r="H467" s="212"/>
      <c r="I467" s="211"/>
      <c r="J467" s="211"/>
      <c r="K467" s="211"/>
      <c r="L467" s="171"/>
      <c r="M467" s="171" t="s">
        <v>818</v>
      </c>
      <c r="N467" s="171" t="s">
        <v>306</v>
      </c>
      <c r="O467" s="171" t="s">
        <v>294</v>
      </c>
      <c r="P467" s="171" t="s">
        <v>916</v>
      </c>
      <c r="Q467" s="171"/>
      <c r="R467" s="213">
        <v>76000</v>
      </c>
      <c r="S467" s="87">
        <v>0</v>
      </c>
      <c r="T467" s="87">
        <v>0</v>
      </c>
      <c r="U467" s="87">
        <v>0</v>
      </c>
      <c r="V467" s="87">
        <v>0</v>
      </c>
      <c r="W467" s="87">
        <v>0</v>
      </c>
      <c r="X467" s="87">
        <v>0</v>
      </c>
      <c r="Y467" s="87">
        <v>0</v>
      </c>
      <c r="Z467" s="87">
        <v>0</v>
      </c>
      <c r="AA467" s="214">
        <v>0</v>
      </c>
      <c r="AB467" s="214">
        <v>0</v>
      </c>
      <c r="AC467" s="214">
        <v>0</v>
      </c>
      <c r="AD467" s="214">
        <v>0</v>
      </c>
      <c r="AE467" s="214">
        <v>0</v>
      </c>
      <c r="AF467" s="214">
        <v>0</v>
      </c>
      <c r="AG467" s="214">
        <v>0</v>
      </c>
      <c r="AH467" s="214">
        <v>0</v>
      </c>
      <c r="AI467" s="87">
        <v>76249</v>
      </c>
      <c r="AJ467" s="87">
        <v>0</v>
      </c>
      <c r="AK467" s="87">
        <v>76249</v>
      </c>
      <c r="AL467" s="87">
        <v>76249</v>
      </c>
      <c r="AM467" s="87">
        <v>2034000</v>
      </c>
      <c r="AN467" s="87">
        <v>76249</v>
      </c>
      <c r="AO467" s="87">
        <v>76249</v>
      </c>
      <c r="AP467" s="87">
        <v>76000</v>
      </c>
      <c r="AQ467" s="88">
        <v>0</v>
      </c>
      <c r="AR467" s="88">
        <v>0</v>
      </c>
      <c r="AS467" s="88">
        <v>0</v>
      </c>
      <c r="AT467" s="88">
        <v>0</v>
      </c>
      <c r="AU467" s="88">
        <v>0</v>
      </c>
      <c r="AV467" s="88">
        <v>0</v>
      </c>
      <c r="AW467" s="88">
        <v>0</v>
      </c>
      <c r="AX467" s="88">
        <v>0</v>
      </c>
      <c r="AY467" s="87">
        <v>0</v>
      </c>
      <c r="AZ467" s="87">
        <v>0</v>
      </c>
      <c r="BA467" s="87">
        <v>0</v>
      </c>
      <c r="BB467" s="87">
        <v>0</v>
      </c>
      <c r="BC467" s="87">
        <v>0</v>
      </c>
      <c r="BD467" s="87">
        <v>0</v>
      </c>
      <c r="BE467" s="87">
        <v>0</v>
      </c>
      <c r="BF467" s="87">
        <v>0</v>
      </c>
      <c r="BG467" s="88">
        <v>0</v>
      </c>
      <c r="BH467" s="88">
        <v>0</v>
      </c>
      <c r="BI467" s="88">
        <v>0</v>
      </c>
      <c r="BJ467" s="88">
        <v>0</v>
      </c>
      <c r="BK467" s="88">
        <v>0</v>
      </c>
      <c r="BL467" s="88">
        <v>0</v>
      </c>
      <c r="BM467" s="88">
        <v>0</v>
      </c>
      <c r="BN467" s="590">
        <v>0</v>
      </c>
      <c r="BO467" s="171">
        <v>2023</v>
      </c>
      <c r="BP467" s="171">
        <v>1</v>
      </c>
      <c r="BQ467" s="171">
        <v>19</v>
      </c>
      <c r="BS467" s="76" t="str">
        <f t="shared" si="14"/>
        <v>○</v>
      </c>
    </row>
    <row r="468" spans="1:71" x14ac:dyDescent="0.2">
      <c r="A468" s="210">
        <v>1671</v>
      </c>
      <c r="B468" s="211"/>
      <c r="C468" s="212"/>
      <c r="D468" s="211"/>
      <c r="E468" s="212"/>
      <c r="F468" s="211"/>
      <c r="G468" s="211"/>
      <c r="H468" s="212"/>
      <c r="I468" s="211"/>
      <c r="J468" s="211"/>
      <c r="K468" s="211"/>
      <c r="L468" s="171"/>
      <c r="M468" s="171" t="s">
        <v>268</v>
      </c>
      <c r="N468" s="171" t="s">
        <v>269</v>
      </c>
      <c r="O468" s="171" t="s">
        <v>270</v>
      </c>
      <c r="P468" s="171" t="s">
        <v>916</v>
      </c>
      <c r="Q468" s="171"/>
      <c r="R468" s="213">
        <v>269000</v>
      </c>
      <c r="S468" s="87">
        <v>0</v>
      </c>
      <c r="T468" s="87">
        <v>0</v>
      </c>
      <c r="U468" s="87">
        <v>0</v>
      </c>
      <c r="V468" s="87">
        <v>0</v>
      </c>
      <c r="W468" s="87">
        <v>0</v>
      </c>
      <c r="X468" s="87">
        <v>0</v>
      </c>
      <c r="Y468" s="87">
        <v>0</v>
      </c>
      <c r="Z468" s="87">
        <v>0</v>
      </c>
      <c r="AA468" s="214">
        <v>0</v>
      </c>
      <c r="AB468" s="214">
        <v>0</v>
      </c>
      <c r="AC468" s="214">
        <v>0</v>
      </c>
      <c r="AD468" s="214">
        <v>0</v>
      </c>
      <c r="AE468" s="214">
        <v>0</v>
      </c>
      <c r="AF468" s="214">
        <v>0</v>
      </c>
      <c r="AG468" s="214">
        <v>0</v>
      </c>
      <c r="AH468" s="214">
        <v>0</v>
      </c>
      <c r="AI468" s="87">
        <v>269910</v>
      </c>
      <c r="AJ468" s="87">
        <v>0</v>
      </c>
      <c r="AK468" s="87">
        <v>269910</v>
      </c>
      <c r="AL468" s="87">
        <v>269910</v>
      </c>
      <c r="AM468" s="87">
        <v>5151600</v>
      </c>
      <c r="AN468" s="87">
        <v>269910</v>
      </c>
      <c r="AO468" s="87">
        <v>269910</v>
      </c>
      <c r="AP468" s="87">
        <v>269000</v>
      </c>
      <c r="AQ468" s="88">
        <v>0</v>
      </c>
      <c r="AR468" s="88">
        <v>0</v>
      </c>
      <c r="AS468" s="88">
        <v>0</v>
      </c>
      <c r="AT468" s="88">
        <v>0</v>
      </c>
      <c r="AU468" s="88">
        <v>0</v>
      </c>
      <c r="AV468" s="88">
        <v>0</v>
      </c>
      <c r="AW468" s="88">
        <v>0</v>
      </c>
      <c r="AX468" s="88">
        <v>0</v>
      </c>
      <c r="AY468" s="87">
        <v>0</v>
      </c>
      <c r="AZ468" s="87">
        <v>0</v>
      </c>
      <c r="BA468" s="87">
        <v>0</v>
      </c>
      <c r="BB468" s="87">
        <v>0</v>
      </c>
      <c r="BC468" s="87">
        <v>0</v>
      </c>
      <c r="BD468" s="87">
        <v>0</v>
      </c>
      <c r="BE468" s="87">
        <v>0</v>
      </c>
      <c r="BF468" s="87">
        <v>0</v>
      </c>
      <c r="BG468" s="88">
        <v>0</v>
      </c>
      <c r="BH468" s="88">
        <v>0</v>
      </c>
      <c r="BI468" s="88">
        <v>0</v>
      </c>
      <c r="BJ468" s="88">
        <v>0</v>
      </c>
      <c r="BK468" s="88">
        <v>0</v>
      </c>
      <c r="BL468" s="88">
        <v>0</v>
      </c>
      <c r="BM468" s="88">
        <v>0</v>
      </c>
      <c r="BN468" s="590">
        <v>0</v>
      </c>
      <c r="BO468" s="171">
        <v>2023</v>
      </c>
      <c r="BP468" s="171">
        <v>1</v>
      </c>
      <c r="BQ468" s="171">
        <v>19</v>
      </c>
      <c r="BS468" s="76" t="str">
        <f t="shared" si="14"/>
        <v>○</v>
      </c>
    </row>
    <row r="469" spans="1:71" x14ac:dyDescent="0.2">
      <c r="A469" s="210">
        <v>1672</v>
      </c>
      <c r="B469" s="211"/>
      <c r="C469" s="212"/>
      <c r="D469" s="211"/>
      <c r="E469" s="212"/>
      <c r="F469" s="211"/>
      <c r="G469" s="211"/>
      <c r="H469" s="212"/>
      <c r="I469" s="211"/>
      <c r="J469" s="211"/>
      <c r="K469" s="211"/>
      <c r="L469" s="171"/>
      <c r="M469" s="171" t="s">
        <v>368</v>
      </c>
      <c r="N469" s="171" t="s">
        <v>269</v>
      </c>
      <c r="O469" s="171" t="s">
        <v>369</v>
      </c>
      <c r="P469" s="171" t="s">
        <v>916</v>
      </c>
      <c r="Q469" s="171"/>
      <c r="R469" s="213">
        <v>20000</v>
      </c>
      <c r="S469" s="87">
        <v>0</v>
      </c>
      <c r="T469" s="87">
        <v>0</v>
      </c>
      <c r="U469" s="87">
        <v>0</v>
      </c>
      <c r="V469" s="87">
        <v>0</v>
      </c>
      <c r="W469" s="87">
        <v>0</v>
      </c>
      <c r="X469" s="87">
        <v>0</v>
      </c>
      <c r="Y469" s="87">
        <v>0</v>
      </c>
      <c r="Z469" s="87">
        <v>0</v>
      </c>
      <c r="AA469" s="214">
        <v>0</v>
      </c>
      <c r="AB469" s="214">
        <v>0</v>
      </c>
      <c r="AC469" s="214">
        <v>0</v>
      </c>
      <c r="AD469" s="214">
        <v>0</v>
      </c>
      <c r="AE469" s="214">
        <v>0</v>
      </c>
      <c r="AF469" s="214">
        <v>0</v>
      </c>
      <c r="AG469" s="214">
        <v>0</v>
      </c>
      <c r="AH469" s="214">
        <v>0</v>
      </c>
      <c r="AI469" s="87">
        <v>20900</v>
      </c>
      <c r="AJ469" s="87">
        <v>0</v>
      </c>
      <c r="AK469" s="87">
        <v>20900</v>
      </c>
      <c r="AL469" s="87">
        <v>20900</v>
      </c>
      <c r="AM469" s="87">
        <v>3196800</v>
      </c>
      <c r="AN469" s="87">
        <v>20900</v>
      </c>
      <c r="AO469" s="87">
        <v>20900</v>
      </c>
      <c r="AP469" s="87">
        <v>20000</v>
      </c>
      <c r="AQ469" s="88">
        <v>0</v>
      </c>
      <c r="AR469" s="88">
        <v>0</v>
      </c>
      <c r="AS469" s="88">
        <v>0</v>
      </c>
      <c r="AT469" s="88">
        <v>0</v>
      </c>
      <c r="AU469" s="88">
        <v>0</v>
      </c>
      <c r="AV469" s="88">
        <v>0</v>
      </c>
      <c r="AW469" s="88">
        <v>0</v>
      </c>
      <c r="AX469" s="88">
        <v>0</v>
      </c>
      <c r="AY469" s="87">
        <v>0</v>
      </c>
      <c r="AZ469" s="87">
        <v>0</v>
      </c>
      <c r="BA469" s="87">
        <v>0</v>
      </c>
      <c r="BB469" s="87">
        <v>0</v>
      </c>
      <c r="BC469" s="87">
        <v>0</v>
      </c>
      <c r="BD469" s="87">
        <v>0</v>
      </c>
      <c r="BE469" s="87">
        <v>0</v>
      </c>
      <c r="BF469" s="87">
        <v>0</v>
      </c>
      <c r="BG469" s="88">
        <v>0</v>
      </c>
      <c r="BH469" s="88">
        <v>0</v>
      </c>
      <c r="BI469" s="88">
        <v>0</v>
      </c>
      <c r="BJ469" s="88">
        <v>0</v>
      </c>
      <c r="BK469" s="88">
        <v>0</v>
      </c>
      <c r="BL469" s="88">
        <v>0</v>
      </c>
      <c r="BM469" s="88">
        <v>0</v>
      </c>
      <c r="BN469" s="590">
        <v>0</v>
      </c>
      <c r="BO469" s="171">
        <v>2023</v>
      </c>
      <c r="BP469" s="171">
        <v>1</v>
      </c>
      <c r="BQ469" s="171">
        <v>19</v>
      </c>
      <c r="BS469" s="76" t="str">
        <f t="shared" si="14"/>
        <v>○</v>
      </c>
    </row>
    <row r="470" spans="1:71" x14ac:dyDescent="0.2">
      <c r="A470" s="210">
        <v>1673</v>
      </c>
      <c r="B470" s="211"/>
      <c r="C470" s="212"/>
      <c r="D470" s="211"/>
      <c r="E470" s="212"/>
      <c r="F470" s="211"/>
      <c r="G470" s="211"/>
      <c r="H470" s="212"/>
      <c r="I470" s="211"/>
      <c r="J470" s="211"/>
      <c r="K470" s="211"/>
      <c r="L470" s="171"/>
      <c r="M470" s="171" t="s">
        <v>472</v>
      </c>
      <c r="N470" s="171" t="s">
        <v>275</v>
      </c>
      <c r="O470" s="171" t="s">
        <v>452</v>
      </c>
      <c r="P470" s="171" t="s">
        <v>916</v>
      </c>
      <c r="Q470" s="171"/>
      <c r="R470" s="213">
        <v>311000</v>
      </c>
      <c r="S470" s="87">
        <v>0</v>
      </c>
      <c r="T470" s="87">
        <v>0</v>
      </c>
      <c r="U470" s="87">
        <v>0</v>
      </c>
      <c r="V470" s="87">
        <v>0</v>
      </c>
      <c r="W470" s="87">
        <v>0</v>
      </c>
      <c r="X470" s="87">
        <v>0</v>
      </c>
      <c r="Y470" s="87">
        <v>0</v>
      </c>
      <c r="Z470" s="87">
        <v>0</v>
      </c>
      <c r="AA470" s="214">
        <v>0</v>
      </c>
      <c r="AB470" s="214">
        <v>0</v>
      </c>
      <c r="AC470" s="214">
        <v>0</v>
      </c>
      <c r="AD470" s="214">
        <v>0</v>
      </c>
      <c r="AE470" s="214">
        <v>0</v>
      </c>
      <c r="AF470" s="214">
        <v>0</v>
      </c>
      <c r="AG470" s="214">
        <v>0</v>
      </c>
      <c r="AH470" s="214">
        <v>0</v>
      </c>
      <c r="AI470" s="87">
        <v>311307</v>
      </c>
      <c r="AJ470" s="87">
        <v>0</v>
      </c>
      <c r="AK470" s="87">
        <v>311307</v>
      </c>
      <c r="AL470" s="87">
        <v>311307</v>
      </c>
      <c r="AM470" s="87">
        <v>2160000</v>
      </c>
      <c r="AN470" s="87">
        <v>311307</v>
      </c>
      <c r="AO470" s="87">
        <v>311307</v>
      </c>
      <c r="AP470" s="87">
        <v>311000</v>
      </c>
      <c r="AQ470" s="88">
        <v>0</v>
      </c>
      <c r="AR470" s="88">
        <v>0</v>
      </c>
      <c r="AS470" s="88">
        <v>0</v>
      </c>
      <c r="AT470" s="88">
        <v>0</v>
      </c>
      <c r="AU470" s="88">
        <v>0</v>
      </c>
      <c r="AV470" s="88">
        <v>0</v>
      </c>
      <c r="AW470" s="88">
        <v>0</v>
      </c>
      <c r="AX470" s="88">
        <v>0</v>
      </c>
      <c r="AY470" s="87">
        <v>0</v>
      </c>
      <c r="AZ470" s="87">
        <v>0</v>
      </c>
      <c r="BA470" s="87">
        <v>0</v>
      </c>
      <c r="BB470" s="87">
        <v>0</v>
      </c>
      <c r="BC470" s="87">
        <v>0</v>
      </c>
      <c r="BD470" s="87">
        <v>0</v>
      </c>
      <c r="BE470" s="87">
        <v>0</v>
      </c>
      <c r="BF470" s="87">
        <v>0</v>
      </c>
      <c r="BG470" s="88">
        <v>0</v>
      </c>
      <c r="BH470" s="88">
        <v>0</v>
      </c>
      <c r="BI470" s="88">
        <v>0</v>
      </c>
      <c r="BJ470" s="88">
        <v>0</v>
      </c>
      <c r="BK470" s="88">
        <v>0</v>
      </c>
      <c r="BL470" s="88">
        <v>0</v>
      </c>
      <c r="BM470" s="88">
        <v>0</v>
      </c>
      <c r="BN470" s="590">
        <v>0</v>
      </c>
      <c r="BO470" s="171">
        <v>2023</v>
      </c>
      <c r="BP470" s="171">
        <v>1</v>
      </c>
      <c r="BQ470" s="171">
        <v>19</v>
      </c>
      <c r="BS470" s="76" t="str">
        <f t="shared" si="14"/>
        <v>○</v>
      </c>
    </row>
    <row r="471" spans="1:71" x14ac:dyDescent="0.2">
      <c r="A471" s="210">
        <v>1674</v>
      </c>
      <c r="B471" s="211"/>
      <c r="C471" s="212"/>
      <c r="D471" s="211"/>
      <c r="E471" s="212"/>
      <c r="F471" s="211"/>
      <c r="G471" s="211"/>
      <c r="H471" s="212"/>
      <c r="I471" s="211"/>
      <c r="J471" s="211"/>
      <c r="K471" s="211"/>
      <c r="L471" s="171"/>
      <c r="M471" s="171" t="s">
        <v>819</v>
      </c>
      <c r="N471" s="171" t="s">
        <v>393</v>
      </c>
      <c r="O471" s="171" t="s">
        <v>809</v>
      </c>
      <c r="P471" s="171" t="s">
        <v>916</v>
      </c>
      <c r="Q471" s="171"/>
      <c r="R471" s="213">
        <v>1191000</v>
      </c>
      <c r="S471" s="87">
        <v>0</v>
      </c>
      <c r="T471" s="87">
        <v>0</v>
      </c>
      <c r="U471" s="87">
        <v>0</v>
      </c>
      <c r="V471" s="87">
        <v>0</v>
      </c>
      <c r="W471" s="87">
        <v>0</v>
      </c>
      <c r="X471" s="87">
        <v>0</v>
      </c>
      <c r="Y471" s="87">
        <v>0</v>
      </c>
      <c r="Z471" s="87">
        <v>0</v>
      </c>
      <c r="AA471" s="214">
        <v>0</v>
      </c>
      <c r="AB471" s="214">
        <v>0</v>
      </c>
      <c r="AC471" s="214">
        <v>0</v>
      </c>
      <c r="AD471" s="214">
        <v>0</v>
      </c>
      <c r="AE471" s="214">
        <v>0</v>
      </c>
      <c r="AF471" s="214">
        <v>0</v>
      </c>
      <c r="AG471" s="214">
        <v>0</v>
      </c>
      <c r="AH471" s="214">
        <v>0</v>
      </c>
      <c r="AI471" s="87">
        <v>1191780</v>
      </c>
      <c r="AJ471" s="87">
        <v>0</v>
      </c>
      <c r="AK471" s="87">
        <v>1191780</v>
      </c>
      <c r="AL471" s="87">
        <v>1191780</v>
      </c>
      <c r="AM471" s="87">
        <v>8478000</v>
      </c>
      <c r="AN471" s="87">
        <v>1191780</v>
      </c>
      <c r="AO471" s="87">
        <v>1191780</v>
      </c>
      <c r="AP471" s="87">
        <v>1191000</v>
      </c>
      <c r="AQ471" s="88">
        <v>0</v>
      </c>
      <c r="AR471" s="88">
        <v>0</v>
      </c>
      <c r="AS471" s="88">
        <v>0</v>
      </c>
      <c r="AT471" s="88">
        <v>0</v>
      </c>
      <c r="AU471" s="88">
        <v>0</v>
      </c>
      <c r="AV471" s="88">
        <v>0</v>
      </c>
      <c r="AW471" s="88">
        <v>0</v>
      </c>
      <c r="AX471" s="88">
        <v>0</v>
      </c>
      <c r="AY471" s="87">
        <v>0</v>
      </c>
      <c r="AZ471" s="87">
        <v>0</v>
      </c>
      <c r="BA471" s="87">
        <v>0</v>
      </c>
      <c r="BB471" s="87">
        <v>0</v>
      </c>
      <c r="BC471" s="87">
        <v>0</v>
      </c>
      <c r="BD471" s="87">
        <v>0</v>
      </c>
      <c r="BE471" s="87">
        <v>0</v>
      </c>
      <c r="BF471" s="87">
        <v>0</v>
      </c>
      <c r="BG471" s="88">
        <v>0</v>
      </c>
      <c r="BH471" s="88">
        <v>0</v>
      </c>
      <c r="BI471" s="88">
        <v>0</v>
      </c>
      <c r="BJ471" s="88">
        <v>0</v>
      </c>
      <c r="BK471" s="88">
        <v>0</v>
      </c>
      <c r="BL471" s="88">
        <v>0</v>
      </c>
      <c r="BM471" s="88">
        <v>0</v>
      </c>
      <c r="BN471" s="590">
        <v>0</v>
      </c>
      <c r="BO471" s="171">
        <v>2023</v>
      </c>
      <c r="BP471" s="171">
        <v>1</v>
      </c>
      <c r="BQ471" s="171">
        <v>19</v>
      </c>
      <c r="BS471" s="76" t="str">
        <f t="shared" ref="BS471:BS499" si="15">IF(R471=SUM(Z471,AH471,AP471,BF471,BN471),"○","×")</f>
        <v>○</v>
      </c>
    </row>
    <row r="472" spans="1:71" x14ac:dyDescent="0.2">
      <c r="A472" s="210">
        <v>1675</v>
      </c>
      <c r="B472" s="211"/>
      <c r="C472" s="212"/>
      <c r="D472" s="211"/>
      <c r="E472" s="212"/>
      <c r="F472" s="211"/>
      <c r="G472" s="211"/>
      <c r="H472" s="212"/>
      <c r="I472" s="211"/>
      <c r="J472" s="211"/>
      <c r="K472" s="211"/>
      <c r="L472" s="171"/>
      <c r="M472" s="171" t="s">
        <v>498</v>
      </c>
      <c r="N472" s="171" t="s">
        <v>299</v>
      </c>
      <c r="O472" s="171" t="s">
        <v>292</v>
      </c>
      <c r="P472" s="171" t="s">
        <v>916</v>
      </c>
      <c r="Q472" s="171"/>
      <c r="R472" s="213">
        <v>359000</v>
      </c>
      <c r="S472" s="87">
        <v>0</v>
      </c>
      <c r="T472" s="87">
        <v>0</v>
      </c>
      <c r="U472" s="87">
        <v>0</v>
      </c>
      <c r="V472" s="87">
        <v>0</v>
      </c>
      <c r="W472" s="87">
        <v>0</v>
      </c>
      <c r="X472" s="87">
        <v>0</v>
      </c>
      <c r="Y472" s="87">
        <v>0</v>
      </c>
      <c r="Z472" s="87">
        <v>0</v>
      </c>
      <c r="AA472" s="214">
        <v>0</v>
      </c>
      <c r="AB472" s="214">
        <v>0</v>
      </c>
      <c r="AC472" s="214">
        <v>0</v>
      </c>
      <c r="AD472" s="214">
        <v>0</v>
      </c>
      <c r="AE472" s="214">
        <v>0</v>
      </c>
      <c r="AF472" s="214">
        <v>0</v>
      </c>
      <c r="AG472" s="214">
        <v>0</v>
      </c>
      <c r="AH472" s="214">
        <v>0</v>
      </c>
      <c r="AI472" s="87">
        <v>359510</v>
      </c>
      <c r="AJ472" s="87">
        <v>0</v>
      </c>
      <c r="AK472" s="87">
        <v>359510</v>
      </c>
      <c r="AL472" s="87">
        <v>359510</v>
      </c>
      <c r="AM472" s="87">
        <v>1699200</v>
      </c>
      <c r="AN472" s="87">
        <v>359510</v>
      </c>
      <c r="AO472" s="87">
        <v>359510</v>
      </c>
      <c r="AP472" s="87">
        <v>359000</v>
      </c>
      <c r="AQ472" s="88">
        <v>0</v>
      </c>
      <c r="AR472" s="88">
        <v>0</v>
      </c>
      <c r="AS472" s="88">
        <v>0</v>
      </c>
      <c r="AT472" s="88">
        <v>0</v>
      </c>
      <c r="AU472" s="88">
        <v>0</v>
      </c>
      <c r="AV472" s="88">
        <v>0</v>
      </c>
      <c r="AW472" s="88">
        <v>0</v>
      </c>
      <c r="AX472" s="88">
        <v>0</v>
      </c>
      <c r="AY472" s="87">
        <v>0</v>
      </c>
      <c r="AZ472" s="87">
        <v>0</v>
      </c>
      <c r="BA472" s="87">
        <v>0</v>
      </c>
      <c r="BB472" s="87">
        <v>0</v>
      </c>
      <c r="BC472" s="87">
        <v>0</v>
      </c>
      <c r="BD472" s="87">
        <v>0</v>
      </c>
      <c r="BE472" s="87">
        <v>0</v>
      </c>
      <c r="BF472" s="87">
        <v>0</v>
      </c>
      <c r="BG472" s="88">
        <v>0</v>
      </c>
      <c r="BH472" s="88">
        <v>0</v>
      </c>
      <c r="BI472" s="88">
        <v>0</v>
      </c>
      <c r="BJ472" s="88">
        <v>0</v>
      </c>
      <c r="BK472" s="88">
        <v>0</v>
      </c>
      <c r="BL472" s="88">
        <v>0</v>
      </c>
      <c r="BM472" s="88">
        <v>0</v>
      </c>
      <c r="BN472" s="590">
        <v>0</v>
      </c>
      <c r="BO472" s="171">
        <v>2023</v>
      </c>
      <c r="BP472" s="171">
        <v>1</v>
      </c>
      <c r="BQ472" s="171">
        <v>19</v>
      </c>
      <c r="BS472" s="76" t="str">
        <f t="shared" si="15"/>
        <v>○</v>
      </c>
    </row>
    <row r="473" spans="1:71" x14ac:dyDescent="0.2">
      <c r="A473" s="210">
        <v>1676</v>
      </c>
      <c r="B473" s="211"/>
      <c r="C473" s="212"/>
      <c r="D473" s="211"/>
      <c r="E473" s="212"/>
      <c r="F473" s="211"/>
      <c r="G473" s="211"/>
      <c r="H473" s="212"/>
      <c r="I473" s="211"/>
      <c r="J473" s="211"/>
      <c r="K473" s="211"/>
      <c r="L473" s="171"/>
      <c r="M473" s="171" t="s">
        <v>820</v>
      </c>
      <c r="N473" s="171" t="s">
        <v>313</v>
      </c>
      <c r="O473" s="171" t="s">
        <v>410</v>
      </c>
      <c r="P473" s="171" t="s">
        <v>916</v>
      </c>
      <c r="Q473" s="171"/>
      <c r="R473" s="213">
        <v>396000</v>
      </c>
      <c r="S473" s="87">
        <v>0</v>
      </c>
      <c r="T473" s="87">
        <v>0</v>
      </c>
      <c r="U473" s="87">
        <v>0</v>
      </c>
      <c r="V473" s="87">
        <v>0</v>
      </c>
      <c r="W473" s="87">
        <v>0</v>
      </c>
      <c r="X473" s="87">
        <v>0</v>
      </c>
      <c r="Y473" s="87">
        <v>0</v>
      </c>
      <c r="Z473" s="87">
        <v>0</v>
      </c>
      <c r="AA473" s="214">
        <v>0</v>
      </c>
      <c r="AB473" s="214">
        <v>0</v>
      </c>
      <c r="AC473" s="214">
        <v>0</v>
      </c>
      <c r="AD473" s="214">
        <v>0</v>
      </c>
      <c r="AE473" s="214">
        <v>0</v>
      </c>
      <c r="AF473" s="214">
        <v>0</v>
      </c>
      <c r="AG473" s="214">
        <v>0</v>
      </c>
      <c r="AH473" s="214">
        <v>0</v>
      </c>
      <c r="AI473" s="87">
        <v>396000</v>
      </c>
      <c r="AJ473" s="87">
        <v>0</v>
      </c>
      <c r="AK473" s="87">
        <v>396000</v>
      </c>
      <c r="AL473" s="87">
        <v>396000</v>
      </c>
      <c r="AM473" s="87">
        <v>3067200</v>
      </c>
      <c r="AN473" s="87">
        <v>396000</v>
      </c>
      <c r="AO473" s="87">
        <v>396000</v>
      </c>
      <c r="AP473" s="87">
        <v>396000</v>
      </c>
      <c r="AQ473" s="88">
        <v>0</v>
      </c>
      <c r="AR473" s="88">
        <v>0</v>
      </c>
      <c r="AS473" s="88">
        <v>0</v>
      </c>
      <c r="AT473" s="88">
        <v>0</v>
      </c>
      <c r="AU473" s="88">
        <v>0</v>
      </c>
      <c r="AV473" s="88">
        <v>0</v>
      </c>
      <c r="AW473" s="88">
        <v>0</v>
      </c>
      <c r="AX473" s="88">
        <v>0</v>
      </c>
      <c r="AY473" s="87">
        <v>0</v>
      </c>
      <c r="AZ473" s="87">
        <v>0</v>
      </c>
      <c r="BA473" s="87">
        <v>0</v>
      </c>
      <c r="BB473" s="87">
        <v>0</v>
      </c>
      <c r="BC473" s="87">
        <v>0</v>
      </c>
      <c r="BD473" s="87">
        <v>0</v>
      </c>
      <c r="BE473" s="87">
        <v>0</v>
      </c>
      <c r="BF473" s="87">
        <v>0</v>
      </c>
      <c r="BG473" s="88">
        <v>0</v>
      </c>
      <c r="BH473" s="88">
        <v>0</v>
      </c>
      <c r="BI473" s="88">
        <v>0</v>
      </c>
      <c r="BJ473" s="88">
        <v>0</v>
      </c>
      <c r="BK473" s="88">
        <v>0</v>
      </c>
      <c r="BL473" s="88">
        <v>0</v>
      </c>
      <c r="BM473" s="88">
        <v>0</v>
      </c>
      <c r="BN473" s="590">
        <v>0</v>
      </c>
      <c r="BO473" s="171">
        <v>2023</v>
      </c>
      <c r="BP473" s="171">
        <v>1</v>
      </c>
      <c r="BQ473" s="171">
        <v>19</v>
      </c>
      <c r="BS473" s="76" t="str">
        <f t="shared" si="15"/>
        <v>○</v>
      </c>
    </row>
    <row r="474" spans="1:71" x14ac:dyDescent="0.2">
      <c r="A474" s="210">
        <v>1677</v>
      </c>
      <c r="B474" s="211"/>
      <c r="C474" s="212"/>
      <c r="D474" s="211"/>
      <c r="E474" s="212"/>
      <c r="F474" s="211"/>
      <c r="G474" s="211"/>
      <c r="H474" s="212"/>
      <c r="I474" s="211"/>
      <c r="J474" s="211"/>
      <c r="K474" s="211"/>
      <c r="L474" s="171"/>
      <c r="M474" s="171" t="s">
        <v>821</v>
      </c>
      <c r="N474" s="171" t="s">
        <v>330</v>
      </c>
      <c r="O474" s="171" t="s">
        <v>270</v>
      </c>
      <c r="P474" s="171" t="s">
        <v>916</v>
      </c>
      <c r="Q474" s="171"/>
      <c r="R474" s="213">
        <v>3803000</v>
      </c>
      <c r="S474" s="87">
        <v>0</v>
      </c>
      <c r="T474" s="87">
        <v>0</v>
      </c>
      <c r="U474" s="87">
        <v>0</v>
      </c>
      <c r="V474" s="87">
        <v>0</v>
      </c>
      <c r="W474" s="87">
        <v>0</v>
      </c>
      <c r="X474" s="87">
        <v>0</v>
      </c>
      <c r="Y474" s="87">
        <v>0</v>
      </c>
      <c r="Z474" s="87">
        <v>0</v>
      </c>
      <c r="AA474" s="214">
        <v>0</v>
      </c>
      <c r="AB474" s="214">
        <v>0</v>
      </c>
      <c r="AC474" s="214">
        <v>0</v>
      </c>
      <c r="AD474" s="214">
        <v>0</v>
      </c>
      <c r="AE474" s="214">
        <v>0</v>
      </c>
      <c r="AF474" s="214">
        <v>0</v>
      </c>
      <c r="AG474" s="214">
        <v>0</v>
      </c>
      <c r="AH474" s="214">
        <v>0</v>
      </c>
      <c r="AI474" s="87">
        <v>3803168</v>
      </c>
      <c r="AJ474" s="87">
        <v>0</v>
      </c>
      <c r="AK474" s="87">
        <v>3803168</v>
      </c>
      <c r="AL474" s="87">
        <v>3803168</v>
      </c>
      <c r="AM474" s="87">
        <v>4118400</v>
      </c>
      <c r="AN474" s="87">
        <v>3803168</v>
      </c>
      <c r="AO474" s="87">
        <v>3803168</v>
      </c>
      <c r="AP474" s="87">
        <v>3803000</v>
      </c>
      <c r="AQ474" s="88">
        <v>0</v>
      </c>
      <c r="AR474" s="88">
        <v>0</v>
      </c>
      <c r="AS474" s="88">
        <v>0</v>
      </c>
      <c r="AT474" s="88">
        <v>0</v>
      </c>
      <c r="AU474" s="88">
        <v>0</v>
      </c>
      <c r="AV474" s="88">
        <v>0</v>
      </c>
      <c r="AW474" s="88">
        <v>0</v>
      </c>
      <c r="AX474" s="88">
        <v>0</v>
      </c>
      <c r="AY474" s="87">
        <v>0</v>
      </c>
      <c r="AZ474" s="87">
        <v>0</v>
      </c>
      <c r="BA474" s="87">
        <v>0</v>
      </c>
      <c r="BB474" s="87">
        <v>0</v>
      </c>
      <c r="BC474" s="87">
        <v>0</v>
      </c>
      <c r="BD474" s="87">
        <v>0</v>
      </c>
      <c r="BE474" s="87">
        <v>0</v>
      </c>
      <c r="BF474" s="87">
        <v>0</v>
      </c>
      <c r="BG474" s="88">
        <v>0</v>
      </c>
      <c r="BH474" s="88">
        <v>0</v>
      </c>
      <c r="BI474" s="88">
        <v>0</v>
      </c>
      <c r="BJ474" s="88">
        <v>0</v>
      </c>
      <c r="BK474" s="88">
        <v>0</v>
      </c>
      <c r="BL474" s="88">
        <v>0</v>
      </c>
      <c r="BM474" s="88">
        <v>0</v>
      </c>
      <c r="BN474" s="590">
        <v>0</v>
      </c>
      <c r="BO474" s="171">
        <v>2023</v>
      </c>
      <c r="BP474" s="171">
        <v>1</v>
      </c>
      <c r="BQ474" s="171">
        <v>19</v>
      </c>
      <c r="BS474" s="76" t="str">
        <f t="shared" si="15"/>
        <v>○</v>
      </c>
    </row>
    <row r="475" spans="1:71" x14ac:dyDescent="0.2">
      <c r="A475" s="210">
        <v>1678</v>
      </c>
      <c r="B475" s="211"/>
      <c r="C475" s="212"/>
      <c r="D475" s="211"/>
      <c r="E475" s="212"/>
      <c r="F475" s="211"/>
      <c r="G475" s="211"/>
      <c r="H475" s="212"/>
      <c r="I475" s="211"/>
      <c r="J475" s="211"/>
      <c r="K475" s="211"/>
      <c r="L475" s="171"/>
      <c r="M475" s="171" t="s">
        <v>822</v>
      </c>
      <c r="N475" s="171" t="s">
        <v>272</v>
      </c>
      <c r="O475" s="171" t="s">
        <v>823</v>
      </c>
      <c r="P475" s="171" t="s">
        <v>916</v>
      </c>
      <c r="Q475" s="171"/>
      <c r="R475" s="213">
        <v>149000</v>
      </c>
      <c r="S475" s="87">
        <v>0</v>
      </c>
      <c r="T475" s="87">
        <v>0</v>
      </c>
      <c r="U475" s="87">
        <v>0</v>
      </c>
      <c r="V475" s="87">
        <v>0</v>
      </c>
      <c r="W475" s="87">
        <v>0</v>
      </c>
      <c r="X475" s="87">
        <v>0</v>
      </c>
      <c r="Y475" s="87">
        <v>0</v>
      </c>
      <c r="Z475" s="87">
        <v>0</v>
      </c>
      <c r="AA475" s="214">
        <v>0</v>
      </c>
      <c r="AB475" s="214">
        <v>0</v>
      </c>
      <c r="AC475" s="214">
        <v>0</v>
      </c>
      <c r="AD475" s="214">
        <v>0</v>
      </c>
      <c r="AE475" s="214">
        <v>0</v>
      </c>
      <c r="AF475" s="214">
        <v>0</v>
      </c>
      <c r="AG475" s="214">
        <v>0</v>
      </c>
      <c r="AH475" s="214">
        <v>0</v>
      </c>
      <c r="AI475" s="87">
        <v>149250</v>
      </c>
      <c r="AJ475" s="87">
        <v>0</v>
      </c>
      <c r="AK475" s="87">
        <v>149250</v>
      </c>
      <c r="AL475" s="87">
        <v>149250</v>
      </c>
      <c r="AM475" s="87">
        <v>856800</v>
      </c>
      <c r="AN475" s="87">
        <v>149250</v>
      </c>
      <c r="AO475" s="87">
        <v>149250</v>
      </c>
      <c r="AP475" s="87">
        <v>149000</v>
      </c>
      <c r="AQ475" s="88">
        <v>0</v>
      </c>
      <c r="AR475" s="88">
        <v>0</v>
      </c>
      <c r="AS475" s="88">
        <v>0</v>
      </c>
      <c r="AT475" s="88">
        <v>0</v>
      </c>
      <c r="AU475" s="88">
        <v>0</v>
      </c>
      <c r="AV475" s="88">
        <v>0</v>
      </c>
      <c r="AW475" s="88">
        <v>0</v>
      </c>
      <c r="AX475" s="88">
        <v>0</v>
      </c>
      <c r="AY475" s="87">
        <v>0</v>
      </c>
      <c r="AZ475" s="87">
        <v>0</v>
      </c>
      <c r="BA475" s="87">
        <v>0</v>
      </c>
      <c r="BB475" s="87">
        <v>0</v>
      </c>
      <c r="BC475" s="87">
        <v>0</v>
      </c>
      <c r="BD475" s="87">
        <v>0</v>
      </c>
      <c r="BE475" s="87">
        <v>0</v>
      </c>
      <c r="BF475" s="87">
        <v>0</v>
      </c>
      <c r="BG475" s="88">
        <v>0</v>
      </c>
      <c r="BH475" s="88">
        <v>0</v>
      </c>
      <c r="BI475" s="88">
        <v>0</v>
      </c>
      <c r="BJ475" s="88">
        <v>0</v>
      </c>
      <c r="BK475" s="88">
        <v>0</v>
      </c>
      <c r="BL475" s="88">
        <v>0</v>
      </c>
      <c r="BM475" s="88">
        <v>0</v>
      </c>
      <c r="BN475" s="590">
        <v>0</v>
      </c>
      <c r="BO475" s="171">
        <v>2023</v>
      </c>
      <c r="BP475" s="171">
        <v>1</v>
      </c>
      <c r="BQ475" s="171">
        <v>19</v>
      </c>
      <c r="BS475" s="76" t="str">
        <f t="shared" si="15"/>
        <v>○</v>
      </c>
    </row>
    <row r="476" spans="1:71" x14ac:dyDescent="0.2">
      <c r="A476" s="210">
        <v>1679</v>
      </c>
      <c r="B476" s="211"/>
      <c r="C476" s="212"/>
      <c r="D476" s="211"/>
      <c r="E476" s="212"/>
      <c r="F476" s="211"/>
      <c r="G476" s="211"/>
      <c r="H476" s="212"/>
      <c r="I476" s="211"/>
      <c r="J476" s="211"/>
      <c r="K476" s="211"/>
      <c r="L476" s="171"/>
      <c r="M476" s="171" t="s">
        <v>824</v>
      </c>
      <c r="N476" s="171" t="s">
        <v>313</v>
      </c>
      <c r="O476" s="171" t="s">
        <v>679</v>
      </c>
      <c r="P476" s="171" t="s">
        <v>916</v>
      </c>
      <c r="Q476" s="171"/>
      <c r="R476" s="213">
        <v>1099000</v>
      </c>
      <c r="S476" s="87">
        <v>0</v>
      </c>
      <c r="T476" s="87">
        <v>0</v>
      </c>
      <c r="U476" s="87">
        <v>0</v>
      </c>
      <c r="V476" s="87">
        <v>0</v>
      </c>
      <c r="W476" s="87">
        <v>0</v>
      </c>
      <c r="X476" s="87">
        <v>0</v>
      </c>
      <c r="Y476" s="87">
        <v>0</v>
      </c>
      <c r="Z476" s="87">
        <v>0</v>
      </c>
      <c r="AA476" s="214">
        <v>0</v>
      </c>
      <c r="AB476" s="214">
        <v>0</v>
      </c>
      <c r="AC476" s="214">
        <v>0</v>
      </c>
      <c r="AD476" s="214">
        <v>0</v>
      </c>
      <c r="AE476" s="214">
        <v>0</v>
      </c>
      <c r="AF476" s="214">
        <v>0</v>
      </c>
      <c r="AG476" s="214">
        <v>0</v>
      </c>
      <c r="AH476" s="214">
        <v>0</v>
      </c>
      <c r="AI476" s="87">
        <v>1099450</v>
      </c>
      <c r="AJ476" s="87">
        <v>0</v>
      </c>
      <c r="AK476" s="87">
        <v>1099450</v>
      </c>
      <c r="AL476" s="87">
        <v>1099450</v>
      </c>
      <c r="AM476" s="87">
        <v>3088800</v>
      </c>
      <c r="AN476" s="87">
        <v>1099450</v>
      </c>
      <c r="AO476" s="87">
        <v>1099450</v>
      </c>
      <c r="AP476" s="87">
        <v>1099000</v>
      </c>
      <c r="AQ476" s="88">
        <v>0</v>
      </c>
      <c r="AR476" s="88">
        <v>0</v>
      </c>
      <c r="AS476" s="88">
        <v>0</v>
      </c>
      <c r="AT476" s="88">
        <v>0</v>
      </c>
      <c r="AU476" s="88">
        <v>0</v>
      </c>
      <c r="AV476" s="88">
        <v>0</v>
      </c>
      <c r="AW476" s="88">
        <v>0</v>
      </c>
      <c r="AX476" s="88">
        <v>0</v>
      </c>
      <c r="AY476" s="87">
        <v>0</v>
      </c>
      <c r="AZ476" s="87">
        <v>0</v>
      </c>
      <c r="BA476" s="87">
        <v>0</v>
      </c>
      <c r="BB476" s="87">
        <v>0</v>
      </c>
      <c r="BC476" s="87">
        <v>0</v>
      </c>
      <c r="BD476" s="87">
        <v>0</v>
      </c>
      <c r="BE476" s="87">
        <v>0</v>
      </c>
      <c r="BF476" s="87">
        <v>0</v>
      </c>
      <c r="BG476" s="88">
        <v>0</v>
      </c>
      <c r="BH476" s="88">
        <v>0</v>
      </c>
      <c r="BI476" s="88">
        <v>0</v>
      </c>
      <c r="BJ476" s="88">
        <v>0</v>
      </c>
      <c r="BK476" s="88">
        <v>0</v>
      </c>
      <c r="BL476" s="88">
        <v>0</v>
      </c>
      <c r="BM476" s="88">
        <v>0</v>
      </c>
      <c r="BN476" s="590">
        <v>0</v>
      </c>
      <c r="BO476" s="171">
        <v>2023</v>
      </c>
      <c r="BP476" s="171">
        <v>1</v>
      </c>
      <c r="BQ476" s="171">
        <v>19</v>
      </c>
      <c r="BS476" s="76" t="str">
        <f t="shared" si="15"/>
        <v>○</v>
      </c>
    </row>
    <row r="477" spans="1:71" x14ac:dyDescent="0.2">
      <c r="A477" s="210">
        <v>1680</v>
      </c>
      <c r="B477" s="211"/>
      <c r="C477" s="212"/>
      <c r="D477" s="211"/>
      <c r="E477" s="212"/>
      <c r="F477" s="211"/>
      <c r="G477" s="211"/>
      <c r="H477" s="212"/>
      <c r="I477" s="211"/>
      <c r="J477" s="211"/>
      <c r="K477" s="211"/>
      <c r="L477" s="171"/>
      <c r="M477" s="171" t="s">
        <v>825</v>
      </c>
      <c r="N477" s="171" t="s">
        <v>275</v>
      </c>
      <c r="O477" s="171" t="s">
        <v>826</v>
      </c>
      <c r="P477" s="171" t="s">
        <v>916</v>
      </c>
      <c r="Q477" s="171"/>
      <c r="R477" s="213">
        <v>73000</v>
      </c>
      <c r="S477" s="87">
        <v>0</v>
      </c>
      <c r="T477" s="87">
        <v>0</v>
      </c>
      <c r="U477" s="87">
        <v>0</v>
      </c>
      <c r="V477" s="87">
        <v>0</v>
      </c>
      <c r="W477" s="87">
        <v>0</v>
      </c>
      <c r="X477" s="87">
        <v>0</v>
      </c>
      <c r="Y477" s="87">
        <v>0</v>
      </c>
      <c r="Z477" s="87">
        <v>0</v>
      </c>
      <c r="AA477" s="214">
        <v>0</v>
      </c>
      <c r="AB477" s="214">
        <v>0</v>
      </c>
      <c r="AC477" s="214">
        <v>0</v>
      </c>
      <c r="AD477" s="214">
        <v>0</v>
      </c>
      <c r="AE477" s="214">
        <v>0</v>
      </c>
      <c r="AF477" s="214">
        <v>0</v>
      </c>
      <c r="AG477" s="214">
        <v>0</v>
      </c>
      <c r="AH477" s="214">
        <v>0</v>
      </c>
      <c r="AI477" s="87">
        <v>73755</v>
      </c>
      <c r="AJ477" s="87">
        <v>0</v>
      </c>
      <c r="AK477" s="87">
        <v>73755</v>
      </c>
      <c r="AL477" s="87">
        <v>73755</v>
      </c>
      <c r="AM477" s="87">
        <v>5220000</v>
      </c>
      <c r="AN477" s="87">
        <v>73755</v>
      </c>
      <c r="AO477" s="87">
        <v>73755</v>
      </c>
      <c r="AP477" s="87">
        <v>73000</v>
      </c>
      <c r="AQ477" s="88">
        <v>0</v>
      </c>
      <c r="AR477" s="88">
        <v>0</v>
      </c>
      <c r="AS477" s="88">
        <v>0</v>
      </c>
      <c r="AT477" s="88">
        <v>0</v>
      </c>
      <c r="AU477" s="88">
        <v>0</v>
      </c>
      <c r="AV477" s="88">
        <v>0</v>
      </c>
      <c r="AW477" s="88">
        <v>0</v>
      </c>
      <c r="AX477" s="88">
        <v>0</v>
      </c>
      <c r="AY477" s="87">
        <v>0</v>
      </c>
      <c r="AZ477" s="87">
        <v>0</v>
      </c>
      <c r="BA477" s="87">
        <v>0</v>
      </c>
      <c r="BB477" s="87">
        <v>0</v>
      </c>
      <c r="BC477" s="87">
        <v>0</v>
      </c>
      <c r="BD477" s="87">
        <v>0</v>
      </c>
      <c r="BE477" s="87">
        <v>0</v>
      </c>
      <c r="BF477" s="87">
        <v>0</v>
      </c>
      <c r="BG477" s="88">
        <v>0</v>
      </c>
      <c r="BH477" s="88">
        <v>0</v>
      </c>
      <c r="BI477" s="88">
        <v>0</v>
      </c>
      <c r="BJ477" s="88">
        <v>0</v>
      </c>
      <c r="BK477" s="88">
        <v>0</v>
      </c>
      <c r="BL477" s="88">
        <v>0</v>
      </c>
      <c r="BM477" s="88">
        <v>0</v>
      </c>
      <c r="BN477" s="590">
        <v>0</v>
      </c>
      <c r="BO477" s="171">
        <v>2023</v>
      </c>
      <c r="BP477" s="171">
        <v>1</v>
      </c>
      <c r="BQ477" s="171">
        <v>19</v>
      </c>
      <c r="BS477" s="76" t="str">
        <f t="shared" si="15"/>
        <v>○</v>
      </c>
    </row>
    <row r="478" spans="1:71" x14ac:dyDescent="0.2">
      <c r="A478" s="210">
        <v>1681</v>
      </c>
      <c r="B478" s="211"/>
      <c r="C478" s="212"/>
      <c r="D478" s="211"/>
      <c r="E478" s="212"/>
      <c r="F478" s="211"/>
      <c r="G478" s="211"/>
      <c r="H478" s="212"/>
      <c r="I478" s="211"/>
      <c r="J478" s="211"/>
      <c r="K478" s="211"/>
      <c r="L478" s="171"/>
      <c r="M478" s="171" t="s">
        <v>827</v>
      </c>
      <c r="N478" s="171" t="s">
        <v>269</v>
      </c>
      <c r="O478" s="171" t="s">
        <v>828</v>
      </c>
      <c r="P478" s="171" t="s">
        <v>916</v>
      </c>
      <c r="Q478" s="171"/>
      <c r="R478" s="213">
        <v>49000</v>
      </c>
      <c r="S478" s="87">
        <v>0</v>
      </c>
      <c r="T478" s="87">
        <v>0</v>
      </c>
      <c r="U478" s="87">
        <v>0</v>
      </c>
      <c r="V478" s="87">
        <v>0</v>
      </c>
      <c r="W478" s="87">
        <v>0</v>
      </c>
      <c r="X478" s="87">
        <v>0</v>
      </c>
      <c r="Y478" s="87">
        <v>0</v>
      </c>
      <c r="Z478" s="87">
        <v>0</v>
      </c>
      <c r="AA478" s="214">
        <v>0</v>
      </c>
      <c r="AB478" s="214">
        <v>0</v>
      </c>
      <c r="AC478" s="214">
        <v>0</v>
      </c>
      <c r="AD478" s="214">
        <v>0</v>
      </c>
      <c r="AE478" s="214">
        <v>0</v>
      </c>
      <c r="AF478" s="214">
        <v>0</v>
      </c>
      <c r="AG478" s="214">
        <v>0</v>
      </c>
      <c r="AH478" s="214">
        <v>0</v>
      </c>
      <c r="AI478" s="87">
        <v>49720</v>
      </c>
      <c r="AJ478" s="87">
        <v>0</v>
      </c>
      <c r="AK478" s="87">
        <v>49720</v>
      </c>
      <c r="AL478" s="87">
        <v>49720</v>
      </c>
      <c r="AM478" s="87">
        <v>2700000</v>
      </c>
      <c r="AN478" s="87">
        <v>49720</v>
      </c>
      <c r="AO478" s="87">
        <v>49720</v>
      </c>
      <c r="AP478" s="87">
        <v>49000</v>
      </c>
      <c r="AQ478" s="88">
        <v>0</v>
      </c>
      <c r="AR478" s="88">
        <v>0</v>
      </c>
      <c r="AS478" s="88">
        <v>0</v>
      </c>
      <c r="AT478" s="88">
        <v>0</v>
      </c>
      <c r="AU478" s="88">
        <v>0</v>
      </c>
      <c r="AV478" s="88">
        <v>0</v>
      </c>
      <c r="AW478" s="88">
        <v>0</v>
      </c>
      <c r="AX478" s="88">
        <v>0</v>
      </c>
      <c r="AY478" s="87">
        <v>0</v>
      </c>
      <c r="AZ478" s="87">
        <v>0</v>
      </c>
      <c r="BA478" s="87">
        <v>0</v>
      </c>
      <c r="BB478" s="87">
        <v>0</v>
      </c>
      <c r="BC478" s="87">
        <v>0</v>
      </c>
      <c r="BD478" s="87">
        <v>0</v>
      </c>
      <c r="BE478" s="87">
        <v>0</v>
      </c>
      <c r="BF478" s="87">
        <v>0</v>
      </c>
      <c r="BG478" s="88">
        <v>0</v>
      </c>
      <c r="BH478" s="88">
        <v>0</v>
      </c>
      <c r="BI478" s="88">
        <v>0</v>
      </c>
      <c r="BJ478" s="88">
        <v>0</v>
      </c>
      <c r="BK478" s="88">
        <v>0</v>
      </c>
      <c r="BL478" s="88">
        <v>0</v>
      </c>
      <c r="BM478" s="88">
        <v>0</v>
      </c>
      <c r="BN478" s="590">
        <v>0</v>
      </c>
      <c r="BO478" s="171">
        <v>2023</v>
      </c>
      <c r="BP478" s="171">
        <v>1</v>
      </c>
      <c r="BQ478" s="171">
        <v>19</v>
      </c>
      <c r="BS478" s="76" t="str">
        <f t="shared" si="15"/>
        <v>○</v>
      </c>
    </row>
    <row r="479" spans="1:71" x14ac:dyDescent="0.2">
      <c r="A479" s="210">
        <v>1684</v>
      </c>
      <c r="B479" s="211"/>
      <c r="C479" s="212"/>
      <c r="D479" s="211"/>
      <c r="E479" s="212"/>
      <c r="F479" s="211"/>
      <c r="G479" s="211"/>
      <c r="H479" s="212"/>
      <c r="I479" s="211"/>
      <c r="J479" s="211"/>
      <c r="K479" s="211"/>
      <c r="L479" s="171"/>
      <c r="M479" s="171" t="s">
        <v>607</v>
      </c>
      <c r="N479" s="171" t="s">
        <v>286</v>
      </c>
      <c r="O479" s="171" t="s">
        <v>608</v>
      </c>
      <c r="P479" s="171" t="s">
        <v>916</v>
      </c>
      <c r="Q479" s="171"/>
      <c r="R479" s="213">
        <v>1071000</v>
      </c>
      <c r="S479" s="87">
        <v>0</v>
      </c>
      <c r="T479" s="87">
        <v>0</v>
      </c>
      <c r="U479" s="87">
        <v>0</v>
      </c>
      <c r="V479" s="87">
        <v>0</v>
      </c>
      <c r="W479" s="87">
        <v>0</v>
      </c>
      <c r="X479" s="87">
        <v>0</v>
      </c>
      <c r="Y479" s="87">
        <v>0</v>
      </c>
      <c r="Z479" s="87">
        <v>0</v>
      </c>
      <c r="AA479" s="214">
        <v>0</v>
      </c>
      <c r="AB479" s="214">
        <v>0</v>
      </c>
      <c r="AC479" s="214">
        <v>0</v>
      </c>
      <c r="AD479" s="214">
        <v>0</v>
      </c>
      <c r="AE479" s="214">
        <v>0</v>
      </c>
      <c r="AF479" s="214">
        <v>0</v>
      </c>
      <c r="AG479" s="214">
        <v>0</v>
      </c>
      <c r="AH479" s="214">
        <v>0</v>
      </c>
      <c r="AI479" s="87">
        <v>1071323</v>
      </c>
      <c r="AJ479" s="87">
        <v>0</v>
      </c>
      <c r="AK479" s="87">
        <v>1071323</v>
      </c>
      <c r="AL479" s="87">
        <v>1071323</v>
      </c>
      <c r="AM479" s="87">
        <v>2613600</v>
      </c>
      <c r="AN479" s="87">
        <v>1071323</v>
      </c>
      <c r="AO479" s="87">
        <v>1071323</v>
      </c>
      <c r="AP479" s="87">
        <v>1071000</v>
      </c>
      <c r="AQ479" s="88">
        <v>0</v>
      </c>
      <c r="AR479" s="88">
        <v>0</v>
      </c>
      <c r="AS479" s="88">
        <v>0</v>
      </c>
      <c r="AT479" s="88">
        <v>0</v>
      </c>
      <c r="AU479" s="88">
        <v>0</v>
      </c>
      <c r="AV479" s="88">
        <v>0</v>
      </c>
      <c r="AW479" s="88">
        <v>0</v>
      </c>
      <c r="AX479" s="88">
        <v>0</v>
      </c>
      <c r="AY479" s="87">
        <v>0</v>
      </c>
      <c r="AZ479" s="87">
        <v>0</v>
      </c>
      <c r="BA479" s="87">
        <v>0</v>
      </c>
      <c r="BB479" s="87">
        <v>0</v>
      </c>
      <c r="BC479" s="87">
        <v>0</v>
      </c>
      <c r="BD479" s="87">
        <v>0</v>
      </c>
      <c r="BE479" s="87">
        <v>0</v>
      </c>
      <c r="BF479" s="87">
        <v>0</v>
      </c>
      <c r="BG479" s="88">
        <v>0</v>
      </c>
      <c r="BH479" s="88">
        <v>0</v>
      </c>
      <c r="BI479" s="88">
        <v>0</v>
      </c>
      <c r="BJ479" s="88">
        <v>0</v>
      </c>
      <c r="BK479" s="88">
        <v>0</v>
      </c>
      <c r="BL479" s="88">
        <v>0</v>
      </c>
      <c r="BM479" s="88">
        <v>0</v>
      </c>
      <c r="BN479" s="590">
        <v>0</v>
      </c>
      <c r="BO479" s="171">
        <v>2023</v>
      </c>
      <c r="BP479" s="171">
        <v>1</v>
      </c>
      <c r="BQ479" s="171">
        <v>19</v>
      </c>
      <c r="BS479" s="76" t="str">
        <f t="shared" si="15"/>
        <v>○</v>
      </c>
    </row>
    <row r="480" spans="1:71" x14ac:dyDescent="0.2">
      <c r="A480" s="210">
        <v>1685</v>
      </c>
      <c r="B480" s="211"/>
      <c r="C480" s="212"/>
      <c r="D480" s="211"/>
      <c r="E480" s="212"/>
      <c r="F480" s="211"/>
      <c r="G480" s="211"/>
      <c r="H480" s="212"/>
      <c r="I480" s="211"/>
      <c r="J480" s="211"/>
      <c r="K480" s="211"/>
      <c r="L480" s="171"/>
      <c r="M480" s="171" t="s">
        <v>829</v>
      </c>
      <c r="N480" s="171" t="s">
        <v>429</v>
      </c>
      <c r="O480" s="171" t="s">
        <v>830</v>
      </c>
      <c r="P480" s="171" t="s">
        <v>916</v>
      </c>
      <c r="Q480" s="171"/>
      <c r="R480" s="213">
        <v>1552000</v>
      </c>
      <c r="S480" s="87">
        <v>0</v>
      </c>
      <c r="T480" s="87">
        <v>0</v>
      </c>
      <c r="U480" s="87">
        <v>0</v>
      </c>
      <c r="V480" s="87">
        <v>0</v>
      </c>
      <c r="W480" s="87">
        <v>0</v>
      </c>
      <c r="X480" s="87">
        <v>0</v>
      </c>
      <c r="Y480" s="87">
        <v>0</v>
      </c>
      <c r="Z480" s="87">
        <v>0</v>
      </c>
      <c r="AA480" s="214">
        <v>0</v>
      </c>
      <c r="AB480" s="214">
        <v>0</v>
      </c>
      <c r="AC480" s="214">
        <v>0</v>
      </c>
      <c r="AD480" s="214">
        <v>0</v>
      </c>
      <c r="AE480" s="214">
        <v>0</v>
      </c>
      <c r="AF480" s="214">
        <v>0</v>
      </c>
      <c r="AG480" s="214">
        <v>0</v>
      </c>
      <c r="AH480" s="214">
        <v>0</v>
      </c>
      <c r="AI480" s="87">
        <v>1552540</v>
      </c>
      <c r="AJ480" s="87">
        <v>0</v>
      </c>
      <c r="AK480" s="87">
        <v>1552540</v>
      </c>
      <c r="AL480" s="87">
        <v>1552540</v>
      </c>
      <c r="AM480" s="87">
        <v>3456000</v>
      </c>
      <c r="AN480" s="87">
        <v>1552540</v>
      </c>
      <c r="AO480" s="87">
        <v>1552540</v>
      </c>
      <c r="AP480" s="87">
        <v>1552000</v>
      </c>
      <c r="AQ480" s="88">
        <v>0</v>
      </c>
      <c r="AR480" s="88">
        <v>0</v>
      </c>
      <c r="AS480" s="88">
        <v>0</v>
      </c>
      <c r="AT480" s="88">
        <v>0</v>
      </c>
      <c r="AU480" s="88">
        <v>0</v>
      </c>
      <c r="AV480" s="88">
        <v>0</v>
      </c>
      <c r="AW480" s="88">
        <v>0</v>
      </c>
      <c r="AX480" s="88">
        <v>0</v>
      </c>
      <c r="AY480" s="87">
        <v>0</v>
      </c>
      <c r="AZ480" s="87">
        <v>0</v>
      </c>
      <c r="BA480" s="87">
        <v>0</v>
      </c>
      <c r="BB480" s="87">
        <v>0</v>
      </c>
      <c r="BC480" s="87">
        <v>0</v>
      </c>
      <c r="BD480" s="87">
        <v>0</v>
      </c>
      <c r="BE480" s="87">
        <v>0</v>
      </c>
      <c r="BF480" s="87">
        <v>0</v>
      </c>
      <c r="BG480" s="88">
        <v>0</v>
      </c>
      <c r="BH480" s="88">
        <v>0</v>
      </c>
      <c r="BI480" s="88">
        <v>0</v>
      </c>
      <c r="BJ480" s="88">
        <v>0</v>
      </c>
      <c r="BK480" s="88">
        <v>0</v>
      </c>
      <c r="BL480" s="88">
        <v>0</v>
      </c>
      <c r="BM480" s="88">
        <v>0</v>
      </c>
      <c r="BN480" s="590">
        <v>0</v>
      </c>
      <c r="BO480" s="171">
        <v>2023</v>
      </c>
      <c r="BP480" s="171">
        <v>1</v>
      </c>
      <c r="BQ480" s="171">
        <v>19</v>
      </c>
      <c r="BS480" s="76" t="str">
        <f t="shared" si="15"/>
        <v>○</v>
      </c>
    </row>
    <row r="481" spans="1:71" x14ac:dyDescent="0.2">
      <c r="A481" s="210">
        <v>1686</v>
      </c>
      <c r="B481" s="211"/>
      <c r="C481" s="212"/>
      <c r="D481" s="211"/>
      <c r="E481" s="212"/>
      <c r="F481" s="211"/>
      <c r="G481" s="211"/>
      <c r="H481" s="212"/>
      <c r="I481" s="211"/>
      <c r="J481" s="211"/>
      <c r="K481" s="211"/>
      <c r="L481" s="171"/>
      <c r="M481" s="171" t="s">
        <v>336</v>
      </c>
      <c r="N481" s="171" t="s">
        <v>306</v>
      </c>
      <c r="O481" s="171" t="s">
        <v>337</v>
      </c>
      <c r="P481" s="171" t="s">
        <v>916</v>
      </c>
      <c r="Q481" s="171"/>
      <c r="R481" s="213">
        <v>113000</v>
      </c>
      <c r="S481" s="87">
        <v>0</v>
      </c>
      <c r="T481" s="87">
        <v>0</v>
      </c>
      <c r="U481" s="87">
        <v>0</v>
      </c>
      <c r="V481" s="87">
        <v>0</v>
      </c>
      <c r="W481" s="87">
        <v>0</v>
      </c>
      <c r="X481" s="87">
        <v>0</v>
      </c>
      <c r="Y481" s="87">
        <v>0</v>
      </c>
      <c r="Z481" s="87">
        <v>0</v>
      </c>
      <c r="AA481" s="214">
        <v>0</v>
      </c>
      <c r="AB481" s="214">
        <v>0</v>
      </c>
      <c r="AC481" s="214">
        <v>0</v>
      </c>
      <c r="AD481" s="214">
        <v>0</v>
      </c>
      <c r="AE481" s="214">
        <v>0</v>
      </c>
      <c r="AF481" s="214">
        <v>0</v>
      </c>
      <c r="AG481" s="214">
        <v>0</v>
      </c>
      <c r="AH481" s="214">
        <v>0</v>
      </c>
      <c r="AI481" s="87">
        <v>113140</v>
      </c>
      <c r="AJ481" s="87">
        <v>0</v>
      </c>
      <c r="AK481" s="87">
        <v>113140</v>
      </c>
      <c r="AL481" s="87">
        <v>113140</v>
      </c>
      <c r="AM481" s="87">
        <v>1317600</v>
      </c>
      <c r="AN481" s="87">
        <v>113140</v>
      </c>
      <c r="AO481" s="87">
        <v>113140</v>
      </c>
      <c r="AP481" s="87">
        <v>113000</v>
      </c>
      <c r="AQ481" s="88">
        <v>0</v>
      </c>
      <c r="AR481" s="88">
        <v>0</v>
      </c>
      <c r="AS481" s="88">
        <v>0</v>
      </c>
      <c r="AT481" s="88">
        <v>0</v>
      </c>
      <c r="AU481" s="88">
        <v>0</v>
      </c>
      <c r="AV481" s="88">
        <v>0</v>
      </c>
      <c r="AW481" s="88">
        <v>0</v>
      </c>
      <c r="AX481" s="88">
        <v>0</v>
      </c>
      <c r="AY481" s="87">
        <v>0</v>
      </c>
      <c r="AZ481" s="87">
        <v>0</v>
      </c>
      <c r="BA481" s="87">
        <v>0</v>
      </c>
      <c r="BB481" s="87">
        <v>0</v>
      </c>
      <c r="BC481" s="87">
        <v>0</v>
      </c>
      <c r="BD481" s="87">
        <v>0</v>
      </c>
      <c r="BE481" s="87">
        <v>0</v>
      </c>
      <c r="BF481" s="87">
        <v>0</v>
      </c>
      <c r="BG481" s="88">
        <v>0</v>
      </c>
      <c r="BH481" s="88">
        <v>0</v>
      </c>
      <c r="BI481" s="88">
        <v>0</v>
      </c>
      <c r="BJ481" s="88">
        <v>0</v>
      </c>
      <c r="BK481" s="88">
        <v>0</v>
      </c>
      <c r="BL481" s="88">
        <v>0</v>
      </c>
      <c r="BM481" s="88">
        <v>0</v>
      </c>
      <c r="BN481" s="590">
        <v>0</v>
      </c>
      <c r="BO481" s="171">
        <v>2023</v>
      </c>
      <c r="BP481" s="171">
        <v>1</v>
      </c>
      <c r="BQ481" s="171">
        <v>19</v>
      </c>
      <c r="BS481" s="76" t="str">
        <f t="shared" si="15"/>
        <v>○</v>
      </c>
    </row>
    <row r="482" spans="1:71" x14ac:dyDescent="0.2">
      <c r="A482" s="210">
        <v>1687</v>
      </c>
      <c r="B482" s="211"/>
      <c r="C482" s="212"/>
      <c r="D482" s="211"/>
      <c r="E482" s="212"/>
      <c r="F482" s="211"/>
      <c r="G482" s="211"/>
      <c r="H482" s="212"/>
      <c r="I482" s="211"/>
      <c r="J482" s="211"/>
      <c r="K482" s="211"/>
      <c r="L482" s="171"/>
      <c r="M482" s="171" t="s">
        <v>610</v>
      </c>
      <c r="N482" s="171" t="s">
        <v>269</v>
      </c>
      <c r="O482" s="171" t="s">
        <v>476</v>
      </c>
      <c r="P482" s="171" t="s">
        <v>916</v>
      </c>
      <c r="Q482" s="171"/>
      <c r="R482" s="213">
        <v>393000</v>
      </c>
      <c r="S482" s="87">
        <v>0</v>
      </c>
      <c r="T482" s="87">
        <v>0</v>
      </c>
      <c r="U482" s="87">
        <v>0</v>
      </c>
      <c r="V482" s="87">
        <v>0</v>
      </c>
      <c r="W482" s="87">
        <v>0</v>
      </c>
      <c r="X482" s="87">
        <v>0</v>
      </c>
      <c r="Y482" s="87">
        <v>0</v>
      </c>
      <c r="Z482" s="87">
        <v>0</v>
      </c>
      <c r="AA482" s="214">
        <v>0</v>
      </c>
      <c r="AB482" s="214">
        <v>0</v>
      </c>
      <c r="AC482" s="214">
        <v>0</v>
      </c>
      <c r="AD482" s="214">
        <v>0</v>
      </c>
      <c r="AE482" s="214">
        <v>0</v>
      </c>
      <c r="AF482" s="214">
        <v>0</v>
      </c>
      <c r="AG482" s="214">
        <v>0</v>
      </c>
      <c r="AH482" s="214">
        <v>0</v>
      </c>
      <c r="AI482" s="87">
        <v>393200</v>
      </c>
      <c r="AJ482" s="87">
        <v>0</v>
      </c>
      <c r="AK482" s="87">
        <v>393200</v>
      </c>
      <c r="AL482" s="87">
        <v>393200</v>
      </c>
      <c r="AM482" s="87">
        <v>3088800</v>
      </c>
      <c r="AN482" s="87">
        <v>393200</v>
      </c>
      <c r="AO482" s="87">
        <v>393200</v>
      </c>
      <c r="AP482" s="87">
        <v>393000</v>
      </c>
      <c r="AQ482" s="88">
        <v>0</v>
      </c>
      <c r="AR482" s="88">
        <v>0</v>
      </c>
      <c r="AS482" s="88">
        <v>0</v>
      </c>
      <c r="AT482" s="88">
        <v>0</v>
      </c>
      <c r="AU482" s="88">
        <v>0</v>
      </c>
      <c r="AV482" s="88">
        <v>0</v>
      </c>
      <c r="AW482" s="88">
        <v>0</v>
      </c>
      <c r="AX482" s="88">
        <v>0</v>
      </c>
      <c r="AY482" s="87">
        <v>0</v>
      </c>
      <c r="AZ482" s="87">
        <v>0</v>
      </c>
      <c r="BA482" s="87">
        <v>0</v>
      </c>
      <c r="BB482" s="87">
        <v>0</v>
      </c>
      <c r="BC482" s="87">
        <v>0</v>
      </c>
      <c r="BD482" s="87">
        <v>0</v>
      </c>
      <c r="BE482" s="87">
        <v>0</v>
      </c>
      <c r="BF482" s="87">
        <v>0</v>
      </c>
      <c r="BG482" s="88">
        <v>0</v>
      </c>
      <c r="BH482" s="88">
        <v>0</v>
      </c>
      <c r="BI482" s="88">
        <v>0</v>
      </c>
      <c r="BJ482" s="88">
        <v>0</v>
      </c>
      <c r="BK482" s="88">
        <v>0</v>
      </c>
      <c r="BL482" s="88">
        <v>0</v>
      </c>
      <c r="BM482" s="88">
        <v>0</v>
      </c>
      <c r="BN482" s="590">
        <v>0</v>
      </c>
      <c r="BO482" s="171">
        <v>2023</v>
      </c>
      <c r="BP482" s="171">
        <v>1</v>
      </c>
      <c r="BQ482" s="171">
        <v>19</v>
      </c>
      <c r="BS482" s="76" t="str">
        <f t="shared" si="15"/>
        <v>○</v>
      </c>
    </row>
    <row r="483" spans="1:71" x14ac:dyDescent="0.2">
      <c r="A483" s="210">
        <v>1688</v>
      </c>
      <c r="B483" s="211"/>
      <c r="C483" s="212"/>
      <c r="D483" s="211"/>
      <c r="E483" s="212"/>
      <c r="F483" s="211"/>
      <c r="G483" s="211"/>
      <c r="H483" s="212"/>
      <c r="I483" s="211"/>
      <c r="J483" s="211"/>
      <c r="K483" s="211"/>
      <c r="L483" s="171"/>
      <c r="M483" s="171" t="s">
        <v>669</v>
      </c>
      <c r="N483" s="171" t="s">
        <v>269</v>
      </c>
      <c r="O483" s="171" t="s">
        <v>509</v>
      </c>
      <c r="P483" s="171" t="s">
        <v>916</v>
      </c>
      <c r="Q483" s="171"/>
      <c r="R483" s="213">
        <v>450000</v>
      </c>
      <c r="S483" s="87">
        <v>0</v>
      </c>
      <c r="T483" s="87">
        <v>0</v>
      </c>
      <c r="U483" s="87">
        <v>0</v>
      </c>
      <c r="V483" s="87">
        <v>0</v>
      </c>
      <c r="W483" s="87">
        <v>0</v>
      </c>
      <c r="X483" s="87">
        <v>0</v>
      </c>
      <c r="Y483" s="87">
        <v>0</v>
      </c>
      <c r="Z483" s="87">
        <v>0</v>
      </c>
      <c r="AA483" s="214">
        <v>0</v>
      </c>
      <c r="AB483" s="214">
        <v>0</v>
      </c>
      <c r="AC483" s="214">
        <v>0</v>
      </c>
      <c r="AD483" s="214">
        <v>0</v>
      </c>
      <c r="AE483" s="214">
        <v>0</v>
      </c>
      <c r="AF483" s="214">
        <v>0</v>
      </c>
      <c r="AG483" s="214">
        <v>0</v>
      </c>
      <c r="AH483" s="214">
        <v>0</v>
      </c>
      <c r="AI483" s="87">
        <v>450717</v>
      </c>
      <c r="AJ483" s="87">
        <v>0</v>
      </c>
      <c r="AK483" s="87">
        <v>450717</v>
      </c>
      <c r="AL483" s="87">
        <v>450717</v>
      </c>
      <c r="AM483" s="87">
        <v>1317600</v>
      </c>
      <c r="AN483" s="87">
        <v>450717</v>
      </c>
      <c r="AO483" s="87">
        <v>450717</v>
      </c>
      <c r="AP483" s="87">
        <v>450000</v>
      </c>
      <c r="AQ483" s="88">
        <v>0</v>
      </c>
      <c r="AR483" s="88">
        <v>0</v>
      </c>
      <c r="AS483" s="88">
        <v>0</v>
      </c>
      <c r="AT483" s="88">
        <v>0</v>
      </c>
      <c r="AU483" s="88">
        <v>0</v>
      </c>
      <c r="AV483" s="88">
        <v>0</v>
      </c>
      <c r="AW483" s="88">
        <v>0</v>
      </c>
      <c r="AX483" s="88">
        <v>0</v>
      </c>
      <c r="AY483" s="87">
        <v>0</v>
      </c>
      <c r="AZ483" s="87">
        <v>0</v>
      </c>
      <c r="BA483" s="87">
        <v>0</v>
      </c>
      <c r="BB483" s="87">
        <v>0</v>
      </c>
      <c r="BC483" s="87">
        <v>0</v>
      </c>
      <c r="BD483" s="87">
        <v>0</v>
      </c>
      <c r="BE483" s="87">
        <v>0</v>
      </c>
      <c r="BF483" s="87">
        <v>0</v>
      </c>
      <c r="BG483" s="88">
        <v>0</v>
      </c>
      <c r="BH483" s="88">
        <v>0</v>
      </c>
      <c r="BI483" s="88">
        <v>0</v>
      </c>
      <c r="BJ483" s="88">
        <v>0</v>
      </c>
      <c r="BK483" s="88">
        <v>0</v>
      </c>
      <c r="BL483" s="88">
        <v>0</v>
      </c>
      <c r="BM483" s="88">
        <v>0</v>
      </c>
      <c r="BN483" s="590">
        <v>0</v>
      </c>
      <c r="BO483" s="171">
        <v>2023</v>
      </c>
      <c r="BP483" s="171">
        <v>1</v>
      </c>
      <c r="BQ483" s="171">
        <v>19</v>
      </c>
      <c r="BS483" s="76" t="str">
        <f t="shared" si="15"/>
        <v>○</v>
      </c>
    </row>
    <row r="484" spans="1:71" x14ac:dyDescent="0.2">
      <c r="A484" s="210">
        <v>1689</v>
      </c>
      <c r="B484" s="211"/>
      <c r="C484" s="212"/>
      <c r="D484" s="211"/>
      <c r="E484" s="212"/>
      <c r="F484" s="211"/>
      <c r="G484" s="211"/>
      <c r="H484" s="212"/>
      <c r="I484" s="211"/>
      <c r="J484" s="211"/>
      <c r="K484" s="211"/>
      <c r="L484" s="171"/>
      <c r="M484" s="171" t="s">
        <v>831</v>
      </c>
      <c r="N484" s="171" t="s">
        <v>275</v>
      </c>
      <c r="O484" s="171" t="s">
        <v>571</v>
      </c>
      <c r="P484" s="171" t="s">
        <v>916</v>
      </c>
      <c r="Q484" s="171"/>
      <c r="R484" s="213">
        <v>96000</v>
      </c>
      <c r="S484" s="87">
        <v>0</v>
      </c>
      <c r="T484" s="87">
        <v>0</v>
      </c>
      <c r="U484" s="87">
        <v>0</v>
      </c>
      <c r="V484" s="87">
        <v>0</v>
      </c>
      <c r="W484" s="87">
        <v>0</v>
      </c>
      <c r="X484" s="87">
        <v>0</v>
      </c>
      <c r="Y484" s="87">
        <v>0</v>
      </c>
      <c r="Z484" s="87">
        <v>0</v>
      </c>
      <c r="AA484" s="214">
        <v>0</v>
      </c>
      <c r="AB484" s="214">
        <v>0</v>
      </c>
      <c r="AC484" s="214">
        <v>0</v>
      </c>
      <c r="AD484" s="214">
        <v>0</v>
      </c>
      <c r="AE484" s="214">
        <v>0</v>
      </c>
      <c r="AF484" s="214">
        <v>0</v>
      </c>
      <c r="AG484" s="214">
        <v>0</v>
      </c>
      <c r="AH484" s="214">
        <v>0</v>
      </c>
      <c r="AI484" s="87">
        <v>96125</v>
      </c>
      <c r="AJ484" s="87">
        <v>0</v>
      </c>
      <c r="AK484" s="87">
        <v>96125</v>
      </c>
      <c r="AL484" s="87">
        <v>96125</v>
      </c>
      <c r="AM484" s="87">
        <v>3603600</v>
      </c>
      <c r="AN484" s="87">
        <v>96125</v>
      </c>
      <c r="AO484" s="87">
        <v>96125</v>
      </c>
      <c r="AP484" s="87">
        <v>96000</v>
      </c>
      <c r="AQ484" s="88">
        <v>0</v>
      </c>
      <c r="AR484" s="88">
        <v>0</v>
      </c>
      <c r="AS484" s="88">
        <v>0</v>
      </c>
      <c r="AT484" s="88">
        <v>0</v>
      </c>
      <c r="AU484" s="88">
        <v>0</v>
      </c>
      <c r="AV484" s="88">
        <v>0</v>
      </c>
      <c r="AW484" s="88">
        <v>0</v>
      </c>
      <c r="AX484" s="88">
        <v>0</v>
      </c>
      <c r="AY484" s="87">
        <v>0</v>
      </c>
      <c r="AZ484" s="87">
        <v>0</v>
      </c>
      <c r="BA484" s="87">
        <v>0</v>
      </c>
      <c r="BB484" s="87">
        <v>0</v>
      </c>
      <c r="BC484" s="87">
        <v>0</v>
      </c>
      <c r="BD484" s="87">
        <v>0</v>
      </c>
      <c r="BE484" s="87">
        <v>0</v>
      </c>
      <c r="BF484" s="87">
        <v>0</v>
      </c>
      <c r="BG484" s="88">
        <v>0</v>
      </c>
      <c r="BH484" s="88">
        <v>0</v>
      </c>
      <c r="BI484" s="88">
        <v>0</v>
      </c>
      <c r="BJ484" s="88">
        <v>0</v>
      </c>
      <c r="BK484" s="88">
        <v>0</v>
      </c>
      <c r="BL484" s="88">
        <v>0</v>
      </c>
      <c r="BM484" s="88">
        <v>0</v>
      </c>
      <c r="BN484" s="590">
        <v>0</v>
      </c>
      <c r="BO484" s="171">
        <v>2023</v>
      </c>
      <c r="BP484" s="171">
        <v>1</v>
      </c>
      <c r="BQ484" s="171">
        <v>19</v>
      </c>
      <c r="BS484" s="76" t="str">
        <f t="shared" si="15"/>
        <v>○</v>
      </c>
    </row>
    <row r="485" spans="1:71" x14ac:dyDescent="0.2">
      <c r="A485" s="210">
        <v>1690</v>
      </c>
      <c r="B485" s="211"/>
      <c r="C485" s="212"/>
      <c r="D485" s="211"/>
      <c r="E485" s="212"/>
      <c r="F485" s="211"/>
      <c r="G485" s="211"/>
      <c r="H485" s="212"/>
      <c r="I485" s="211"/>
      <c r="J485" s="211"/>
      <c r="K485" s="211"/>
      <c r="L485" s="171"/>
      <c r="M485" s="171" t="s">
        <v>733</v>
      </c>
      <c r="N485" s="171" t="s">
        <v>373</v>
      </c>
      <c r="O485" s="171" t="s">
        <v>352</v>
      </c>
      <c r="P485" s="171" t="s">
        <v>916</v>
      </c>
      <c r="Q485" s="171"/>
      <c r="R485" s="213">
        <v>292000</v>
      </c>
      <c r="S485" s="87">
        <v>0</v>
      </c>
      <c r="T485" s="87">
        <v>0</v>
      </c>
      <c r="U485" s="87">
        <v>0</v>
      </c>
      <c r="V485" s="87">
        <v>0</v>
      </c>
      <c r="W485" s="87">
        <v>0</v>
      </c>
      <c r="X485" s="87">
        <v>0</v>
      </c>
      <c r="Y485" s="87">
        <v>0</v>
      </c>
      <c r="Z485" s="87">
        <v>0</v>
      </c>
      <c r="AA485" s="214">
        <v>0</v>
      </c>
      <c r="AB485" s="214">
        <v>0</v>
      </c>
      <c r="AC485" s="214">
        <v>0</v>
      </c>
      <c r="AD485" s="214">
        <v>0</v>
      </c>
      <c r="AE485" s="214">
        <v>0</v>
      </c>
      <c r="AF485" s="214">
        <v>0</v>
      </c>
      <c r="AG485" s="214">
        <v>0</v>
      </c>
      <c r="AH485" s="214">
        <v>0</v>
      </c>
      <c r="AI485" s="87">
        <v>292050</v>
      </c>
      <c r="AJ485" s="87">
        <v>0</v>
      </c>
      <c r="AK485" s="87">
        <v>292050</v>
      </c>
      <c r="AL485" s="87">
        <v>292050</v>
      </c>
      <c r="AM485" s="87">
        <v>1728000</v>
      </c>
      <c r="AN485" s="87">
        <v>292050</v>
      </c>
      <c r="AO485" s="87">
        <v>292050</v>
      </c>
      <c r="AP485" s="87">
        <v>292000</v>
      </c>
      <c r="AQ485" s="88">
        <v>0</v>
      </c>
      <c r="AR485" s="88">
        <v>0</v>
      </c>
      <c r="AS485" s="88">
        <v>0</v>
      </c>
      <c r="AT485" s="88">
        <v>0</v>
      </c>
      <c r="AU485" s="88">
        <v>0</v>
      </c>
      <c r="AV485" s="88">
        <v>0</v>
      </c>
      <c r="AW485" s="88">
        <v>0</v>
      </c>
      <c r="AX485" s="88">
        <v>0</v>
      </c>
      <c r="AY485" s="87">
        <v>0</v>
      </c>
      <c r="AZ485" s="87">
        <v>0</v>
      </c>
      <c r="BA485" s="87">
        <v>0</v>
      </c>
      <c r="BB485" s="87">
        <v>0</v>
      </c>
      <c r="BC485" s="87">
        <v>0</v>
      </c>
      <c r="BD485" s="87">
        <v>0</v>
      </c>
      <c r="BE485" s="87">
        <v>0</v>
      </c>
      <c r="BF485" s="87">
        <v>0</v>
      </c>
      <c r="BG485" s="88">
        <v>0</v>
      </c>
      <c r="BH485" s="88">
        <v>0</v>
      </c>
      <c r="BI485" s="88">
        <v>0</v>
      </c>
      <c r="BJ485" s="88">
        <v>0</v>
      </c>
      <c r="BK485" s="88">
        <v>0</v>
      </c>
      <c r="BL485" s="88">
        <v>0</v>
      </c>
      <c r="BM485" s="88">
        <v>0</v>
      </c>
      <c r="BN485" s="590">
        <v>0</v>
      </c>
      <c r="BO485" s="171">
        <v>2023</v>
      </c>
      <c r="BP485" s="171">
        <v>1</v>
      </c>
      <c r="BQ485" s="171">
        <v>19</v>
      </c>
      <c r="BS485" s="76" t="str">
        <f t="shared" si="15"/>
        <v>○</v>
      </c>
    </row>
    <row r="486" spans="1:71" x14ac:dyDescent="0.2">
      <c r="A486" s="210">
        <v>1691</v>
      </c>
      <c r="B486" s="211"/>
      <c r="C486" s="212"/>
      <c r="D486" s="211"/>
      <c r="E486" s="212"/>
      <c r="F486" s="211"/>
      <c r="G486" s="211"/>
      <c r="H486" s="212"/>
      <c r="I486" s="211"/>
      <c r="J486" s="211"/>
      <c r="K486" s="211"/>
      <c r="L486" s="171"/>
      <c r="M486" s="171" t="s">
        <v>562</v>
      </c>
      <c r="N486" s="171" t="s">
        <v>269</v>
      </c>
      <c r="O486" s="171" t="s">
        <v>563</v>
      </c>
      <c r="P486" s="171" t="s">
        <v>916</v>
      </c>
      <c r="Q486" s="171"/>
      <c r="R486" s="213">
        <v>1134000</v>
      </c>
      <c r="S486" s="87">
        <v>0</v>
      </c>
      <c r="T486" s="87">
        <v>0</v>
      </c>
      <c r="U486" s="87">
        <v>0</v>
      </c>
      <c r="V486" s="87">
        <v>0</v>
      </c>
      <c r="W486" s="87">
        <v>0</v>
      </c>
      <c r="X486" s="87">
        <v>0</v>
      </c>
      <c r="Y486" s="87">
        <v>0</v>
      </c>
      <c r="Z486" s="87">
        <v>0</v>
      </c>
      <c r="AA486" s="214">
        <v>0</v>
      </c>
      <c r="AB486" s="214">
        <v>0</v>
      </c>
      <c r="AC486" s="214">
        <v>0</v>
      </c>
      <c r="AD486" s="214">
        <v>0</v>
      </c>
      <c r="AE486" s="214">
        <v>0</v>
      </c>
      <c r="AF486" s="214">
        <v>0</v>
      </c>
      <c r="AG486" s="214">
        <v>0</v>
      </c>
      <c r="AH486" s="214">
        <v>0</v>
      </c>
      <c r="AI486" s="87">
        <v>1134650</v>
      </c>
      <c r="AJ486" s="87">
        <v>0</v>
      </c>
      <c r="AK486" s="87">
        <v>1134650</v>
      </c>
      <c r="AL486" s="87">
        <v>1134650</v>
      </c>
      <c r="AM486" s="87">
        <v>2088000</v>
      </c>
      <c r="AN486" s="87">
        <v>1134650</v>
      </c>
      <c r="AO486" s="87">
        <v>1134650</v>
      </c>
      <c r="AP486" s="87">
        <v>1134000</v>
      </c>
      <c r="AQ486" s="88">
        <v>0</v>
      </c>
      <c r="AR486" s="88">
        <v>0</v>
      </c>
      <c r="AS486" s="88">
        <v>0</v>
      </c>
      <c r="AT486" s="88">
        <v>0</v>
      </c>
      <c r="AU486" s="88">
        <v>0</v>
      </c>
      <c r="AV486" s="88">
        <v>0</v>
      </c>
      <c r="AW486" s="88">
        <v>0</v>
      </c>
      <c r="AX486" s="88">
        <v>0</v>
      </c>
      <c r="AY486" s="87">
        <v>0</v>
      </c>
      <c r="AZ486" s="87">
        <v>0</v>
      </c>
      <c r="BA486" s="87">
        <v>0</v>
      </c>
      <c r="BB486" s="87">
        <v>0</v>
      </c>
      <c r="BC486" s="87">
        <v>0</v>
      </c>
      <c r="BD486" s="87">
        <v>0</v>
      </c>
      <c r="BE486" s="87">
        <v>0</v>
      </c>
      <c r="BF486" s="87">
        <v>0</v>
      </c>
      <c r="BG486" s="88">
        <v>0</v>
      </c>
      <c r="BH486" s="88">
        <v>0</v>
      </c>
      <c r="BI486" s="88">
        <v>0</v>
      </c>
      <c r="BJ486" s="88">
        <v>0</v>
      </c>
      <c r="BK486" s="88">
        <v>0</v>
      </c>
      <c r="BL486" s="88">
        <v>0</v>
      </c>
      <c r="BM486" s="88">
        <v>0</v>
      </c>
      <c r="BN486" s="590">
        <v>0</v>
      </c>
      <c r="BO486" s="171">
        <v>2023</v>
      </c>
      <c r="BP486" s="171">
        <v>1</v>
      </c>
      <c r="BQ486" s="171">
        <v>19</v>
      </c>
      <c r="BS486" s="76" t="str">
        <f t="shared" si="15"/>
        <v>○</v>
      </c>
    </row>
    <row r="487" spans="1:71" x14ac:dyDescent="0.2">
      <c r="A487" s="210">
        <v>1692</v>
      </c>
      <c r="B487" s="211"/>
      <c r="C487" s="212"/>
      <c r="D487" s="211"/>
      <c r="E487" s="212"/>
      <c r="F487" s="211"/>
      <c r="G487" s="211"/>
      <c r="H487" s="212"/>
      <c r="I487" s="211"/>
      <c r="J487" s="211"/>
      <c r="K487" s="211"/>
      <c r="L487" s="171"/>
      <c r="M487" s="171" t="s">
        <v>501</v>
      </c>
      <c r="N487" s="171" t="s">
        <v>275</v>
      </c>
      <c r="O487" s="171" t="s">
        <v>364</v>
      </c>
      <c r="P487" s="171" t="s">
        <v>916</v>
      </c>
      <c r="Q487" s="171"/>
      <c r="R487" s="213">
        <v>39000</v>
      </c>
      <c r="S487" s="87">
        <v>0</v>
      </c>
      <c r="T487" s="87">
        <v>0</v>
      </c>
      <c r="U487" s="87">
        <v>0</v>
      </c>
      <c r="V487" s="87">
        <v>0</v>
      </c>
      <c r="W487" s="87">
        <v>0</v>
      </c>
      <c r="X487" s="87">
        <v>0</v>
      </c>
      <c r="Y487" s="87">
        <v>0</v>
      </c>
      <c r="Z487" s="87">
        <v>0</v>
      </c>
      <c r="AA487" s="214">
        <v>0</v>
      </c>
      <c r="AB487" s="214">
        <v>0</v>
      </c>
      <c r="AC487" s="214">
        <v>0</v>
      </c>
      <c r="AD487" s="214">
        <v>0</v>
      </c>
      <c r="AE487" s="214">
        <v>0</v>
      </c>
      <c r="AF487" s="214">
        <v>0</v>
      </c>
      <c r="AG487" s="214">
        <v>0</v>
      </c>
      <c r="AH487" s="214">
        <v>0</v>
      </c>
      <c r="AI487" s="87">
        <v>39633</v>
      </c>
      <c r="AJ487" s="87">
        <v>0</v>
      </c>
      <c r="AK487" s="87">
        <v>39633</v>
      </c>
      <c r="AL487" s="87">
        <v>39633</v>
      </c>
      <c r="AM487" s="87">
        <v>5702400</v>
      </c>
      <c r="AN487" s="87">
        <v>39633</v>
      </c>
      <c r="AO487" s="87">
        <v>39633</v>
      </c>
      <c r="AP487" s="87">
        <v>39000</v>
      </c>
      <c r="AQ487" s="88">
        <v>0</v>
      </c>
      <c r="AR487" s="88">
        <v>0</v>
      </c>
      <c r="AS487" s="88">
        <v>0</v>
      </c>
      <c r="AT487" s="88">
        <v>0</v>
      </c>
      <c r="AU487" s="88">
        <v>0</v>
      </c>
      <c r="AV487" s="88">
        <v>0</v>
      </c>
      <c r="AW487" s="88">
        <v>0</v>
      </c>
      <c r="AX487" s="88">
        <v>0</v>
      </c>
      <c r="AY487" s="87">
        <v>0</v>
      </c>
      <c r="AZ487" s="87">
        <v>0</v>
      </c>
      <c r="BA487" s="87">
        <v>0</v>
      </c>
      <c r="BB487" s="87">
        <v>0</v>
      </c>
      <c r="BC487" s="87">
        <v>0</v>
      </c>
      <c r="BD487" s="87">
        <v>0</v>
      </c>
      <c r="BE487" s="87">
        <v>0</v>
      </c>
      <c r="BF487" s="87">
        <v>0</v>
      </c>
      <c r="BG487" s="88">
        <v>0</v>
      </c>
      <c r="BH487" s="88">
        <v>0</v>
      </c>
      <c r="BI487" s="88">
        <v>0</v>
      </c>
      <c r="BJ487" s="88">
        <v>0</v>
      </c>
      <c r="BK487" s="88">
        <v>0</v>
      </c>
      <c r="BL487" s="88">
        <v>0</v>
      </c>
      <c r="BM487" s="88">
        <v>0</v>
      </c>
      <c r="BN487" s="590">
        <v>0</v>
      </c>
      <c r="BO487" s="171">
        <v>2023</v>
      </c>
      <c r="BP487" s="171">
        <v>1</v>
      </c>
      <c r="BQ487" s="171">
        <v>19</v>
      </c>
      <c r="BS487" s="76" t="str">
        <f t="shared" si="15"/>
        <v>○</v>
      </c>
    </row>
    <row r="488" spans="1:71" x14ac:dyDescent="0.2">
      <c r="A488" s="210">
        <v>1693</v>
      </c>
      <c r="B488" s="211"/>
      <c r="C488" s="212"/>
      <c r="D488" s="211"/>
      <c r="E488" s="212"/>
      <c r="F488" s="211"/>
      <c r="G488" s="211"/>
      <c r="H488" s="212"/>
      <c r="I488" s="211"/>
      <c r="J488" s="211"/>
      <c r="K488" s="211"/>
      <c r="L488" s="171"/>
      <c r="M488" s="171" t="s">
        <v>637</v>
      </c>
      <c r="N488" s="171" t="s">
        <v>269</v>
      </c>
      <c r="O488" s="171" t="s">
        <v>638</v>
      </c>
      <c r="P488" s="171" t="s">
        <v>916</v>
      </c>
      <c r="Q488" s="171"/>
      <c r="R488" s="213">
        <v>84000</v>
      </c>
      <c r="S488" s="87">
        <v>0</v>
      </c>
      <c r="T488" s="87">
        <v>0</v>
      </c>
      <c r="U488" s="87">
        <v>0</v>
      </c>
      <c r="V488" s="87">
        <v>0</v>
      </c>
      <c r="W488" s="87">
        <v>0</v>
      </c>
      <c r="X488" s="87">
        <v>0</v>
      </c>
      <c r="Y488" s="87">
        <v>0</v>
      </c>
      <c r="Z488" s="87">
        <v>0</v>
      </c>
      <c r="AA488" s="214">
        <v>0</v>
      </c>
      <c r="AB488" s="214">
        <v>0</v>
      </c>
      <c r="AC488" s="214">
        <v>0</v>
      </c>
      <c r="AD488" s="214">
        <v>0</v>
      </c>
      <c r="AE488" s="214">
        <v>0</v>
      </c>
      <c r="AF488" s="214">
        <v>0</v>
      </c>
      <c r="AG488" s="214">
        <v>0</v>
      </c>
      <c r="AH488" s="214">
        <v>0</v>
      </c>
      <c r="AI488" s="87">
        <v>84723</v>
      </c>
      <c r="AJ488" s="87">
        <v>0</v>
      </c>
      <c r="AK488" s="87">
        <v>84723</v>
      </c>
      <c r="AL488" s="87">
        <v>84723</v>
      </c>
      <c r="AM488" s="87">
        <v>3024000</v>
      </c>
      <c r="AN488" s="87">
        <v>84723</v>
      </c>
      <c r="AO488" s="87">
        <v>84723</v>
      </c>
      <c r="AP488" s="87">
        <v>84000</v>
      </c>
      <c r="AQ488" s="88">
        <v>0</v>
      </c>
      <c r="AR488" s="88">
        <v>0</v>
      </c>
      <c r="AS488" s="88">
        <v>0</v>
      </c>
      <c r="AT488" s="88">
        <v>0</v>
      </c>
      <c r="AU488" s="88">
        <v>0</v>
      </c>
      <c r="AV488" s="88">
        <v>0</v>
      </c>
      <c r="AW488" s="88">
        <v>0</v>
      </c>
      <c r="AX488" s="88">
        <v>0</v>
      </c>
      <c r="AY488" s="87">
        <v>0</v>
      </c>
      <c r="AZ488" s="87">
        <v>0</v>
      </c>
      <c r="BA488" s="87">
        <v>0</v>
      </c>
      <c r="BB488" s="87">
        <v>0</v>
      </c>
      <c r="BC488" s="87">
        <v>0</v>
      </c>
      <c r="BD488" s="87">
        <v>0</v>
      </c>
      <c r="BE488" s="87">
        <v>0</v>
      </c>
      <c r="BF488" s="87">
        <v>0</v>
      </c>
      <c r="BG488" s="88">
        <v>0</v>
      </c>
      <c r="BH488" s="88">
        <v>0</v>
      </c>
      <c r="BI488" s="88">
        <v>0</v>
      </c>
      <c r="BJ488" s="88">
        <v>0</v>
      </c>
      <c r="BK488" s="88">
        <v>0</v>
      </c>
      <c r="BL488" s="88">
        <v>0</v>
      </c>
      <c r="BM488" s="88">
        <v>0</v>
      </c>
      <c r="BN488" s="590">
        <v>0</v>
      </c>
      <c r="BO488" s="171">
        <v>2023</v>
      </c>
      <c r="BP488" s="171">
        <v>1</v>
      </c>
      <c r="BQ488" s="171">
        <v>19</v>
      </c>
      <c r="BS488" s="76" t="str">
        <f t="shared" si="15"/>
        <v>○</v>
      </c>
    </row>
    <row r="489" spans="1:71" x14ac:dyDescent="0.2">
      <c r="A489" s="210">
        <v>1694</v>
      </c>
      <c r="B489" s="211"/>
      <c r="C489" s="212"/>
      <c r="D489" s="211"/>
      <c r="E489" s="212"/>
      <c r="F489" s="211"/>
      <c r="G489" s="211"/>
      <c r="H489" s="212"/>
      <c r="I489" s="211"/>
      <c r="J489" s="211"/>
      <c r="K489" s="211"/>
      <c r="L489" s="171"/>
      <c r="M489" s="171" t="s">
        <v>725</v>
      </c>
      <c r="N489" s="171" t="s">
        <v>330</v>
      </c>
      <c r="O489" s="171" t="s">
        <v>337</v>
      </c>
      <c r="P489" s="171" t="s">
        <v>916</v>
      </c>
      <c r="Q489" s="171"/>
      <c r="R489" s="213">
        <v>121000</v>
      </c>
      <c r="S489" s="87">
        <v>0</v>
      </c>
      <c r="T489" s="87">
        <v>0</v>
      </c>
      <c r="U489" s="87">
        <v>0</v>
      </c>
      <c r="V489" s="87">
        <v>0</v>
      </c>
      <c r="W489" s="87">
        <v>0</v>
      </c>
      <c r="X489" s="87">
        <v>0</v>
      </c>
      <c r="Y489" s="87">
        <v>0</v>
      </c>
      <c r="Z489" s="87">
        <v>0</v>
      </c>
      <c r="AA489" s="214">
        <v>0</v>
      </c>
      <c r="AB489" s="214">
        <v>0</v>
      </c>
      <c r="AC489" s="214">
        <v>0</v>
      </c>
      <c r="AD489" s="214">
        <v>0</v>
      </c>
      <c r="AE489" s="214">
        <v>0</v>
      </c>
      <c r="AF489" s="214">
        <v>0</v>
      </c>
      <c r="AG489" s="214">
        <v>0</v>
      </c>
      <c r="AH489" s="214">
        <v>0</v>
      </c>
      <c r="AI489" s="87">
        <v>121880</v>
      </c>
      <c r="AJ489" s="87">
        <v>0</v>
      </c>
      <c r="AK489" s="87">
        <v>121880</v>
      </c>
      <c r="AL489" s="87">
        <v>121880</v>
      </c>
      <c r="AM489" s="87">
        <v>1080000</v>
      </c>
      <c r="AN489" s="87">
        <v>121880</v>
      </c>
      <c r="AO489" s="87">
        <v>121880</v>
      </c>
      <c r="AP489" s="87">
        <v>121000</v>
      </c>
      <c r="AQ489" s="88">
        <v>0</v>
      </c>
      <c r="AR489" s="88">
        <v>0</v>
      </c>
      <c r="AS489" s="88">
        <v>0</v>
      </c>
      <c r="AT489" s="88">
        <v>0</v>
      </c>
      <c r="AU489" s="88">
        <v>0</v>
      </c>
      <c r="AV489" s="88">
        <v>0</v>
      </c>
      <c r="AW489" s="88">
        <v>0</v>
      </c>
      <c r="AX489" s="88">
        <v>0</v>
      </c>
      <c r="AY489" s="87">
        <v>0</v>
      </c>
      <c r="AZ489" s="87">
        <v>0</v>
      </c>
      <c r="BA489" s="87">
        <v>0</v>
      </c>
      <c r="BB489" s="87">
        <v>0</v>
      </c>
      <c r="BC489" s="87">
        <v>0</v>
      </c>
      <c r="BD489" s="87">
        <v>0</v>
      </c>
      <c r="BE489" s="87">
        <v>0</v>
      </c>
      <c r="BF489" s="87">
        <v>0</v>
      </c>
      <c r="BG489" s="88">
        <v>0</v>
      </c>
      <c r="BH489" s="88">
        <v>0</v>
      </c>
      <c r="BI489" s="88">
        <v>0</v>
      </c>
      <c r="BJ489" s="88">
        <v>0</v>
      </c>
      <c r="BK489" s="88">
        <v>0</v>
      </c>
      <c r="BL489" s="88">
        <v>0</v>
      </c>
      <c r="BM489" s="88">
        <v>0</v>
      </c>
      <c r="BN489" s="590">
        <v>0</v>
      </c>
      <c r="BO489" s="171">
        <v>2023</v>
      </c>
      <c r="BP489" s="171">
        <v>1</v>
      </c>
      <c r="BQ489" s="171">
        <v>19</v>
      </c>
      <c r="BS489" s="76" t="str">
        <f t="shared" si="15"/>
        <v>○</v>
      </c>
    </row>
    <row r="490" spans="1:71" x14ac:dyDescent="0.2">
      <c r="A490" s="210">
        <v>1695</v>
      </c>
      <c r="B490" s="211"/>
      <c r="C490" s="212"/>
      <c r="D490" s="211"/>
      <c r="E490" s="212"/>
      <c r="F490" s="211"/>
      <c r="G490" s="211"/>
      <c r="H490" s="212"/>
      <c r="I490" s="211"/>
      <c r="J490" s="211"/>
      <c r="K490" s="211"/>
      <c r="L490" s="171"/>
      <c r="M490" s="171" t="s">
        <v>550</v>
      </c>
      <c r="N490" s="171" t="s">
        <v>373</v>
      </c>
      <c r="O490" s="171" t="s">
        <v>279</v>
      </c>
      <c r="P490" s="171" t="s">
        <v>916</v>
      </c>
      <c r="Q490" s="171"/>
      <c r="R490" s="213">
        <v>157000</v>
      </c>
      <c r="S490" s="87">
        <v>0</v>
      </c>
      <c r="T490" s="87">
        <v>0</v>
      </c>
      <c r="U490" s="87">
        <v>0</v>
      </c>
      <c r="V490" s="87">
        <v>0</v>
      </c>
      <c r="W490" s="87">
        <v>0</v>
      </c>
      <c r="X490" s="87">
        <v>0</v>
      </c>
      <c r="Y490" s="87">
        <v>0</v>
      </c>
      <c r="Z490" s="87">
        <v>0</v>
      </c>
      <c r="AA490" s="214">
        <v>0</v>
      </c>
      <c r="AB490" s="214">
        <v>0</v>
      </c>
      <c r="AC490" s="214">
        <v>0</v>
      </c>
      <c r="AD490" s="214">
        <v>0</v>
      </c>
      <c r="AE490" s="214">
        <v>0</v>
      </c>
      <c r="AF490" s="214">
        <v>0</v>
      </c>
      <c r="AG490" s="214">
        <v>0</v>
      </c>
      <c r="AH490" s="214">
        <v>0</v>
      </c>
      <c r="AI490" s="87">
        <v>157300</v>
      </c>
      <c r="AJ490" s="87">
        <v>0</v>
      </c>
      <c r="AK490" s="87">
        <v>157300</v>
      </c>
      <c r="AL490" s="87">
        <v>157300</v>
      </c>
      <c r="AM490" s="87">
        <v>1764000</v>
      </c>
      <c r="AN490" s="87">
        <v>157300</v>
      </c>
      <c r="AO490" s="87">
        <v>157300</v>
      </c>
      <c r="AP490" s="87">
        <v>157000</v>
      </c>
      <c r="AQ490" s="88">
        <v>0</v>
      </c>
      <c r="AR490" s="88">
        <v>0</v>
      </c>
      <c r="AS490" s="88">
        <v>0</v>
      </c>
      <c r="AT490" s="88">
        <v>0</v>
      </c>
      <c r="AU490" s="88">
        <v>0</v>
      </c>
      <c r="AV490" s="88">
        <v>0</v>
      </c>
      <c r="AW490" s="88">
        <v>0</v>
      </c>
      <c r="AX490" s="88">
        <v>0</v>
      </c>
      <c r="AY490" s="87">
        <v>0</v>
      </c>
      <c r="AZ490" s="87">
        <v>0</v>
      </c>
      <c r="BA490" s="87">
        <v>0</v>
      </c>
      <c r="BB490" s="87">
        <v>0</v>
      </c>
      <c r="BC490" s="87">
        <v>0</v>
      </c>
      <c r="BD490" s="87">
        <v>0</v>
      </c>
      <c r="BE490" s="87">
        <v>0</v>
      </c>
      <c r="BF490" s="87">
        <v>0</v>
      </c>
      <c r="BG490" s="88">
        <v>0</v>
      </c>
      <c r="BH490" s="88">
        <v>0</v>
      </c>
      <c r="BI490" s="88">
        <v>0</v>
      </c>
      <c r="BJ490" s="88">
        <v>0</v>
      </c>
      <c r="BK490" s="88">
        <v>0</v>
      </c>
      <c r="BL490" s="88">
        <v>0</v>
      </c>
      <c r="BM490" s="88">
        <v>0</v>
      </c>
      <c r="BN490" s="590">
        <v>0</v>
      </c>
      <c r="BO490" s="171">
        <v>2023</v>
      </c>
      <c r="BP490" s="171">
        <v>1</v>
      </c>
      <c r="BQ490" s="171">
        <v>19</v>
      </c>
      <c r="BS490" s="76" t="str">
        <f t="shared" si="15"/>
        <v>○</v>
      </c>
    </row>
    <row r="491" spans="1:71" x14ac:dyDescent="0.2">
      <c r="A491" s="210">
        <v>1696</v>
      </c>
      <c r="B491" s="211"/>
      <c r="C491" s="212"/>
      <c r="D491" s="211"/>
      <c r="E491" s="212"/>
      <c r="F491" s="211"/>
      <c r="G491" s="211"/>
      <c r="H491" s="212"/>
      <c r="I491" s="211"/>
      <c r="J491" s="211"/>
      <c r="K491" s="211"/>
      <c r="L491" s="171"/>
      <c r="M491" s="171" t="s">
        <v>498</v>
      </c>
      <c r="N491" s="171" t="s">
        <v>299</v>
      </c>
      <c r="O491" s="171" t="s">
        <v>292</v>
      </c>
      <c r="P491" s="171" t="s">
        <v>916</v>
      </c>
      <c r="Q491" s="171"/>
      <c r="R491" s="213">
        <v>100000</v>
      </c>
      <c r="S491" s="87">
        <v>0</v>
      </c>
      <c r="T491" s="87">
        <v>0</v>
      </c>
      <c r="U491" s="87">
        <v>0</v>
      </c>
      <c r="V491" s="87">
        <v>0</v>
      </c>
      <c r="W491" s="87">
        <v>0</v>
      </c>
      <c r="X491" s="87">
        <v>0</v>
      </c>
      <c r="Y491" s="87">
        <v>0</v>
      </c>
      <c r="Z491" s="87">
        <v>0</v>
      </c>
      <c r="AA491" s="214">
        <v>0</v>
      </c>
      <c r="AB491" s="214">
        <v>0</v>
      </c>
      <c r="AC491" s="214">
        <v>0</v>
      </c>
      <c r="AD491" s="214">
        <v>0</v>
      </c>
      <c r="AE491" s="214">
        <v>0</v>
      </c>
      <c r="AF491" s="214">
        <v>0</v>
      </c>
      <c r="AG491" s="214">
        <v>0</v>
      </c>
      <c r="AH491" s="214">
        <v>0</v>
      </c>
      <c r="AI491" s="87">
        <v>100100</v>
      </c>
      <c r="AJ491" s="87">
        <v>0</v>
      </c>
      <c r="AK491" s="87">
        <v>100100</v>
      </c>
      <c r="AL491" s="87">
        <v>100100</v>
      </c>
      <c r="AM491" s="87">
        <v>4680000</v>
      </c>
      <c r="AN491" s="87">
        <v>100100</v>
      </c>
      <c r="AO491" s="87">
        <v>100100</v>
      </c>
      <c r="AP491" s="87">
        <v>100000</v>
      </c>
      <c r="AQ491" s="88">
        <v>0</v>
      </c>
      <c r="AR491" s="88">
        <v>0</v>
      </c>
      <c r="AS491" s="88">
        <v>0</v>
      </c>
      <c r="AT491" s="88">
        <v>0</v>
      </c>
      <c r="AU491" s="88">
        <v>0</v>
      </c>
      <c r="AV491" s="88">
        <v>0</v>
      </c>
      <c r="AW491" s="88">
        <v>0</v>
      </c>
      <c r="AX491" s="88">
        <v>0</v>
      </c>
      <c r="AY491" s="87">
        <v>0</v>
      </c>
      <c r="AZ491" s="87">
        <v>0</v>
      </c>
      <c r="BA491" s="87">
        <v>0</v>
      </c>
      <c r="BB491" s="87">
        <v>0</v>
      </c>
      <c r="BC491" s="87">
        <v>0</v>
      </c>
      <c r="BD491" s="87">
        <v>0</v>
      </c>
      <c r="BE491" s="87">
        <v>0</v>
      </c>
      <c r="BF491" s="87">
        <v>0</v>
      </c>
      <c r="BG491" s="88">
        <v>0</v>
      </c>
      <c r="BH491" s="88">
        <v>0</v>
      </c>
      <c r="BI491" s="88">
        <v>0</v>
      </c>
      <c r="BJ491" s="88">
        <v>0</v>
      </c>
      <c r="BK491" s="88">
        <v>0</v>
      </c>
      <c r="BL491" s="88">
        <v>0</v>
      </c>
      <c r="BM491" s="88">
        <v>0</v>
      </c>
      <c r="BN491" s="590">
        <v>0</v>
      </c>
      <c r="BO491" s="171">
        <v>2023</v>
      </c>
      <c r="BP491" s="171">
        <v>1</v>
      </c>
      <c r="BQ491" s="171">
        <v>19</v>
      </c>
      <c r="BS491" s="76" t="str">
        <f t="shared" si="15"/>
        <v>○</v>
      </c>
    </row>
    <row r="492" spans="1:71" s="81" customFormat="1" x14ac:dyDescent="0.2">
      <c r="A492" s="210">
        <v>1697</v>
      </c>
      <c r="B492" s="211"/>
      <c r="C492" s="212"/>
      <c r="D492" s="211"/>
      <c r="E492" s="212"/>
      <c r="F492" s="211"/>
      <c r="G492" s="211"/>
      <c r="H492" s="212"/>
      <c r="I492" s="211"/>
      <c r="J492" s="211"/>
      <c r="K492" s="211"/>
      <c r="L492" s="171"/>
      <c r="M492" s="171" t="s">
        <v>718</v>
      </c>
      <c r="N492" s="171" t="s">
        <v>286</v>
      </c>
      <c r="O492" s="171" t="s">
        <v>719</v>
      </c>
      <c r="P492" s="171" t="s">
        <v>916</v>
      </c>
      <c r="Q492" s="171"/>
      <c r="R492" s="213">
        <v>113000</v>
      </c>
      <c r="S492" s="87">
        <v>0</v>
      </c>
      <c r="T492" s="87">
        <v>0</v>
      </c>
      <c r="U492" s="87">
        <v>0</v>
      </c>
      <c r="V492" s="87">
        <v>0</v>
      </c>
      <c r="W492" s="87">
        <v>0</v>
      </c>
      <c r="X492" s="87">
        <v>0</v>
      </c>
      <c r="Y492" s="87">
        <v>0</v>
      </c>
      <c r="Z492" s="87">
        <v>0</v>
      </c>
      <c r="AA492" s="214">
        <v>0</v>
      </c>
      <c r="AB492" s="214">
        <v>0</v>
      </c>
      <c r="AC492" s="214">
        <v>0</v>
      </c>
      <c r="AD492" s="214">
        <v>0</v>
      </c>
      <c r="AE492" s="214">
        <v>0</v>
      </c>
      <c r="AF492" s="214">
        <v>0</v>
      </c>
      <c r="AG492" s="214">
        <v>0</v>
      </c>
      <c r="AH492" s="214">
        <v>0</v>
      </c>
      <c r="AI492" s="87">
        <v>113226</v>
      </c>
      <c r="AJ492" s="87">
        <v>0</v>
      </c>
      <c r="AK492" s="87">
        <v>113226</v>
      </c>
      <c r="AL492" s="87">
        <v>113226</v>
      </c>
      <c r="AM492" s="87">
        <v>290361600</v>
      </c>
      <c r="AN492" s="87">
        <v>113226</v>
      </c>
      <c r="AO492" s="87">
        <v>113226</v>
      </c>
      <c r="AP492" s="87">
        <v>113000</v>
      </c>
      <c r="AQ492" s="88">
        <v>0</v>
      </c>
      <c r="AR492" s="88">
        <v>0</v>
      </c>
      <c r="AS492" s="88">
        <v>0</v>
      </c>
      <c r="AT492" s="88">
        <v>0</v>
      </c>
      <c r="AU492" s="88">
        <v>0</v>
      </c>
      <c r="AV492" s="88">
        <v>0</v>
      </c>
      <c r="AW492" s="88">
        <v>0</v>
      </c>
      <c r="AX492" s="88">
        <v>0</v>
      </c>
      <c r="AY492" s="87">
        <v>0</v>
      </c>
      <c r="AZ492" s="87">
        <v>0</v>
      </c>
      <c r="BA492" s="87">
        <v>0</v>
      </c>
      <c r="BB492" s="87">
        <v>0</v>
      </c>
      <c r="BC492" s="87">
        <v>0</v>
      </c>
      <c r="BD492" s="87">
        <v>0</v>
      </c>
      <c r="BE492" s="87">
        <v>0</v>
      </c>
      <c r="BF492" s="87">
        <v>0</v>
      </c>
      <c r="BG492" s="88">
        <v>0</v>
      </c>
      <c r="BH492" s="88">
        <v>0</v>
      </c>
      <c r="BI492" s="88">
        <v>0</v>
      </c>
      <c r="BJ492" s="88">
        <v>0</v>
      </c>
      <c r="BK492" s="88">
        <v>0</v>
      </c>
      <c r="BL492" s="88">
        <v>0</v>
      </c>
      <c r="BM492" s="88">
        <v>0</v>
      </c>
      <c r="BN492" s="590">
        <v>0</v>
      </c>
      <c r="BO492" s="171">
        <v>2023</v>
      </c>
      <c r="BP492" s="171">
        <v>1</v>
      </c>
      <c r="BQ492" s="171">
        <v>19</v>
      </c>
      <c r="BR492" s="77"/>
      <c r="BS492" s="76" t="str">
        <f t="shared" si="15"/>
        <v>○</v>
      </c>
    </row>
    <row r="493" spans="1:71" x14ac:dyDescent="0.2">
      <c r="A493" s="210">
        <v>1698</v>
      </c>
      <c r="B493" s="211"/>
      <c r="C493" s="212"/>
      <c r="D493" s="211"/>
      <c r="E493" s="212"/>
      <c r="F493" s="211"/>
      <c r="G493" s="211"/>
      <c r="H493" s="212"/>
      <c r="I493" s="211"/>
      <c r="J493" s="211"/>
      <c r="K493" s="211"/>
      <c r="L493" s="171"/>
      <c r="M493" s="171" t="s">
        <v>832</v>
      </c>
      <c r="N493" s="171" t="s">
        <v>286</v>
      </c>
      <c r="O493" s="171" t="s">
        <v>833</v>
      </c>
      <c r="P493" s="171" t="s">
        <v>916</v>
      </c>
      <c r="Q493" s="171"/>
      <c r="R493" s="213">
        <v>878000</v>
      </c>
      <c r="S493" s="87">
        <v>0</v>
      </c>
      <c r="T493" s="87">
        <v>0</v>
      </c>
      <c r="U493" s="87">
        <v>0</v>
      </c>
      <c r="V493" s="87">
        <v>0</v>
      </c>
      <c r="W493" s="87">
        <v>0</v>
      </c>
      <c r="X493" s="87">
        <v>0</v>
      </c>
      <c r="Y493" s="87">
        <v>0</v>
      </c>
      <c r="Z493" s="87">
        <v>0</v>
      </c>
      <c r="AA493" s="214">
        <v>0</v>
      </c>
      <c r="AB493" s="214">
        <v>0</v>
      </c>
      <c r="AC493" s="214">
        <v>0</v>
      </c>
      <c r="AD493" s="214">
        <v>0</v>
      </c>
      <c r="AE493" s="214">
        <v>0</v>
      </c>
      <c r="AF493" s="214">
        <v>0</v>
      </c>
      <c r="AG493" s="214">
        <v>0</v>
      </c>
      <c r="AH493" s="214">
        <v>0</v>
      </c>
      <c r="AI493" s="87">
        <v>878614</v>
      </c>
      <c r="AJ493" s="87">
        <v>0</v>
      </c>
      <c r="AK493" s="87">
        <v>878614</v>
      </c>
      <c r="AL493" s="87">
        <v>878614</v>
      </c>
      <c r="AM493" s="87">
        <v>6501600</v>
      </c>
      <c r="AN493" s="87">
        <v>878614</v>
      </c>
      <c r="AO493" s="87">
        <v>878614</v>
      </c>
      <c r="AP493" s="87">
        <v>878000</v>
      </c>
      <c r="AQ493" s="88">
        <v>0</v>
      </c>
      <c r="AR493" s="88">
        <v>0</v>
      </c>
      <c r="AS493" s="88">
        <v>0</v>
      </c>
      <c r="AT493" s="88">
        <v>0</v>
      </c>
      <c r="AU493" s="88">
        <v>0</v>
      </c>
      <c r="AV493" s="88">
        <v>0</v>
      </c>
      <c r="AW493" s="88">
        <v>0</v>
      </c>
      <c r="AX493" s="88">
        <v>0</v>
      </c>
      <c r="AY493" s="87">
        <v>0</v>
      </c>
      <c r="AZ493" s="87">
        <v>0</v>
      </c>
      <c r="BA493" s="87">
        <v>0</v>
      </c>
      <c r="BB493" s="87">
        <v>0</v>
      </c>
      <c r="BC493" s="87">
        <v>0</v>
      </c>
      <c r="BD493" s="87">
        <v>0</v>
      </c>
      <c r="BE493" s="87">
        <v>0</v>
      </c>
      <c r="BF493" s="87">
        <v>0</v>
      </c>
      <c r="BG493" s="88">
        <v>0</v>
      </c>
      <c r="BH493" s="88">
        <v>0</v>
      </c>
      <c r="BI493" s="88">
        <v>0</v>
      </c>
      <c r="BJ493" s="88">
        <v>0</v>
      </c>
      <c r="BK493" s="88">
        <v>0</v>
      </c>
      <c r="BL493" s="88">
        <v>0</v>
      </c>
      <c r="BM493" s="88">
        <v>0</v>
      </c>
      <c r="BN493" s="590">
        <v>0</v>
      </c>
      <c r="BO493" s="171">
        <v>2023</v>
      </c>
      <c r="BP493" s="171">
        <v>1</v>
      </c>
      <c r="BQ493" s="171">
        <v>19</v>
      </c>
      <c r="BS493" s="76" t="str">
        <f t="shared" si="15"/>
        <v>○</v>
      </c>
    </row>
    <row r="494" spans="1:71" s="81" customFormat="1" x14ac:dyDescent="0.2">
      <c r="A494" s="210">
        <v>1699</v>
      </c>
      <c r="B494" s="211"/>
      <c r="C494" s="212"/>
      <c r="D494" s="211"/>
      <c r="E494" s="212"/>
      <c r="F494" s="211"/>
      <c r="G494" s="211"/>
      <c r="H494" s="212"/>
      <c r="I494" s="211"/>
      <c r="J494" s="211"/>
      <c r="K494" s="211"/>
      <c r="L494" s="171"/>
      <c r="M494" s="171" t="s">
        <v>834</v>
      </c>
      <c r="N494" s="171" t="s">
        <v>286</v>
      </c>
      <c r="O494" s="171" t="s">
        <v>314</v>
      </c>
      <c r="P494" s="171" t="s">
        <v>916</v>
      </c>
      <c r="Q494" s="171"/>
      <c r="R494" s="213">
        <v>191000</v>
      </c>
      <c r="S494" s="87">
        <v>0</v>
      </c>
      <c r="T494" s="87">
        <v>0</v>
      </c>
      <c r="U494" s="87">
        <v>0</v>
      </c>
      <c r="V494" s="87">
        <v>0</v>
      </c>
      <c r="W494" s="87">
        <v>0</v>
      </c>
      <c r="X494" s="87">
        <v>0</v>
      </c>
      <c r="Y494" s="87">
        <v>0</v>
      </c>
      <c r="Z494" s="87">
        <v>0</v>
      </c>
      <c r="AA494" s="214">
        <v>0</v>
      </c>
      <c r="AB494" s="214">
        <v>0</v>
      </c>
      <c r="AC494" s="214">
        <v>0</v>
      </c>
      <c r="AD494" s="214">
        <v>0</v>
      </c>
      <c r="AE494" s="214">
        <v>0</v>
      </c>
      <c r="AF494" s="214">
        <v>0</v>
      </c>
      <c r="AG494" s="214">
        <v>0</v>
      </c>
      <c r="AH494" s="214">
        <v>0</v>
      </c>
      <c r="AI494" s="87">
        <v>191520</v>
      </c>
      <c r="AJ494" s="87">
        <v>0</v>
      </c>
      <c r="AK494" s="87">
        <v>191520</v>
      </c>
      <c r="AL494" s="87">
        <v>191520</v>
      </c>
      <c r="AM494" s="87">
        <v>1533600</v>
      </c>
      <c r="AN494" s="87">
        <v>191520</v>
      </c>
      <c r="AO494" s="87">
        <v>191520</v>
      </c>
      <c r="AP494" s="87">
        <v>191000</v>
      </c>
      <c r="AQ494" s="88">
        <v>0</v>
      </c>
      <c r="AR494" s="88">
        <v>0</v>
      </c>
      <c r="AS494" s="88">
        <v>0</v>
      </c>
      <c r="AT494" s="88">
        <v>0</v>
      </c>
      <c r="AU494" s="88">
        <v>0</v>
      </c>
      <c r="AV494" s="88">
        <v>0</v>
      </c>
      <c r="AW494" s="88">
        <v>0</v>
      </c>
      <c r="AX494" s="88">
        <v>0</v>
      </c>
      <c r="AY494" s="87">
        <v>0</v>
      </c>
      <c r="AZ494" s="87">
        <v>0</v>
      </c>
      <c r="BA494" s="87">
        <v>0</v>
      </c>
      <c r="BB494" s="87">
        <v>0</v>
      </c>
      <c r="BC494" s="87">
        <v>0</v>
      </c>
      <c r="BD494" s="87">
        <v>0</v>
      </c>
      <c r="BE494" s="87">
        <v>0</v>
      </c>
      <c r="BF494" s="87">
        <v>0</v>
      </c>
      <c r="BG494" s="88">
        <v>0</v>
      </c>
      <c r="BH494" s="88">
        <v>0</v>
      </c>
      <c r="BI494" s="88">
        <v>0</v>
      </c>
      <c r="BJ494" s="88">
        <v>0</v>
      </c>
      <c r="BK494" s="88">
        <v>0</v>
      </c>
      <c r="BL494" s="88">
        <v>0</v>
      </c>
      <c r="BM494" s="88">
        <v>0</v>
      </c>
      <c r="BN494" s="590">
        <v>0</v>
      </c>
      <c r="BO494" s="171">
        <v>2023</v>
      </c>
      <c r="BP494" s="171">
        <v>1</v>
      </c>
      <c r="BQ494" s="171">
        <v>19</v>
      </c>
      <c r="BR494" s="77"/>
      <c r="BS494" s="76" t="str">
        <f t="shared" si="15"/>
        <v>○</v>
      </c>
    </row>
    <row r="495" spans="1:71" x14ac:dyDescent="0.2">
      <c r="A495" s="210">
        <v>1700</v>
      </c>
      <c r="B495" s="211"/>
      <c r="C495" s="212"/>
      <c r="D495" s="211"/>
      <c r="E495" s="212"/>
      <c r="F495" s="211"/>
      <c r="G495" s="211"/>
      <c r="H495" s="212"/>
      <c r="I495" s="211"/>
      <c r="J495" s="211"/>
      <c r="K495" s="211"/>
      <c r="L495" s="171"/>
      <c r="M495" s="171" t="s">
        <v>725</v>
      </c>
      <c r="N495" s="171" t="s">
        <v>330</v>
      </c>
      <c r="O495" s="171" t="s">
        <v>337</v>
      </c>
      <c r="P495" s="171" t="s">
        <v>916</v>
      </c>
      <c r="Q495" s="171"/>
      <c r="R495" s="213">
        <v>78000</v>
      </c>
      <c r="S495" s="87">
        <v>0</v>
      </c>
      <c r="T495" s="87">
        <v>0</v>
      </c>
      <c r="U495" s="87">
        <v>0</v>
      </c>
      <c r="V495" s="87">
        <v>0</v>
      </c>
      <c r="W495" s="87">
        <v>0</v>
      </c>
      <c r="X495" s="87">
        <v>0</v>
      </c>
      <c r="Y495" s="87">
        <v>0</v>
      </c>
      <c r="Z495" s="87">
        <v>0</v>
      </c>
      <c r="AA495" s="214">
        <v>0</v>
      </c>
      <c r="AB495" s="214">
        <v>0</v>
      </c>
      <c r="AC495" s="214">
        <v>0</v>
      </c>
      <c r="AD495" s="214">
        <v>0</v>
      </c>
      <c r="AE495" s="214">
        <v>0</v>
      </c>
      <c r="AF495" s="214">
        <v>0</v>
      </c>
      <c r="AG495" s="214">
        <v>0</v>
      </c>
      <c r="AH495" s="214">
        <v>0</v>
      </c>
      <c r="AI495" s="87">
        <v>78210</v>
      </c>
      <c r="AJ495" s="87">
        <v>0</v>
      </c>
      <c r="AK495" s="87">
        <v>78210</v>
      </c>
      <c r="AL495" s="87">
        <v>78210</v>
      </c>
      <c r="AM495" s="87">
        <v>1080000</v>
      </c>
      <c r="AN495" s="87">
        <v>78210</v>
      </c>
      <c r="AO495" s="87">
        <v>78210</v>
      </c>
      <c r="AP495" s="87">
        <v>78000</v>
      </c>
      <c r="AQ495" s="88">
        <v>0</v>
      </c>
      <c r="AR495" s="88">
        <v>0</v>
      </c>
      <c r="AS495" s="88">
        <v>0</v>
      </c>
      <c r="AT495" s="88">
        <v>0</v>
      </c>
      <c r="AU495" s="88">
        <v>0</v>
      </c>
      <c r="AV495" s="88">
        <v>0</v>
      </c>
      <c r="AW495" s="88">
        <v>0</v>
      </c>
      <c r="AX495" s="88">
        <v>0</v>
      </c>
      <c r="AY495" s="87">
        <v>0</v>
      </c>
      <c r="AZ495" s="87">
        <v>0</v>
      </c>
      <c r="BA495" s="87">
        <v>0</v>
      </c>
      <c r="BB495" s="87">
        <v>0</v>
      </c>
      <c r="BC495" s="87">
        <v>0</v>
      </c>
      <c r="BD495" s="87">
        <v>0</v>
      </c>
      <c r="BE495" s="87">
        <v>0</v>
      </c>
      <c r="BF495" s="87">
        <v>0</v>
      </c>
      <c r="BG495" s="88">
        <v>0</v>
      </c>
      <c r="BH495" s="88">
        <v>0</v>
      </c>
      <c r="BI495" s="88">
        <v>0</v>
      </c>
      <c r="BJ495" s="88">
        <v>0</v>
      </c>
      <c r="BK495" s="88">
        <v>0</v>
      </c>
      <c r="BL495" s="88">
        <v>0</v>
      </c>
      <c r="BM495" s="88">
        <v>0</v>
      </c>
      <c r="BN495" s="590">
        <v>0</v>
      </c>
      <c r="BO495" s="171">
        <v>2023</v>
      </c>
      <c r="BP495" s="171">
        <v>1</v>
      </c>
      <c r="BQ495" s="171">
        <v>19</v>
      </c>
      <c r="BR495" s="81"/>
      <c r="BS495" s="76" t="str">
        <f t="shared" si="15"/>
        <v>○</v>
      </c>
    </row>
    <row r="496" spans="1:71" x14ac:dyDescent="0.2">
      <c r="A496" s="210">
        <v>1701</v>
      </c>
      <c r="B496" s="211"/>
      <c r="C496" s="212"/>
      <c r="D496" s="211"/>
      <c r="E496" s="212"/>
      <c r="F496" s="211"/>
      <c r="G496" s="211"/>
      <c r="H496" s="212"/>
      <c r="I496" s="211"/>
      <c r="J496" s="211"/>
      <c r="K496" s="211"/>
      <c r="L496" s="171"/>
      <c r="M496" s="171" t="s">
        <v>426</v>
      </c>
      <c r="N496" s="171" t="s">
        <v>313</v>
      </c>
      <c r="O496" s="171" t="s">
        <v>427</v>
      </c>
      <c r="P496" s="171" t="s">
        <v>916</v>
      </c>
      <c r="Q496" s="171"/>
      <c r="R496" s="213">
        <v>180000</v>
      </c>
      <c r="S496" s="87">
        <v>0</v>
      </c>
      <c r="T496" s="87">
        <v>0</v>
      </c>
      <c r="U496" s="87">
        <v>0</v>
      </c>
      <c r="V496" s="87">
        <v>0</v>
      </c>
      <c r="W496" s="87">
        <v>0</v>
      </c>
      <c r="X496" s="87">
        <v>0</v>
      </c>
      <c r="Y496" s="87">
        <v>0</v>
      </c>
      <c r="Z496" s="87">
        <v>0</v>
      </c>
      <c r="AA496" s="214">
        <v>0</v>
      </c>
      <c r="AB496" s="214">
        <v>0</v>
      </c>
      <c r="AC496" s="214">
        <v>0</v>
      </c>
      <c r="AD496" s="214">
        <v>0</v>
      </c>
      <c r="AE496" s="214">
        <v>0</v>
      </c>
      <c r="AF496" s="214">
        <v>0</v>
      </c>
      <c r="AG496" s="214">
        <v>0</v>
      </c>
      <c r="AH496" s="214">
        <v>0</v>
      </c>
      <c r="AI496" s="87">
        <v>180270</v>
      </c>
      <c r="AJ496" s="87">
        <v>0</v>
      </c>
      <c r="AK496" s="87">
        <v>180270</v>
      </c>
      <c r="AL496" s="87">
        <v>180270</v>
      </c>
      <c r="AM496" s="87">
        <v>1598400</v>
      </c>
      <c r="AN496" s="87">
        <v>180270</v>
      </c>
      <c r="AO496" s="87">
        <v>180270</v>
      </c>
      <c r="AP496" s="87">
        <v>180000</v>
      </c>
      <c r="AQ496" s="88">
        <v>0</v>
      </c>
      <c r="AR496" s="88">
        <v>0</v>
      </c>
      <c r="AS496" s="88">
        <v>0</v>
      </c>
      <c r="AT496" s="88">
        <v>0</v>
      </c>
      <c r="AU496" s="88">
        <v>0</v>
      </c>
      <c r="AV496" s="88">
        <v>0</v>
      </c>
      <c r="AW496" s="88">
        <v>0</v>
      </c>
      <c r="AX496" s="88">
        <v>0</v>
      </c>
      <c r="AY496" s="87">
        <v>0</v>
      </c>
      <c r="AZ496" s="87">
        <v>0</v>
      </c>
      <c r="BA496" s="87">
        <v>0</v>
      </c>
      <c r="BB496" s="87">
        <v>0</v>
      </c>
      <c r="BC496" s="87">
        <v>0</v>
      </c>
      <c r="BD496" s="87">
        <v>0</v>
      </c>
      <c r="BE496" s="87">
        <v>0</v>
      </c>
      <c r="BF496" s="87">
        <v>0</v>
      </c>
      <c r="BG496" s="88">
        <v>0</v>
      </c>
      <c r="BH496" s="88">
        <v>0</v>
      </c>
      <c r="BI496" s="88">
        <v>0</v>
      </c>
      <c r="BJ496" s="88">
        <v>0</v>
      </c>
      <c r="BK496" s="88">
        <v>0</v>
      </c>
      <c r="BL496" s="88">
        <v>0</v>
      </c>
      <c r="BM496" s="88">
        <v>0</v>
      </c>
      <c r="BN496" s="590">
        <v>0</v>
      </c>
      <c r="BO496" s="171">
        <v>2023</v>
      </c>
      <c r="BP496" s="171">
        <v>1</v>
      </c>
      <c r="BQ496" s="171">
        <v>19</v>
      </c>
      <c r="BS496" s="76" t="str">
        <f t="shared" si="15"/>
        <v>○</v>
      </c>
    </row>
    <row r="497" spans="1:71" x14ac:dyDescent="0.2">
      <c r="A497" s="210">
        <v>1702</v>
      </c>
      <c r="B497" s="211"/>
      <c r="C497" s="212"/>
      <c r="D497" s="211"/>
      <c r="E497" s="212"/>
      <c r="F497" s="211"/>
      <c r="G497" s="211"/>
      <c r="H497" s="212"/>
      <c r="I497" s="211"/>
      <c r="J497" s="211"/>
      <c r="K497" s="211"/>
      <c r="L497" s="171"/>
      <c r="M497" s="171" t="s">
        <v>637</v>
      </c>
      <c r="N497" s="171" t="s">
        <v>269</v>
      </c>
      <c r="O497" s="171" t="s">
        <v>638</v>
      </c>
      <c r="P497" s="171" t="s">
        <v>916</v>
      </c>
      <c r="Q497" s="171"/>
      <c r="R497" s="213">
        <v>741000</v>
      </c>
      <c r="S497" s="87">
        <v>0</v>
      </c>
      <c r="T497" s="87">
        <v>0</v>
      </c>
      <c r="U497" s="87">
        <v>0</v>
      </c>
      <c r="V497" s="87">
        <v>0</v>
      </c>
      <c r="W497" s="87">
        <v>0</v>
      </c>
      <c r="X497" s="87">
        <v>0</v>
      </c>
      <c r="Y497" s="87">
        <v>0</v>
      </c>
      <c r="Z497" s="87">
        <v>0</v>
      </c>
      <c r="AA497" s="214">
        <v>0</v>
      </c>
      <c r="AB497" s="214">
        <v>0</v>
      </c>
      <c r="AC497" s="214">
        <v>0</v>
      </c>
      <c r="AD497" s="214">
        <v>0</v>
      </c>
      <c r="AE497" s="214">
        <v>0</v>
      </c>
      <c r="AF497" s="214">
        <v>0</v>
      </c>
      <c r="AG497" s="214">
        <v>0</v>
      </c>
      <c r="AH497" s="214">
        <v>0</v>
      </c>
      <c r="AI497" s="87">
        <v>741310</v>
      </c>
      <c r="AJ497" s="87">
        <v>0</v>
      </c>
      <c r="AK497" s="87">
        <v>741310</v>
      </c>
      <c r="AL497" s="87">
        <v>741310</v>
      </c>
      <c r="AM497" s="87">
        <v>2520000</v>
      </c>
      <c r="AN497" s="87">
        <v>741310</v>
      </c>
      <c r="AO497" s="87">
        <v>741310</v>
      </c>
      <c r="AP497" s="87">
        <v>741000</v>
      </c>
      <c r="AQ497" s="88">
        <v>0</v>
      </c>
      <c r="AR497" s="88">
        <v>0</v>
      </c>
      <c r="AS497" s="88">
        <v>0</v>
      </c>
      <c r="AT497" s="88">
        <v>0</v>
      </c>
      <c r="AU497" s="88">
        <v>0</v>
      </c>
      <c r="AV497" s="88">
        <v>0</v>
      </c>
      <c r="AW497" s="88">
        <v>0</v>
      </c>
      <c r="AX497" s="88">
        <v>0</v>
      </c>
      <c r="AY497" s="87">
        <v>0</v>
      </c>
      <c r="AZ497" s="87">
        <v>0</v>
      </c>
      <c r="BA497" s="87">
        <v>0</v>
      </c>
      <c r="BB497" s="87">
        <v>0</v>
      </c>
      <c r="BC497" s="87">
        <v>0</v>
      </c>
      <c r="BD497" s="87">
        <v>0</v>
      </c>
      <c r="BE497" s="87">
        <v>0</v>
      </c>
      <c r="BF497" s="87">
        <v>0</v>
      </c>
      <c r="BG497" s="88">
        <v>0</v>
      </c>
      <c r="BH497" s="88">
        <v>0</v>
      </c>
      <c r="BI497" s="88">
        <v>0</v>
      </c>
      <c r="BJ497" s="88">
        <v>0</v>
      </c>
      <c r="BK497" s="88">
        <v>0</v>
      </c>
      <c r="BL497" s="88">
        <v>0</v>
      </c>
      <c r="BM497" s="88">
        <v>0</v>
      </c>
      <c r="BN497" s="590">
        <v>0</v>
      </c>
      <c r="BO497" s="171">
        <v>2023</v>
      </c>
      <c r="BP497" s="171">
        <v>1</v>
      </c>
      <c r="BQ497" s="171">
        <v>19</v>
      </c>
      <c r="BR497" s="81"/>
      <c r="BS497" s="76" t="str">
        <f t="shared" si="15"/>
        <v>○</v>
      </c>
    </row>
    <row r="498" spans="1:71" x14ac:dyDescent="0.2">
      <c r="A498" s="210">
        <v>1703</v>
      </c>
      <c r="B498" s="211"/>
      <c r="C498" s="212"/>
      <c r="D498" s="211"/>
      <c r="E498" s="212"/>
      <c r="F498" s="211"/>
      <c r="G498" s="211"/>
      <c r="H498" s="212"/>
      <c r="I498" s="211"/>
      <c r="J498" s="211"/>
      <c r="K498" s="211"/>
      <c r="L498" s="171"/>
      <c r="M498" s="171" t="s">
        <v>835</v>
      </c>
      <c r="N498" s="171" t="s">
        <v>348</v>
      </c>
      <c r="O498" s="171" t="s">
        <v>333</v>
      </c>
      <c r="P498" s="171" t="s">
        <v>916</v>
      </c>
      <c r="Q498" s="171"/>
      <c r="R498" s="213">
        <v>678000</v>
      </c>
      <c r="S498" s="87">
        <v>0</v>
      </c>
      <c r="T498" s="87">
        <v>0</v>
      </c>
      <c r="U498" s="87">
        <v>0</v>
      </c>
      <c r="V498" s="87">
        <v>0</v>
      </c>
      <c r="W498" s="87">
        <v>0</v>
      </c>
      <c r="X498" s="87">
        <v>0</v>
      </c>
      <c r="Y498" s="87">
        <v>0</v>
      </c>
      <c r="Z498" s="87">
        <v>0</v>
      </c>
      <c r="AA498" s="214">
        <v>0</v>
      </c>
      <c r="AB498" s="214">
        <v>0</v>
      </c>
      <c r="AC498" s="214">
        <v>0</v>
      </c>
      <c r="AD498" s="214">
        <v>0</v>
      </c>
      <c r="AE498" s="214">
        <v>0</v>
      </c>
      <c r="AF498" s="214">
        <v>0</v>
      </c>
      <c r="AG498" s="214">
        <v>0</v>
      </c>
      <c r="AH498" s="214">
        <v>0</v>
      </c>
      <c r="AI498" s="87">
        <v>678920</v>
      </c>
      <c r="AJ498" s="87">
        <v>0</v>
      </c>
      <c r="AK498" s="87">
        <v>678920</v>
      </c>
      <c r="AL498" s="87">
        <v>678920</v>
      </c>
      <c r="AM498" s="87">
        <v>1843200</v>
      </c>
      <c r="AN498" s="87">
        <v>678920</v>
      </c>
      <c r="AO498" s="87">
        <v>678920</v>
      </c>
      <c r="AP498" s="87">
        <v>678000</v>
      </c>
      <c r="AQ498" s="88">
        <v>0</v>
      </c>
      <c r="AR498" s="88">
        <v>0</v>
      </c>
      <c r="AS498" s="88">
        <v>0</v>
      </c>
      <c r="AT498" s="88">
        <v>0</v>
      </c>
      <c r="AU498" s="88">
        <v>0</v>
      </c>
      <c r="AV498" s="88">
        <v>0</v>
      </c>
      <c r="AW498" s="88">
        <v>0</v>
      </c>
      <c r="AX498" s="88">
        <v>0</v>
      </c>
      <c r="AY498" s="87">
        <v>0</v>
      </c>
      <c r="AZ498" s="87">
        <v>0</v>
      </c>
      <c r="BA498" s="87">
        <v>0</v>
      </c>
      <c r="BB498" s="87">
        <v>0</v>
      </c>
      <c r="BC498" s="87">
        <v>0</v>
      </c>
      <c r="BD498" s="87">
        <v>0</v>
      </c>
      <c r="BE498" s="87">
        <v>0</v>
      </c>
      <c r="BF498" s="87">
        <v>0</v>
      </c>
      <c r="BG498" s="88">
        <v>0</v>
      </c>
      <c r="BH498" s="88">
        <v>0</v>
      </c>
      <c r="BI498" s="88">
        <v>0</v>
      </c>
      <c r="BJ498" s="88">
        <v>0</v>
      </c>
      <c r="BK498" s="88">
        <v>0</v>
      </c>
      <c r="BL498" s="88">
        <v>0</v>
      </c>
      <c r="BM498" s="88">
        <v>0</v>
      </c>
      <c r="BN498" s="590">
        <v>0</v>
      </c>
      <c r="BO498" s="171">
        <v>2023</v>
      </c>
      <c r="BP498" s="171">
        <v>1</v>
      </c>
      <c r="BQ498" s="171">
        <v>19</v>
      </c>
      <c r="BS498" s="76" t="str">
        <f t="shared" si="15"/>
        <v>○</v>
      </c>
    </row>
    <row r="499" spans="1:71" x14ac:dyDescent="0.2">
      <c r="A499" s="210">
        <v>1704</v>
      </c>
      <c r="B499" s="211"/>
      <c r="C499" s="212"/>
      <c r="D499" s="211"/>
      <c r="E499" s="212"/>
      <c r="F499" s="211"/>
      <c r="G499" s="211"/>
      <c r="H499" s="212"/>
      <c r="I499" s="211"/>
      <c r="J499" s="211"/>
      <c r="K499" s="211"/>
      <c r="L499" s="171"/>
      <c r="M499" s="171" t="s">
        <v>836</v>
      </c>
      <c r="N499" s="171" t="s">
        <v>286</v>
      </c>
      <c r="O499" s="171" t="s">
        <v>565</v>
      </c>
      <c r="P499" s="171" t="s">
        <v>916</v>
      </c>
      <c r="Q499" s="171"/>
      <c r="R499" s="213">
        <v>1409000</v>
      </c>
      <c r="S499" s="87">
        <v>0</v>
      </c>
      <c r="T499" s="87">
        <v>0</v>
      </c>
      <c r="U499" s="87">
        <v>0</v>
      </c>
      <c r="V499" s="87">
        <v>0</v>
      </c>
      <c r="W499" s="87">
        <v>0</v>
      </c>
      <c r="X499" s="87">
        <v>0</v>
      </c>
      <c r="Y499" s="87">
        <v>0</v>
      </c>
      <c r="Z499" s="87">
        <v>0</v>
      </c>
      <c r="AA499" s="214">
        <v>0</v>
      </c>
      <c r="AB499" s="214">
        <v>0</v>
      </c>
      <c r="AC499" s="214">
        <v>0</v>
      </c>
      <c r="AD499" s="214">
        <v>0</v>
      </c>
      <c r="AE499" s="214">
        <v>0</v>
      </c>
      <c r="AF499" s="214">
        <v>0</v>
      </c>
      <c r="AG499" s="214">
        <v>0</v>
      </c>
      <c r="AH499" s="214">
        <v>0</v>
      </c>
      <c r="AI499" s="87">
        <v>1409760</v>
      </c>
      <c r="AJ499" s="87">
        <v>0</v>
      </c>
      <c r="AK499" s="87">
        <v>1409760</v>
      </c>
      <c r="AL499" s="87">
        <v>1409760</v>
      </c>
      <c r="AM499" s="87">
        <v>1566000</v>
      </c>
      <c r="AN499" s="87">
        <v>1409760</v>
      </c>
      <c r="AO499" s="87">
        <v>1409760</v>
      </c>
      <c r="AP499" s="87">
        <v>1409000</v>
      </c>
      <c r="AQ499" s="88">
        <v>0</v>
      </c>
      <c r="AR499" s="88">
        <v>0</v>
      </c>
      <c r="AS499" s="88">
        <v>0</v>
      </c>
      <c r="AT499" s="88">
        <v>0</v>
      </c>
      <c r="AU499" s="88">
        <v>0</v>
      </c>
      <c r="AV499" s="88">
        <v>0</v>
      </c>
      <c r="AW499" s="88">
        <v>0</v>
      </c>
      <c r="AX499" s="88">
        <v>0</v>
      </c>
      <c r="AY499" s="87">
        <v>0</v>
      </c>
      <c r="AZ499" s="87">
        <v>0</v>
      </c>
      <c r="BA499" s="87">
        <v>0</v>
      </c>
      <c r="BB499" s="87">
        <v>0</v>
      </c>
      <c r="BC499" s="87">
        <v>0</v>
      </c>
      <c r="BD499" s="87">
        <v>0</v>
      </c>
      <c r="BE499" s="87">
        <v>0</v>
      </c>
      <c r="BF499" s="87">
        <v>0</v>
      </c>
      <c r="BG499" s="88">
        <v>0</v>
      </c>
      <c r="BH499" s="88">
        <v>0</v>
      </c>
      <c r="BI499" s="88">
        <v>0</v>
      </c>
      <c r="BJ499" s="88">
        <v>0</v>
      </c>
      <c r="BK499" s="88">
        <v>0</v>
      </c>
      <c r="BL499" s="88">
        <v>0</v>
      </c>
      <c r="BM499" s="88">
        <v>0</v>
      </c>
      <c r="BN499" s="590">
        <v>0</v>
      </c>
      <c r="BO499" s="171">
        <v>2023</v>
      </c>
      <c r="BP499" s="171">
        <v>1</v>
      </c>
      <c r="BQ499" s="171">
        <v>19</v>
      </c>
      <c r="BS499" s="76" t="str">
        <f t="shared" si="15"/>
        <v>○</v>
      </c>
    </row>
    <row r="500" spans="1:71" s="222" customFormat="1" x14ac:dyDescent="0.2">
      <c r="A500" s="216">
        <v>1705</v>
      </c>
      <c r="B500" s="217"/>
      <c r="C500" s="218"/>
      <c r="D500" s="217"/>
      <c r="E500" s="218"/>
      <c r="F500" s="217"/>
      <c r="G500" s="217"/>
      <c r="H500" s="218"/>
      <c r="I500" s="217"/>
      <c r="J500" s="217"/>
      <c r="K500" s="217"/>
      <c r="L500" s="219"/>
      <c r="M500" s="219" t="s">
        <v>837</v>
      </c>
      <c r="N500" s="219" t="s">
        <v>493</v>
      </c>
      <c r="O500" s="219" t="s">
        <v>838</v>
      </c>
      <c r="P500" s="219" t="s">
        <v>916</v>
      </c>
      <c r="Q500" s="220"/>
      <c r="R500" s="86">
        <v>315000</v>
      </c>
      <c r="S500" s="221">
        <v>0</v>
      </c>
      <c r="T500" s="221">
        <v>0</v>
      </c>
      <c r="U500" s="221">
        <v>0</v>
      </c>
      <c r="V500" s="221">
        <v>0</v>
      </c>
      <c r="W500" s="221">
        <v>0</v>
      </c>
      <c r="X500" s="221">
        <v>0</v>
      </c>
      <c r="Y500" s="221">
        <v>0</v>
      </c>
      <c r="Z500" s="221">
        <v>0</v>
      </c>
      <c r="AA500" s="86">
        <v>0</v>
      </c>
      <c r="AB500" s="86">
        <v>0</v>
      </c>
      <c r="AC500" s="86">
        <v>0</v>
      </c>
      <c r="AD500" s="86">
        <v>0</v>
      </c>
      <c r="AE500" s="86">
        <v>0</v>
      </c>
      <c r="AF500" s="86">
        <v>0</v>
      </c>
      <c r="AG500" s="86">
        <v>0</v>
      </c>
      <c r="AH500" s="86">
        <v>0</v>
      </c>
      <c r="AI500" s="221">
        <v>315382</v>
      </c>
      <c r="AJ500" s="221">
        <v>0</v>
      </c>
      <c r="AK500" s="221">
        <v>315382</v>
      </c>
      <c r="AL500" s="221">
        <v>315382</v>
      </c>
      <c r="AM500" s="221">
        <v>1566000</v>
      </c>
      <c r="AN500" s="221">
        <v>315382</v>
      </c>
      <c r="AO500" s="221">
        <v>315382</v>
      </c>
      <c r="AP500" s="221">
        <v>315000</v>
      </c>
      <c r="AQ500" s="86">
        <v>0</v>
      </c>
      <c r="AR500" s="86">
        <v>0</v>
      </c>
      <c r="AS500" s="86">
        <v>0</v>
      </c>
      <c r="AT500" s="86">
        <v>0</v>
      </c>
      <c r="AU500" s="86">
        <v>0</v>
      </c>
      <c r="AV500" s="86">
        <v>0</v>
      </c>
      <c r="AW500" s="86">
        <v>0</v>
      </c>
      <c r="AX500" s="86">
        <v>0</v>
      </c>
      <c r="AY500" s="221">
        <v>0</v>
      </c>
      <c r="AZ500" s="221">
        <v>0</v>
      </c>
      <c r="BA500" s="221">
        <v>0</v>
      </c>
      <c r="BB500" s="221">
        <v>0</v>
      </c>
      <c r="BC500" s="221">
        <v>0</v>
      </c>
      <c r="BD500" s="221">
        <v>0</v>
      </c>
      <c r="BE500" s="221">
        <v>0</v>
      </c>
      <c r="BF500" s="221">
        <v>0</v>
      </c>
      <c r="BG500" s="86">
        <v>0</v>
      </c>
      <c r="BH500" s="86">
        <v>0</v>
      </c>
      <c r="BI500" s="86">
        <v>0</v>
      </c>
      <c r="BJ500" s="86">
        <v>0</v>
      </c>
      <c r="BK500" s="86">
        <v>0</v>
      </c>
      <c r="BL500" s="86">
        <v>0</v>
      </c>
      <c r="BM500" s="86">
        <v>0</v>
      </c>
      <c r="BN500" s="591">
        <v>0</v>
      </c>
      <c r="BO500" s="219">
        <v>2023</v>
      </c>
      <c r="BP500" s="219">
        <v>3</v>
      </c>
      <c r="BQ500" s="219">
        <v>30</v>
      </c>
    </row>
    <row r="501" spans="1:71" x14ac:dyDescent="0.2">
      <c r="A501" s="210">
        <v>1706</v>
      </c>
      <c r="B501" s="211"/>
      <c r="C501" s="212"/>
      <c r="D501" s="211"/>
      <c r="E501" s="212"/>
      <c r="F501" s="211"/>
      <c r="G501" s="211"/>
      <c r="H501" s="212"/>
      <c r="I501" s="211"/>
      <c r="J501" s="211"/>
      <c r="K501" s="211"/>
      <c r="L501" s="171"/>
      <c r="M501" s="171" t="s">
        <v>526</v>
      </c>
      <c r="N501" s="171" t="s">
        <v>302</v>
      </c>
      <c r="O501" s="171" t="s">
        <v>316</v>
      </c>
      <c r="P501" s="171" t="s">
        <v>917</v>
      </c>
      <c r="Q501" s="171"/>
      <c r="R501" s="213">
        <v>634000</v>
      </c>
      <c r="S501" s="87">
        <v>0</v>
      </c>
      <c r="T501" s="87">
        <v>0</v>
      </c>
      <c r="U501" s="87">
        <v>0</v>
      </c>
      <c r="V501" s="87">
        <v>0</v>
      </c>
      <c r="W501" s="87">
        <v>0</v>
      </c>
      <c r="X501" s="87">
        <v>0</v>
      </c>
      <c r="Y501" s="87">
        <v>0</v>
      </c>
      <c r="Z501" s="87">
        <v>0</v>
      </c>
      <c r="AA501" s="214">
        <v>0</v>
      </c>
      <c r="AB501" s="214">
        <v>0</v>
      </c>
      <c r="AC501" s="214">
        <v>0</v>
      </c>
      <c r="AD501" s="214">
        <v>0</v>
      </c>
      <c r="AE501" s="214">
        <v>0</v>
      </c>
      <c r="AF501" s="214">
        <v>0</v>
      </c>
      <c r="AG501" s="214">
        <v>0</v>
      </c>
      <c r="AH501" s="214">
        <v>0</v>
      </c>
      <c r="AI501" s="87">
        <v>634150</v>
      </c>
      <c r="AJ501" s="87">
        <v>0</v>
      </c>
      <c r="AK501" s="87">
        <v>634150</v>
      </c>
      <c r="AL501" s="87">
        <v>634150</v>
      </c>
      <c r="AM501" s="87">
        <v>1800000</v>
      </c>
      <c r="AN501" s="87">
        <v>634150</v>
      </c>
      <c r="AO501" s="87">
        <v>634150</v>
      </c>
      <c r="AP501" s="87">
        <v>634000</v>
      </c>
      <c r="AQ501" s="88">
        <v>0</v>
      </c>
      <c r="AR501" s="88">
        <v>0</v>
      </c>
      <c r="AS501" s="88">
        <v>0</v>
      </c>
      <c r="AT501" s="88">
        <v>0</v>
      </c>
      <c r="AU501" s="88">
        <v>0</v>
      </c>
      <c r="AV501" s="88">
        <v>0</v>
      </c>
      <c r="AW501" s="88">
        <v>0</v>
      </c>
      <c r="AX501" s="88">
        <v>0</v>
      </c>
      <c r="AY501" s="87">
        <v>0</v>
      </c>
      <c r="AZ501" s="87">
        <v>0</v>
      </c>
      <c r="BA501" s="87">
        <v>0</v>
      </c>
      <c r="BB501" s="87">
        <v>0</v>
      </c>
      <c r="BC501" s="87">
        <v>0</v>
      </c>
      <c r="BD501" s="87">
        <v>0</v>
      </c>
      <c r="BE501" s="87">
        <v>0</v>
      </c>
      <c r="BF501" s="87">
        <v>0</v>
      </c>
      <c r="BG501" s="88">
        <v>0</v>
      </c>
      <c r="BH501" s="88">
        <v>0</v>
      </c>
      <c r="BI501" s="88">
        <v>0</v>
      </c>
      <c r="BJ501" s="88">
        <v>0</v>
      </c>
      <c r="BK501" s="88">
        <v>0</v>
      </c>
      <c r="BL501" s="88">
        <v>0</v>
      </c>
      <c r="BM501" s="88">
        <v>0</v>
      </c>
      <c r="BN501" s="590">
        <v>0</v>
      </c>
      <c r="BO501" s="171">
        <v>2023</v>
      </c>
      <c r="BP501" s="171">
        <v>1</v>
      </c>
      <c r="BQ501" s="171">
        <v>19</v>
      </c>
      <c r="BS501" s="76" t="str">
        <f t="shared" ref="BS501:BS532" si="16">IF(R501=SUM(Z501,AH501,AP501,BF501,BN501),"○","×")</f>
        <v>○</v>
      </c>
    </row>
    <row r="502" spans="1:71" x14ac:dyDescent="0.2">
      <c r="A502" s="210">
        <v>1707</v>
      </c>
      <c r="B502" s="211"/>
      <c r="C502" s="212"/>
      <c r="D502" s="211"/>
      <c r="E502" s="212"/>
      <c r="F502" s="211"/>
      <c r="G502" s="211"/>
      <c r="H502" s="212"/>
      <c r="I502" s="211"/>
      <c r="J502" s="211"/>
      <c r="K502" s="211"/>
      <c r="L502" s="171"/>
      <c r="M502" s="171" t="s">
        <v>839</v>
      </c>
      <c r="N502" s="171" t="s">
        <v>269</v>
      </c>
      <c r="O502" s="171" t="s">
        <v>396</v>
      </c>
      <c r="P502" s="171" t="s">
        <v>916</v>
      </c>
      <c r="Q502" s="171"/>
      <c r="R502" s="213">
        <v>445000</v>
      </c>
      <c r="S502" s="87">
        <v>0</v>
      </c>
      <c r="T502" s="87">
        <v>0</v>
      </c>
      <c r="U502" s="87">
        <v>0</v>
      </c>
      <c r="V502" s="87">
        <v>0</v>
      </c>
      <c r="W502" s="87">
        <v>0</v>
      </c>
      <c r="X502" s="87">
        <v>0</v>
      </c>
      <c r="Y502" s="87">
        <v>0</v>
      </c>
      <c r="Z502" s="87">
        <v>0</v>
      </c>
      <c r="AA502" s="214">
        <v>0</v>
      </c>
      <c r="AB502" s="214">
        <v>0</v>
      </c>
      <c r="AC502" s="214">
        <v>0</v>
      </c>
      <c r="AD502" s="214">
        <v>0</v>
      </c>
      <c r="AE502" s="214">
        <v>0</v>
      </c>
      <c r="AF502" s="214">
        <v>0</v>
      </c>
      <c r="AG502" s="214">
        <v>0</v>
      </c>
      <c r="AH502" s="214">
        <v>0</v>
      </c>
      <c r="AI502" s="87">
        <v>445575</v>
      </c>
      <c r="AJ502" s="87">
        <v>0</v>
      </c>
      <c r="AK502" s="87">
        <v>445575</v>
      </c>
      <c r="AL502" s="87">
        <v>445575</v>
      </c>
      <c r="AM502" s="87">
        <v>1555200</v>
      </c>
      <c r="AN502" s="87">
        <v>445575</v>
      </c>
      <c r="AO502" s="87">
        <v>445575</v>
      </c>
      <c r="AP502" s="87">
        <v>445000</v>
      </c>
      <c r="AQ502" s="88">
        <v>0</v>
      </c>
      <c r="AR502" s="88">
        <v>0</v>
      </c>
      <c r="AS502" s="88">
        <v>0</v>
      </c>
      <c r="AT502" s="88">
        <v>0</v>
      </c>
      <c r="AU502" s="88">
        <v>0</v>
      </c>
      <c r="AV502" s="88">
        <v>0</v>
      </c>
      <c r="AW502" s="88">
        <v>0</v>
      </c>
      <c r="AX502" s="88">
        <v>0</v>
      </c>
      <c r="AY502" s="87">
        <v>0</v>
      </c>
      <c r="AZ502" s="87">
        <v>0</v>
      </c>
      <c r="BA502" s="87">
        <v>0</v>
      </c>
      <c r="BB502" s="87">
        <v>0</v>
      </c>
      <c r="BC502" s="87">
        <v>0</v>
      </c>
      <c r="BD502" s="87">
        <v>0</v>
      </c>
      <c r="BE502" s="87">
        <v>0</v>
      </c>
      <c r="BF502" s="87">
        <v>0</v>
      </c>
      <c r="BG502" s="88">
        <v>0</v>
      </c>
      <c r="BH502" s="88">
        <v>0</v>
      </c>
      <c r="BI502" s="88">
        <v>0</v>
      </c>
      <c r="BJ502" s="88">
        <v>0</v>
      </c>
      <c r="BK502" s="88">
        <v>0</v>
      </c>
      <c r="BL502" s="88">
        <v>0</v>
      </c>
      <c r="BM502" s="88">
        <v>0</v>
      </c>
      <c r="BN502" s="590">
        <v>0</v>
      </c>
      <c r="BO502" s="171">
        <v>2023</v>
      </c>
      <c r="BP502" s="171">
        <v>1</v>
      </c>
      <c r="BQ502" s="171">
        <v>19</v>
      </c>
      <c r="BS502" s="76" t="str">
        <f t="shared" si="16"/>
        <v>○</v>
      </c>
    </row>
    <row r="503" spans="1:71" x14ac:dyDescent="0.2">
      <c r="A503" s="210">
        <v>1708</v>
      </c>
      <c r="B503" s="211"/>
      <c r="C503" s="212"/>
      <c r="D503" s="211"/>
      <c r="E503" s="212"/>
      <c r="F503" s="211"/>
      <c r="G503" s="211"/>
      <c r="H503" s="212"/>
      <c r="I503" s="211"/>
      <c r="J503" s="211"/>
      <c r="K503" s="211"/>
      <c r="L503" s="171"/>
      <c r="M503" s="171" t="s">
        <v>840</v>
      </c>
      <c r="N503" s="171" t="s">
        <v>354</v>
      </c>
      <c r="O503" s="171" t="s">
        <v>638</v>
      </c>
      <c r="P503" s="171" t="s">
        <v>916</v>
      </c>
      <c r="Q503" s="171"/>
      <c r="R503" s="213">
        <v>153000</v>
      </c>
      <c r="S503" s="87">
        <v>0</v>
      </c>
      <c r="T503" s="87">
        <v>0</v>
      </c>
      <c r="U503" s="87">
        <v>0</v>
      </c>
      <c r="V503" s="87">
        <v>0</v>
      </c>
      <c r="W503" s="87">
        <v>0</v>
      </c>
      <c r="X503" s="87">
        <v>0</v>
      </c>
      <c r="Y503" s="87">
        <v>0</v>
      </c>
      <c r="Z503" s="87">
        <v>0</v>
      </c>
      <c r="AA503" s="214">
        <v>0</v>
      </c>
      <c r="AB503" s="214">
        <v>0</v>
      </c>
      <c r="AC503" s="214">
        <v>0</v>
      </c>
      <c r="AD503" s="214">
        <v>0</v>
      </c>
      <c r="AE503" s="214">
        <v>0</v>
      </c>
      <c r="AF503" s="214">
        <v>0</v>
      </c>
      <c r="AG503" s="214">
        <v>0</v>
      </c>
      <c r="AH503" s="214">
        <v>0</v>
      </c>
      <c r="AI503" s="87">
        <v>153230</v>
      </c>
      <c r="AJ503" s="87">
        <v>0</v>
      </c>
      <c r="AK503" s="87">
        <v>153230</v>
      </c>
      <c r="AL503" s="87">
        <v>153230</v>
      </c>
      <c r="AM503" s="87">
        <v>1728000</v>
      </c>
      <c r="AN503" s="87">
        <v>153230</v>
      </c>
      <c r="AO503" s="87">
        <v>153230</v>
      </c>
      <c r="AP503" s="87">
        <v>153000</v>
      </c>
      <c r="AQ503" s="88">
        <v>0</v>
      </c>
      <c r="AR503" s="88">
        <v>0</v>
      </c>
      <c r="AS503" s="88">
        <v>0</v>
      </c>
      <c r="AT503" s="88">
        <v>0</v>
      </c>
      <c r="AU503" s="88">
        <v>0</v>
      </c>
      <c r="AV503" s="88">
        <v>0</v>
      </c>
      <c r="AW503" s="88">
        <v>0</v>
      </c>
      <c r="AX503" s="88">
        <v>0</v>
      </c>
      <c r="AY503" s="87">
        <v>0</v>
      </c>
      <c r="AZ503" s="87">
        <v>0</v>
      </c>
      <c r="BA503" s="87">
        <v>0</v>
      </c>
      <c r="BB503" s="87">
        <v>0</v>
      </c>
      <c r="BC503" s="87">
        <v>0</v>
      </c>
      <c r="BD503" s="87">
        <v>0</v>
      </c>
      <c r="BE503" s="87">
        <v>0</v>
      </c>
      <c r="BF503" s="87">
        <v>0</v>
      </c>
      <c r="BG503" s="88">
        <v>0</v>
      </c>
      <c r="BH503" s="88">
        <v>0</v>
      </c>
      <c r="BI503" s="88">
        <v>0</v>
      </c>
      <c r="BJ503" s="88">
        <v>0</v>
      </c>
      <c r="BK503" s="88">
        <v>0</v>
      </c>
      <c r="BL503" s="88">
        <v>0</v>
      </c>
      <c r="BM503" s="88">
        <v>0</v>
      </c>
      <c r="BN503" s="590">
        <v>0</v>
      </c>
      <c r="BO503" s="171">
        <v>2023</v>
      </c>
      <c r="BP503" s="171">
        <v>1</v>
      </c>
      <c r="BQ503" s="171">
        <v>19</v>
      </c>
      <c r="BS503" s="76" t="str">
        <f t="shared" si="16"/>
        <v>○</v>
      </c>
    </row>
    <row r="504" spans="1:71" x14ac:dyDescent="0.2">
      <c r="A504" s="210">
        <v>1710</v>
      </c>
      <c r="B504" s="211"/>
      <c r="C504" s="212"/>
      <c r="D504" s="211"/>
      <c r="E504" s="212"/>
      <c r="F504" s="211"/>
      <c r="G504" s="211"/>
      <c r="H504" s="212"/>
      <c r="I504" s="211"/>
      <c r="J504" s="211"/>
      <c r="K504" s="211"/>
      <c r="L504" s="171"/>
      <c r="M504" s="171" t="s">
        <v>441</v>
      </c>
      <c r="N504" s="171" t="s">
        <v>269</v>
      </c>
      <c r="O504" s="171" t="s">
        <v>412</v>
      </c>
      <c r="P504" s="171" t="s">
        <v>916</v>
      </c>
      <c r="Q504" s="171"/>
      <c r="R504" s="213">
        <v>404000</v>
      </c>
      <c r="S504" s="87">
        <v>0</v>
      </c>
      <c r="T504" s="87">
        <v>0</v>
      </c>
      <c r="U504" s="87">
        <v>0</v>
      </c>
      <c r="V504" s="87">
        <v>0</v>
      </c>
      <c r="W504" s="87">
        <v>0</v>
      </c>
      <c r="X504" s="87">
        <v>0</v>
      </c>
      <c r="Y504" s="87">
        <v>0</v>
      </c>
      <c r="Z504" s="87">
        <v>0</v>
      </c>
      <c r="AA504" s="214">
        <v>0</v>
      </c>
      <c r="AB504" s="214">
        <v>0</v>
      </c>
      <c r="AC504" s="214">
        <v>0</v>
      </c>
      <c r="AD504" s="214">
        <v>0</v>
      </c>
      <c r="AE504" s="214">
        <v>0</v>
      </c>
      <c r="AF504" s="214">
        <v>0</v>
      </c>
      <c r="AG504" s="214">
        <v>0</v>
      </c>
      <c r="AH504" s="214">
        <v>0</v>
      </c>
      <c r="AI504" s="87">
        <v>404099</v>
      </c>
      <c r="AJ504" s="87">
        <v>0</v>
      </c>
      <c r="AK504" s="87">
        <v>404099</v>
      </c>
      <c r="AL504" s="87">
        <v>404099</v>
      </c>
      <c r="AM504" s="87">
        <v>4672800</v>
      </c>
      <c r="AN504" s="87">
        <v>404099</v>
      </c>
      <c r="AO504" s="87">
        <v>404099</v>
      </c>
      <c r="AP504" s="87">
        <v>404000</v>
      </c>
      <c r="AQ504" s="88">
        <v>0</v>
      </c>
      <c r="AR504" s="88">
        <v>0</v>
      </c>
      <c r="AS504" s="88">
        <v>0</v>
      </c>
      <c r="AT504" s="88">
        <v>0</v>
      </c>
      <c r="AU504" s="88">
        <v>0</v>
      </c>
      <c r="AV504" s="88">
        <v>0</v>
      </c>
      <c r="AW504" s="88">
        <v>0</v>
      </c>
      <c r="AX504" s="88">
        <v>0</v>
      </c>
      <c r="AY504" s="87">
        <v>0</v>
      </c>
      <c r="AZ504" s="87">
        <v>0</v>
      </c>
      <c r="BA504" s="87">
        <v>0</v>
      </c>
      <c r="BB504" s="87">
        <v>0</v>
      </c>
      <c r="BC504" s="87">
        <v>0</v>
      </c>
      <c r="BD504" s="87">
        <v>0</v>
      </c>
      <c r="BE504" s="87">
        <v>0</v>
      </c>
      <c r="BF504" s="87">
        <v>0</v>
      </c>
      <c r="BG504" s="88">
        <v>0</v>
      </c>
      <c r="BH504" s="88">
        <v>0</v>
      </c>
      <c r="BI504" s="88">
        <v>0</v>
      </c>
      <c r="BJ504" s="88">
        <v>0</v>
      </c>
      <c r="BK504" s="88">
        <v>0</v>
      </c>
      <c r="BL504" s="88">
        <v>0</v>
      </c>
      <c r="BM504" s="88">
        <v>0</v>
      </c>
      <c r="BN504" s="590">
        <v>0</v>
      </c>
      <c r="BO504" s="171">
        <v>2023</v>
      </c>
      <c r="BP504" s="171">
        <v>1</v>
      </c>
      <c r="BQ504" s="171">
        <v>19</v>
      </c>
      <c r="BS504" s="76" t="str">
        <f t="shared" si="16"/>
        <v>○</v>
      </c>
    </row>
    <row r="505" spans="1:71" x14ac:dyDescent="0.2">
      <c r="A505" s="210">
        <v>1711</v>
      </c>
      <c r="B505" s="211"/>
      <c r="C505" s="212"/>
      <c r="D505" s="211"/>
      <c r="E505" s="212"/>
      <c r="F505" s="211"/>
      <c r="G505" s="211"/>
      <c r="H505" s="212"/>
      <c r="I505" s="211"/>
      <c r="J505" s="211"/>
      <c r="K505" s="211"/>
      <c r="L505" s="171"/>
      <c r="M505" s="171" t="s">
        <v>841</v>
      </c>
      <c r="N505" s="171" t="s">
        <v>313</v>
      </c>
      <c r="O505" s="171" t="s">
        <v>511</v>
      </c>
      <c r="P505" s="171" t="s">
        <v>916</v>
      </c>
      <c r="Q505" s="171"/>
      <c r="R505" s="213">
        <v>281000</v>
      </c>
      <c r="S505" s="87">
        <v>0</v>
      </c>
      <c r="T505" s="87">
        <v>0</v>
      </c>
      <c r="U505" s="87">
        <v>0</v>
      </c>
      <c r="V505" s="87">
        <v>0</v>
      </c>
      <c r="W505" s="87">
        <v>0</v>
      </c>
      <c r="X505" s="87">
        <v>0</v>
      </c>
      <c r="Y505" s="87">
        <v>0</v>
      </c>
      <c r="Z505" s="87">
        <v>0</v>
      </c>
      <c r="AA505" s="214">
        <v>0</v>
      </c>
      <c r="AB505" s="214">
        <v>0</v>
      </c>
      <c r="AC505" s="214">
        <v>0</v>
      </c>
      <c r="AD505" s="214">
        <v>0</v>
      </c>
      <c r="AE505" s="214">
        <v>0</v>
      </c>
      <c r="AF505" s="214">
        <v>0</v>
      </c>
      <c r="AG505" s="214">
        <v>0</v>
      </c>
      <c r="AH505" s="214">
        <v>0</v>
      </c>
      <c r="AI505" s="87">
        <v>281820</v>
      </c>
      <c r="AJ505" s="87">
        <v>0</v>
      </c>
      <c r="AK505" s="87">
        <v>281820</v>
      </c>
      <c r="AL505" s="87">
        <v>281820</v>
      </c>
      <c r="AM505" s="87">
        <v>3132000</v>
      </c>
      <c r="AN505" s="87">
        <v>281820</v>
      </c>
      <c r="AO505" s="87">
        <v>281820</v>
      </c>
      <c r="AP505" s="87">
        <v>281000</v>
      </c>
      <c r="AQ505" s="88">
        <v>0</v>
      </c>
      <c r="AR505" s="88">
        <v>0</v>
      </c>
      <c r="AS505" s="88">
        <v>0</v>
      </c>
      <c r="AT505" s="88">
        <v>0</v>
      </c>
      <c r="AU505" s="88">
        <v>0</v>
      </c>
      <c r="AV505" s="88">
        <v>0</v>
      </c>
      <c r="AW505" s="88">
        <v>0</v>
      </c>
      <c r="AX505" s="88">
        <v>0</v>
      </c>
      <c r="AY505" s="87">
        <v>0</v>
      </c>
      <c r="AZ505" s="87">
        <v>0</v>
      </c>
      <c r="BA505" s="87">
        <v>0</v>
      </c>
      <c r="BB505" s="87">
        <v>0</v>
      </c>
      <c r="BC505" s="87">
        <v>0</v>
      </c>
      <c r="BD505" s="87">
        <v>0</v>
      </c>
      <c r="BE505" s="87">
        <v>0</v>
      </c>
      <c r="BF505" s="87">
        <v>0</v>
      </c>
      <c r="BG505" s="88">
        <v>0</v>
      </c>
      <c r="BH505" s="88">
        <v>0</v>
      </c>
      <c r="BI505" s="88">
        <v>0</v>
      </c>
      <c r="BJ505" s="88">
        <v>0</v>
      </c>
      <c r="BK505" s="88">
        <v>0</v>
      </c>
      <c r="BL505" s="88">
        <v>0</v>
      </c>
      <c r="BM505" s="88">
        <v>0</v>
      </c>
      <c r="BN505" s="590">
        <v>0</v>
      </c>
      <c r="BO505" s="171">
        <v>2023</v>
      </c>
      <c r="BP505" s="171">
        <v>1</v>
      </c>
      <c r="BQ505" s="171">
        <v>19</v>
      </c>
      <c r="BS505" s="76" t="str">
        <f t="shared" si="16"/>
        <v>○</v>
      </c>
    </row>
    <row r="506" spans="1:71" x14ac:dyDescent="0.2">
      <c r="A506" s="210">
        <v>1712</v>
      </c>
      <c r="B506" s="211"/>
      <c r="C506" s="212"/>
      <c r="D506" s="211"/>
      <c r="E506" s="212"/>
      <c r="F506" s="211"/>
      <c r="G506" s="211"/>
      <c r="H506" s="212"/>
      <c r="I506" s="211"/>
      <c r="J506" s="211"/>
      <c r="K506" s="211"/>
      <c r="L506" s="171"/>
      <c r="M506" s="171" t="s">
        <v>842</v>
      </c>
      <c r="N506" s="171" t="s">
        <v>278</v>
      </c>
      <c r="O506" s="171" t="s">
        <v>843</v>
      </c>
      <c r="P506" s="171" t="s">
        <v>916</v>
      </c>
      <c r="Q506" s="171"/>
      <c r="R506" s="213">
        <v>238000</v>
      </c>
      <c r="S506" s="87">
        <v>0</v>
      </c>
      <c r="T506" s="87">
        <v>0</v>
      </c>
      <c r="U506" s="87">
        <v>0</v>
      </c>
      <c r="V506" s="87">
        <v>0</v>
      </c>
      <c r="W506" s="87">
        <v>0</v>
      </c>
      <c r="X506" s="87">
        <v>0</v>
      </c>
      <c r="Y506" s="87">
        <v>0</v>
      </c>
      <c r="Z506" s="87">
        <v>0</v>
      </c>
      <c r="AA506" s="214">
        <v>0</v>
      </c>
      <c r="AB506" s="214">
        <v>0</v>
      </c>
      <c r="AC506" s="214">
        <v>0</v>
      </c>
      <c r="AD506" s="214">
        <v>0</v>
      </c>
      <c r="AE506" s="214">
        <v>0</v>
      </c>
      <c r="AF506" s="214">
        <v>0</v>
      </c>
      <c r="AG506" s="214">
        <v>0</v>
      </c>
      <c r="AH506" s="214">
        <v>0</v>
      </c>
      <c r="AI506" s="87">
        <v>238400</v>
      </c>
      <c r="AJ506" s="87">
        <v>0</v>
      </c>
      <c r="AK506" s="87">
        <v>238400</v>
      </c>
      <c r="AL506" s="87">
        <v>238400</v>
      </c>
      <c r="AM506" s="87">
        <v>2178000</v>
      </c>
      <c r="AN506" s="87">
        <v>238400</v>
      </c>
      <c r="AO506" s="87">
        <v>238400</v>
      </c>
      <c r="AP506" s="87">
        <v>238000</v>
      </c>
      <c r="AQ506" s="88">
        <v>0</v>
      </c>
      <c r="AR506" s="88">
        <v>0</v>
      </c>
      <c r="AS506" s="88">
        <v>0</v>
      </c>
      <c r="AT506" s="88">
        <v>0</v>
      </c>
      <c r="AU506" s="88">
        <v>0</v>
      </c>
      <c r="AV506" s="88">
        <v>0</v>
      </c>
      <c r="AW506" s="88">
        <v>0</v>
      </c>
      <c r="AX506" s="88">
        <v>0</v>
      </c>
      <c r="AY506" s="87">
        <v>0</v>
      </c>
      <c r="AZ506" s="87">
        <v>0</v>
      </c>
      <c r="BA506" s="87">
        <v>0</v>
      </c>
      <c r="BB506" s="87">
        <v>0</v>
      </c>
      <c r="BC506" s="87">
        <v>0</v>
      </c>
      <c r="BD506" s="87">
        <v>0</v>
      </c>
      <c r="BE506" s="87">
        <v>0</v>
      </c>
      <c r="BF506" s="87">
        <v>0</v>
      </c>
      <c r="BG506" s="88">
        <v>0</v>
      </c>
      <c r="BH506" s="88">
        <v>0</v>
      </c>
      <c r="BI506" s="88">
        <v>0</v>
      </c>
      <c r="BJ506" s="88">
        <v>0</v>
      </c>
      <c r="BK506" s="88">
        <v>0</v>
      </c>
      <c r="BL506" s="88">
        <v>0</v>
      </c>
      <c r="BM506" s="88">
        <v>0</v>
      </c>
      <c r="BN506" s="590">
        <v>0</v>
      </c>
      <c r="BO506" s="171">
        <v>2023</v>
      </c>
      <c r="BP506" s="171">
        <v>1</v>
      </c>
      <c r="BQ506" s="171">
        <v>19</v>
      </c>
      <c r="BS506" s="76" t="str">
        <f t="shared" si="16"/>
        <v>○</v>
      </c>
    </row>
    <row r="507" spans="1:71" x14ac:dyDescent="0.2">
      <c r="A507" s="210">
        <v>1713</v>
      </c>
      <c r="B507" s="211"/>
      <c r="C507" s="212"/>
      <c r="D507" s="211"/>
      <c r="E507" s="212"/>
      <c r="F507" s="211"/>
      <c r="G507" s="211"/>
      <c r="H507" s="212"/>
      <c r="I507" s="211"/>
      <c r="J507" s="211"/>
      <c r="K507" s="211"/>
      <c r="L507" s="171"/>
      <c r="M507" s="171" t="s">
        <v>805</v>
      </c>
      <c r="N507" s="171" t="s">
        <v>313</v>
      </c>
      <c r="O507" s="171" t="s">
        <v>396</v>
      </c>
      <c r="P507" s="171" t="s">
        <v>916</v>
      </c>
      <c r="Q507" s="171"/>
      <c r="R507" s="213">
        <v>165000</v>
      </c>
      <c r="S507" s="87">
        <v>0</v>
      </c>
      <c r="T507" s="87">
        <v>0</v>
      </c>
      <c r="U507" s="87">
        <v>0</v>
      </c>
      <c r="V507" s="87">
        <v>0</v>
      </c>
      <c r="W507" s="87">
        <v>0</v>
      </c>
      <c r="X507" s="87">
        <v>0</v>
      </c>
      <c r="Y507" s="87">
        <v>0</v>
      </c>
      <c r="Z507" s="87">
        <v>0</v>
      </c>
      <c r="AA507" s="214">
        <v>0</v>
      </c>
      <c r="AB507" s="214">
        <v>0</v>
      </c>
      <c r="AC507" s="214">
        <v>0</v>
      </c>
      <c r="AD507" s="214">
        <v>0</v>
      </c>
      <c r="AE507" s="214">
        <v>0</v>
      </c>
      <c r="AF507" s="214">
        <v>0</v>
      </c>
      <c r="AG507" s="214">
        <v>0</v>
      </c>
      <c r="AH507" s="214">
        <v>0</v>
      </c>
      <c r="AI507" s="87">
        <v>165000</v>
      </c>
      <c r="AJ507" s="87">
        <v>0</v>
      </c>
      <c r="AK507" s="87">
        <v>165000</v>
      </c>
      <c r="AL507" s="87">
        <v>165000</v>
      </c>
      <c r="AM507" s="87">
        <v>5227200</v>
      </c>
      <c r="AN507" s="87">
        <v>165000</v>
      </c>
      <c r="AO507" s="87">
        <v>165000</v>
      </c>
      <c r="AP507" s="87">
        <v>165000</v>
      </c>
      <c r="AQ507" s="88">
        <v>0</v>
      </c>
      <c r="AR507" s="88">
        <v>0</v>
      </c>
      <c r="AS507" s="88">
        <v>0</v>
      </c>
      <c r="AT507" s="88">
        <v>0</v>
      </c>
      <c r="AU507" s="88">
        <v>0</v>
      </c>
      <c r="AV507" s="88">
        <v>0</v>
      </c>
      <c r="AW507" s="88">
        <v>0</v>
      </c>
      <c r="AX507" s="88">
        <v>0</v>
      </c>
      <c r="AY507" s="87">
        <v>0</v>
      </c>
      <c r="AZ507" s="87">
        <v>0</v>
      </c>
      <c r="BA507" s="87">
        <v>0</v>
      </c>
      <c r="BB507" s="87">
        <v>0</v>
      </c>
      <c r="BC507" s="87">
        <v>0</v>
      </c>
      <c r="BD507" s="87">
        <v>0</v>
      </c>
      <c r="BE507" s="87">
        <v>0</v>
      </c>
      <c r="BF507" s="87">
        <v>0</v>
      </c>
      <c r="BG507" s="88">
        <v>0</v>
      </c>
      <c r="BH507" s="88">
        <v>0</v>
      </c>
      <c r="BI507" s="88">
        <v>0</v>
      </c>
      <c r="BJ507" s="88">
        <v>0</v>
      </c>
      <c r="BK507" s="88">
        <v>0</v>
      </c>
      <c r="BL507" s="88">
        <v>0</v>
      </c>
      <c r="BM507" s="88">
        <v>0</v>
      </c>
      <c r="BN507" s="590">
        <v>0</v>
      </c>
      <c r="BO507" s="171">
        <v>2023</v>
      </c>
      <c r="BP507" s="171">
        <v>1</v>
      </c>
      <c r="BQ507" s="171">
        <v>19</v>
      </c>
      <c r="BS507" s="76" t="str">
        <f t="shared" si="16"/>
        <v>○</v>
      </c>
    </row>
    <row r="508" spans="1:71" x14ac:dyDescent="0.2">
      <c r="A508" s="210">
        <v>1714</v>
      </c>
      <c r="B508" s="211"/>
      <c r="C508" s="212"/>
      <c r="D508" s="211"/>
      <c r="E508" s="212"/>
      <c r="F508" s="211"/>
      <c r="G508" s="211"/>
      <c r="H508" s="212"/>
      <c r="I508" s="211"/>
      <c r="J508" s="211"/>
      <c r="K508" s="211"/>
      <c r="L508" s="171"/>
      <c r="M508" s="171" t="s">
        <v>525</v>
      </c>
      <c r="N508" s="171" t="s">
        <v>313</v>
      </c>
      <c r="O508" s="171" t="s">
        <v>328</v>
      </c>
      <c r="P508" s="171" t="s">
        <v>916</v>
      </c>
      <c r="Q508" s="171"/>
      <c r="R508" s="213">
        <v>244000</v>
      </c>
      <c r="S508" s="87">
        <v>0</v>
      </c>
      <c r="T508" s="87">
        <v>0</v>
      </c>
      <c r="U508" s="87">
        <v>0</v>
      </c>
      <c r="V508" s="87">
        <v>0</v>
      </c>
      <c r="W508" s="87">
        <v>0</v>
      </c>
      <c r="X508" s="87">
        <v>0</v>
      </c>
      <c r="Y508" s="87">
        <v>0</v>
      </c>
      <c r="Z508" s="87">
        <v>0</v>
      </c>
      <c r="AA508" s="214">
        <v>0</v>
      </c>
      <c r="AB508" s="214">
        <v>0</v>
      </c>
      <c r="AC508" s="214">
        <v>0</v>
      </c>
      <c r="AD508" s="214">
        <v>0</v>
      </c>
      <c r="AE508" s="214">
        <v>0</v>
      </c>
      <c r="AF508" s="214">
        <v>0</v>
      </c>
      <c r="AG508" s="214">
        <v>0</v>
      </c>
      <c r="AH508" s="214">
        <v>0</v>
      </c>
      <c r="AI508" s="87">
        <v>244967</v>
      </c>
      <c r="AJ508" s="87">
        <v>0</v>
      </c>
      <c r="AK508" s="87">
        <v>244967</v>
      </c>
      <c r="AL508" s="87">
        <v>244967</v>
      </c>
      <c r="AM508" s="87">
        <v>3704400</v>
      </c>
      <c r="AN508" s="87">
        <v>244967</v>
      </c>
      <c r="AO508" s="87">
        <v>244967</v>
      </c>
      <c r="AP508" s="87">
        <v>244000</v>
      </c>
      <c r="AQ508" s="88">
        <v>0</v>
      </c>
      <c r="AR508" s="88">
        <v>0</v>
      </c>
      <c r="AS508" s="88">
        <v>0</v>
      </c>
      <c r="AT508" s="88">
        <v>0</v>
      </c>
      <c r="AU508" s="88">
        <v>0</v>
      </c>
      <c r="AV508" s="88">
        <v>0</v>
      </c>
      <c r="AW508" s="88">
        <v>0</v>
      </c>
      <c r="AX508" s="88">
        <v>0</v>
      </c>
      <c r="AY508" s="87">
        <v>0</v>
      </c>
      <c r="AZ508" s="87">
        <v>0</v>
      </c>
      <c r="BA508" s="87">
        <v>0</v>
      </c>
      <c r="BB508" s="87">
        <v>0</v>
      </c>
      <c r="BC508" s="87">
        <v>0</v>
      </c>
      <c r="BD508" s="87">
        <v>0</v>
      </c>
      <c r="BE508" s="87">
        <v>0</v>
      </c>
      <c r="BF508" s="87">
        <v>0</v>
      </c>
      <c r="BG508" s="88">
        <v>0</v>
      </c>
      <c r="BH508" s="88">
        <v>0</v>
      </c>
      <c r="BI508" s="88">
        <v>0</v>
      </c>
      <c r="BJ508" s="88">
        <v>0</v>
      </c>
      <c r="BK508" s="88">
        <v>0</v>
      </c>
      <c r="BL508" s="88">
        <v>0</v>
      </c>
      <c r="BM508" s="88">
        <v>0</v>
      </c>
      <c r="BN508" s="590">
        <v>0</v>
      </c>
      <c r="BO508" s="171">
        <v>2023</v>
      </c>
      <c r="BP508" s="171">
        <v>1</v>
      </c>
      <c r="BQ508" s="171">
        <v>19</v>
      </c>
      <c r="BS508" s="76" t="str">
        <f t="shared" si="16"/>
        <v>○</v>
      </c>
    </row>
    <row r="509" spans="1:71" x14ac:dyDescent="0.2">
      <c r="A509" s="210">
        <v>1715</v>
      </c>
      <c r="B509" s="211"/>
      <c r="C509" s="212"/>
      <c r="D509" s="211"/>
      <c r="E509" s="212"/>
      <c r="F509" s="211"/>
      <c r="G509" s="211"/>
      <c r="H509" s="212"/>
      <c r="I509" s="211"/>
      <c r="J509" s="211"/>
      <c r="K509" s="211"/>
      <c r="L509" s="171"/>
      <c r="M509" s="171" t="s">
        <v>616</v>
      </c>
      <c r="N509" s="171" t="s">
        <v>275</v>
      </c>
      <c r="O509" s="171" t="s">
        <v>617</v>
      </c>
      <c r="P509" s="171" t="s">
        <v>916</v>
      </c>
      <c r="Q509" s="171"/>
      <c r="R509" s="213">
        <v>76000</v>
      </c>
      <c r="S509" s="87">
        <v>0</v>
      </c>
      <c r="T509" s="87">
        <v>0</v>
      </c>
      <c r="U509" s="87">
        <v>0</v>
      </c>
      <c r="V509" s="87">
        <v>0</v>
      </c>
      <c r="W509" s="87">
        <v>0</v>
      </c>
      <c r="X509" s="87">
        <v>0</v>
      </c>
      <c r="Y509" s="87">
        <v>0</v>
      </c>
      <c r="Z509" s="87">
        <v>0</v>
      </c>
      <c r="AA509" s="214">
        <v>0</v>
      </c>
      <c r="AB509" s="214">
        <v>0</v>
      </c>
      <c r="AC509" s="214">
        <v>0</v>
      </c>
      <c r="AD509" s="214">
        <v>0</v>
      </c>
      <c r="AE509" s="214">
        <v>0</v>
      </c>
      <c r="AF509" s="214">
        <v>0</v>
      </c>
      <c r="AG509" s="214">
        <v>0</v>
      </c>
      <c r="AH509" s="214">
        <v>0</v>
      </c>
      <c r="AI509" s="87">
        <v>76600</v>
      </c>
      <c r="AJ509" s="87">
        <v>0</v>
      </c>
      <c r="AK509" s="87">
        <v>76600</v>
      </c>
      <c r="AL509" s="87">
        <v>76600</v>
      </c>
      <c r="AM509" s="87">
        <v>2073600</v>
      </c>
      <c r="AN509" s="87">
        <v>76600</v>
      </c>
      <c r="AO509" s="87">
        <v>76600</v>
      </c>
      <c r="AP509" s="87">
        <v>76000</v>
      </c>
      <c r="AQ509" s="88">
        <v>0</v>
      </c>
      <c r="AR509" s="88">
        <v>0</v>
      </c>
      <c r="AS509" s="88">
        <v>0</v>
      </c>
      <c r="AT509" s="88">
        <v>0</v>
      </c>
      <c r="AU509" s="88">
        <v>0</v>
      </c>
      <c r="AV509" s="88">
        <v>0</v>
      </c>
      <c r="AW509" s="88">
        <v>0</v>
      </c>
      <c r="AX509" s="88">
        <v>0</v>
      </c>
      <c r="AY509" s="87">
        <v>0</v>
      </c>
      <c r="AZ509" s="87">
        <v>0</v>
      </c>
      <c r="BA509" s="87">
        <v>0</v>
      </c>
      <c r="BB509" s="87">
        <v>0</v>
      </c>
      <c r="BC509" s="87">
        <v>0</v>
      </c>
      <c r="BD509" s="87">
        <v>0</v>
      </c>
      <c r="BE509" s="87">
        <v>0</v>
      </c>
      <c r="BF509" s="87">
        <v>0</v>
      </c>
      <c r="BG509" s="88">
        <v>0</v>
      </c>
      <c r="BH509" s="88">
        <v>0</v>
      </c>
      <c r="BI509" s="88">
        <v>0</v>
      </c>
      <c r="BJ509" s="88">
        <v>0</v>
      </c>
      <c r="BK509" s="88">
        <v>0</v>
      </c>
      <c r="BL509" s="88">
        <v>0</v>
      </c>
      <c r="BM509" s="88">
        <v>0</v>
      </c>
      <c r="BN509" s="590">
        <v>0</v>
      </c>
      <c r="BO509" s="171">
        <v>2023</v>
      </c>
      <c r="BP509" s="171">
        <v>1</v>
      </c>
      <c r="BQ509" s="171">
        <v>19</v>
      </c>
      <c r="BS509" s="76" t="str">
        <f t="shared" si="16"/>
        <v>○</v>
      </c>
    </row>
    <row r="510" spans="1:71" x14ac:dyDescent="0.2">
      <c r="A510" s="210">
        <v>1716</v>
      </c>
      <c r="B510" s="211"/>
      <c r="C510" s="212"/>
      <c r="D510" s="211"/>
      <c r="E510" s="212"/>
      <c r="F510" s="211"/>
      <c r="G510" s="211"/>
      <c r="H510" s="212"/>
      <c r="I510" s="211"/>
      <c r="J510" s="211"/>
      <c r="K510" s="211"/>
      <c r="L510" s="171"/>
      <c r="M510" s="171" t="s">
        <v>744</v>
      </c>
      <c r="N510" s="171" t="s">
        <v>278</v>
      </c>
      <c r="O510" s="171" t="s">
        <v>745</v>
      </c>
      <c r="P510" s="171" t="s">
        <v>916</v>
      </c>
      <c r="Q510" s="171"/>
      <c r="R510" s="213">
        <v>197000</v>
      </c>
      <c r="S510" s="87">
        <v>0</v>
      </c>
      <c r="T510" s="87">
        <v>0</v>
      </c>
      <c r="U510" s="87">
        <v>0</v>
      </c>
      <c r="V510" s="87">
        <v>0</v>
      </c>
      <c r="W510" s="87">
        <v>0</v>
      </c>
      <c r="X510" s="87">
        <v>0</v>
      </c>
      <c r="Y510" s="87">
        <v>0</v>
      </c>
      <c r="Z510" s="87">
        <v>0</v>
      </c>
      <c r="AA510" s="214">
        <v>0</v>
      </c>
      <c r="AB510" s="214">
        <v>0</v>
      </c>
      <c r="AC510" s="214">
        <v>0</v>
      </c>
      <c r="AD510" s="214">
        <v>0</v>
      </c>
      <c r="AE510" s="214">
        <v>0</v>
      </c>
      <c r="AF510" s="214">
        <v>0</v>
      </c>
      <c r="AG510" s="214">
        <v>0</v>
      </c>
      <c r="AH510" s="214">
        <v>0</v>
      </c>
      <c r="AI510" s="87">
        <v>197630</v>
      </c>
      <c r="AJ510" s="87">
        <v>0</v>
      </c>
      <c r="AK510" s="87">
        <v>197630</v>
      </c>
      <c r="AL510" s="87">
        <v>197630</v>
      </c>
      <c r="AM510" s="87">
        <v>5400000</v>
      </c>
      <c r="AN510" s="87">
        <v>197630</v>
      </c>
      <c r="AO510" s="87">
        <v>197630</v>
      </c>
      <c r="AP510" s="87">
        <v>197000</v>
      </c>
      <c r="AQ510" s="88">
        <v>0</v>
      </c>
      <c r="AR510" s="88">
        <v>0</v>
      </c>
      <c r="AS510" s="88">
        <v>0</v>
      </c>
      <c r="AT510" s="88">
        <v>0</v>
      </c>
      <c r="AU510" s="88">
        <v>0</v>
      </c>
      <c r="AV510" s="88">
        <v>0</v>
      </c>
      <c r="AW510" s="88">
        <v>0</v>
      </c>
      <c r="AX510" s="88">
        <v>0</v>
      </c>
      <c r="AY510" s="87">
        <v>0</v>
      </c>
      <c r="AZ510" s="87">
        <v>0</v>
      </c>
      <c r="BA510" s="87">
        <v>0</v>
      </c>
      <c r="BB510" s="87">
        <v>0</v>
      </c>
      <c r="BC510" s="87">
        <v>0</v>
      </c>
      <c r="BD510" s="87">
        <v>0</v>
      </c>
      <c r="BE510" s="87">
        <v>0</v>
      </c>
      <c r="BF510" s="87">
        <v>0</v>
      </c>
      <c r="BG510" s="88">
        <v>0</v>
      </c>
      <c r="BH510" s="88">
        <v>0</v>
      </c>
      <c r="BI510" s="88">
        <v>0</v>
      </c>
      <c r="BJ510" s="88">
        <v>0</v>
      </c>
      <c r="BK510" s="88">
        <v>0</v>
      </c>
      <c r="BL510" s="88">
        <v>0</v>
      </c>
      <c r="BM510" s="88">
        <v>0</v>
      </c>
      <c r="BN510" s="590">
        <v>0</v>
      </c>
      <c r="BO510" s="171">
        <v>2023</v>
      </c>
      <c r="BP510" s="171">
        <v>1</v>
      </c>
      <c r="BQ510" s="171">
        <v>19</v>
      </c>
      <c r="BS510" s="76" t="str">
        <f t="shared" si="16"/>
        <v>○</v>
      </c>
    </row>
    <row r="511" spans="1:71" x14ac:dyDescent="0.2">
      <c r="A511" s="210">
        <v>1717</v>
      </c>
      <c r="B511" s="211"/>
      <c r="C511" s="212"/>
      <c r="D511" s="211"/>
      <c r="E511" s="212"/>
      <c r="F511" s="211"/>
      <c r="G511" s="211"/>
      <c r="H511" s="212"/>
      <c r="I511" s="211"/>
      <c r="J511" s="211"/>
      <c r="K511" s="211"/>
      <c r="L511" s="171"/>
      <c r="M511" s="171" t="s">
        <v>329</v>
      </c>
      <c r="N511" s="171" t="s">
        <v>330</v>
      </c>
      <c r="O511" s="171" t="s">
        <v>331</v>
      </c>
      <c r="P511" s="171" t="s">
        <v>916</v>
      </c>
      <c r="Q511" s="171"/>
      <c r="R511" s="213">
        <v>299000</v>
      </c>
      <c r="S511" s="87">
        <v>0</v>
      </c>
      <c r="T511" s="87">
        <v>0</v>
      </c>
      <c r="U511" s="87">
        <v>0</v>
      </c>
      <c r="V511" s="87">
        <v>0</v>
      </c>
      <c r="W511" s="87">
        <v>0</v>
      </c>
      <c r="X511" s="87">
        <v>0</v>
      </c>
      <c r="Y511" s="87">
        <v>0</v>
      </c>
      <c r="Z511" s="87">
        <v>0</v>
      </c>
      <c r="AA511" s="214">
        <v>0</v>
      </c>
      <c r="AB511" s="214">
        <v>0</v>
      </c>
      <c r="AC511" s="214">
        <v>0</v>
      </c>
      <c r="AD511" s="214">
        <v>0</v>
      </c>
      <c r="AE511" s="214">
        <v>0</v>
      </c>
      <c r="AF511" s="214">
        <v>0</v>
      </c>
      <c r="AG511" s="214">
        <v>0</v>
      </c>
      <c r="AH511" s="214">
        <v>0</v>
      </c>
      <c r="AI511" s="87">
        <v>299990</v>
      </c>
      <c r="AJ511" s="87">
        <v>0</v>
      </c>
      <c r="AK511" s="87">
        <v>299990</v>
      </c>
      <c r="AL511" s="87">
        <v>299990</v>
      </c>
      <c r="AM511" s="87">
        <v>4176000</v>
      </c>
      <c r="AN511" s="87">
        <v>299990</v>
      </c>
      <c r="AO511" s="87">
        <v>299990</v>
      </c>
      <c r="AP511" s="87">
        <v>299000</v>
      </c>
      <c r="AQ511" s="88">
        <v>0</v>
      </c>
      <c r="AR511" s="88">
        <v>0</v>
      </c>
      <c r="AS511" s="88">
        <v>0</v>
      </c>
      <c r="AT511" s="88">
        <v>0</v>
      </c>
      <c r="AU511" s="88">
        <v>0</v>
      </c>
      <c r="AV511" s="88">
        <v>0</v>
      </c>
      <c r="AW511" s="88">
        <v>0</v>
      </c>
      <c r="AX511" s="88">
        <v>0</v>
      </c>
      <c r="AY511" s="87">
        <v>0</v>
      </c>
      <c r="AZ511" s="87">
        <v>0</v>
      </c>
      <c r="BA511" s="87">
        <v>0</v>
      </c>
      <c r="BB511" s="87">
        <v>0</v>
      </c>
      <c r="BC511" s="87">
        <v>0</v>
      </c>
      <c r="BD511" s="87">
        <v>0</v>
      </c>
      <c r="BE511" s="87">
        <v>0</v>
      </c>
      <c r="BF511" s="87">
        <v>0</v>
      </c>
      <c r="BG511" s="88">
        <v>0</v>
      </c>
      <c r="BH511" s="88">
        <v>0</v>
      </c>
      <c r="BI511" s="88">
        <v>0</v>
      </c>
      <c r="BJ511" s="88">
        <v>0</v>
      </c>
      <c r="BK511" s="88">
        <v>0</v>
      </c>
      <c r="BL511" s="88">
        <v>0</v>
      </c>
      <c r="BM511" s="88">
        <v>0</v>
      </c>
      <c r="BN511" s="590">
        <v>0</v>
      </c>
      <c r="BO511" s="171">
        <v>2023</v>
      </c>
      <c r="BP511" s="171">
        <v>1</v>
      </c>
      <c r="BQ511" s="171">
        <v>19</v>
      </c>
      <c r="BS511" s="76" t="str">
        <f t="shared" si="16"/>
        <v>○</v>
      </c>
    </row>
    <row r="512" spans="1:71" x14ac:dyDescent="0.2">
      <c r="A512" s="210">
        <v>1718</v>
      </c>
      <c r="B512" s="211"/>
      <c r="C512" s="212"/>
      <c r="D512" s="211"/>
      <c r="E512" s="212"/>
      <c r="F512" s="211"/>
      <c r="G512" s="211"/>
      <c r="H512" s="212"/>
      <c r="I512" s="211"/>
      <c r="J512" s="211"/>
      <c r="K512" s="211"/>
      <c r="L512" s="171"/>
      <c r="M512" s="171" t="s">
        <v>607</v>
      </c>
      <c r="N512" s="171" t="s">
        <v>286</v>
      </c>
      <c r="O512" s="171" t="s">
        <v>608</v>
      </c>
      <c r="P512" s="171" t="s">
        <v>916</v>
      </c>
      <c r="Q512" s="171"/>
      <c r="R512" s="213">
        <v>72000</v>
      </c>
      <c r="S512" s="87">
        <v>0</v>
      </c>
      <c r="T512" s="87">
        <v>0</v>
      </c>
      <c r="U512" s="87">
        <v>0</v>
      </c>
      <c r="V512" s="87">
        <v>0</v>
      </c>
      <c r="W512" s="87">
        <v>0</v>
      </c>
      <c r="X512" s="87">
        <v>0</v>
      </c>
      <c r="Y512" s="87">
        <v>0</v>
      </c>
      <c r="Z512" s="87">
        <v>0</v>
      </c>
      <c r="AA512" s="214">
        <v>0</v>
      </c>
      <c r="AB512" s="214">
        <v>0</v>
      </c>
      <c r="AC512" s="214">
        <v>0</v>
      </c>
      <c r="AD512" s="214">
        <v>0</v>
      </c>
      <c r="AE512" s="214">
        <v>0</v>
      </c>
      <c r="AF512" s="214">
        <v>0</v>
      </c>
      <c r="AG512" s="214">
        <v>0</v>
      </c>
      <c r="AH512" s="214">
        <v>0</v>
      </c>
      <c r="AI512" s="87">
        <v>72996</v>
      </c>
      <c r="AJ512" s="87">
        <v>0</v>
      </c>
      <c r="AK512" s="87">
        <v>72996</v>
      </c>
      <c r="AL512" s="87">
        <v>72996</v>
      </c>
      <c r="AM512" s="87">
        <v>1317600</v>
      </c>
      <c r="AN512" s="87">
        <v>72996</v>
      </c>
      <c r="AO512" s="87">
        <v>72996</v>
      </c>
      <c r="AP512" s="87">
        <v>72000</v>
      </c>
      <c r="AQ512" s="88">
        <v>0</v>
      </c>
      <c r="AR512" s="88">
        <v>0</v>
      </c>
      <c r="AS512" s="88">
        <v>0</v>
      </c>
      <c r="AT512" s="88">
        <v>0</v>
      </c>
      <c r="AU512" s="88">
        <v>0</v>
      </c>
      <c r="AV512" s="88">
        <v>0</v>
      </c>
      <c r="AW512" s="88">
        <v>0</v>
      </c>
      <c r="AX512" s="88">
        <v>0</v>
      </c>
      <c r="AY512" s="87">
        <v>0</v>
      </c>
      <c r="AZ512" s="87">
        <v>0</v>
      </c>
      <c r="BA512" s="87">
        <v>0</v>
      </c>
      <c r="BB512" s="87">
        <v>0</v>
      </c>
      <c r="BC512" s="87">
        <v>0</v>
      </c>
      <c r="BD512" s="87">
        <v>0</v>
      </c>
      <c r="BE512" s="87">
        <v>0</v>
      </c>
      <c r="BF512" s="87">
        <v>0</v>
      </c>
      <c r="BG512" s="88">
        <v>0</v>
      </c>
      <c r="BH512" s="88">
        <v>0</v>
      </c>
      <c r="BI512" s="88">
        <v>0</v>
      </c>
      <c r="BJ512" s="88">
        <v>0</v>
      </c>
      <c r="BK512" s="88">
        <v>0</v>
      </c>
      <c r="BL512" s="88">
        <v>0</v>
      </c>
      <c r="BM512" s="88">
        <v>0</v>
      </c>
      <c r="BN512" s="590">
        <v>0</v>
      </c>
      <c r="BO512" s="171">
        <v>2023</v>
      </c>
      <c r="BP512" s="171">
        <v>1</v>
      </c>
      <c r="BQ512" s="171">
        <v>19</v>
      </c>
      <c r="BS512" s="76" t="str">
        <f t="shared" si="16"/>
        <v>○</v>
      </c>
    </row>
    <row r="513" spans="1:71" x14ac:dyDescent="0.2">
      <c r="A513" s="210">
        <v>1719</v>
      </c>
      <c r="B513" s="211"/>
      <c r="C513" s="212"/>
      <c r="D513" s="211"/>
      <c r="E513" s="212"/>
      <c r="F513" s="211"/>
      <c r="G513" s="211"/>
      <c r="H513" s="212"/>
      <c r="I513" s="211"/>
      <c r="J513" s="211"/>
      <c r="K513" s="211"/>
      <c r="L513" s="171"/>
      <c r="M513" s="171" t="s">
        <v>465</v>
      </c>
      <c r="N513" s="171" t="s">
        <v>269</v>
      </c>
      <c r="O513" s="171" t="s">
        <v>466</v>
      </c>
      <c r="P513" s="171" t="s">
        <v>916</v>
      </c>
      <c r="Q513" s="171"/>
      <c r="R513" s="213">
        <v>193000</v>
      </c>
      <c r="S513" s="87">
        <v>0</v>
      </c>
      <c r="T513" s="87">
        <v>0</v>
      </c>
      <c r="U513" s="87">
        <v>0</v>
      </c>
      <c r="V513" s="87">
        <v>0</v>
      </c>
      <c r="W513" s="87">
        <v>0</v>
      </c>
      <c r="X513" s="87">
        <v>0</v>
      </c>
      <c r="Y513" s="87">
        <v>0</v>
      </c>
      <c r="Z513" s="87">
        <v>0</v>
      </c>
      <c r="AA513" s="214">
        <v>0</v>
      </c>
      <c r="AB513" s="214">
        <v>0</v>
      </c>
      <c r="AC513" s="214">
        <v>0</v>
      </c>
      <c r="AD513" s="214">
        <v>0</v>
      </c>
      <c r="AE513" s="214">
        <v>0</v>
      </c>
      <c r="AF513" s="214">
        <v>0</v>
      </c>
      <c r="AG513" s="214">
        <v>0</v>
      </c>
      <c r="AH513" s="214">
        <v>0</v>
      </c>
      <c r="AI513" s="87">
        <v>193600</v>
      </c>
      <c r="AJ513" s="87">
        <v>0</v>
      </c>
      <c r="AK513" s="87">
        <v>193600</v>
      </c>
      <c r="AL513" s="87">
        <v>193600</v>
      </c>
      <c r="AM513" s="87">
        <v>1274400</v>
      </c>
      <c r="AN513" s="87">
        <v>193600</v>
      </c>
      <c r="AO513" s="87">
        <v>193600</v>
      </c>
      <c r="AP513" s="87">
        <v>193000</v>
      </c>
      <c r="AQ513" s="88">
        <v>0</v>
      </c>
      <c r="AR513" s="88">
        <v>0</v>
      </c>
      <c r="AS513" s="88">
        <v>0</v>
      </c>
      <c r="AT513" s="88">
        <v>0</v>
      </c>
      <c r="AU513" s="88">
        <v>0</v>
      </c>
      <c r="AV513" s="88">
        <v>0</v>
      </c>
      <c r="AW513" s="88">
        <v>0</v>
      </c>
      <c r="AX513" s="88">
        <v>0</v>
      </c>
      <c r="AY513" s="87">
        <v>0</v>
      </c>
      <c r="AZ513" s="87">
        <v>0</v>
      </c>
      <c r="BA513" s="87">
        <v>0</v>
      </c>
      <c r="BB513" s="87">
        <v>0</v>
      </c>
      <c r="BC513" s="87">
        <v>0</v>
      </c>
      <c r="BD513" s="87">
        <v>0</v>
      </c>
      <c r="BE513" s="87">
        <v>0</v>
      </c>
      <c r="BF513" s="87">
        <v>0</v>
      </c>
      <c r="BG513" s="88">
        <v>0</v>
      </c>
      <c r="BH513" s="88">
        <v>0</v>
      </c>
      <c r="BI513" s="88">
        <v>0</v>
      </c>
      <c r="BJ513" s="88">
        <v>0</v>
      </c>
      <c r="BK513" s="88">
        <v>0</v>
      </c>
      <c r="BL513" s="88">
        <v>0</v>
      </c>
      <c r="BM513" s="88">
        <v>0</v>
      </c>
      <c r="BN513" s="590">
        <v>0</v>
      </c>
      <c r="BO513" s="171">
        <v>2023</v>
      </c>
      <c r="BP513" s="171">
        <v>1</v>
      </c>
      <c r="BQ513" s="171">
        <v>19</v>
      </c>
      <c r="BS513" s="76" t="str">
        <f t="shared" si="16"/>
        <v>○</v>
      </c>
    </row>
    <row r="514" spans="1:71" x14ac:dyDescent="0.2">
      <c r="A514" s="210">
        <v>1720</v>
      </c>
      <c r="B514" s="211"/>
      <c r="C514" s="212"/>
      <c r="D514" s="211"/>
      <c r="E514" s="212"/>
      <c r="F514" s="211"/>
      <c r="G514" s="211"/>
      <c r="H514" s="212"/>
      <c r="I514" s="211"/>
      <c r="J514" s="211"/>
      <c r="K514" s="211"/>
      <c r="L514" s="171"/>
      <c r="M514" s="171" t="s">
        <v>675</v>
      </c>
      <c r="N514" s="171" t="s">
        <v>373</v>
      </c>
      <c r="O514" s="171" t="s">
        <v>676</v>
      </c>
      <c r="P514" s="171" t="s">
        <v>916</v>
      </c>
      <c r="Q514" s="171"/>
      <c r="R514" s="213">
        <v>799000</v>
      </c>
      <c r="S514" s="87">
        <v>0</v>
      </c>
      <c r="T514" s="87">
        <v>0</v>
      </c>
      <c r="U514" s="87">
        <v>0</v>
      </c>
      <c r="V514" s="87">
        <v>0</v>
      </c>
      <c r="W514" s="87">
        <v>0</v>
      </c>
      <c r="X514" s="87">
        <v>0</v>
      </c>
      <c r="Y514" s="87">
        <v>0</v>
      </c>
      <c r="Z514" s="87">
        <v>0</v>
      </c>
      <c r="AA514" s="214">
        <v>0</v>
      </c>
      <c r="AB514" s="214">
        <v>0</v>
      </c>
      <c r="AC514" s="214">
        <v>0</v>
      </c>
      <c r="AD514" s="214">
        <v>0</v>
      </c>
      <c r="AE514" s="214">
        <v>0</v>
      </c>
      <c r="AF514" s="214">
        <v>0</v>
      </c>
      <c r="AG514" s="214">
        <v>0</v>
      </c>
      <c r="AH514" s="214">
        <v>0</v>
      </c>
      <c r="AI514" s="87">
        <v>799555</v>
      </c>
      <c r="AJ514" s="87">
        <v>0</v>
      </c>
      <c r="AK514" s="87">
        <v>799555</v>
      </c>
      <c r="AL514" s="87">
        <v>799555</v>
      </c>
      <c r="AM514" s="87">
        <v>1598400</v>
      </c>
      <c r="AN514" s="87">
        <v>799555</v>
      </c>
      <c r="AO514" s="87">
        <v>799555</v>
      </c>
      <c r="AP514" s="87">
        <v>799000</v>
      </c>
      <c r="AQ514" s="88">
        <v>0</v>
      </c>
      <c r="AR514" s="88">
        <v>0</v>
      </c>
      <c r="AS514" s="88">
        <v>0</v>
      </c>
      <c r="AT514" s="88">
        <v>0</v>
      </c>
      <c r="AU514" s="88">
        <v>0</v>
      </c>
      <c r="AV514" s="88">
        <v>0</v>
      </c>
      <c r="AW514" s="88">
        <v>0</v>
      </c>
      <c r="AX514" s="88">
        <v>0</v>
      </c>
      <c r="AY514" s="87">
        <v>0</v>
      </c>
      <c r="AZ514" s="87">
        <v>0</v>
      </c>
      <c r="BA514" s="87">
        <v>0</v>
      </c>
      <c r="BB514" s="87">
        <v>0</v>
      </c>
      <c r="BC514" s="87">
        <v>0</v>
      </c>
      <c r="BD514" s="87">
        <v>0</v>
      </c>
      <c r="BE514" s="87">
        <v>0</v>
      </c>
      <c r="BF514" s="87">
        <v>0</v>
      </c>
      <c r="BG514" s="88">
        <v>0</v>
      </c>
      <c r="BH514" s="88">
        <v>0</v>
      </c>
      <c r="BI514" s="88">
        <v>0</v>
      </c>
      <c r="BJ514" s="88">
        <v>0</v>
      </c>
      <c r="BK514" s="88">
        <v>0</v>
      </c>
      <c r="BL514" s="88">
        <v>0</v>
      </c>
      <c r="BM514" s="88">
        <v>0</v>
      </c>
      <c r="BN514" s="590">
        <v>0</v>
      </c>
      <c r="BO514" s="171">
        <v>2023</v>
      </c>
      <c r="BP514" s="171">
        <v>1</v>
      </c>
      <c r="BQ514" s="171">
        <v>19</v>
      </c>
      <c r="BS514" s="76" t="str">
        <f t="shared" si="16"/>
        <v>○</v>
      </c>
    </row>
    <row r="515" spans="1:71" x14ac:dyDescent="0.2">
      <c r="A515" s="210">
        <v>1721</v>
      </c>
      <c r="B515" s="211"/>
      <c r="C515" s="212"/>
      <c r="D515" s="211"/>
      <c r="E515" s="212"/>
      <c r="F515" s="211"/>
      <c r="G515" s="211"/>
      <c r="H515" s="212"/>
      <c r="I515" s="211"/>
      <c r="J515" s="211"/>
      <c r="K515" s="211"/>
      <c r="L515" s="171"/>
      <c r="M515" s="171" t="s">
        <v>475</v>
      </c>
      <c r="N515" s="171" t="s">
        <v>275</v>
      </c>
      <c r="O515" s="171" t="s">
        <v>476</v>
      </c>
      <c r="P515" s="171" t="s">
        <v>916</v>
      </c>
      <c r="Q515" s="171"/>
      <c r="R515" s="213">
        <v>177000</v>
      </c>
      <c r="S515" s="87">
        <v>0</v>
      </c>
      <c r="T515" s="87">
        <v>0</v>
      </c>
      <c r="U515" s="87">
        <v>0</v>
      </c>
      <c r="V515" s="87">
        <v>0</v>
      </c>
      <c r="W515" s="87">
        <v>0</v>
      </c>
      <c r="X515" s="87">
        <v>0</v>
      </c>
      <c r="Y515" s="87">
        <v>0</v>
      </c>
      <c r="Z515" s="87">
        <v>0</v>
      </c>
      <c r="AA515" s="214">
        <v>0</v>
      </c>
      <c r="AB515" s="214">
        <v>0</v>
      </c>
      <c r="AC515" s="214">
        <v>0</v>
      </c>
      <c r="AD515" s="214">
        <v>0</v>
      </c>
      <c r="AE515" s="214">
        <v>0</v>
      </c>
      <c r="AF515" s="214">
        <v>0</v>
      </c>
      <c r="AG515" s="214">
        <v>0</v>
      </c>
      <c r="AH515" s="214">
        <v>0</v>
      </c>
      <c r="AI515" s="87">
        <v>177676</v>
      </c>
      <c r="AJ515" s="87">
        <v>0</v>
      </c>
      <c r="AK515" s="87">
        <v>177676</v>
      </c>
      <c r="AL515" s="87">
        <v>177676</v>
      </c>
      <c r="AM515" s="87">
        <v>2628000</v>
      </c>
      <c r="AN515" s="87">
        <v>177676</v>
      </c>
      <c r="AO515" s="87">
        <v>177676</v>
      </c>
      <c r="AP515" s="87">
        <v>177000</v>
      </c>
      <c r="AQ515" s="88">
        <v>0</v>
      </c>
      <c r="AR515" s="88">
        <v>0</v>
      </c>
      <c r="AS515" s="88">
        <v>0</v>
      </c>
      <c r="AT515" s="88">
        <v>0</v>
      </c>
      <c r="AU515" s="88">
        <v>0</v>
      </c>
      <c r="AV515" s="88">
        <v>0</v>
      </c>
      <c r="AW515" s="88">
        <v>0</v>
      </c>
      <c r="AX515" s="88">
        <v>0</v>
      </c>
      <c r="AY515" s="87">
        <v>0</v>
      </c>
      <c r="AZ515" s="87">
        <v>0</v>
      </c>
      <c r="BA515" s="87">
        <v>0</v>
      </c>
      <c r="BB515" s="87">
        <v>0</v>
      </c>
      <c r="BC515" s="87">
        <v>0</v>
      </c>
      <c r="BD515" s="87">
        <v>0</v>
      </c>
      <c r="BE515" s="87">
        <v>0</v>
      </c>
      <c r="BF515" s="87">
        <v>0</v>
      </c>
      <c r="BG515" s="88">
        <v>0</v>
      </c>
      <c r="BH515" s="88">
        <v>0</v>
      </c>
      <c r="BI515" s="88">
        <v>0</v>
      </c>
      <c r="BJ515" s="88">
        <v>0</v>
      </c>
      <c r="BK515" s="88">
        <v>0</v>
      </c>
      <c r="BL515" s="88">
        <v>0</v>
      </c>
      <c r="BM515" s="88">
        <v>0</v>
      </c>
      <c r="BN515" s="590">
        <v>0</v>
      </c>
      <c r="BO515" s="171">
        <v>2023</v>
      </c>
      <c r="BP515" s="171">
        <v>1</v>
      </c>
      <c r="BQ515" s="171">
        <v>19</v>
      </c>
      <c r="BS515" s="76" t="str">
        <f t="shared" si="16"/>
        <v>○</v>
      </c>
    </row>
    <row r="516" spans="1:71" x14ac:dyDescent="0.2">
      <c r="A516" s="210">
        <v>1722</v>
      </c>
      <c r="B516" s="211"/>
      <c r="C516" s="212"/>
      <c r="D516" s="211"/>
      <c r="E516" s="212"/>
      <c r="F516" s="211"/>
      <c r="G516" s="211"/>
      <c r="H516" s="212"/>
      <c r="I516" s="211"/>
      <c r="J516" s="211"/>
      <c r="K516" s="211"/>
      <c r="L516" s="171"/>
      <c r="M516" s="171" t="s">
        <v>844</v>
      </c>
      <c r="N516" s="171" t="s">
        <v>313</v>
      </c>
      <c r="O516" s="171" t="s">
        <v>652</v>
      </c>
      <c r="P516" s="171" t="s">
        <v>916</v>
      </c>
      <c r="Q516" s="171"/>
      <c r="R516" s="213">
        <v>68000</v>
      </c>
      <c r="S516" s="87">
        <v>0</v>
      </c>
      <c r="T516" s="87">
        <v>0</v>
      </c>
      <c r="U516" s="87">
        <v>0</v>
      </c>
      <c r="V516" s="87">
        <v>0</v>
      </c>
      <c r="W516" s="87">
        <v>0</v>
      </c>
      <c r="X516" s="87">
        <v>0</v>
      </c>
      <c r="Y516" s="87">
        <v>0</v>
      </c>
      <c r="Z516" s="87">
        <v>0</v>
      </c>
      <c r="AA516" s="214">
        <v>0</v>
      </c>
      <c r="AB516" s="214">
        <v>0</v>
      </c>
      <c r="AC516" s="214">
        <v>0</v>
      </c>
      <c r="AD516" s="214">
        <v>0</v>
      </c>
      <c r="AE516" s="214">
        <v>0</v>
      </c>
      <c r="AF516" s="214">
        <v>0</v>
      </c>
      <c r="AG516" s="214">
        <v>0</v>
      </c>
      <c r="AH516" s="214">
        <v>0</v>
      </c>
      <c r="AI516" s="87">
        <v>68785</v>
      </c>
      <c r="AJ516" s="87">
        <v>0</v>
      </c>
      <c r="AK516" s="87">
        <v>68785</v>
      </c>
      <c r="AL516" s="87">
        <v>68785</v>
      </c>
      <c r="AM516" s="87">
        <v>10173600</v>
      </c>
      <c r="AN516" s="87">
        <v>68785</v>
      </c>
      <c r="AO516" s="87">
        <v>68785</v>
      </c>
      <c r="AP516" s="87">
        <v>68000</v>
      </c>
      <c r="AQ516" s="88">
        <v>0</v>
      </c>
      <c r="AR516" s="88">
        <v>0</v>
      </c>
      <c r="AS516" s="88">
        <v>0</v>
      </c>
      <c r="AT516" s="88">
        <v>0</v>
      </c>
      <c r="AU516" s="88">
        <v>0</v>
      </c>
      <c r="AV516" s="88">
        <v>0</v>
      </c>
      <c r="AW516" s="88">
        <v>0</v>
      </c>
      <c r="AX516" s="88">
        <v>0</v>
      </c>
      <c r="AY516" s="87">
        <v>0</v>
      </c>
      <c r="AZ516" s="87">
        <v>0</v>
      </c>
      <c r="BA516" s="87">
        <v>0</v>
      </c>
      <c r="BB516" s="87">
        <v>0</v>
      </c>
      <c r="BC516" s="87">
        <v>0</v>
      </c>
      <c r="BD516" s="87">
        <v>0</v>
      </c>
      <c r="BE516" s="87">
        <v>0</v>
      </c>
      <c r="BF516" s="87">
        <v>0</v>
      </c>
      <c r="BG516" s="88">
        <v>0</v>
      </c>
      <c r="BH516" s="88">
        <v>0</v>
      </c>
      <c r="BI516" s="88">
        <v>0</v>
      </c>
      <c r="BJ516" s="88">
        <v>0</v>
      </c>
      <c r="BK516" s="88">
        <v>0</v>
      </c>
      <c r="BL516" s="88">
        <v>0</v>
      </c>
      <c r="BM516" s="88">
        <v>0</v>
      </c>
      <c r="BN516" s="590">
        <v>0</v>
      </c>
      <c r="BO516" s="171">
        <v>2023</v>
      </c>
      <c r="BP516" s="171">
        <v>1</v>
      </c>
      <c r="BQ516" s="171">
        <v>19</v>
      </c>
      <c r="BS516" s="76" t="str">
        <f t="shared" si="16"/>
        <v>○</v>
      </c>
    </row>
    <row r="517" spans="1:71" x14ac:dyDescent="0.2">
      <c r="A517" s="210">
        <v>1723</v>
      </c>
      <c r="B517" s="211"/>
      <c r="C517" s="212"/>
      <c r="D517" s="211"/>
      <c r="E517" s="212"/>
      <c r="F517" s="211"/>
      <c r="G517" s="211"/>
      <c r="H517" s="212"/>
      <c r="I517" s="211"/>
      <c r="J517" s="211"/>
      <c r="K517" s="211"/>
      <c r="L517" s="171"/>
      <c r="M517" s="171" t="s">
        <v>610</v>
      </c>
      <c r="N517" s="171" t="s">
        <v>269</v>
      </c>
      <c r="O517" s="171" t="s">
        <v>476</v>
      </c>
      <c r="P517" s="171" t="s">
        <v>916</v>
      </c>
      <c r="Q517" s="171"/>
      <c r="R517" s="213">
        <v>219000</v>
      </c>
      <c r="S517" s="87">
        <v>0</v>
      </c>
      <c r="T517" s="87">
        <v>0</v>
      </c>
      <c r="U517" s="87">
        <v>0</v>
      </c>
      <c r="V517" s="87">
        <v>0</v>
      </c>
      <c r="W517" s="87">
        <v>0</v>
      </c>
      <c r="X517" s="87">
        <v>0</v>
      </c>
      <c r="Y517" s="87">
        <v>0</v>
      </c>
      <c r="Z517" s="87">
        <v>0</v>
      </c>
      <c r="AA517" s="214">
        <v>0</v>
      </c>
      <c r="AB517" s="214">
        <v>0</v>
      </c>
      <c r="AC517" s="214">
        <v>0</v>
      </c>
      <c r="AD517" s="214">
        <v>0</v>
      </c>
      <c r="AE517" s="214">
        <v>0</v>
      </c>
      <c r="AF517" s="214">
        <v>0</v>
      </c>
      <c r="AG517" s="214">
        <v>0</v>
      </c>
      <c r="AH517" s="214">
        <v>0</v>
      </c>
      <c r="AI517" s="87">
        <v>219780</v>
      </c>
      <c r="AJ517" s="87">
        <v>0</v>
      </c>
      <c r="AK517" s="87">
        <v>219780</v>
      </c>
      <c r="AL517" s="87">
        <v>219780</v>
      </c>
      <c r="AM517" s="87">
        <v>1742400</v>
      </c>
      <c r="AN517" s="87">
        <v>219780</v>
      </c>
      <c r="AO517" s="87">
        <v>219780</v>
      </c>
      <c r="AP517" s="87">
        <v>219000</v>
      </c>
      <c r="AQ517" s="88">
        <v>0</v>
      </c>
      <c r="AR517" s="88">
        <v>0</v>
      </c>
      <c r="AS517" s="88">
        <v>0</v>
      </c>
      <c r="AT517" s="88">
        <v>0</v>
      </c>
      <c r="AU517" s="88">
        <v>0</v>
      </c>
      <c r="AV517" s="88">
        <v>0</v>
      </c>
      <c r="AW517" s="88">
        <v>0</v>
      </c>
      <c r="AX517" s="88">
        <v>0</v>
      </c>
      <c r="AY517" s="87">
        <v>0</v>
      </c>
      <c r="AZ517" s="87">
        <v>0</v>
      </c>
      <c r="BA517" s="87">
        <v>0</v>
      </c>
      <c r="BB517" s="87">
        <v>0</v>
      </c>
      <c r="BC517" s="87">
        <v>0</v>
      </c>
      <c r="BD517" s="87">
        <v>0</v>
      </c>
      <c r="BE517" s="87">
        <v>0</v>
      </c>
      <c r="BF517" s="87">
        <v>0</v>
      </c>
      <c r="BG517" s="88">
        <v>0</v>
      </c>
      <c r="BH517" s="88">
        <v>0</v>
      </c>
      <c r="BI517" s="88">
        <v>0</v>
      </c>
      <c r="BJ517" s="88">
        <v>0</v>
      </c>
      <c r="BK517" s="88">
        <v>0</v>
      </c>
      <c r="BL517" s="88">
        <v>0</v>
      </c>
      <c r="BM517" s="88">
        <v>0</v>
      </c>
      <c r="BN517" s="590">
        <v>0</v>
      </c>
      <c r="BO517" s="171">
        <v>2023</v>
      </c>
      <c r="BP517" s="171">
        <v>1</v>
      </c>
      <c r="BQ517" s="171">
        <v>19</v>
      </c>
      <c r="BS517" s="76" t="str">
        <f t="shared" si="16"/>
        <v>○</v>
      </c>
    </row>
    <row r="518" spans="1:71" x14ac:dyDescent="0.2">
      <c r="A518" s="210">
        <v>1724</v>
      </c>
      <c r="B518" s="211"/>
      <c r="C518" s="212"/>
      <c r="D518" s="211"/>
      <c r="E518" s="212"/>
      <c r="F518" s="211"/>
      <c r="G518" s="211"/>
      <c r="H518" s="212"/>
      <c r="I518" s="211"/>
      <c r="J518" s="211"/>
      <c r="K518" s="211"/>
      <c r="L518" s="171"/>
      <c r="M518" s="171" t="s">
        <v>845</v>
      </c>
      <c r="N518" s="171" t="s">
        <v>306</v>
      </c>
      <c r="O518" s="171" t="s">
        <v>507</v>
      </c>
      <c r="P518" s="171" t="s">
        <v>916</v>
      </c>
      <c r="Q518" s="171"/>
      <c r="R518" s="213">
        <v>82000</v>
      </c>
      <c r="S518" s="87">
        <v>0</v>
      </c>
      <c r="T518" s="87">
        <v>0</v>
      </c>
      <c r="U518" s="87">
        <v>0</v>
      </c>
      <c r="V518" s="87">
        <v>0</v>
      </c>
      <c r="W518" s="87">
        <v>0</v>
      </c>
      <c r="X518" s="87">
        <v>0</v>
      </c>
      <c r="Y518" s="87">
        <v>0</v>
      </c>
      <c r="Z518" s="87">
        <v>0</v>
      </c>
      <c r="AA518" s="214">
        <v>0</v>
      </c>
      <c r="AB518" s="214">
        <v>0</v>
      </c>
      <c r="AC518" s="214">
        <v>0</v>
      </c>
      <c r="AD518" s="214">
        <v>0</v>
      </c>
      <c r="AE518" s="214">
        <v>0</v>
      </c>
      <c r="AF518" s="214">
        <v>0</v>
      </c>
      <c r="AG518" s="214">
        <v>0</v>
      </c>
      <c r="AH518" s="214">
        <v>0</v>
      </c>
      <c r="AI518" s="87">
        <v>82560</v>
      </c>
      <c r="AJ518" s="87">
        <v>0</v>
      </c>
      <c r="AK518" s="87">
        <v>82560</v>
      </c>
      <c r="AL518" s="87">
        <v>82560</v>
      </c>
      <c r="AM518" s="87">
        <v>2052000</v>
      </c>
      <c r="AN518" s="87">
        <v>82560</v>
      </c>
      <c r="AO518" s="87">
        <v>82560</v>
      </c>
      <c r="AP518" s="87">
        <v>82000</v>
      </c>
      <c r="AQ518" s="88">
        <v>0</v>
      </c>
      <c r="AR518" s="88">
        <v>0</v>
      </c>
      <c r="AS518" s="88">
        <v>0</v>
      </c>
      <c r="AT518" s="88">
        <v>0</v>
      </c>
      <c r="AU518" s="88">
        <v>0</v>
      </c>
      <c r="AV518" s="88">
        <v>0</v>
      </c>
      <c r="AW518" s="88">
        <v>0</v>
      </c>
      <c r="AX518" s="88">
        <v>0</v>
      </c>
      <c r="AY518" s="87">
        <v>0</v>
      </c>
      <c r="AZ518" s="87">
        <v>0</v>
      </c>
      <c r="BA518" s="87">
        <v>0</v>
      </c>
      <c r="BB518" s="87">
        <v>0</v>
      </c>
      <c r="BC518" s="87">
        <v>0</v>
      </c>
      <c r="BD518" s="87">
        <v>0</v>
      </c>
      <c r="BE518" s="87">
        <v>0</v>
      </c>
      <c r="BF518" s="87">
        <v>0</v>
      </c>
      <c r="BG518" s="88">
        <v>0</v>
      </c>
      <c r="BH518" s="88">
        <v>0</v>
      </c>
      <c r="BI518" s="88">
        <v>0</v>
      </c>
      <c r="BJ518" s="88">
        <v>0</v>
      </c>
      <c r="BK518" s="88">
        <v>0</v>
      </c>
      <c r="BL518" s="88">
        <v>0</v>
      </c>
      <c r="BM518" s="88">
        <v>0</v>
      </c>
      <c r="BN518" s="590">
        <v>0</v>
      </c>
      <c r="BO518" s="171">
        <v>2023</v>
      </c>
      <c r="BP518" s="171">
        <v>1</v>
      </c>
      <c r="BQ518" s="171">
        <v>19</v>
      </c>
      <c r="BS518" s="76" t="str">
        <f t="shared" si="16"/>
        <v>○</v>
      </c>
    </row>
    <row r="519" spans="1:71" x14ac:dyDescent="0.2">
      <c r="A519" s="210">
        <v>1725</v>
      </c>
      <c r="B519" s="211"/>
      <c r="C519" s="212"/>
      <c r="D519" s="211"/>
      <c r="E519" s="212"/>
      <c r="F519" s="211"/>
      <c r="G519" s="211"/>
      <c r="H519" s="212"/>
      <c r="I519" s="211"/>
      <c r="J519" s="211"/>
      <c r="K519" s="211"/>
      <c r="L519" s="171"/>
      <c r="M519" s="171" t="s">
        <v>846</v>
      </c>
      <c r="N519" s="171" t="s">
        <v>354</v>
      </c>
      <c r="O519" s="171" t="s">
        <v>505</v>
      </c>
      <c r="P519" s="171" t="s">
        <v>916</v>
      </c>
      <c r="Q519" s="171"/>
      <c r="R519" s="213">
        <v>408000</v>
      </c>
      <c r="S519" s="87">
        <v>0</v>
      </c>
      <c r="T519" s="87">
        <v>0</v>
      </c>
      <c r="U519" s="87">
        <v>0</v>
      </c>
      <c r="V519" s="87">
        <v>0</v>
      </c>
      <c r="W519" s="87">
        <v>0</v>
      </c>
      <c r="X519" s="87">
        <v>0</v>
      </c>
      <c r="Y519" s="87">
        <v>0</v>
      </c>
      <c r="Z519" s="87">
        <v>0</v>
      </c>
      <c r="AA519" s="214">
        <v>0</v>
      </c>
      <c r="AB519" s="214">
        <v>0</v>
      </c>
      <c r="AC519" s="214">
        <v>0</v>
      </c>
      <c r="AD519" s="214">
        <v>0</v>
      </c>
      <c r="AE519" s="214">
        <v>0</v>
      </c>
      <c r="AF519" s="214">
        <v>0</v>
      </c>
      <c r="AG519" s="214">
        <v>0</v>
      </c>
      <c r="AH519" s="214">
        <v>0</v>
      </c>
      <c r="AI519" s="87">
        <v>408650</v>
      </c>
      <c r="AJ519" s="87">
        <v>0</v>
      </c>
      <c r="AK519" s="87">
        <v>408650</v>
      </c>
      <c r="AL519" s="87">
        <v>408650</v>
      </c>
      <c r="AM519" s="87">
        <v>2178000</v>
      </c>
      <c r="AN519" s="87">
        <v>408650</v>
      </c>
      <c r="AO519" s="87">
        <v>408650</v>
      </c>
      <c r="AP519" s="87">
        <v>408000</v>
      </c>
      <c r="AQ519" s="88">
        <v>0</v>
      </c>
      <c r="AR519" s="88">
        <v>0</v>
      </c>
      <c r="AS519" s="88">
        <v>0</v>
      </c>
      <c r="AT519" s="88">
        <v>0</v>
      </c>
      <c r="AU519" s="88">
        <v>0</v>
      </c>
      <c r="AV519" s="88">
        <v>0</v>
      </c>
      <c r="AW519" s="88">
        <v>0</v>
      </c>
      <c r="AX519" s="88">
        <v>0</v>
      </c>
      <c r="AY519" s="87">
        <v>0</v>
      </c>
      <c r="AZ519" s="87">
        <v>0</v>
      </c>
      <c r="BA519" s="87">
        <v>0</v>
      </c>
      <c r="BB519" s="87">
        <v>0</v>
      </c>
      <c r="BC519" s="87">
        <v>0</v>
      </c>
      <c r="BD519" s="87">
        <v>0</v>
      </c>
      <c r="BE519" s="87">
        <v>0</v>
      </c>
      <c r="BF519" s="87">
        <v>0</v>
      </c>
      <c r="BG519" s="88">
        <v>0</v>
      </c>
      <c r="BH519" s="88">
        <v>0</v>
      </c>
      <c r="BI519" s="88">
        <v>0</v>
      </c>
      <c r="BJ519" s="88">
        <v>0</v>
      </c>
      <c r="BK519" s="88">
        <v>0</v>
      </c>
      <c r="BL519" s="88">
        <v>0</v>
      </c>
      <c r="BM519" s="88">
        <v>0</v>
      </c>
      <c r="BN519" s="590">
        <v>0</v>
      </c>
      <c r="BO519" s="171">
        <v>2023</v>
      </c>
      <c r="BP519" s="171">
        <v>1</v>
      </c>
      <c r="BQ519" s="171">
        <v>19</v>
      </c>
      <c r="BS519" s="76" t="str">
        <f t="shared" si="16"/>
        <v>○</v>
      </c>
    </row>
    <row r="520" spans="1:71" x14ac:dyDescent="0.2">
      <c r="A520" s="210">
        <v>1726</v>
      </c>
      <c r="B520" s="211"/>
      <c r="C520" s="212"/>
      <c r="D520" s="211"/>
      <c r="E520" s="212"/>
      <c r="F520" s="211"/>
      <c r="G520" s="211"/>
      <c r="H520" s="212"/>
      <c r="I520" s="211"/>
      <c r="J520" s="211"/>
      <c r="K520" s="211"/>
      <c r="L520" s="171"/>
      <c r="M520" s="171" t="s">
        <v>847</v>
      </c>
      <c r="N520" s="171" t="s">
        <v>286</v>
      </c>
      <c r="O520" s="171" t="s">
        <v>282</v>
      </c>
      <c r="P520" s="171" t="s">
        <v>916</v>
      </c>
      <c r="Q520" s="171"/>
      <c r="R520" s="213">
        <v>108000</v>
      </c>
      <c r="S520" s="87">
        <v>0</v>
      </c>
      <c r="T520" s="87">
        <v>0</v>
      </c>
      <c r="U520" s="87">
        <v>0</v>
      </c>
      <c r="V520" s="87">
        <v>0</v>
      </c>
      <c r="W520" s="87">
        <v>0</v>
      </c>
      <c r="X520" s="87">
        <v>0</v>
      </c>
      <c r="Y520" s="87">
        <v>0</v>
      </c>
      <c r="Z520" s="87">
        <v>0</v>
      </c>
      <c r="AA520" s="214">
        <v>0</v>
      </c>
      <c r="AB520" s="214">
        <v>0</v>
      </c>
      <c r="AC520" s="214">
        <v>0</v>
      </c>
      <c r="AD520" s="214">
        <v>0</v>
      </c>
      <c r="AE520" s="214">
        <v>0</v>
      </c>
      <c r="AF520" s="214">
        <v>0</v>
      </c>
      <c r="AG520" s="214">
        <v>0</v>
      </c>
      <c r="AH520" s="214">
        <v>0</v>
      </c>
      <c r="AI520" s="87">
        <v>108810</v>
      </c>
      <c r="AJ520" s="87">
        <v>0</v>
      </c>
      <c r="AK520" s="87">
        <v>108810</v>
      </c>
      <c r="AL520" s="87">
        <v>108810</v>
      </c>
      <c r="AM520" s="87">
        <v>1296000</v>
      </c>
      <c r="AN520" s="87">
        <v>108810</v>
      </c>
      <c r="AO520" s="87">
        <v>108810</v>
      </c>
      <c r="AP520" s="87">
        <v>108000</v>
      </c>
      <c r="AQ520" s="88">
        <v>0</v>
      </c>
      <c r="AR520" s="88">
        <v>0</v>
      </c>
      <c r="AS520" s="88">
        <v>0</v>
      </c>
      <c r="AT520" s="88">
        <v>0</v>
      </c>
      <c r="AU520" s="88">
        <v>0</v>
      </c>
      <c r="AV520" s="88">
        <v>0</v>
      </c>
      <c r="AW520" s="88">
        <v>0</v>
      </c>
      <c r="AX520" s="88">
        <v>0</v>
      </c>
      <c r="AY520" s="87">
        <v>0</v>
      </c>
      <c r="AZ520" s="87">
        <v>0</v>
      </c>
      <c r="BA520" s="87">
        <v>0</v>
      </c>
      <c r="BB520" s="87">
        <v>0</v>
      </c>
      <c r="BC520" s="87">
        <v>0</v>
      </c>
      <c r="BD520" s="87">
        <v>0</v>
      </c>
      <c r="BE520" s="87">
        <v>0</v>
      </c>
      <c r="BF520" s="87">
        <v>0</v>
      </c>
      <c r="BG520" s="88">
        <v>0</v>
      </c>
      <c r="BH520" s="88">
        <v>0</v>
      </c>
      <c r="BI520" s="88">
        <v>0</v>
      </c>
      <c r="BJ520" s="88">
        <v>0</v>
      </c>
      <c r="BK520" s="88">
        <v>0</v>
      </c>
      <c r="BL520" s="88">
        <v>0</v>
      </c>
      <c r="BM520" s="88">
        <v>0</v>
      </c>
      <c r="BN520" s="590">
        <v>0</v>
      </c>
      <c r="BO520" s="171">
        <v>2023</v>
      </c>
      <c r="BP520" s="171">
        <v>1</v>
      </c>
      <c r="BQ520" s="171">
        <v>19</v>
      </c>
      <c r="BS520" s="76" t="str">
        <f t="shared" si="16"/>
        <v>○</v>
      </c>
    </row>
    <row r="521" spans="1:71" x14ac:dyDescent="0.2">
      <c r="A521" s="210">
        <v>1727</v>
      </c>
      <c r="B521" s="211"/>
      <c r="C521" s="212"/>
      <c r="D521" s="211"/>
      <c r="E521" s="212"/>
      <c r="F521" s="211"/>
      <c r="G521" s="211"/>
      <c r="H521" s="212"/>
      <c r="I521" s="211"/>
      <c r="J521" s="211"/>
      <c r="K521" s="211"/>
      <c r="L521" s="171"/>
      <c r="M521" s="171" t="s">
        <v>848</v>
      </c>
      <c r="N521" s="171" t="s">
        <v>272</v>
      </c>
      <c r="O521" s="171" t="s">
        <v>748</v>
      </c>
      <c r="P521" s="171" t="s">
        <v>916</v>
      </c>
      <c r="Q521" s="75"/>
      <c r="R521" s="213">
        <v>853000</v>
      </c>
      <c r="S521" s="87">
        <v>0</v>
      </c>
      <c r="T521" s="87">
        <v>0</v>
      </c>
      <c r="U521" s="87">
        <v>0</v>
      </c>
      <c r="V521" s="87">
        <v>0</v>
      </c>
      <c r="W521" s="87">
        <v>0</v>
      </c>
      <c r="X521" s="87">
        <v>0</v>
      </c>
      <c r="Y521" s="87">
        <v>0</v>
      </c>
      <c r="Z521" s="87">
        <v>0</v>
      </c>
      <c r="AA521" s="214">
        <v>0</v>
      </c>
      <c r="AB521" s="214">
        <v>0</v>
      </c>
      <c r="AC521" s="214">
        <v>0</v>
      </c>
      <c r="AD521" s="214">
        <v>0</v>
      </c>
      <c r="AE521" s="214">
        <v>0</v>
      </c>
      <c r="AF521" s="214">
        <v>0</v>
      </c>
      <c r="AG521" s="214">
        <v>0</v>
      </c>
      <c r="AH521" s="214">
        <v>0</v>
      </c>
      <c r="AI521" s="87">
        <v>853652</v>
      </c>
      <c r="AJ521" s="87">
        <v>0</v>
      </c>
      <c r="AK521" s="87">
        <v>853652</v>
      </c>
      <c r="AL521" s="87">
        <v>853652</v>
      </c>
      <c r="AM521" s="87">
        <v>2592000</v>
      </c>
      <c r="AN521" s="87">
        <v>853652</v>
      </c>
      <c r="AO521" s="87">
        <v>853652</v>
      </c>
      <c r="AP521" s="87">
        <v>853000</v>
      </c>
      <c r="AQ521" s="88">
        <v>0</v>
      </c>
      <c r="AR521" s="88">
        <v>0</v>
      </c>
      <c r="AS521" s="88">
        <v>0</v>
      </c>
      <c r="AT521" s="88">
        <v>0</v>
      </c>
      <c r="AU521" s="88">
        <v>0</v>
      </c>
      <c r="AV521" s="88">
        <v>0</v>
      </c>
      <c r="AW521" s="88">
        <v>0</v>
      </c>
      <c r="AX521" s="88">
        <v>0</v>
      </c>
      <c r="AY521" s="87">
        <v>0</v>
      </c>
      <c r="AZ521" s="87">
        <v>0</v>
      </c>
      <c r="BA521" s="87">
        <v>0</v>
      </c>
      <c r="BB521" s="87">
        <v>0</v>
      </c>
      <c r="BC521" s="87">
        <v>0</v>
      </c>
      <c r="BD521" s="87">
        <v>0</v>
      </c>
      <c r="BE521" s="87">
        <v>0</v>
      </c>
      <c r="BF521" s="87">
        <v>0</v>
      </c>
      <c r="BG521" s="88">
        <v>0</v>
      </c>
      <c r="BH521" s="88">
        <v>0</v>
      </c>
      <c r="BI521" s="88">
        <v>0</v>
      </c>
      <c r="BJ521" s="88">
        <v>0</v>
      </c>
      <c r="BK521" s="88">
        <v>0</v>
      </c>
      <c r="BL521" s="88">
        <v>0</v>
      </c>
      <c r="BM521" s="88">
        <v>0</v>
      </c>
      <c r="BN521" s="590">
        <v>0</v>
      </c>
      <c r="BO521" s="171">
        <v>2023</v>
      </c>
      <c r="BP521" s="171">
        <v>1</v>
      </c>
      <c r="BQ521" s="171">
        <v>19</v>
      </c>
      <c r="BS521" s="76" t="str">
        <f t="shared" si="16"/>
        <v>○</v>
      </c>
    </row>
    <row r="522" spans="1:71" x14ac:dyDescent="0.2">
      <c r="A522" s="210">
        <v>1728</v>
      </c>
      <c r="B522" s="211"/>
      <c r="C522" s="212"/>
      <c r="D522" s="211"/>
      <c r="E522" s="212"/>
      <c r="F522" s="211"/>
      <c r="G522" s="211"/>
      <c r="H522" s="212"/>
      <c r="I522" s="211"/>
      <c r="J522" s="211"/>
      <c r="K522" s="211"/>
      <c r="L522" s="171"/>
      <c r="M522" s="171" t="s">
        <v>849</v>
      </c>
      <c r="N522" s="171" t="s">
        <v>318</v>
      </c>
      <c r="O522" s="171" t="s">
        <v>850</v>
      </c>
      <c r="P522" s="171" t="s">
        <v>916</v>
      </c>
      <c r="Q522" s="171"/>
      <c r="R522" s="213">
        <v>1618000</v>
      </c>
      <c r="S522" s="87">
        <v>0</v>
      </c>
      <c r="T522" s="87">
        <v>0</v>
      </c>
      <c r="U522" s="87">
        <v>0</v>
      </c>
      <c r="V522" s="87">
        <v>0</v>
      </c>
      <c r="W522" s="87">
        <v>0</v>
      </c>
      <c r="X522" s="87">
        <v>0</v>
      </c>
      <c r="Y522" s="87">
        <v>0</v>
      </c>
      <c r="Z522" s="87">
        <v>0</v>
      </c>
      <c r="AA522" s="214">
        <v>0</v>
      </c>
      <c r="AB522" s="214">
        <v>0</v>
      </c>
      <c r="AC522" s="214">
        <v>0</v>
      </c>
      <c r="AD522" s="214">
        <v>0</v>
      </c>
      <c r="AE522" s="214">
        <v>0</v>
      </c>
      <c r="AF522" s="214">
        <v>0</v>
      </c>
      <c r="AG522" s="214">
        <v>0</v>
      </c>
      <c r="AH522" s="214">
        <v>0</v>
      </c>
      <c r="AI522" s="87">
        <v>1618056</v>
      </c>
      <c r="AJ522" s="87">
        <v>0</v>
      </c>
      <c r="AK522" s="87">
        <v>1618056</v>
      </c>
      <c r="AL522" s="87">
        <v>1618056</v>
      </c>
      <c r="AM522" s="87">
        <v>5904000</v>
      </c>
      <c r="AN522" s="87">
        <v>1618056</v>
      </c>
      <c r="AO522" s="87">
        <v>1618056</v>
      </c>
      <c r="AP522" s="87">
        <v>1618000</v>
      </c>
      <c r="AQ522" s="88">
        <v>0</v>
      </c>
      <c r="AR522" s="88">
        <v>0</v>
      </c>
      <c r="AS522" s="88">
        <v>0</v>
      </c>
      <c r="AT522" s="88">
        <v>0</v>
      </c>
      <c r="AU522" s="88">
        <v>0</v>
      </c>
      <c r="AV522" s="88">
        <v>0</v>
      </c>
      <c r="AW522" s="88">
        <v>0</v>
      </c>
      <c r="AX522" s="88">
        <v>0</v>
      </c>
      <c r="AY522" s="87">
        <v>0</v>
      </c>
      <c r="AZ522" s="87">
        <v>0</v>
      </c>
      <c r="BA522" s="87">
        <v>0</v>
      </c>
      <c r="BB522" s="87">
        <v>0</v>
      </c>
      <c r="BC522" s="87">
        <v>0</v>
      </c>
      <c r="BD522" s="87">
        <v>0</v>
      </c>
      <c r="BE522" s="87">
        <v>0</v>
      </c>
      <c r="BF522" s="87">
        <v>0</v>
      </c>
      <c r="BG522" s="88">
        <v>0</v>
      </c>
      <c r="BH522" s="88">
        <v>0</v>
      </c>
      <c r="BI522" s="88">
        <v>0</v>
      </c>
      <c r="BJ522" s="88">
        <v>0</v>
      </c>
      <c r="BK522" s="88">
        <v>0</v>
      </c>
      <c r="BL522" s="88">
        <v>0</v>
      </c>
      <c r="BM522" s="88">
        <v>0</v>
      </c>
      <c r="BN522" s="590">
        <v>0</v>
      </c>
      <c r="BO522" s="171">
        <v>2023</v>
      </c>
      <c r="BP522" s="171">
        <v>1</v>
      </c>
      <c r="BQ522" s="171">
        <v>19</v>
      </c>
      <c r="BS522" s="76" t="str">
        <f t="shared" si="16"/>
        <v>○</v>
      </c>
    </row>
    <row r="523" spans="1:71" x14ac:dyDescent="0.2">
      <c r="A523" s="210">
        <v>1729</v>
      </c>
      <c r="B523" s="211"/>
      <c r="C523" s="212"/>
      <c r="D523" s="211"/>
      <c r="E523" s="212"/>
      <c r="F523" s="211"/>
      <c r="G523" s="211"/>
      <c r="H523" s="212"/>
      <c r="I523" s="211"/>
      <c r="J523" s="211"/>
      <c r="K523" s="211"/>
      <c r="L523" s="171"/>
      <c r="M523" s="171" t="s">
        <v>851</v>
      </c>
      <c r="N523" s="171" t="s">
        <v>852</v>
      </c>
      <c r="O523" s="171" t="s">
        <v>853</v>
      </c>
      <c r="P523" s="171" t="s">
        <v>916</v>
      </c>
      <c r="Q523" s="75"/>
      <c r="R523" s="213">
        <v>193000</v>
      </c>
      <c r="S523" s="87">
        <v>0</v>
      </c>
      <c r="T523" s="87">
        <v>0</v>
      </c>
      <c r="U523" s="87">
        <v>0</v>
      </c>
      <c r="V523" s="87">
        <v>0</v>
      </c>
      <c r="W523" s="87">
        <v>0</v>
      </c>
      <c r="X523" s="87">
        <v>0</v>
      </c>
      <c r="Y523" s="87">
        <v>0</v>
      </c>
      <c r="Z523" s="87">
        <v>0</v>
      </c>
      <c r="AA523" s="214">
        <v>0</v>
      </c>
      <c r="AB523" s="214">
        <v>0</v>
      </c>
      <c r="AC523" s="214">
        <v>0</v>
      </c>
      <c r="AD523" s="214">
        <v>0</v>
      </c>
      <c r="AE523" s="214">
        <v>0</v>
      </c>
      <c r="AF523" s="214">
        <v>0</v>
      </c>
      <c r="AG523" s="214">
        <v>0</v>
      </c>
      <c r="AH523" s="214">
        <v>0</v>
      </c>
      <c r="AI523" s="87">
        <v>193600</v>
      </c>
      <c r="AJ523" s="87">
        <v>0</v>
      </c>
      <c r="AK523" s="87">
        <v>193600</v>
      </c>
      <c r="AL523" s="87">
        <v>193600</v>
      </c>
      <c r="AM523" s="87">
        <v>1555200</v>
      </c>
      <c r="AN523" s="87">
        <v>193600</v>
      </c>
      <c r="AO523" s="87">
        <v>193600</v>
      </c>
      <c r="AP523" s="87">
        <v>193000</v>
      </c>
      <c r="AQ523" s="88">
        <v>0</v>
      </c>
      <c r="AR523" s="88">
        <v>0</v>
      </c>
      <c r="AS523" s="88">
        <v>0</v>
      </c>
      <c r="AT523" s="88">
        <v>0</v>
      </c>
      <c r="AU523" s="88">
        <v>0</v>
      </c>
      <c r="AV523" s="88">
        <v>0</v>
      </c>
      <c r="AW523" s="88">
        <v>0</v>
      </c>
      <c r="AX523" s="88">
        <v>0</v>
      </c>
      <c r="AY523" s="87">
        <v>0</v>
      </c>
      <c r="AZ523" s="87">
        <v>0</v>
      </c>
      <c r="BA523" s="87">
        <v>0</v>
      </c>
      <c r="BB523" s="87">
        <v>0</v>
      </c>
      <c r="BC523" s="87">
        <v>0</v>
      </c>
      <c r="BD523" s="87">
        <v>0</v>
      </c>
      <c r="BE523" s="87">
        <v>0</v>
      </c>
      <c r="BF523" s="87">
        <v>0</v>
      </c>
      <c r="BG523" s="88">
        <v>0</v>
      </c>
      <c r="BH523" s="88">
        <v>0</v>
      </c>
      <c r="BI523" s="88">
        <v>0</v>
      </c>
      <c r="BJ523" s="88">
        <v>0</v>
      </c>
      <c r="BK523" s="88">
        <v>0</v>
      </c>
      <c r="BL523" s="88">
        <v>0</v>
      </c>
      <c r="BM523" s="88">
        <v>0</v>
      </c>
      <c r="BN523" s="590">
        <v>0</v>
      </c>
      <c r="BO523" s="171">
        <v>2023</v>
      </c>
      <c r="BP523" s="171">
        <v>1</v>
      </c>
      <c r="BQ523" s="171">
        <v>19</v>
      </c>
      <c r="BS523" s="76" t="str">
        <f t="shared" si="16"/>
        <v>○</v>
      </c>
    </row>
    <row r="524" spans="1:71" x14ac:dyDescent="0.2">
      <c r="A524" s="210">
        <v>1730</v>
      </c>
      <c r="B524" s="211"/>
      <c r="C524" s="212"/>
      <c r="D524" s="211"/>
      <c r="E524" s="212"/>
      <c r="F524" s="211"/>
      <c r="G524" s="211"/>
      <c r="H524" s="212"/>
      <c r="I524" s="211"/>
      <c r="J524" s="211"/>
      <c r="K524" s="211"/>
      <c r="L524" s="171"/>
      <c r="M524" s="171" t="s">
        <v>854</v>
      </c>
      <c r="N524" s="171" t="s">
        <v>286</v>
      </c>
      <c r="O524" s="171" t="s">
        <v>855</v>
      </c>
      <c r="P524" s="171" t="s">
        <v>916</v>
      </c>
      <c r="Q524" s="171"/>
      <c r="R524" s="213">
        <v>177000</v>
      </c>
      <c r="S524" s="87">
        <v>0</v>
      </c>
      <c r="T524" s="87">
        <v>0</v>
      </c>
      <c r="U524" s="87">
        <v>0</v>
      </c>
      <c r="V524" s="87">
        <v>0</v>
      </c>
      <c r="W524" s="87">
        <v>0</v>
      </c>
      <c r="X524" s="87">
        <v>0</v>
      </c>
      <c r="Y524" s="87">
        <v>0</v>
      </c>
      <c r="Z524" s="87">
        <v>0</v>
      </c>
      <c r="AA524" s="214">
        <v>0</v>
      </c>
      <c r="AB524" s="214">
        <v>0</v>
      </c>
      <c r="AC524" s="214">
        <v>0</v>
      </c>
      <c r="AD524" s="214">
        <v>0</v>
      </c>
      <c r="AE524" s="214">
        <v>0</v>
      </c>
      <c r="AF524" s="214">
        <v>0</v>
      </c>
      <c r="AG524" s="214">
        <v>0</v>
      </c>
      <c r="AH524" s="214">
        <v>0</v>
      </c>
      <c r="AI524" s="87">
        <v>177027</v>
      </c>
      <c r="AJ524" s="87">
        <v>0</v>
      </c>
      <c r="AK524" s="87">
        <v>177027</v>
      </c>
      <c r="AL524" s="87">
        <v>177027</v>
      </c>
      <c r="AM524" s="87">
        <v>4147200</v>
      </c>
      <c r="AN524" s="87">
        <v>177027</v>
      </c>
      <c r="AO524" s="87">
        <v>177027</v>
      </c>
      <c r="AP524" s="87">
        <v>177000</v>
      </c>
      <c r="AQ524" s="88">
        <v>0</v>
      </c>
      <c r="AR524" s="88">
        <v>0</v>
      </c>
      <c r="AS524" s="88">
        <v>0</v>
      </c>
      <c r="AT524" s="88">
        <v>0</v>
      </c>
      <c r="AU524" s="88">
        <v>0</v>
      </c>
      <c r="AV524" s="88">
        <v>0</v>
      </c>
      <c r="AW524" s="88">
        <v>0</v>
      </c>
      <c r="AX524" s="88">
        <v>0</v>
      </c>
      <c r="AY524" s="87">
        <v>0</v>
      </c>
      <c r="AZ524" s="87">
        <v>0</v>
      </c>
      <c r="BA524" s="87">
        <v>0</v>
      </c>
      <c r="BB524" s="87">
        <v>0</v>
      </c>
      <c r="BC524" s="87">
        <v>0</v>
      </c>
      <c r="BD524" s="87">
        <v>0</v>
      </c>
      <c r="BE524" s="87">
        <v>0</v>
      </c>
      <c r="BF524" s="87">
        <v>0</v>
      </c>
      <c r="BG524" s="88">
        <v>0</v>
      </c>
      <c r="BH524" s="88">
        <v>0</v>
      </c>
      <c r="BI524" s="88">
        <v>0</v>
      </c>
      <c r="BJ524" s="88">
        <v>0</v>
      </c>
      <c r="BK524" s="88">
        <v>0</v>
      </c>
      <c r="BL524" s="88">
        <v>0</v>
      </c>
      <c r="BM524" s="88">
        <v>0</v>
      </c>
      <c r="BN524" s="590">
        <v>0</v>
      </c>
      <c r="BO524" s="171">
        <v>2023</v>
      </c>
      <c r="BP524" s="171">
        <v>1</v>
      </c>
      <c r="BQ524" s="171">
        <v>19</v>
      </c>
      <c r="BS524" s="76" t="str">
        <f t="shared" si="16"/>
        <v>○</v>
      </c>
    </row>
    <row r="525" spans="1:71" x14ac:dyDescent="0.2">
      <c r="A525" s="210">
        <v>1731</v>
      </c>
      <c r="B525" s="211"/>
      <c r="C525" s="212"/>
      <c r="D525" s="211"/>
      <c r="E525" s="212"/>
      <c r="F525" s="211"/>
      <c r="G525" s="211"/>
      <c r="H525" s="212"/>
      <c r="I525" s="211"/>
      <c r="J525" s="211"/>
      <c r="K525" s="211"/>
      <c r="L525" s="171"/>
      <c r="M525" s="171" t="s">
        <v>502</v>
      </c>
      <c r="N525" s="171" t="s">
        <v>330</v>
      </c>
      <c r="O525" s="171" t="s">
        <v>364</v>
      </c>
      <c r="P525" s="171" t="s">
        <v>916</v>
      </c>
      <c r="Q525" s="171"/>
      <c r="R525" s="213">
        <v>10000</v>
      </c>
      <c r="S525" s="87">
        <v>0</v>
      </c>
      <c r="T525" s="87">
        <v>0</v>
      </c>
      <c r="U525" s="87">
        <v>0</v>
      </c>
      <c r="V525" s="87">
        <v>0</v>
      </c>
      <c r="W525" s="87">
        <v>0</v>
      </c>
      <c r="X525" s="87">
        <v>0</v>
      </c>
      <c r="Y525" s="87">
        <v>0</v>
      </c>
      <c r="Z525" s="87">
        <v>0</v>
      </c>
      <c r="AA525" s="214">
        <v>0</v>
      </c>
      <c r="AB525" s="214">
        <v>0</v>
      </c>
      <c r="AC525" s="214">
        <v>0</v>
      </c>
      <c r="AD525" s="214">
        <v>0</v>
      </c>
      <c r="AE525" s="214">
        <v>0</v>
      </c>
      <c r="AF525" s="214">
        <v>0</v>
      </c>
      <c r="AG525" s="214">
        <v>0</v>
      </c>
      <c r="AH525" s="214">
        <v>0</v>
      </c>
      <c r="AI525" s="87">
        <v>10560</v>
      </c>
      <c r="AJ525" s="87">
        <v>0</v>
      </c>
      <c r="AK525" s="87">
        <v>10560</v>
      </c>
      <c r="AL525" s="87">
        <v>10560</v>
      </c>
      <c r="AM525" s="87">
        <v>1350000</v>
      </c>
      <c r="AN525" s="87">
        <v>10560</v>
      </c>
      <c r="AO525" s="87">
        <v>10560</v>
      </c>
      <c r="AP525" s="87">
        <v>10000</v>
      </c>
      <c r="AQ525" s="88">
        <v>0</v>
      </c>
      <c r="AR525" s="88">
        <v>0</v>
      </c>
      <c r="AS525" s="88">
        <v>0</v>
      </c>
      <c r="AT525" s="88">
        <v>0</v>
      </c>
      <c r="AU525" s="88">
        <v>0</v>
      </c>
      <c r="AV525" s="88">
        <v>0</v>
      </c>
      <c r="AW525" s="88">
        <v>0</v>
      </c>
      <c r="AX525" s="88">
        <v>0</v>
      </c>
      <c r="AY525" s="87">
        <v>0</v>
      </c>
      <c r="AZ525" s="87">
        <v>0</v>
      </c>
      <c r="BA525" s="87">
        <v>0</v>
      </c>
      <c r="BB525" s="87">
        <v>0</v>
      </c>
      <c r="BC525" s="87">
        <v>0</v>
      </c>
      <c r="BD525" s="87">
        <v>0</v>
      </c>
      <c r="BE525" s="87">
        <v>0</v>
      </c>
      <c r="BF525" s="87">
        <v>0</v>
      </c>
      <c r="BG525" s="88">
        <v>0</v>
      </c>
      <c r="BH525" s="88">
        <v>0</v>
      </c>
      <c r="BI525" s="88">
        <v>0</v>
      </c>
      <c r="BJ525" s="88">
        <v>0</v>
      </c>
      <c r="BK525" s="88">
        <v>0</v>
      </c>
      <c r="BL525" s="88">
        <v>0</v>
      </c>
      <c r="BM525" s="88">
        <v>0</v>
      </c>
      <c r="BN525" s="590">
        <v>0</v>
      </c>
      <c r="BO525" s="171">
        <v>2023</v>
      </c>
      <c r="BP525" s="171">
        <v>1</v>
      </c>
      <c r="BQ525" s="171">
        <v>19</v>
      </c>
      <c r="BS525" s="76" t="str">
        <f t="shared" si="16"/>
        <v>○</v>
      </c>
    </row>
    <row r="526" spans="1:71" x14ac:dyDescent="0.2">
      <c r="A526" s="210">
        <v>1732</v>
      </c>
      <c r="B526" s="211"/>
      <c r="C526" s="212"/>
      <c r="D526" s="211"/>
      <c r="E526" s="212"/>
      <c r="F526" s="211"/>
      <c r="G526" s="211"/>
      <c r="H526" s="212"/>
      <c r="I526" s="211"/>
      <c r="J526" s="211"/>
      <c r="K526" s="211"/>
      <c r="L526" s="171"/>
      <c r="M526" s="171" t="s">
        <v>736</v>
      </c>
      <c r="N526" s="171" t="s">
        <v>269</v>
      </c>
      <c r="O526" s="171" t="s">
        <v>737</v>
      </c>
      <c r="P526" s="171" t="s">
        <v>916</v>
      </c>
      <c r="Q526" s="171"/>
      <c r="R526" s="213">
        <v>255000</v>
      </c>
      <c r="S526" s="87">
        <v>0</v>
      </c>
      <c r="T526" s="87">
        <v>0</v>
      </c>
      <c r="U526" s="87">
        <v>0</v>
      </c>
      <c r="V526" s="87">
        <v>0</v>
      </c>
      <c r="W526" s="87">
        <v>0</v>
      </c>
      <c r="X526" s="87">
        <v>0</v>
      </c>
      <c r="Y526" s="87">
        <v>0</v>
      </c>
      <c r="Z526" s="87">
        <v>0</v>
      </c>
      <c r="AA526" s="214">
        <v>0</v>
      </c>
      <c r="AB526" s="214">
        <v>0</v>
      </c>
      <c r="AC526" s="214">
        <v>0</v>
      </c>
      <c r="AD526" s="214">
        <v>0</v>
      </c>
      <c r="AE526" s="214">
        <v>0</v>
      </c>
      <c r="AF526" s="214">
        <v>0</v>
      </c>
      <c r="AG526" s="214">
        <v>0</v>
      </c>
      <c r="AH526" s="214">
        <v>0</v>
      </c>
      <c r="AI526" s="87">
        <v>255912</v>
      </c>
      <c r="AJ526" s="87">
        <v>0</v>
      </c>
      <c r="AK526" s="87">
        <v>255912</v>
      </c>
      <c r="AL526" s="87">
        <v>255912</v>
      </c>
      <c r="AM526" s="87">
        <v>3024000</v>
      </c>
      <c r="AN526" s="87">
        <v>255912</v>
      </c>
      <c r="AO526" s="87">
        <v>255912</v>
      </c>
      <c r="AP526" s="87">
        <v>255000</v>
      </c>
      <c r="AQ526" s="88">
        <v>0</v>
      </c>
      <c r="AR526" s="88">
        <v>0</v>
      </c>
      <c r="AS526" s="88">
        <v>0</v>
      </c>
      <c r="AT526" s="88">
        <v>0</v>
      </c>
      <c r="AU526" s="88">
        <v>0</v>
      </c>
      <c r="AV526" s="88">
        <v>0</v>
      </c>
      <c r="AW526" s="88">
        <v>0</v>
      </c>
      <c r="AX526" s="88">
        <v>0</v>
      </c>
      <c r="AY526" s="87">
        <v>0</v>
      </c>
      <c r="AZ526" s="87">
        <v>0</v>
      </c>
      <c r="BA526" s="87">
        <v>0</v>
      </c>
      <c r="BB526" s="87">
        <v>0</v>
      </c>
      <c r="BC526" s="87">
        <v>0</v>
      </c>
      <c r="BD526" s="87">
        <v>0</v>
      </c>
      <c r="BE526" s="87">
        <v>0</v>
      </c>
      <c r="BF526" s="87">
        <v>0</v>
      </c>
      <c r="BG526" s="88">
        <v>0</v>
      </c>
      <c r="BH526" s="88">
        <v>0</v>
      </c>
      <c r="BI526" s="88">
        <v>0</v>
      </c>
      <c r="BJ526" s="88">
        <v>0</v>
      </c>
      <c r="BK526" s="88">
        <v>0</v>
      </c>
      <c r="BL526" s="88">
        <v>0</v>
      </c>
      <c r="BM526" s="88">
        <v>0</v>
      </c>
      <c r="BN526" s="590">
        <v>0</v>
      </c>
      <c r="BO526" s="171">
        <v>2023</v>
      </c>
      <c r="BP526" s="171">
        <v>1</v>
      </c>
      <c r="BQ526" s="171">
        <v>19</v>
      </c>
      <c r="BS526" s="76" t="str">
        <f t="shared" si="16"/>
        <v>○</v>
      </c>
    </row>
    <row r="527" spans="1:71" x14ac:dyDescent="0.2">
      <c r="A527" s="210">
        <v>1733</v>
      </c>
      <c r="B527" s="211"/>
      <c r="C527" s="212"/>
      <c r="D527" s="211"/>
      <c r="E527" s="212"/>
      <c r="F527" s="211"/>
      <c r="G527" s="211"/>
      <c r="H527" s="212"/>
      <c r="I527" s="211"/>
      <c r="J527" s="211"/>
      <c r="K527" s="211"/>
      <c r="L527" s="171"/>
      <c r="M527" s="171" t="s">
        <v>856</v>
      </c>
      <c r="N527" s="171" t="s">
        <v>269</v>
      </c>
      <c r="O527" s="171" t="s">
        <v>857</v>
      </c>
      <c r="P527" s="171" t="s">
        <v>916</v>
      </c>
      <c r="Q527" s="171"/>
      <c r="R527" s="213">
        <v>385000</v>
      </c>
      <c r="S527" s="87">
        <v>0</v>
      </c>
      <c r="T527" s="87">
        <v>0</v>
      </c>
      <c r="U527" s="87">
        <v>0</v>
      </c>
      <c r="V527" s="87">
        <v>0</v>
      </c>
      <c r="W527" s="87">
        <v>0</v>
      </c>
      <c r="X527" s="87">
        <v>0</v>
      </c>
      <c r="Y527" s="87">
        <v>0</v>
      </c>
      <c r="Z527" s="87">
        <v>0</v>
      </c>
      <c r="AA527" s="214">
        <v>0</v>
      </c>
      <c r="AB527" s="214">
        <v>0</v>
      </c>
      <c r="AC527" s="214">
        <v>0</v>
      </c>
      <c r="AD527" s="214">
        <v>0</v>
      </c>
      <c r="AE527" s="214">
        <v>0</v>
      </c>
      <c r="AF527" s="214">
        <v>0</v>
      </c>
      <c r="AG527" s="214">
        <v>0</v>
      </c>
      <c r="AH527" s="214">
        <v>0</v>
      </c>
      <c r="AI527" s="87">
        <v>385216</v>
      </c>
      <c r="AJ527" s="87">
        <v>0</v>
      </c>
      <c r="AK527" s="87">
        <v>385216</v>
      </c>
      <c r="AL527" s="87">
        <v>385216</v>
      </c>
      <c r="AM527" s="87">
        <v>3067200</v>
      </c>
      <c r="AN527" s="87">
        <v>385216</v>
      </c>
      <c r="AO527" s="87">
        <v>385216</v>
      </c>
      <c r="AP527" s="87">
        <v>385000</v>
      </c>
      <c r="AQ527" s="88">
        <v>0</v>
      </c>
      <c r="AR527" s="88">
        <v>0</v>
      </c>
      <c r="AS527" s="88">
        <v>0</v>
      </c>
      <c r="AT527" s="88">
        <v>0</v>
      </c>
      <c r="AU527" s="88">
        <v>0</v>
      </c>
      <c r="AV527" s="88">
        <v>0</v>
      </c>
      <c r="AW527" s="88">
        <v>0</v>
      </c>
      <c r="AX527" s="88">
        <v>0</v>
      </c>
      <c r="AY527" s="87">
        <v>0</v>
      </c>
      <c r="AZ527" s="87">
        <v>0</v>
      </c>
      <c r="BA527" s="87">
        <v>0</v>
      </c>
      <c r="BB527" s="87">
        <v>0</v>
      </c>
      <c r="BC527" s="87">
        <v>0</v>
      </c>
      <c r="BD527" s="87">
        <v>0</v>
      </c>
      <c r="BE527" s="87">
        <v>0</v>
      </c>
      <c r="BF527" s="87">
        <v>0</v>
      </c>
      <c r="BG527" s="88">
        <v>0</v>
      </c>
      <c r="BH527" s="88">
        <v>0</v>
      </c>
      <c r="BI527" s="88">
        <v>0</v>
      </c>
      <c r="BJ527" s="88">
        <v>0</v>
      </c>
      <c r="BK527" s="88">
        <v>0</v>
      </c>
      <c r="BL527" s="88">
        <v>0</v>
      </c>
      <c r="BM527" s="88">
        <v>0</v>
      </c>
      <c r="BN527" s="590">
        <v>0</v>
      </c>
      <c r="BO527" s="171">
        <v>2023</v>
      </c>
      <c r="BP527" s="171">
        <v>1</v>
      </c>
      <c r="BQ527" s="171">
        <v>19</v>
      </c>
      <c r="BS527" s="76" t="str">
        <f t="shared" si="16"/>
        <v>○</v>
      </c>
    </row>
    <row r="528" spans="1:71" x14ac:dyDescent="0.2">
      <c r="A528" s="210">
        <v>1734</v>
      </c>
      <c r="B528" s="211"/>
      <c r="C528" s="212"/>
      <c r="D528" s="211"/>
      <c r="E528" s="212"/>
      <c r="F528" s="211"/>
      <c r="G528" s="211"/>
      <c r="H528" s="212"/>
      <c r="I528" s="211"/>
      <c r="J528" s="211"/>
      <c r="K528" s="211"/>
      <c r="L528" s="171"/>
      <c r="M528" s="171" t="s">
        <v>858</v>
      </c>
      <c r="N528" s="171" t="s">
        <v>393</v>
      </c>
      <c r="O528" s="171" t="s">
        <v>859</v>
      </c>
      <c r="P528" s="171" t="s">
        <v>916</v>
      </c>
      <c r="Q528" s="171"/>
      <c r="R528" s="213">
        <v>196000</v>
      </c>
      <c r="S528" s="87">
        <v>0</v>
      </c>
      <c r="T528" s="87">
        <v>0</v>
      </c>
      <c r="U528" s="87">
        <v>0</v>
      </c>
      <c r="V528" s="87">
        <v>0</v>
      </c>
      <c r="W528" s="87">
        <v>0</v>
      </c>
      <c r="X528" s="87">
        <v>0</v>
      </c>
      <c r="Y528" s="87">
        <v>0</v>
      </c>
      <c r="Z528" s="87">
        <v>0</v>
      </c>
      <c r="AA528" s="214">
        <v>0</v>
      </c>
      <c r="AB528" s="214">
        <v>0</v>
      </c>
      <c r="AC528" s="214">
        <v>0</v>
      </c>
      <c r="AD528" s="214">
        <v>0</v>
      </c>
      <c r="AE528" s="214">
        <v>0</v>
      </c>
      <c r="AF528" s="214">
        <v>0</v>
      </c>
      <c r="AG528" s="214">
        <v>0</v>
      </c>
      <c r="AH528" s="214">
        <v>0</v>
      </c>
      <c r="AI528" s="87">
        <v>196640</v>
      </c>
      <c r="AJ528" s="87">
        <v>0</v>
      </c>
      <c r="AK528" s="87">
        <v>196640</v>
      </c>
      <c r="AL528" s="87">
        <v>196640</v>
      </c>
      <c r="AM528" s="87">
        <v>2646000</v>
      </c>
      <c r="AN528" s="87">
        <v>196640</v>
      </c>
      <c r="AO528" s="87">
        <v>196640</v>
      </c>
      <c r="AP528" s="87">
        <v>196000</v>
      </c>
      <c r="AQ528" s="88">
        <v>0</v>
      </c>
      <c r="AR528" s="88">
        <v>0</v>
      </c>
      <c r="AS528" s="88">
        <v>0</v>
      </c>
      <c r="AT528" s="88">
        <v>0</v>
      </c>
      <c r="AU528" s="88">
        <v>0</v>
      </c>
      <c r="AV528" s="88">
        <v>0</v>
      </c>
      <c r="AW528" s="88">
        <v>0</v>
      </c>
      <c r="AX528" s="88">
        <v>0</v>
      </c>
      <c r="AY528" s="87">
        <v>0</v>
      </c>
      <c r="AZ528" s="87">
        <v>0</v>
      </c>
      <c r="BA528" s="87">
        <v>0</v>
      </c>
      <c r="BB528" s="87">
        <v>0</v>
      </c>
      <c r="BC528" s="87">
        <v>0</v>
      </c>
      <c r="BD528" s="87">
        <v>0</v>
      </c>
      <c r="BE528" s="87">
        <v>0</v>
      </c>
      <c r="BF528" s="87">
        <v>0</v>
      </c>
      <c r="BG528" s="88">
        <v>0</v>
      </c>
      <c r="BH528" s="88">
        <v>0</v>
      </c>
      <c r="BI528" s="88">
        <v>0</v>
      </c>
      <c r="BJ528" s="88">
        <v>0</v>
      </c>
      <c r="BK528" s="88">
        <v>0</v>
      </c>
      <c r="BL528" s="88">
        <v>0</v>
      </c>
      <c r="BM528" s="88">
        <v>0</v>
      </c>
      <c r="BN528" s="590">
        <v>0</v>
      </c>
      <c r="BO528" s="171">
        <v>2023</v>
      </c>
      <c r="BP528" s="171">
        <v>1</v>
      </c>
      <c r="BQ528" s="171">
        <v>19</v>
      </c>
      <c r="BS528" s="76" t="str">
        <f t="shared" si="16"/>
        <v>○</v>
      </c>
    </row>
    <row r="529" spans="1:71" x14ac:dyDescent="0.2">
      <c r="A529" s="210">
        <v>1735</v>
      </c>
      <c r="B529" s="211"/>
      <c r="C529" s="212"/>
      <c r="D529" s="211"/>
      <c r="E529" s="212"/>
      <c r="F529" s="211"/>
      <c r="G529" s="211"/>
      <c r="H529" s="212"/>
      <c r="I529" s="211"/>
      <c r="J529" s="211"/>
      <c r="K529" s="211"/>
      <c r="L529" s="171"/>
      <c r="M529" s="171" t="s">
        <v>860</v>
      </c>
      <c r="N529" s="171" t="s">
        <v>354</v>
      </c>
      <c r="O529" s="171" t="s">
        <v>279</v>
      </c>
      <c r="P529" s="171" t="s">
        <v>916</v>
      </c>
      <c r="Q529" s="171"/>
      <c r="R529" s="213">
        <v>64000</v>
      </c>
      <c r="S529" s="87">
        <v>0</v>
      </c>
      <c r="T529" s="87">
        <v>0</v>
      </c>
      <c r="U529" s="87">
        <v>0</v>
      </c>
      <c r="V529" s="87">
        <v>0</v>
      </c>
      <c r="W529" s="87">
        <v>0</v>
      </c>
      <c r="X529" s="87">
        <v>0</v>
      </c>
      <c r="Y529" s="87">
        <v>0</v>
      </c>
      <c r="Z529" s="87">
        <v>0</v>
      </c>
      <c r="AA529" s="214">
        <v>0</v>
      </c>
      <c r="AB529" s="214">
        <v>0</v>
      </c>
      <c r="AC529" s="214">
        <v>0</v>
      </c>
      <c r="AD529" s="214">
        <v>0</v>
      </c>
      <c r="AE529" s="214">
        <v>0</v>
      </c>
      <c r="AF529" s="214">
        <v>0</v>
      </c>
      <c r="AG529" s="214">
        <v>0</v>
      </c>
      <c r="AH529" s="214">
        <v>0</v>
      </c>
      <c r="AI529" s="87">
        <v>64276</v>
      </c>
      <c r="AJ529" s="87">
        <v>0</v>
      </c>
      <c r="AK529" s="87">
        <v>64276</v>
      </c>
      <c r="AL529" s="87">
        <v>64276</v>
      </c>
      <c r="AM529" s="87">
        <v>2016000</v>
      </c>
      <c r="AN529" s="87">
        <v>64276</v>
      </c>
      <c r="AO529" s="87">
        <v>64276</v>
      </c>
      <c r="AP529" s="87">
        <v>64000</v>
      </c>
      <c r="AQ529" s="88">
        <v>0</v>
      </c>
      <c r="AR529" s="88">
        <v>0</v>
      </c>
      <c r="AS529" s="88">
        <v>0</v>
      </c>
      <c r="AT529" s="88">
        <v>0</v>
      </c>
      <c r="AU529" s="88">
        <v>0</v>
      </c>
      <c r="AV529" s="88">
        <v>0</v>
      </c>
      <c r="AW529" s="88">
        <v>0</v>
      </c>
      <c r="AX529" s="88">
        <v>0</v>
      </c>
      <c r="AY529" s="87">
        <v>0</v>
      </c>
      <c r="AZ529" s="87">
        <v>0</v>
      </c>
      <c r="BA529" s="87">
        <v>0</v>
      </c>
      <c r="BB529" s="87">
        <v>0</v>
      </c>
      <c r="BC529" s="87">
        <v>0</v>
      </c>
      <c r="BD529" s="87">
        <v>0</v>
      </c>
      <c r="BE529" s="87">
        <v>0</v>
      </c>
      <c r="BF529" s="87">
        <v>0</v>
      </c>
      <c r="BG529" s="88">
        <v>0</v>
      </c>
      <c r="BH529" s="88">
        <v>0</v>
      </c>
      <c r="BI529" s="88">
        <v>0</v>
      </c>
      <c r="BJ529" s="88">
        <v>0</v>
      </c>
      <c r="BK529" s="88">
        <v>0</v>
      </c>
      <c r="BL529" s="88">
        <v>0</v>
      </c>
      <c r="BM529" s="88">
        <v>0</v>
      </c>
      <c r="BN529" s="590">
        <v>0</v>
      </c>
      <c r="BO529" s="171">
        <v>2023</v>
      </c>
      <c r="BP529" s="171">
        <v>1</v>
      </c>
      <c r="BQ529" s="171">
        <v>19</v>
      </c>
      <c r="BS529" s="76" t="str">
        <f t="shared" si="16"/>
        <v>○</v>
      </c>
    </row>
    <row r="530" spans="1:71" x14ac:dyDescent="0.2">
      <c r="A530" s="210">
        <v>1736</v>
      </c>
      <c r="B530" s="211"/>
      <c r="C530" s="212"/>
      <c r="D530" s="211"/>
      <c r="E530" s="212"/>
      <c r="F530" s="211"/>
      <c r="G530" s="211"/>
      <c r="H530" s="212"/>
      <c r="I530" s="211"/>
      <c r="J530" s="211"/>
      <c r="K530" s="211"/>
      <c r="L530" s="171"/>
      <c r="M530" s="171" t="s">
        <v>861</v>
      </c>
      <c r="N530" s="171" t="s">
        <v>299</v>
      </c>
      <c r="O530" s="171" t="s">
        <v>396</v>
      </c>
      <c r="P530" s="171" t="s">
        <v>916</v>
      </c>
      <c r="Q530" s="171"/>
      <c r="R530" s="213">
        <v>159000</v>
      </c>
      <c r="S530" s="87">
        <v>0</v>
      </c>
      <c r="T530" s="87">
        <v>0</v>
      </c>
      <c r="U530" s="87">
        <v>0</v>
      </c>
      <c r="V530" s="87">
        <v>0</v>
      </c>
      <c r="W530" s="87">
        <v>0</v>
      </c>
      <c r="X530" s="87">
        <v>0</v>
      </c>
      <c r="Y530" s="87">
        <v>0</v>
      </c>
      <c r="Z530" s="87">
        <v>0</v>
      </c>
      <c r="AA530" s="214">
        <v>0</v>
      </c>
      <c r="AB530" s="214">
        <v>0</v>
      </c>
      <c r="AC530" s="214">
        <v>0</v>
      </c>
      <c r="AD530" s="214">
        <v>0</v>
      </c>
      <c r="AE530" s="214">
        <v>0</v>
      </c>
      <c r="AF530" s="214">
        <v>0</v>
      </c>
      <c r="AG530" s="214">
        <v>0</v>
      </c>
      <c r="AH530" s="214">
        <v>0</v>
      </c>
      <c r="AI530" s="87">
        <v>159940</v>
      </c>
      <c r="AJ530" s="87">
        <v>0</v>
      </c>
      <c r="AK530" s="87">
        <v>159940</v>
      </c>
      <c r="AL530" s="87">
        <v>159940</v>
      </c>
      <c r="AM530" s="87">
        <v>1029600</v>
      </c>
      <c r="AN530" s="87">
        <v>159940</v>
      </c>
      <c r="AO530" s="87">
        <v>159940</v>
      </c>
      <c r="AP530" s="87">
        <v>159000</v>
      </c>
      <c r="AQ530" s="88">
        <v>0</v>
      </c>
      <c r="AR530" s="88">
        <v>0</v>
      </c>
      <c r="AS530" s="88">
        <v>0</v>
      </c>
      <c r="AT530" s="88">
        <v>0</v>
      </c>
      <c r="AU530" s="88">
        <v>0</v>
      </c>
      <c r="AV530" s="88">
        <v>0</v>
      </c>
      <c r="AW530" s="88">
        <v>0</v>
      </c>
      <c r="AX530" s="88">
        <v>0</v>
      </c>
      <c r="AY530" s="87">
        <v>0</v>
      </c>
      <c r="AZ530" s="87">
        <v>0</v>
      </c>
      <c r="BA530" s="87">
        <v>0</v>
      </c>
      <c r="BB530" s="87">
        <v>0</v>
      </c>
      <c r="BC530" s="87">
        <v>0</v>
      </c>
      <c r="BD530" s="87">
        <v>0</v>
      </c>
      <c r="BE530" s="87">
        <v>0</v>
      </c>
      <c r="BF530" s="87">
        <v>0</v>
      </c>
      <c r="BG530" s="88">
        <v>0</v>
      </c>
      <c r="BH530" s="88">
        <v>0</v>
      </c>
      <c r="BI530" s="88">
        <v>0</v>
      </c>
      <c r="BJ530" s="88">
        <v>0</v>
      </c>
      <c r="BK530" s="88">
        <v>0</v>
      </c>
      <c r="BL530" s="88">
        <v>0</v>
      </c>
      <c r="BM530" s="88">
        <v>0</v>
      </c>
      <c r="BN530" s="590">
        <v>0</v>
      </c>
      <c r="BO530" s="171">
        <v>2023</v>
      </c>
      <c r="BP530" s="171">
        <v>1</v>
      </c>
      <c r="BQ530" s="171">
        <v>19</v>
      </c>
      <c r="BS530" s="76" t="str">
        <f t="shared" si="16"/>
        <v>○</v>
      </c>
    </row>
    <row r="531" spans="1:71" x14ac:dyDescent="0.2">
      <c r="A531" s="210">
        <v>1737</v>
      </c>
      <c r="B531" s="211"/>
      <c r="C531" s="212"/>
      <c r="D531" s="211"/>
      <c r="E531" s="212"/>
      <c r="F531" s="211"/>
      <c r="G531" s="211"/>
      <c r="H531" s="212"/>
      <c r="I531" s="211"/>
      <c r="J531" s="211"/>
      <c r="K531" s="211"/>
      <c r="L531" s="171"/>
      <c r="M531" s="171" t="s">
        <v>426</v>
      </c>
      <c r="N531" s="171" t="s">
        <v>313</v>
      </c>
      <c r="O531" s="171" t="s">
        <v>427</v>
      </c>
      <c r="P531" s="171" t="s">
        <v>916</v>
      </c>
      <c r="Q531" s="171"/>
      <c r="R531" s="213">
        <v>272000</v>
      </c>
      <c r="S531" s="87">
        <v>0</v>
      </c>
      <c r="T531" s="87">
        <v>0</v>
      </c>
      <c r="U531" s="87">
        <v>0</v>
      </c>
      <c r="V531" s="87">
        <v>0</v>
      </c>
      <c r="W531" s="87">
        <v>0</v>
      </c>
      <c r="X531" s="87">
        <v>0</v>
      </c>
      <c r="Y531" s="87">
        <v>0</v>
      </c>
      <c r="Z531" s="87">
        <v>0</v>
      </c>
      <c r="AA531" s="214">
        <v>0</v>
      </c>
      <c r="AB531" s="214">
        <v>0</v>
      </c>
      <c r="AC531" s="214">
        <v>0</v>
      </c>
      <c r="AD531" s="214">
        <v>0</v>
      </c>
      <c r="AE531" s="214">
        <v>0</v>
      </c>
      <c r="AF531" s="214">
        <v>0</v>
      </c>
      <c r="AG531" s="214">
        <v>0</v>
      </c>
      <c r="AH531" s="214">
        <v>0</v>
      </c>
      <c r="AI531" s="87">
        <v>272250</v>
      </c>
      <c r="AJ531" s="87">
        <v>0</v>
      </c>
      <c r="AK531" s="87">
        <v>272250</v>
      </c>
      <c r="AL531" s="87">
        <v>272250</v>
      </c>
      <c r="AM531" s="87">
        <v>561600</v>
      </c>
      <c r="AN531" s="87">
        <v>272250</v>
      </c>
      <c r="AO531" s="87">
        <v>272250</v>
      </c>
      <c r="AP531" s="87">
        <v>272000</v>
      </c>
      <c r="AQ531" s="88">
        <v>0</v>
      </c>
      <c r="AR531" s="88">
        <v>0</v>
      </c>
      <c r="AS531" s="88">
        <v>0</v>
      </c>
      <c r="AT531" s="88">
        <v>0</v>
      </c>
      <c r="AU531" s="88">
        <v>0</v>
      </c>
      <c r="AV531" s="88">
        <v>0</v>
      </c>
      <c r="AW531" s="88">
        <v>0</v>
      </c>
      <c r="AX531" s="88">
        <v>0</v>
      </c>
      <c r="AY531" s="87">
        <v>0</v>
      </c>
      <c r="AZ531" s="87">
        <v>0</v>
      </c>
      <c r="BA531" s="87">
        <v>0</v>
      </c>
      <c r="BB531" s="87">
        <v>0</v>
      </c>
      <c r="BC531" s="87">
        <v>0</v>
      </c>
      <c r="BD531" s="87">
        <v>0</v>
      </c>
      <c r="BE531" s="87">
        <v>0</v>
      </c>
      <c r="BF531" s="87">
        <v>0</v>
      </c>
      <c r="BG531" s="88">
        <v>0</v>
      </c>
      <c r="BH531" s="88">
        <v>0</v>
      </c>
      <c r="BI531" s="88">
        <v>0</v>
      </c>
      <c r="BJ531" s="88">
        <v>0</v>
      </c>
      <c r="BK531" s="88">
        <v>0</v>
      </c>
      <c r="BL531" s="88">
        <v>0</v>
      </c>
      <c r="BM531" s="88">
        <v>0</v>
      </c>
      <c r="BN531" s="590">
        <v>0</v>
      </c>
      <c r="BO531" s="171">
        <v>2023</v>
      </c>
      <c r="BP531" s="171">
        <v>1</v>
      </c>
      <c r="BQ531" s="171">
        <v>19</v>
      </c>
      <c r="BS531" s="76" t="str">
        <f t="shared" si="16"/>
        <v>○</v>
      </c>
    </row>
    <row r="532" spans="1:71" x14ac:dyDescent="0.2">
      <c r="A532" s="210">
        <v>1738</v>
      </c>
      <c r="B532" s="211"/>
      <c r="C532" s="212"/>
      <c r="D532" s="211"/>
      <c r="E532" s="212"/>
      <c r="F532" s="211"/>
      <c r="G532" s="211"/>
      <c r="H532" s="212"/>
      <c r="I532" s="211"/>
      <c r="J532" s="211"/>
      <c r="K532" s="211"/>
      <c r="L532" s="171"/>
      <c r="M532" s="171" t="s">
        <v>862</v>
      </c>
      <c r="N532" s="171" t="s">
        <v>313</v>
      </c>
      <c r="O532" s="171" t="s">
        <v>461</v>
      </c>
      <c r="P532" s="171" t="s">
        <v>916</v>
      </c>
      <c r="Q532" s="171"/>
      <c r="R532" s="213">
        <v>643000</v>
      </c>
      <c r="S532" s="87">
        <v>0</v>
      </c>
      <c r="T532" s="87">
        <v>0</v>
      </c>
      <c r="U532" s="87">
        <v>0</v>
      </c>
      <c r="V532" s="87">
        <v>0</v>
      </c>
      <c r="W532" s="87">
        <v>0</v>
      </c>
      <c r="X532" s="87">
        <v>0</v>
      </c>
      <c r="Y532" s="87">
        <v>0</v>
      </c>
      <c r="Z532" s="87">
        <v>0</v>
      </c>
      <c r="AA532" s="214">
        <v>0</v>
      </c>
      <c r="AB532" s="214">
        <v>0</v>
      </c>
      <c r="AC532" s="214">
        <v>0</v>
      </c>
      <c r="AD532" s="214">
        <v>0</v>
      </c>
      <c r="AE532" s="214">
        <v>0</v>
      </c>
      <c r="AF532" s="214">
        <v>0</v>
      </c>
      <c r="AG532" s="214">
        <v>0</v>
      </c>
      <c r="AH532" s="214">
        <v>0</v>
      </c>
      <c r="AI532" s="87">
        <v>643500</v>
      </c>
      <c r="AJ532" s="87">
        <v>0</v>
      </c>
      <c r="AK532" s="87">
        <v>643500</v>
      </c>
      <c r="AL532" s="87">
        <v>643500</v>
      </c>
      <c r="AM532" s="87">
        <v>1756800</v>
      </c>
      <c r="AN532" s="87">
        <v>643500</v>
      </c>
      <c r="AO532" s="87">
        <v>643500</v>
      </c>
      <c r="AP532" s="87">
        <v>643000</v>
      </c>
      <c r="AQ532" s="88">
        <v>0</v>
      </c>
      <c r="AR532" s="88">
        <v>0</v>
      </c>
      <c r="AS532" s="88">
        <v>0</v>
      </c>
      <c r="AT532" s="88">
        <v>0</v>
      </c>
      <c r="AU532" s="88">
        <v>0</v>
      </c>
      <c r="AV532" s="88">
        <v>0</v>
      </c>
      <c r="AW532" s="88">
        <v>0</v>
      </c>
      <c r="AX532" s="88">
        <v>0</v>
      </c>
      <c r="AY532" s="87">
        <v>0</v>
      </c>
      <c r="AZ532" s="87">
        <v>0</v>
      </c>
      <c r="BA532" s="87">
        <v>0</v>
      </c>
      <c r="BB532" s="87">
        <v>0</v>
      </c>
      <c r="BC532" s="87">
        <v>0</v>
      </c>
      <c r="BD532" s="87">
        <v>0</v>
      </c>
      <c r="BE532" s="87">
        <v>0</v>
      </c>
      <c r="BF532" s="87">
        <v>0</v>
      </c>
      <c r="BG532" s="88">
        <v>0</v>
      </c>
      <c r="BH532" s="88">
        <v>0</v>
      </c>
      <c r="BI532" s="88">
        <v>0</v>
      </c>
      <c r="BJ532" s="88">
        <v>0</v>
      </c>
      <c r="BK532" s="88">
        <v>0</v>
      </c>
      <c r="BL532" s="88">
        <v>0</v>
      </c>
      <c r="BM532" s="88">
        <v>0</v>
      </c>
      <c r="BN532" s="590">
        <v>0</v>
      </c>
      <c r="BO532" s="171">
        <v>2023</v>
      </c>
      <c r="BP532" s="171">
        <v>1</v>
      </c>
      <c r="BQ532" s="171">
        <v>19</v>
      </c>
      <c r="BS532" s="76" t="str">
        <f t="shared" si="16"/>
        <v>○</v>
      </c>
    </row>
    <row r="533" spans="1:71" x14ac:dyDescent="0.2">
      <c r="A533" s="210">
        <v>1739</v>
      </c>
      <c r="B533" s="211"/>
      <c r="C533" s="212"/>
      <c r="D533" s="211"/>
      <c r="E533" s="212"/>
      <c r="F533" s="211"/>
      <c r="G533" s="211"/>
      <c r="H533" s="212"/>
      <c r="I533" s="211"/>
      <c r="J533" s="211"/>
      <c r="K533" s="211"/>
      <c r="L533" s="171"/>
      <c r="M533" s="171" t="s">
        <v>431</v>
      </c>
      <c r="N533" s="171" t="s">
        <v>429</v>
      </c>
      <c r="O533" s="171" t="s">
        <v>432</v>
      </c>
      <c r="P533" s="171" t="s">
        <v>916</v>
      </c>
      <c r="Q533" s="171"/>
      <c r="R533" s="213">
        <v>271000</v>
      </c>
      <c r="S533" s="87">
        <v>0</v>
      </c>
      <c r="T533" s="87">
        <v>0</v>
      </c>
      <c r="U533" s="87">
        <v>0</v>
      </c>
      <c r="V533" s="87">
        <v>0</v>
      </c>
      <c r="W533" s="87">
        <v>0</v>
      </c>
      <c r="X533" s="87">
        <v>0</v>
      </c>
      <c r="Y533" s="87">
        <v>0</v>
      </c>
      <c r="Z533" s="87">
        <v>0</v>
      </c>
      <c r="AA533" s="214">
        <v>0</v>
      </c>
      <c r="AB533" s="214">
        <v>0</v>
      </c>
      <c r="AC533" s="214">
        <v>0</v>
      </c>
      <c r="AD533" s="214">
        <v>0</v>
      </c>
      <c r="AE533" s="214">
        <v>0</v>
      </c>
      <c r="AF533" s="214">
        <v>0</v>
      </c>
      <c r="AG533" s="214">
        <v>0</v>
      </c>
      <c r="AH533" s="214">
        <v>0</v>
      </c>
      <c r="AI533" s="87">
        <v>271122</v>
      </c>
      <c r="AJ533" s="87">
        <v>0</v>
      </c>
      <c r="AK533" s="87">
        <v>271122</v>
      </c>
      <c r="AL533" s="87">
        <v>271122</v>
      </c>
      <c r="AM533" s="87">
        <v>374400</v>
      </c>
      <c r="AN533" s="87">
        <v>271122</v>
      </c>
      <c r="AO533" s="87">
        <v>271122</v>
      </c>
      <c r="AP533" s="87">
        <v>271000</v>
      </c>
      <c r="AQ533" s="88">
        <v>0</v>
      </c>
      <c r="AR533" s="88">
        <v>0</v>
      </c>
      <c r="AS533" s="88">
        <v>0</v>
      </c>
      <c r="AT533" s="88">
        <v>0</v>
      </c>
      <c r="AU533" s="88">
        <v>0</v>
      </c>
      <c r="AV533" s="88">
        <v>0</v>
      </c>
      <c r="AW533" s="88">
        <v>0</v>
      </c>
      <c r="AX533" s="88">
        <v>0</v>
      </c>
      <c r="AY533" s="87">
        <v>0</v>
      </c>
      <c r="AZ533" s="87">
        <v>0</v>
      </c>
      <c r="BA533" s="87">
        <v>0</v>
      </c>
      <c r="BB533" s="87">
        <v>0</v>
      </c>
      <c r="BC533" s="87">
        <v>0</v>
      </c>
      <c r="BD533" s="87">
        <v>0</v>
      </c>
      <c r="BE533" s="87">
        <v>0</v>
      </c>
      <c r="BF533" s="87">
        <v>0</v>
      </c>
      <c r="BG533" s="88">
        <v>0</v>
      </c>
      <c r="BH533" s="88">
        <v>0</v>
      </c>
      <c r="BI533" s="88">
        <v>0</v>
      </c>
      <c r="BJ533" s="88">
        <v>0</v>
      </c>
      <c r="BK533" s="88">
        <v>0</v>
      </c>
      <c r="BL533" s="88">
        <v>0</v>
      </c>
      <c r="BM533" s="88">
        <v>0</v>
      </c>
      <c r="BN533" s="590">
        <v>0</v>
      </c>
      <c r="BO533" s="171">
        <v>2023</v>
      </c>
      <c r="BP533" s="171">
        <v>1</v>
      </c>
      <c r="BQ533" s="171">
        <v>19</v>
      </c>
      <c r="BS533" s="76" t="str">
        <f t="shared" ref="BS533:BS564" si="17">IF(R533=SUM(Z533,AH533,AP533,BF533,BN533),"○","×")</f>
        <v>○</v>
      </c>
    </row>
    <row r="534" spans="1:71" x14ac:dyDescent="0.2">
      <c r="A534" s="210">
        <v>1740</v>
      </c>
      <c r="B534" s="211"/>
      <c r="C534" s="212"/>
      <c r="D534" s="211"/>
      <c r="E534" s="212"/>
      <c r="F534" s="211"/>
      <c r="G534" s="211"/>
      <c r="H534" s="212"/>
      <c r="I534" s="211"/>
      <c r="J534" s="211"/>
      <c r="K534" s="211"/>
      <c r="L534" s="171"/>
      <c r="M534" s="171" t="s">
        <v>451</v>
      </c>
      <c r="N534" s="171" t="s">
        <v>269</v>
      </c>
      <c r="O534" s="171" t="s">
        <v>452</v>
      </c>
      <c r="P534" s="171" t="s">
        <v>916</v>
      </c>
      <c r="Q534" s="171"/>
      <c r="R534" s="213">
        <v>846000</v>
      </c>
      <c r="S534" s="87">
        <v>0</v>
      </c>
      <c r="T534" s="87">
        <v>0</v>
      </c>
      <c r="U534" s="87">
        <v>0</v>
      </c>
      <c r="V534" s="87">
        <v>0</v>
      </c>
      <c r="W534" s="87">
        <v>0</v>
      </c>
      <c r="X534" s="87">
        <v>0</v>
      </c>
      <c r="Y534" s="87">
        <v>0</v>
      </c>
      <c r="Z534" s="87">
        <v>0</v>
      </c>
      <c r="AA534" s="214">
        <v>0</v>
      </c>
      <c r="AB534" s="214">
        <v>0</v>
      </c>
      <c r="AC534" s="214">
        <v>0</v>
      </c>
      <c r="AD534" s="214">
        <v>0</v>
      </c>
      <c r="AE534" s="214">
        <v>0</v>
      </c>
      <c r="AF534" s="214">
        <v>0</v>
      </c>
      <c r="AG534" s="214">
        <v>0</v>
      </c>
      <c r="AH534" s="214">
        <v>0</v>
      </c>
      <c r="AI534" s="87">
        <v>846193</v>
      </c>
      <c r="AJ534" s="87">
        <v>0</v>
      </c>
      <c r="AK534" s="87">
        <v>846193</v>
      </c>
      <c r="AL534" s="87">
        <v>846193</v>
      </c>
      <c r="AM534" s="87">
        <v>1544400</v>
      </c>
      <c r="AN534" s="87">
        <v>846193</v>
      </c>
      <c r="AO534" s="87">
        <v>846193</v>
      </c>
      <c r="AP534" s="87">
        <v>846000</v>
      </c>
      <c r="AQ534" s="88">
        <v>0</v>
      </c>
      <c r="AR534" s="88">
        <v>0</v>
      </c>
      <c r="AS534" s="88">
        <v>0</v>
      </c>
      <c r="AT534" s="88">
        <v>0</v>
      </c>
      <c r="AU534" s="88">
        <v>0</v>
      </c>
      <c r="AV534" s="88">
        <v>0</v>
      </c>
      <c r="AW534" s="88">
        <v>0</v>
      </c>
      <c r="AX534" s="88">
        <v>0</v>
      </c>
      <c r="AY534" s="87">
        <v>0</v>
      </c>
      <c r="AZ534" s="87">
        <v>0</v>
      </c>
      <c r="BA534" s="87">
        <v>0</v>
      </c>
      <c r="BB534" s="87">
        <v>0</v>
      </c>
      <c r="BC534" s="87">
        <v>0</v>
      </c>
      <c r="BD534" s="87">
        <v>0</v>
      </c>
      <c r="BE534" s="87">
        <v>0</v>
      </c>
      <c r="BF534" s="87">
        <v>0</v>
      </c>
      <c r="BG534" s="88">
        <v>0</v>
      </c>
      <c r="BH534" s="88">
        <v>0</v>
      </c>
      <c r="BI534" s="88">
        <v>0</v>
      </c>
      <c r="BJ534" s="88">
        <v>0</v>
      </c>
      <c r="BK534" s="88">
        <v>0</v>
      </c>
      <c r="BL534" s="88">
        <v>0</v>
      </c>
      <c r="BM534" s="88">
        <v>0</v>
      </c>
      <c r="BN534" s="590">
        <v>0</v>
      </c>
      <c r="BO534" s="171">
        <v>2023</v>
      </c>
      <c r="BP534" s="171">
        <v>1</v>
      </c>
      <c r="BQ534" s="171">
        <v>19</v>
      </c>
      <c r="BS534" s="76" t="str">
        <f t="shared" si="17"/>
        <v>○</v>
      </c>
    </row>
    <row r="535" spans="1:71" x14ac:dyDescent="0.2">
      <c r="A535" s="210">
        <v>1741</v>
      </c>
      <c r="B535" s="211"/>
      <c r="C535" s="212"/>
      <c r="D535" s="211"/>
      <c r="E535" s="212"/>
      <c r="F535" s="211"/>
      <c r="G535" s="211"/>
      <c r="H535" s="212"/>
      <c r="I535" s="211"/>
      <c r="J535" s="211"/>
      <c r="K535" s="211"/>
      <c r="L535" s="171"/>
      <c r="M535" s="171" t="s">
        <v>441</v>
      </c>
      <c r="N535" s="171" t="s">
        <v>269</v>
      </c>
      <c r="O535" s="171" t="s">
        <v>412</v>
      </c>
      <c r="P535" s="171" t="s">
        <v>916</v>
      </c>
      <c r="Q535" s="171"/>
      <c r="R535" s="213">
        <v>312000</v>
      </c>
      <c r="S535" s="87">
        <v>0</v>
      </c>
      <c r="T535" s="87">
        <v>0</v>
      </c>
      <c r="U535" s="87">
        <v>0</v>
      </c>
      <c r="V535" s="87">
        <v>0</v>
      </c>
      <c r="W535" s="87">
        <v>0</v>
      </c>
      <c r="X535" s="87">
        <v>0</v>
      </c>
      <c r="Y535" s="87">
        <v>0</v>
      </c>
      <c r="Z535" s="87">
        <v>0</v>
      </c>
      <c r="AA535" s="214">
        <v>0</v>
      </c>
      <c r="AB535" s="214">
        <v>0</v>
      </c>
      <c r="AC535" s="214">
        <v>0</v>
      </c>
      <c r="AD535" s="214">
        <v>0</v>
      </c>
      <c r="AE535" s="214">
        <v>0</v>
      </c>
      <c r="AF535" s="214">
        <v>0</v>
      </c>
      <c r="AG535" s="214">
        <v>0</v>
      </c>
      <c r="AH535" s="214">
        <v>0</v>
      </c>
      <c r="AI535" s="87">
        <v>312942</v>
      </c>
      <c r="AJ535" s="87">
        <v>0</v>
      </c>
      <c r="AK535" s="87">
        <v>312942</v>
      </c>
      <c r="AL535" s="87">
        <v>312942</v>
      </c>
      <c r="AM535" s="87">
        <v>1123200</v>
      </c>
      <c r="AN535" s="87">
        <v>312942</v>
      </c>
      <c r="AO535" s="87">
        <v>312942</v>
      </c>
      <c r="AP535" s="87">
        <v>312000</v>
      </c>
      <c r="AQ535" s="88">
        <v>0</v>
      </c>
      <c r="AR535" s="88">
        <v>0</v>
      </c>
      <c r="AS535" s="88">
        <v>0</v>
      </c>
      <c r="AT535" s="88">
        <v>0</v>
      </c>
      <c r="AU535" s="88">
        <v>0</v>
      </c>
      <c r="AV535" s="88">
        <v>0</v>
      </c>
      <c r="AW535" s="88">
        <v>0</v>
      </c>
      <c r="AX535" s="88">
        <v>0</v>
      </c>
      <c r="AY535" s="87">
        <v>0</v>
      </c>
      <c r="AZ535" s="87">
        <v>0</v>
      </c>
      <c r="BA535" s="87">
        <v>0</v>
      </c>
      <c r="BB535" s="87">
        <v>0</v>
      </c>
      <c r="BC535" s="87">
        <v>0</v>
      </c>
      <c r="BD535" s="87">
        <v>0</v>
      </c>
      <c r="BE535" s="87">
        <v>0</v>
      </c>
      <c r="BF535" s="87">
        <v>0</v>
      </c>
      <c r="BG535" s="88">
        <v>0</v>
      </c>
      <c r="BH535" s="88">
        <v>0</v>
      </c>
      <c r="BI535" s="88">
        <v>0</v>
      </c>
      <c r="BJ535" s="88">
        <v>0</v>
      </c>
      <c r="BK535" s="88">
        <v>0</v>
      </c>
      <c r="BL535" s="88">
        <v>0</v>
      </c>
      <c r="BM535" s="88">
        <v>0</v>
      </c>
      <c r="BN535" s="590">
        <v>0</v>
      </c>
      <c r="BO535" s="171">
        <v>2023</v>
      </c>
      <c r="BP535" s="171">
        <v>1</v>
      </c>
      <c r="BQ535" s="171">
        <v>19</v>
      </c>
      <c r="BS535" s="76" t="str">
        <f t="shared" si="17"/>
        <v>○</v>
      </c>
    </row>
    <row r="536" spans="1:71" x14ac:dyDescent="0.2">
      <c r="A536" s="210">
        <v>1742</v>
      </c>
      <c r="B536" s="211"/>
      <c r="C536" s="212"/>
      <c r="D536" s="211"/>
      <c r="E536" s="212"/>
      <c r="F536" s="211"/>
      <c r="G536" s="211"/>
      <c r="H536" s="212"/>
      <c r="I536" s="211"/>
      <c r="J536" s="211"/>
      <c r="K536" s="211"/>
      <c r="L536" s="171"/>
      <c r="M536" s="171" t="s">
        <v>863</v>
      </c>
      <c r="N536" s="171" t="s">
        <v>313</v>
      </c>
      <c r="O536" s="171" t="s">
        <v>326</v>
      </c>
      <c r="P536" s="171" t="s">
        <v>916</v>
      </c>
      <c r="Q536" s="171"/>
      <c r="R536" s="213">
        <v>441000</v>
      </c>
      <c r="S536" s="87">
        <v>0</v>
      </c>
      <c r="T536" s="87">
        <v>0</v>
      </c>
      <c r="U536" s="87">
        <v>0</v>
      </c>
      <c r="V536" s="87">
        <v>0</v>
      </c>
      <c r="W536" s="87">
        <v>0</v>
      </c>
      <c r="X536" s="87">
        <v>0</v>
      </c>
      <c r="Y536" s="87">
        <v>0</v>
      </c>
      <c r="Z536" s="87">
        <v>0</v>
      </c>
      <c r="AA536" s="214">
        <v>0</v>
      </c>
      <c r="AB536" s="214">
        <v>0</v>
      </c>
      <c r="AC536" s="214">
        <v>0</v>
      </c>
      <c r="AD536" s="214">
        <v>0</v>
      </c>
      <c r="AE536" s="214">
        <v>0</v>
      </c>
      <c r="AF536" s="214">
        <v>0</v>
      </c>
      <c r="AG536" s="214">
        <v>0</v>
      </c>
      <c r="AH536" s="214">
        <v>0</v>
      </c>
      <c r="AI536" s="87">
        <v>441125</v>
      </c>
      <c r="AJ536" s="87">
        <v>0</v>
      </c>
      <c r="AK536" s="87">
        <v>441125</v>
      </c>
      <c r="AL536" s="87">
        <v>441125</v>
      </c>
      <c r="AM536" s="87">
        <v>2088000</v>
      </c>
      <c r="AN536" s="87">
        <v>441125</v>
      </c>
      <c r="AO536" s="87">
        <v>441125</v>
      </c>
      <c r="AP536" s="87">
        <v>441000</v>
      </c>
      <c r="AQ536" s="88">
        <v>0</v>
      </c>
      <c r="AR536" s="88">
        <v>0</v>
      </c>
      <c r="AS536" s="88">
        <v>0</v>
      </c>
      <c r="AT536" s="88">
        <v>0</v>
      </c>
      <c r="AU536" s="88">
        <v>0</v>
      </c>
      <c r="AV536" s="88">
        <v>0</v>
      </c>
      <c r="AW536" s="88">
        <v>0</v>
      </c>
      <c r="AX536" s="88">
        <v>0</v>
      </c>
      <c r="AY536" s="87">
        <v>0</v>
      </c>
      <c r="AZ536" s="87">
        <v>0</v>
      </c>
      <c r="BA536" s="87">
        <v>0</v>
      </c>
      <c r="BB536" s="87">
        <v>0</v>
      </c>
      <c r="BC536" s="87">
        <v>0</v>
      </c>
      <c r="BD536" s="87">
        <v>0</v>
      </c>
      <c r="BE536" s="87">
        <v>0</v>
      </c>
      <c r="BF536" s="87">
        <v>0</v>
      </c>
      <c r="BG536" s="88">
        <v>0</v>
      </c>
      <c r="BH536" s="88">
        <v>0</v>
      </c>
      <c r="BI536" s="88">
        <v>0</v>
      </c>
      <c r="BJ536" s="88">
        <v>0</v>
      </c>
      <c r="BK536" s="88">
        <v>0</v>
      </c>
      <c r="BL536" s="88">
        <v>0</v>
      </c>
      <c r="BM536" s="88">
        <v>0</v>
      </c>
      <c r="BN536" s="590">
        <v>0</v>
      </c>
      <c r="BO536" s="171">
        <v>2023</v>
      </c>
      <c r="BP536" s="171">
        <v>1</v>
      </c>
      <c r="BQ536" s="171">
        <v>19</v>
      </c>
      <c r="BS536" s="76" t="str">
        <f t="shared" si="17"/>
        <v>○</v>
      </c>
    </row>
    <row r="537" spans="1:71" x14ac:dyDescent="0.2">
      <c r="A537" s="210">
        <v>1743</v>
      </c>
      <c r="B537" s="211"/>
      <c r="C537" s="212"/>
      <c r="D537" s="211"/>
      <c r="E537" s="212"/>
      <c r="F537" s="211"/>
      <c r="G537" s="211"/>
      <c r="H537" s="212"/>
      <c r="I537" s="211"/>
      <c r="J537" s="211"/>
      <c r="K537" s="211"/>
      <c r="L537" s="171"/>
      <c r="M537" s="171" t="s">
        <v>359</v>
      </c>
      <c r="N537" s="171" t="s">
        <v>269</v>
      </c>
      <c r="O537" s="171" t="s">
        <v>360</v>
      </c>
      <c r="P537" s="171" t="s">
        <v>916</v>
      </c>
      <c r="Q537" s="171"/>
      <c r="R537" s="213">
        <v>112000</v>
      </c>
      <c r="S537" s="87">
        <v>0</v>
      </c>
      <c r="T537" s="87">
        <v>0</v>
      </c>
      <c r="U537" s="87">
        <v>0</v>
      </c>
      <c r="V537" s="87">
        <v>0</v>
      </c>
      <c r="W537" s="87">
        <v>0</v>
      </c>
      <c r="X537" s="87">
        <v>0</v>
      </c>
      <c r="Y537" s="87">
        <v>0</v>
      </c>
      <c r="Z537" s="87">
        <v>0</v>
      </c>
      <c r="AA537" s="214">
        <v>0</v>
      </c>
      <c r="AB537" s="214">
        <v>0</v>
      </c>
      <c r="AC537" s="214">
        <v>0</v>
      </c>
      <c r="AD537" s="214">
        <v>0</v>
      </c>
      <c r="AE537" s="214">
        <v>0</v>
      </c>
      <c r="AF537" s="214">
        <v>0</v>
      </c>
      <c r="AG537" s="214">
        <v>0</v>
      </c>
      <c r="AH537" s="214">
        <v>0</v>
      </c>
      <c r="AI537" s="87">
        <v>112113</v>
      </c>
      <c r="AJ537" s="87">
        <v>0</v>
      </c>
      <c r="AK537" s="87">
        <v>112113</v>
      </c>
      <c r="AL537" s="87">
        <v>112113</v>
      </c>
      <c r="AM537" s="87">
        <v>4600800</v>
      </c>
      <c r="AN537" s="87">
        <v>112113</v>
      </c>
      <c r="AO537" s="87">
        <v>112113</v>
      </c>
      <c r="AP537" s="87">
        <v>112000</v>
      </c>
      <c r="AQ537" s="88">
        <v>0</v>
      </c>
      <c r="AR537" s="88">
        <v>0</v>
      </c>
      <c r="AS537" s="88">
        <v>0</v>
      </c>
      <c r="AT537" s="88">
        <v>0</v>
      </c>
      <c r="AU537" s="88">
        <v>0</v>
      </c>
      <c r="AV537" s="88">
        <v>0</v>
      </c>
      <c r="AW537" s="88">
        <v>0</v>
      </c>
      <c r="AX537" s="88">
        <v>0</v>
      </c>
      <c r="AY537" s="87">
        <v>0</v>
      </c>
      <c r="AZ537" s="87">
        <v>0</v>
      </c>
      <c r="BA537" s="87">
        <v>0</v>
      </c>
      <c r="BB537" s="87">
        <v>0</v>
      </c>
      <c r="BC537" s="87">
        <v>0</v>
      </c>
      <c r="BD537" s="87">
        <v>0</v>
      </c>
      <c r="BE537" s="87">
        <v>0</v>
      </c>
      <c r="BF537" s="87">
        <v>0</v>
      </c>
      <c r="BG537" s="88">
        <v>0</v>
      </c>
      <c r="BH537" s="88">
        <v>0</v>
      </c>
      <c r="BI537" s="88">
        <v>0</v>
      </c>
      <c r="BJ537" s="88">
        <v>0</v>
      </c>
      <c r="BK537" s="88">
        <v>0</v>
      </c>
      <c r="BL537" s="88">
        <v>0</v>
      </c>
      <c r="BM537" s="88">
        <v>0</v>
      </c>
      <c r="BN537" s="590">
        <v>0</v>
      </c>
      <c r="BO537" s="171">
        <v>2023</v>
      </c>
      <c r="BP537" s="171">
        <v>1</v>
      </c>
      <c r="BQ537" s="171">
        <v>19</v>
      </c>
      <c r="BS537" s="76" t="str">
        <f t="shared" si="17"/>
        <v>○</v>
      </c>
    </row>
    <row r="538" spans="1:71" x14ac:dyDescent="0.2">
      <c r="A538" s="210">
        <v>1744</v>
      </c>
      <c r="B538" s="211"/>
      <c r="C538" s="212"/>
      <c r="D538" s="211"/>
      <c r="E538" s="212"/>
      <c r="F538" s="211"/>
      <c r="G538" s="211"/>
      <c r="H538" s="212"/>
      <c r="I538" s="211"/>
      <c r="J538" s="211"/>
      <c r="K538" s="211"/>
      <c r="L538" s="171"/>
      <c r="M538" s="171" t="s">
        <v>864</v>
      </c>
      <c r="N538" s="171" t="s">
        <v>281</v>
      </c>
      <c r="O538" s="171" t="s">
        <v>326</v>
      </c>
      <c r="P538" s="171" t="s">
        <v>916</v>
      </c>
      <c r="Q538" s="171"/>
      <c r="R538" s="213">
        <v>95000</v>
      </c>
      <c r="S538" s="87">
        <v>0</v>
      </c>
      <c r="T538" s="87">
        <v>0</v>
      </c>
      <c r="U538" s="87">
        <v>0</v>
      </c>
      <c r="V538" s="87">
        <v>0</v>
      </c>
      <c r="W538" s="87">
        <v>0</v>
      </c>
      <c r="X538" s="87">
        <v>0</v>
      </c>
      <c r="Y538" s="87">
        <v>0</v>
      </c>
      <c r="Z538" s="87">
        <v>0</v>
      </c>
      <c r="AA538" s="214">
        <v>0</v>
      </c>
      <c r="AB538" s="214">
        <v>0</v>
      </c>
      <c r="AC538" s="214">
        <v>0</v>
      </c>
      <c r="AD538" s="214">
        <v>0</v>
      </c>
      <c r="AE538" s="214">
        <v>0</v>
      </c>
      <c r="AF538" s="214">
        <v>0</v>
      </c>
      <c r="AG538" s="214">
        <v>0</v>
      </c>
      <c r="AH538" s="214">
        <v>0</v>
      </c>
      <c r="AI538" s="87">
        <v>95875</v>
      </c>
      <c r="AJ538" s="87">
        <v>0</v>
      </c>
      <c r="AK538" s="87">
        <v>95875</v>
      </c>
      <c r="AL538" s="87">
        <v>95875</v>
      </c>
      <c r="AM538" s="87">
        <v>1036800</v>
      </c>
      <c r="AN538" s="87">
        <v>95875</v>
      </c>
      <c r="AO538" s="87">
        <v>95875</v>
      </c>
      <c r="AP538" s="87">
        <v>95000</v>
      </c>
      <c r="AQ538" s="88">
        <v>0</v>
      </c>
      <c r="AR538" s="88">
        <v>0</v>
      </c>
      <c r="AS538" s="88">
        <v>0</v>
      </c>
      <c r="AT538" s="88">
        <v>0</v>
      </c>
      <c r="AU538" s="88">
        <v>0</v>
      </c>
      <c r="AV538" s="88">
        <v>0</v>
      </c>
      <c r="AW538" s="88">
        <v>0</v>
      </c>
      <c r="AX538" s="88">
        <v>0</v>
      </c>
      <c r="AY538" s="87">
        <v>0</v>
      </c>
      <c r="AZ538" s="87">
        <v>0</v>
      </c>
      <c r="BA538" s="87">
        <v>0</v>
      </c>
      <c r="BB538" s="87">
        <v>0</v>
      </c>
      <c r="BC538" s="87">
        <v>0</v>
      </c>
      <c r="BD538" s="87">
        <v>0</v>
      </c>
      <c r="BE538" s="87">
        <v>0</v>
      </c>
      <c r="BF538" s="87">
        <v>0</v>
      </c>
      <c r="BG538" s="88">
        <v>0</v>
      </c>
      <c r="BH538" s="88">
        <v>0</v>
      </c>
      <c r="BI538" s="88">
        <v>0</v>
      </c>
      <c r="BJ538" s="88">
        <v>0</v>
      </c>
      <c r="BK538" s="88">
        <v>0</v>
      </c>
      <c r="BL538" s="88">
        <v>0</v>
      </c>
      <c r="BM538" s="88">
        <v>0</v>
      </c>
      <c r="BN538" s="590">
        <v>0</v>
      </c>
      <c r="BO538" s="171">
        <v>2023</v>
      </c>
      <c r="BP538" s="171">
        <v>1</v>
      </c>
      <c r="BQ538" s="171">
        <v>19</v>
      </c>
      <c r="BS538" s="76" t="str">
        <f t="shared" si="17"/>
        <v>○</v>
      </c>
    </row>
    <row r="539" spans="1:71" x14ac:dyDescent="0.2">
      <c r="A539" s="210">
        <v>1745</v>
      </c>
      <c r="B539" s="211"/>
      <c r="C539" s="212"/>
      <c r="D539" s="211"/>
      <c r="E539" s="212"/>
      <c r="F539" s="211"/>
      <c r="G539" s="211"/>
      <c r="H539" s="212"/>
      <c r="I539" s="211"/>
      <c r="J539" s="211"/>
      <c r="K539" s="211"/>
      <c r="L539" s="171"/>
      <c r="M539" s="171" t="s">
        <v>579</v>
      </c>
      <c r="N539" s="171" t="s">
        <v>269</v>
      </c>
      <c r="O539" s="171" t="s">
        <v>580</v>
      </c>
      <c r="P539" s="171" t="s">
        <v>916</v>
      </c>
      <c r="Q539" s="171"/>
      <c r="R539" s="213">
        <v>89000</v>
      </c>
      <c r="S539" s="87">
        <v>0</v>
      </c>
      <c r="T539" s="87">
        <v>0</v>
      </c>
      <c r="U539" s="87">
        <v>0</v>
      </c>
      <c r="V539" s="87">
        <v>0</v>
      </c>
      <c r="W539" s="87">
        <v>0</v>
      </c>
      <c r="X539" s="87">
        <v>0</v>
      </c>
      <c r="Y539" s="87">
        <v>0</v>
      </c>
      <c r="Z539" s="87">
        <v>0</v>
      </c>
      <c r="AA539" s="214">
        <v>0</v>
      </c>
      <c r="AB539" s="214">
        <v>0</v>
      </c>
      <c r="AC539" s="214">
        <v>0</v>
      </c>
      <c r="AD539" s="214">
        <v>0</v>
      </c>
      <c r="AE539" s="214">
        <v>0</v>
      </c>
      <c r="AF539" s="214">
        <v>0</v>
      </c>
      <c r="AG539" s="214">
        <v>0</v>
      </c>
      <c r="AH539" s="214">
        <v>0</v>
      </c>
      <c r="AI539" s="87">
        <v>89408</v>
      </c>
      <c r="AJ539" s="87">
        <v>0</v>
      </c>
      <c r="AK539" s="87">
        <v>89408</v>
      </c>
      <c r="AL539" s="87">
        <v>89408</v>
      </c>
      <c r="AM539" s="87">
        <v>3931200</v>
      </c>
      <c r="AN539" s="87">
        <v>89408</v>
      </c>
      <c r="AO539" s="87">
        <v>89408</v>
      </c>
      <c r="AP539" s="87">
        <v>89000</v>
      </c>
      <c r="AQ539" s="88">
        <v>0</v>
      </c>
      <c r="AR539" s="88">
        <v>0</v>
      </c>
      <c r="AS539" s="88">
        <v>0</v>
      </c>
      <c r="AT539" s="88">
        <v>0</v>
      </c>
      <c r="AU539" s="88">
        <v>0</v>
      </c>
      <c r="AV539" s="88">
        <v>0</v>
      </c>
      <c r="AW539" s="88">
        <v>0</v>
      </c>
      <c r="AX539" s="88">
        <v>0</v>
      </c>
      <c r="AY539" s="87">
        <v>0</v>
      </c>
      <c r="AZ539" s="87">
        <v>0</v>
      </c>
      <c r="BA539" s="87">
        <v>0</v>
      </c>
      <c r="BB539" s="87">
        <v>0</v>
      </c>
      <c r="BC539" s="87">
        <v>0</v>
      </c>
      <c r="BD539" s="87">
        <v>0</v>
      </c>
      <c r="BE539" s="87">
        <v>0</v>
      </c>
      <c r="BF539" s="87">
        <v>0</v>
      </c>
      <c r="BG539" s="88">
        <v>0</v>
      </c>
      <c r="BH539" s="88">
        <v>0</v>
      </c>
      <c r="BI539" s="88">
        <v>0</v>
      </c>
      <c r="BJ539" s="88">
        <v>0</v>
      </c>
      <c r="BK539" s="88">
        <v>0</v>
      </c>
      <c r="BL539" s="88">
        <v>0</v>
      </c>
      <c r="BM539" s="88">
        <v>0</v>
      </c>
      <c r="BN539" s="590">
        <v>0</v>
      </c>
      <c r="BO539" s="171">
        <v>2023</v>
      </c>
      <c r="BP539" s="171">
        <v>1</v>
      </c>
      <c r="BQ539" s="171">
        <v>19</v>
      </c>
      <c r="BS539" s="76" t="str">
        <f t="shared" si="17"/>
        <v>○</v>
      </c>
    </row>
    <row r="540" spans="1:71" x14ac:dyDescent="0.2">
      <c r="A540" s="210">
        <v>1746</v>
      </c>
      <c r="B540" s="211"/>
      <c r="C540" s="212"/>
      <c r="D540" s="211"/>
      <c r="E540" s="212"/>
      <c r="F540" s="211"/>
      <c r="G540" s="211"/>
      <c r="H540" s="212"/>
      <c r="I540" s="211"/>
      <c r="J540" s="211"/>
      <c r="K540" s="211"/>
      <c r="L540" s="171"/>
      <c r="M540" s="171" t="s">
        <v>407</v>
      </c>
      <c r="N540" s="171" t="s">
        <v>269</v>
      </c>
      <c r="O540" s="171" t="s">
        <v>408</v>
      </c>
      <c r="P540" s="171" t="s">
        <v>916</v>
      </c>
      <c r="Q540" s="171"/>
      <c r="R540" s="213">
        <v>639000</v>
      </c>
      <c r="S540" s="87">
        <v>0</v>
      </c>
      <c r="T540" s="87">
        <v>0</v>
      </c>
      <c r="U540" s="87">
        <v>0</v>
      </c>
      <c r="V540" s="87">
        <v>0</v>
      </c>
      <c r="W540" s="87">
        <v>0</v>
      </c>
      <c r="X540" s="87">
        <v>0</v>
      </c>
      <c r="Y540" s="87">
        <v>0</v>
      </c>
      <c r="Z540" s="87">
        <v>0</v>
      </c>
      <c r="AA540" s="214">
        <v>0</v>
      </c>
      <c r="AB540" s="214">
        <v>0</v>
      </c>
      <c r="AC540" s="214">
        <v>0</v>
      </c>
      <c r="AD540" s="214">
        <v>0</v>
      </c>
      <c r="AE540" s="214">
        <v>0</v>
      </c>
      <c r="AF540" s="214">
        <v>0</v>
      </c>
      <c r="AG540" s="214">
        <v>0</v>
      </c>
      <c r="AH540" s="214">
        <v>0</v>
      </c>
      <c r="AI540" s="87">
        <v>639320</v>
      </c>
      <c r="AJ540" s="87">
        <v>0</v>
      </c>
      <c r="AK540" s="87">
        <v>639320</v>
      </c>
      <c r="AL540" s="87">
        <v>639320</v>
      </c>
      <c r="AM540" s="87">
        <v>1566000</v>
      </c>
      <c r="AN540" s="87">
        <v>639320</v>
      </c>
      <c r="AO540" s="87">
        <v>639320</v>
      </c>
      <c r="AP540" s="87">
        <v>639000</v>
      </c>
      <c r="AQ540" s="88">
        <v>0</v>
      </c>
      <c r="AR540" s="88">
        <v>0</v>
      </c>
      <c r="AS540" s="88">
        <v>0</v>
      </c>
      <c r="AT540" s="88">
        <v>0</v>
      </c>
      <c r="AU540" s="88">
        <v>0</v>
      </c>
      <c r="AV540" s="88">
        <v>0</v>
      </c>
      <c r="AW540" s="88">
        <v>0</v>
      </c>
      <c r="AX540" s="88">
        <v>0</v>
      </c>
      <c r="AY540" s="87">
        <v>0</v>
      </c>
      <c r="AZ540" s="87">
        <v>0</v>
      </c>
      <c r="BA540" s="87">
        <v>0</v>
      </c>
      <c r="BB540" s="87">
        <v>0</v>
      </c>
      <c r="BC540" s="87">
        <v>0</v>
      </c>
      <c r="BD540" s="87">
        <v>0</v>
      </c>
      <c r="BE540" s="87">
        <v>0</v>
      </c>
      <c r="BF540" s="87">
        <v>0</v>
      </c>
      <c r="BG540" s="88">
        <v>0</v>
      </c>
      <c r="BH540" s="88">
        <v>0</v>
      </c>
      <c r="BI540" s="88">
        <v>0</v>
      </c>
      <c r="BJ540" s="88">
        <v>0</v>
      </c>
      <c r="BK540" s="88">
        <v>0</v>
      </c>
      <c r="BL540" s="88">
        <v>0</v>
      </c>
      <c r="BM540" s="88">
        <v>0</v>
      </c>
      <c r="BN540" s="590">
        <v>0</v>
      </c>
      <c r="BO540" s="171">
        <v>2023</v>
      </c>
      <c r="BP540" s="171">
        <v>1</v>
      </c>
      <c r="BQ540" s="171">
        <v>19</v>
      </c>
      <c r="BS540" s="76" t="str">
        <f t="shared" si="17"/>
        <v>○</v>
      </c>
    </row>
    <row r="541" spans="1:71" x14ac:dyDescent="0.2">
      <c r="A541" s="210">
        <v>1747</v>
      </c>
      <c r="B541" s="211"/>
      <c r="C541" s="212"/>
      <c r="D541" s="211"/>
      <c r="E541" s="212"/>
      <c r="F541" s="211"/>
      <c r="G541" s="211"/>
      <c r="H541" s="212"/>
      <c r="I541" s="211"/>
      <c r="J541" s="211"/>
      <c r="K541" s="211"/>
      <c r="L541" s="171"/>
      <c r="M541" s="171" t="s">
        <v>527</v>
      </c>
      <c r="N541" s="171" t="s">
        <v>269</v>
      </c>
      <c r="O541" s="171" t="s">
        <v>528</v>
      </c>
      <c r="P541" s="171" t="s">
        <v>916</v>
      </c>
      <c r="Q541" s="171"/>
      <c r="R541" s="213">
        <v>627000</v>
      </c>
      <c r="S541" s="87">
        <v>0</v>
      </c>
      <c r="T541" s="87">
        <v>0</v>
      </c>
      <c r="U541" s="87">
        <v>0</v>
      </c>
      <c r="V541" s="87">
        <v>0</v>
      </c>
      <c r="W541" s="87">
        <v>0</v>
      </c>
      <c r="X541" s="87">
        <v>0</v>
      </c>
      <c r="Y541" s="87">
        <v>0</v>
      </c>
      <c r="Z541" s="87">
        <v>0</v>
      </c>
      <c r="AA541" s="214">
        <v>0</v>
      </c>
      <c r="AB541" s="214">
        <v>0</v>
      </c>
      <c r="AC541" s="214">
        <v>0</v>
      </c>
      <c r="AD541" s="214">
        <v>0</v>
      </c>
      <c r="AE541" s="214">
        <v>0</v>
      </c>
      <c r="AF541" s="214">
        <v>0</v>
      </c>
      <c r="AG541" s="214">
        <v>0</v>
      </c>
      <c r="AH541" s="214">
        <v>0</v>
      </c>
      <c r="AI541" s="87">
        <v>627000</v>
      </c>
      <c r="AJ541" s="87">
        <v>0</v>
      </c>
      <c r="AK541" s="87">
        <v>627000</v>
      </c>
      <c r="AL541" s="87">
        <v>627000</v>
      </c>
      <c r="AM541" s="87">
        <v>3153600</v>
      </c>
      <c r="AN541" s="87">
        <v>627000</v>
      </c>
      <c r="AO541" s="87">
        <v>627000</v>
      </c>
      <c r="AP541" s="87">
        <v>627000</v>
      </c>
      <c r="AQ541" s="88">
        <v>0</v>
      </c>
      <c r="AR541" s="88">
        <v>0</v>
      </c>
      <c r="AS541" s="88">
        <v>0</v>
      </c>
      <c r="AT541" s="88">
        <v>0</v>
      </c>
      <c r="AU541" s="88">
        <v>0</v>
      </c>
      <c r="AV541" s="88">
        <v>0</v>
      </c>
      <c r="AW541" s="88">
        <v>0</v>
      </c>
      <c r="AX541" s="88">
        <v>0</v>
      </c>
      <c r="AY541" s="87">
        <v>0</v>
      </c>
      <c r="AZ541" s="87">
        <v>0</v>
      </c>
      <c r="BA541" s="87">
        <v>0</v>
      </c>
      <c r="BB541" s="87">
        <v>0</v>
      </c>
      <c r="BC541" s="87">
        <v>0</v>
      </c>
      <c r="BD541" s="87">
        <v>0</v>
      </c>
      <c r="BE541" s="87">
        <v>0</v>
      </c>
      <c r="BF541" s="87">
        <v>0</v>
      </c>
      <c r="BG541" s="88">
        <v>0</v>
      </c>
      <c r="BH541" s="88">
        <v>0</v>
      </c>
      <c r="BI541" s="88">
        <v>0</v>
      </c>
      <c r="BJ541" s="88">
        <v>0</v>
      </c>
      <c r="BK541" s="88">
        <v>0</v>
      </c>
      <c r="BL541" s="88">
        <v>0</v>
      </c>
      <c r="BM541" s="88">
        <v>0</v>
      </c>
      <c r="BN541" s="590">
        <v>0</v>
      </c>
      <c r="BO541" s="171">
        <v>2023</v>
      </c>
      <c r="BP541" s="171">
        <v>1</v>
      </c>
      <c r="BQ541" s="171">
        <v>19</v>
      </c>
      <c r="BS541" s="76" t="str">
        <f t="shared" si="17"/>
        <v>○</v>
      </c>
    </row>
    <row r="542" spans="1:71" x14ac:dyDescent="0.2">
      <c r="A542" s="210">
        <v>1748</v>
      </c>
      <c r="B542" s="211"/>
      <c r="C542" s="212"/>
      <c r="D542" s="211"/>
      <c r="E542" s="212"/>
      <c r="F542" s="211"/>
      <c r="G542" s="211"/>
      <c r="H542" s="212"/>
      <c r="I542" s="211"/>
      <c r="J542" s="211"/>
      <c r="K542" s="211"/>
      <c r="L542" s="171"/>
      <c r="M542" s="171" t="s">
        <v>601</v>
      </c>
      <c r="N542" s="171" t="s">
        <v>289</v>
      </c>
      <c r="O542" s="171" t="s">
        <v>282</v>
      </c>
      <c r="P542" s="171" t="s">
        <v>916</v>
      </c>
      <c r="Q542" s="171"/>
      <c r="R542" s="213">
        <v>342000</v>
      </c>
      <c r="S542" s="87">
        <v>0</v>
      </c>
      <c r="T542" s="87">
        <v>0</v>
      </c>
      <c r="U542" s="87">
        <v>0</v>
      </c>
      <c r="V542" s="87">
        <v>0</v>
      </c>
      <c r="W542" s="87">
        <v>0</v>
      </c>
      <c r="X542" s="87">
        <v>0</v>
      </c>
      <c r="Y542" s="87">
        <v>0</v>
      </c>
      <c r="Z542" s="87">
        <v>0</v>
      </c>
      <c r="AA542" s="214">
        <v>0</v>
      </c>
      <c r="AB542" s="214">
        <v>0</v>
      </c>
      <c r="AC542" s="214">
        <v>0</v>
      </c>
      <c r="AD542" s="214">
        <v>0</v>
      </c>
      <c r="AE542" s="214">
        <v>0</v>
      </c>
      <c r="AF542" s="214">
        <v>0</v>
      </c>
      <c r="AG542" s="214">
        <v>0</v>
      </c>
      <c r="AH542" s="214">
        <v>0</v>
      </c>
      <c r="AI542" s="87">
        <v>342320</v>
      </c>
      <c r="AJ542" s="87">
        <v>0</v>
      </c>
      <c r="AK542" s="87">
        <v>342320</v>
      </c>
      <c r="AL542" s="87">
        <v>342320</v>
      </c>
      <c r="AM542" s="87">
        <v>2592000</v>
      </c>
      <c r="AN542" s="87">
        <v>342320</v>
      </c>
      <c r="AO542" s="87">
        <v>342320</v>
      </c>
      <c r="AP542" s="87">
        <v>342000</v>
      </c>
      <c r="AQ542" s="88">
        <v>0</v>
      </c>
      <c r="AR542" s="88">
        <v>0</v>
      </c>
      <c r="AS542" s="88">
        <v>0</v>
      </c>
      <c r="AT542" s="88">
        <v>0</v>
      </c>
      <c r="AU542" s="88">
        <v>0</v>
      </c>
      <c r="AV542" s="88">
        <v>0</v>
      </c>
      <c r="AW542" s="88">
        <v>0</v>
      </c>
      <c r="AX542" s="88">
        <v>0</v>
      </c>
      <c r="AY542" s="87">
        <v>0</v>
      </c>
      <c r="AZ542" s="87">
        <v>0</v>
      </c>
      <c r="BA542" s="87">
        <v>0</v>
      </c>
      <c r="BB542" s="87">
        <v>0</v>
      </c>
      <c r="BC542" s="87">
        <v>0</v>
      </c>
      <c r="BD542" s="87">
        <v>0</v>
      </c>
      <c r="BE542" s="87">
        <v>0</v>
      </c>
      <c r="BF542" s="87">
        <v>0</v>
      </c>
      <c r="BG542" s="88">
        <v>0</v>
      </c>
      <c r="BH542" s="88">
        <v>0</v>
      </c>
      <c r="BI542" s="88">
        <v>0</v>
      </c>
      <c r="BJ542" s="88">
        <v>0</v>
      </c>
      <c r="BK542" s="88">
        <v>0</v>
      </c>
      <c r="BL542" s="88">
        <v>0</v>
      </c>
      <c r="BM542" s="88">
        <v>0</v>
      </c>
      <c r="BN542" s="590">
        <v>0</v>
      </c>
      <c r="BO542" s="171">
        <v>2023</v>
      </c>
      <c r="BP542" s="171">
        <v>1</v>
      </c>
      <c r="BQ542" s="171">
        <v>19</v>
      </c>
      <c r="BS542" s="76" t="str">
        <f t="shared" si="17"/>
        <v>○</v>
      </c>
    </row>
    <row r="543" spans="1:71" x14ac:dyDescent="0.2">
      <c r="A543" s="210">
        <v>1749</v>
      </c>
      <c r="B543" s="211"/>
      <c r="C543" s="212"/>
      <c r="D543" s="211"/>
      <c r="E543" s="212"/>
      <c r="F543" s="211"/>
      <c r="G543" s="211"/>
      <c r="H543" s="212"/>
      <c r="I543" s="211"/>
      <c r="J543" s="211"/>
      <c r="K543" s="211"/>
      <c r="L543" s="171"/>
      <c r="M543" s="171" t="s">
        <v>431</v>
      </c>
      <c r="N543" s="171" t="s">
        <v>429</v>
      </c>
      <c r="O543" s="171" t="s">
        <v>432</v>
      </c>
      <c r="P543" s="171" t="s">
        <v>916</v>
      </c>
      <c r="Q543" s="171"/>
      <c r="R543" s="213">
        <v>272000</v>
      </c>
      <c r="S543" s="87">
        <v>0</v>
      </c>
      <c r="T543" s="87">
        <v>0</v>
      </c>
      <c r="U543" s="87">
        <v>0</v>
      </c>
      <c r="V543" s="87">
        <v>0</v>
      </c>
      <c r="W543" s="87">
        <v>0</v>
      </c>
      <c r="X543" s="87">
        <v>0</v>
      </c>
      <c r="Y543" s="87">
        <v>0</v>
      </c>
      <c r="Z543" s="87">
        <v>0</v>
      </c>
      <c r="AA543" s="214">
        <v>0</v>
      </c>
      <c r="AB543" s="214">
        <v>0</v>
      </c>
      <c r="AC543" s="214">
        <v>0</v>
      </c>
      <c r="AD543" s="214">
        <v>0</v>
      </c>
      <c r="AE543" s="214">
        <v>0</v>
      </c>
      <c r="AF543" s="214">
        <v>0</v>
      </c>
      <c r="AG543" s="214">
        <v>0</v>
      </c>
      <c r="AH543" s="214">
        <v>0</v>
      </c>
      <c r="AI543" s="87">
        <v>272250</v>
      </c>
      <c r="AJ543" s="87">
        <v>0</v>
      </c>
      <c r="AK543" s="87">
        <v>272250</v>
      </c>
      <c r="AL543" s="87">
        <v>272250</v>
      </c>
      <c r="AM543" s="87">
        <v>561600</v>
      </c>
      <c r="AN543" s="87">
        <v>272250</v>
      </c>
      <c r="AO543" s="87">
        <v>272250</v>
      </c>
      <c r="AP543" s="87">
        <v>272000</v>
      </c>
      <c r="AQ543" s="88">
        <v>0</v>
      </c>
      <c r="AR543" s="88">
        <v>0</v>
      </c>
      <c r="AS543" s="88">
        <v>0</v>
      </c>
      <c r="AT543" s="88">
        <v>0</v>
      </c>
      <c r="AU543" s="88">
        <v>0</v>
      </c>
      <c r="AV543" s="88">
        <v>0</v>
      </c>
      <c r="AW543" s="88">
        <v>0</v>
      </c>
      <c r="AX543" s="88">
        <v>0</v>
      </c>
      <c r="AY543" s="87">
        <v>0</v>
      </c>
      <c r="AZ543" s="87">
        <v>0</v>
      </c>
      <c r="BA543" s="87">
        <v>0</v>
      </c>
      <c r="BB543" s="87">
        <v>0</v>
      </c>
      <c r="BC543" s="87">
        <v>0</v>
      </c>
      <c r="BD543" s="87">
        <v>0</v>
      </c>
      <c r="BE543" s="87">
        <v>0</v>
      </c>
      <c r="BF543" s="87">
        <v>0</v>
      </c>
      <c r="BG543" s="88">
        <v>0</v>
      </c>
      <c r="BH543" s="88">
        <v>0</v>
      </c>
      <c r="BI543" s="88">
        <v>0</v>
      </c>
      <c r="BJ543" s="88">
        <v>0</v>
      </c>
      <c r="BK543" s="88">
        <v>0</v>
      </c>
      <c r="BL543" s="88">
        <v>0</v>
      </c>
      <c r="BM543" s="88">
        <v>0</v>
      </c>
      <c r="BN543" s="590">
        <v>0</v>
      </c>
      <c r="BO543" s="171">
        <v>2023</v>
      </c>
      <c r="BP543" s="171">
        <v>1</v>
      </c>
      <c r="BQ543" s="171">
        <v>19</v>
      </c>
      <c r="BS543" s="76" t="str">
        <f t="shared" si="17"/>
        <v>○</v>
      </c>
    </row>
    <row r="544" spans="1:71" x14ac:dyDescent="0.2">
      <c r="A544" s="210">
        <v>1750</v>
      </c>
      <c r="B544" s="211"/>
      <c r="C544" s="212"/>
      <c r="D544" s="211"/>
      <c r="E544" s="212"/>
      <c r="F544" s="211"/>
      <c r="G544" s="211"/>
      <c r="H544" s="212"/>
      <c r="I544" s="211"/>
      <c r="J544" s="211"/>
      <c r="K544" s="211"/>
      <c r="L544" s="171"/>
      <c r="M544" s="171" t="s">
        <v>470</v>
      </c>
      <c r="N544" s="171" t="s">
        <v>313</v>
      </c>
      <c r="O544" s="171" t="s">
        <v>471</v>
      </c>
      <c r="P544" s="171" t="s">
        <v>916</v>
      </c>
      <c r="Q544" s="171"/>
      <c r="R544" s="213">
        <v>445000</v>
      </c>
      <c r="S544" s="87">
        <v>0</v>
      </c>
      <c r="T544" s="87">
        <v>0</v>
      </c>
      <c r="U544" s="87">
        <v>0</v>
      </c>
      <c r="V544" s="87">
        <v>0</v>
      </c>
      <c r="W544" s="87">
        <v>0</v>
      </c>
      <c r="X544" s="87">
        <v>0</v>
      </c>
      <c r="Y544" s="87">
        <v>0</v>
      </c>
      <c r="Z544" s="87">
        <v>0</v>
      </c>
      <c r="AA544" s="214">
        <v>0</v>
      </c>
      <c r="AB544" s="214">
        <v>0</v>
      </c>
      <c r="AC544" s="214">
        <v>0</v>
      </c>
      <c r="AD544" s="214">
        <v>0</v>
      </c>
      <c r="AE544" s="214">
        <v>0</v>
      </c>
      <c r="AF544" s="214">
        <v>0</v>
      </c>
      <c r="AG544" s="214">
        <v>0</v>
      </c>
      <c r="AH544" s="214">
        <v>0</v>
      </c>
      <c r="AI544" s="87">
        <v>445330</v>
      </c>
      <c r="AJ544" s="87">
        <v>0</v>
      </c>
      <c r="AK544" s="87">
        <v>445330</v>
      </c>
      <c r="AL544" s="87">
        <v>445330</v>
      </c>
      <c r="AM544" s="87">
        <v>864000</v>
      </c>
      <c r="AN544" s="87">
        <v>445330</v>
      </c>
      <c r="AO544" s="87">
        <v>445330</v>
      </c>
      <c r="AP544" s="87">
        <v>445000</v>
      </c>
      <c r="AQ544" s="88">
        <v>0</v>
      </c>
      <c r="AR544" s="88">
        <v>0</v>
      </c>
      <c r="AS544" s="88">
        <v>0</v>
      </c>
      <c r="AT544" s="88">
        <v>0</v>
      </c>
      <c r="AU544" s="88">
        <v>0</v>
      </c>
      <c r="AV544" s="88">
        <v>0</v>
      </c>
      <c r="AW544" s="88">
        <v>0</v>
      </c>
      <c r="AX544" s="88">
        <v>0</v>
      </c>
      <c r="AY544" s="87">
        <v>0</v>
      </c>
      <c r="AZ544" s="87">
        <v>0</v>
      </c>
      <c r="BA544" s="87">
        <v>0</v>
      </c>
      <c r="BB544" s="87">
        <v>0</v>
      </c>
      <c r="BC544" s="87">
        <v>0</v>
      </c>
      <c r="BD544" s="87">
        <v>0</v>
      </c>
      <c r="BE544" s="87">
        <v>0</v>
      </c>
      <c r="BF544" s="87">
        <v>0</v>
      </c>
      <c r="BG544" s="88">
        <v>0</v>
      </c>
      <c r="BH544" s="88">
        <v>0</v>
      </c>
      <c r="BI544" s="88">
        <v>0</v>
      </c>
      <c r="BJ544" s="88">
        <v>0</v>
      </c>
      <c r="BK544" s="88">
        <v>0</v>
      </c>
      <c r="BL544" s="88">
        <v>0</v>
      </c>
      <c r="BM544" s="88">
        <v>0</v>
      </c>
      <c r="BN544" s="590">
        <v>0</v>
      </c>
      <c r="BO544" s="171">
        <v>2023</v>
      </c>
      <c r="BP544" s="171">
        <v>1</v>
      </c>
      <c r="BQ544" s="171">
        <v>19</v>
      </c>
      <c r="BS544" s="76" t="str">
        <f t="shared" si="17"/>
        <v>○</v>
      </c>
    </row>
    <row r="545" spans="1:71" x14ac:dyDescent="0.2">
      <c r="A545" s="210">
        <v>1751</v>
      </c>
      <c r="B545" s="211"/>
      <c r="C545" s="212"/>
      <c r="D545" s="211"/>
      <c r="E545" s="212"/>
      <c r="F545" s="211"/>
      <c r="G545" s="211"/>
      <c r="H545" s="212"/>
      <c r="I545" s="211"/>
      <c r="J545" s="211"/>
      <c r="K545" s="211"/>
      <c r="L545" s="171"/>
      <c r="M545" s="171" t="s">
        <v>705</v>
      </c>
      <c r="N545" s="171" t="s">
        <v>269</v>
      </c>
      <c r="O545" s="171" t="s">
        <v>625</v>
      </c>
      <c r="P545" s="171" t="s">
        <v>916</v>
      </c>
      <c r="Q545" s="171"/>
      <c r="R545" s="213">
        <v>710000</v>
      </c>
      <c r="S545" s="87">
        <v>0</v>
      </c>
      <c r="T545" s="87">
        <v>0</v>
      </c>
      <c r="U545" s="87">
        <v>0</v>
      </c>
      <c r="V545" s="87">
        <v>0</v>
      </c>
      <c r="W545" s="87">
        <v>0</v>
      </c>
      <c r="X545" s="87">
        <v>0</v>
      </c>
      <c r="Y545" s="87">
        <v>0</v>
      </c>
      <c r="Z545" s="87">
        <v>0</v>
      </c>
      <c r="AA545" s="214">
        <v>0</v>
      </c>
      <c r="AB545" s="214">
        <v>0</v>
      </c>
      <c r="AC545" s="214">
        <v>0</v>
      </c>
      <c r="AD545" s="214">
        <v>0</v>
      </c>
      <c r="AE545" s="214">
        <v>0</v>
      </c>
      <c r="AF545" s="214">
        <v>0</v>
      </c>
      <c r="AG545" s="214">
        <v>0</v>
      </c>
      <c r="AH545" s="214">
        <v>0</v>
      </c>
      <c r="AI545" s="87">
        <v>710700</v>
      </c>
      <c r="AJ545" s="87">
        <v>0</v>
      </c>
      <c r="AK545" s="87">
        <v>710700</v>
      </c>
      <c r="AL545" s="87">
        <v>710700</v>
      </c>
      <c r="AM545" s="87">
        <v>1301400</v>
      </c>
      <c r="AN545" s="87">
        <v>710700</v>
      </c>
      <c r="AO545" s="87">
        <v>710700</v>
      </c>
      <c r="AP545" s="87">
        <v>710000</v>
      </c>
      <c r="AQ545" s="88">
        <v>0</v>
      </c>
      <c r="AR545" s="88">
        <v>0</v>
      </c>
      <c r="AS545" s="88">
        <v>0</v>
      </c>
      <c r="AT545" s="88">
        <v>0</v>
      </c>
      <c r="AU545" s="88">
        <v>0</v>
      </c>
      <c r="AV545" s="88">
        <v>0</v>
      </c>
      <c r="AW545" s="88">
        <v>0</v>
      </c>
      <c r="AX545" s="88">
        <v>0</v>
      </c>
      <c r="AY545" s="87">
        <v>0</v>
      </c>
      <c r="AZ545" s="87">
        <v>0</v>
      </c>
      <c r="BA545" s="87">
        <v>0</v>
      </c>
      <c r="BB545" s="87">
        <v>0</v>
      </c>
      <c r="BC545" s="87">
        <v>0</v>
      </c>
      <c r="BD545" s="87">
        <v>0</v>
      </c>
      <c r="BE545" s="87">
        <v>0</v>
      </c>
      <c r="BF545" s="87">
        <v>0</v>
      </c>
      <c r="BG545" s="88">
        <v>0</v>
      </c>
      <c r="BH545" s="88">
        <v>0</v>
      </c>
      <c r="BI545" s="88">
        <v>0</v>
      </c>
      <c r="BJ545" s="88">
        <v>0</v>
      </c>
      <c r="BK545" s="88">
        <v>0</v>
      </c>
      <c r="BL545" s="88">
        <v>0</v>
      </c>
      <c r="BM545" s="88">
        <v>0</v>
      </c>
      <c r="BN545" s="590">
        <v>0</v>
      </c>
      <c r="BO545" s="171">
        <v>2023</v>
      </c>
      <c r="BP545" s="171">
        <v>1</v>
      </c>
      <c r="BQ545" s="171">
        <v>19</v>
      </c>
      <c r="BS545" s="76" t="str">
        <f t="shared" si="17"/>
        <v>○</v>
      </c>
    </row>
    <row r="546" spans="1:71" x14ac:dyDescent="0.2">
      <c r="A546" s="210">
        <v>1752</v>
      </c>
      <c r="B546" s="211"/>
      <c r="C546" s="212"/>
      <c r="D546" s="211"/>
      <c r="E546" s="212"/>
      <c r="F546" s="211"/>
      <c r="G546" s="211"/>
      <c r="H546" s="212"/>
      <c r="I546" s="211"/>
      <c r="J546" s="211"/>
      <c r="K546" s="211"/>
      <c r="L546" s="171"/>
      <c r="M546" s="171" t="s">
        <v>865</v>
      </c>
      <c r="N546" s="171" t="s">
        <v>330</v>
      </c>
      <c r="O546" s="171" t="s">
        <v>866</v>
      </c>
      <c r="P546" s="171" t="s">
        <v>916</v>
      </c>
      <c r="Q546" s="171"/>
      <c r="R546" s="213">
        <v>94000</v>
      </c>
      <c r="S546" s="87">
        <v>0</v>
      </c>
      <c r="T546" s="87">
        <v>0</v>
      </c>
      <c r="U546" s="87">
        <v>0</v>
      </c>
      <c r="V546" s="87">
        <v>0</v>
      </c>
      <c r="W546" s="87">
        <v>0</v>
      </c>
      <c r="X546" s="87">
        <v>0</v>
      </c>
      <c r="Y546" s="87">
        <v>0</v>
      </c>
      <c r="Z546" s="87">
        <v>0</v>
      </c>
      <c r="AA546" s="214">
        <v>0</v>
      </c>
      <c r="AB546" s="214">
        <v>0</v>
      </c>
      <c r="AC546" s="214">
        <v>0</v>
      </c>
      <c r="AD546" s="214">
        <v>0</v>
      </c>
      <c r="AE546" s="214">
        <v>0</v>
      </c>
      <c r="AF546" s="214">
        <v>0</v>
      </c>
      <c r="AG546" s="214">
        <v>0</v>
      </c>
      <c r="AH546" s="214">
        <v>0</v>
      </c>
      <c r="AI546" s="87">
        <v>94718</v>
      </c>
      <c r="AJ546" s="87">
        <v>0</v>
      </c>
      <c r="AK546" s="87">
        <v>94718</v>
      </c>
      <c r="AL546" s="87">
        <v>94718</v>
      </c>
      <c r="AM546" s="87">
        <v>1296000</v>
      </c>
      <c r="AN546" s="87">
        <v>94718</v>
      </c>
      <c r="AO546" s="87">
        <v>94718</v>
      </c>
      <c r="AP546" s="87">
        <v>94000</v>
      </c>
      <c r="AQ546" s="88">
        <v>0</v>
      </c>
      <c r="AR546" s="88">
        <v>0</v>
      </c>
      <c r="AS546" s="88">
        <v>0</v>
      </c>
      <c r="AT546" s="88">
        <v>0</v>
      </c>
      <c r="AU546" s="88">
        <v>0</v>
      </c>
      <c r="AV546" s="88">
        <v>0</v>
      </c>
      <c r="AW546" s="88">
        <v>0</v>
      </c>
      <c r="AX546" s="88">
        <v>0</v>
      </c>
      <c r="AY546" s="87">
        <v>0</v>
      </c>
      <c r="AZ546" s="87">
        <v>0</v>
      </c>
      <c r="BA546" s="87">
        <v>0</v>
      </c>
      <c r="BB546" s="87">
        <v>0</v>
      </c>
      <c r="BC546" s="87">
        <v>0</v>
      </c>
      <c r="BD546" s="87">
        <v>0</v>
      </c>
      <c r="BE546" s="87">
        <v>0</v>
      </c>
      <c r="BF546" s="87">
        <v>0</v>
      </c>
      <c r="BG546" s="88">
        <v>0</v>
      </c>
      <c r="BH546" s="88">
        <v>0</v>
      </c>
      <c r="BI546" s="88">
        <v>0</v>
      </c>
      <c r="BJ546" s="88">
        <v>0</v>
      </c>
      <c r="BK546" s="88">
        <v>0</v>
      </c>
      <c r="BL546" s="88">
        <v>0</v>
      </c>
      <c r="BM546" s="88">
        <v>0</v>
      </c>
      <c r="BN546" s="590">
        <v>0</v>
      </c>
      <c r="BO546" s="171">
        <v>2023</v>
      </c>
      <c r="BP546" s="171">
        <v>1</v>
      </c>
      <c r="BQ546" s="171">
        <v>19</v>
      </c>
      <c r="BS546" s="76" t="str">
        <f t="shared" si="17"/>
        <v>○</v>
      </c>
    </row>
    <row r="547" spans="1:71" x14ac:dyDescent="0.2">
      <c r="A547" s="210">
        <v>1753</v>
      </c>
      <c r="B547" s="211"/>
      <c r="C547" s="212"/>
      <c r="D547" s="211"/>
      <c r="E547" s="212"/>
      <c r="F547" s="211"/>
      <c r="G547" s="211"/>
      <c r="H547" s="212"/>
      <c r="I547" s="211"/>
      <c r="J547" s="211"/>
      <c r="K547" s="211"/>
      <c r="L547" s="171"/>
      <c r="M547" s="171" t="s">
        <v>562</v>
      </c>
      <c r="N547" s="171" t="s">
        <v>269</v>
      </c>
      <c r="O547" s="171" t="s">
        <v>563</v>
      </c>
      <c r="P547" s="171" t="s">
        <v>916</v>
      </c>
      <c r="Q547" s="171"/>
      <c r="R547" s="213">
        <v>364000</v>
      </c>
      <c r="S547" s="87">
        <v>0</v>
      </c>
      <c r="T547" s="87">
        <v>0</v>
      </c>
      <c r="U547" s="87">
        <v>0</v>
      </c>
      <c r="V547" s="87">
        <v>0</v>
      </c>
      <c r="W547" s="87">
        <v>0</v>
      </c>
      <c r="X547" s="87">
        <v>0</v>
      </c>
      <c r="Y547" s="87">
        <v>0</v>
      </c>
      <c r="Z547" s="87">
        <v>0</v>
      </c>
      <c r="AA547" s="214">
        <v>0</v>
      </c>
      <c r="AB547" s="214">
        <v>0</v>
      </c>
      <c r="AC547" s="214">
        <v>0</v>
      </c>
      <c r="AD547" s="214">
        <v>0</v>
      </c>
      <c r="AE547" s="214">
        <v>0</v>
      </c>
      <c r="AF547" s="214">
        <v>0</v>
      </c>
      <c r="AG547" s="214">
        <v>0</v>
      </c>
      <c r="AH547" s="214">
        <v>0</v>
      </c>
      <c r="AI547" s="87">
        <v>364386</v>
      </c>
      <c r="AJ547" s="87">
        <v>0</v>
      </c>
      <c r="AK547" s="87">
        <v>364386</v>
      </c>
      <c r="AL547" s="87">
        <v>364386</v>
      </c>
      <c r="AM547" s="87">
        <v>1576800</v>
      </c>
      <c r="AN547" s="87">
        <v>364386</v>
      </c>
      <c r="AO547" s="87">
        <v>364386</v>
      </c>
      <c r="AP547" s="87">
        <v>364000</v>
      </c>
      <c r="AQ547" s="88">
        <v>0</v>
      </c>
      <c r="AR547" s="88">
        <v>0</v>
      </c>
      <c r="AS547" s="88">
        <v>0</v>
      </c>
      <c r="AT547" s="88">
        <v>0</v>
      </c>
      <c r="AU547" s="88">
        <v>0</v>
      </c>
      <c r="AV547" s="88">
        <v>0</v>
      </c>
      <c r="AW547" s="88">
        <v>0</v>
      </c>
      <c r="AX547" s="88">
        <v>0</v>
      </c>
      <c r="AY547" s="87">
        <v>0</v>
      </c>
      <c r="AZ547" s="87">
        <v>0</v>
      </c>
      <c r="BA547" s="87">
        <v>0</v>
      </c>
      <c r="BB547" s="87">
        <v>0</v>
      </c>
      <c r="BC547" s="87">
        <v>0</v>
      </c>
      <c r="BD547" s="87">
        <v>0</v>
      </c>
      <c r="BE547" s="87">
        <v>0</v>
      </c>
      <c r="BF547" s="87">
        <v>0</v>
      </c>
      <c r="BG547" s="88">
        <v>0</v>
      </c>
      <c r="BH547" s="88">
        <v>0</v>
      </c>
      <c r="BI547" s="88">
        <v>0</v>
      </c>
      <c r="BJ547" s="88">
        <v>0</v>
      </c>
      <c r="BK547" s="88">
        <v>0</v>
      </c>
      <c r="BL547" s="88">
        <v>0</v>
      </c>
      <c r="BM547" s="88">
        <v>0</v>
      </c>
      <c r="BN547" s="590">
        <v>0</v>
      </c>
      <c r="BO547" s="171">
        <v>2023</v>
      </c>
      <c r="BP547" s="171">
        <v>1</v>
      </c>
      <c r="BQ547" s="171">
        <v>19</v>
      </c>
      <c r="BS547" s="76" t="str">
        <f t="shared" si="17"/>
        <v>○</v>
      </c>
    </row>
    <row r="548" spans="1:71" x14ac:dyDescent="0.2">
      <c r="A548" s="210">
        <v>1754</v>
      </c>
      <c r="B548" s="211"/>
      <c r="C548" s="212"/>
      <c r="D548" s="211"/>
      <c r="E548" s="212"/>
      <c r="F548" s="211"/>
      <c r="G548" s="211"/>
      <c r="H548" s="212"/>
      <c r="I548" s="211"/>
      <c r="J548" s="211"/>
      <c r="K548" s="211"/>
      <c r="L548" s="171"/>
      <c r="M548" s="171" t="s">
        <v>527</v>
      </c>
      <c r="N548" s="171" t="s">
        <v>269</v>
      </c>
      <c r="O548" s="171" t="s">
        <v>528</v>
      </c>
      <c r="P548" s="171" t="s">
        <v>916</v>
      </c>
      <c r="Q548" s="171"/>
      <c r="R548" s="213">
        <v>1586000</v>
      </c>
      <c r="S548" s="87">
        <v>0</v>
      </c>
      <c r="T548" s="87">
        <v>0</v>
      </c>
      <c r="U548" s="87">
        <v>0</v>
      </c>
      <c r="V548" s="87">
        <v>0</v>
      </c>
      <c r="W548" s="87">
        <v>0</v>
      </c>
      <c r="X548" s="87">
        <v>0</v>
      </c>
      <c r="Y548" s="87">
        <v>0</v>
      </c>
      <c r="Z548" s="87">
        <v>0</v>
      </c>
      <c r="AA548" s="214">
        <v>0</v>
      </c>
      <c r="AB548" s="214">
        <v>0</v>
      </c>
      <c r="AC548" s="214">
        <v>0</v>
      </c>
      <c r="AD548" s="214">
        <v>0</v>
      </c>
      <c r="AE548" s="214">
        <v>0</v>
      </c>
      <c r="AF548" s="214">
        <v>0</v>
      </c>
      <c r="AG548" s="214">
        <v>0</v>
      </c>
      <c r="AH548" s="214">
        <v>0</v>
      </c>
      <c r="AI548" s="87">
        <v>1586200</v>
      </c>
      <c r="AJ548" s="87">
        <v>0</v>
      </c>
      <c r="AK548" s="87">
        <v>1586200</v>
      </c>
      <c r="AL548" s="87">
        <v>1586200</v>
      </c>
      <c r="AM548" s="87">
        <v>1965600</v>
      </c>
      <c r="AN548" s="87">
        <v>1586200</v>
      </c>
      <c r="AO548" s="87">
        <v>1586200</v>
      </c>
      <c r="AP548" s="87">
        <v>1586000</v>
      </c>
      <c r="AQ548" s="88">
        <v>0</v>
      </c>
      <c r="AR548" s="88">
        <v>0</v>
      </c>
      <c r="AS548" s="88">
        <v>0</v>
      </c>
      <c r="AT548" s="88">
        <v>0</v>
      </c>
      <c r="AU548" s="88">
        <v>0</v>
      </c>
      <c r="AV548" s="88">
        <v>0</v>
      </c>
      <c r="AW548" s="88">
        <v>0</v>
      </c>
      <c r="AX548" s="88">
        <v>0</v>
      </c>
      <c r="AY548" s="87">
        <v>0</v>
      </c>
      <c r="AZ548" s="87">
        <v>0</v>
      </c>
      <c r="BA548" s="87">
        <v>0</v>
      </c>
      <c r="BB548" s="87">
        <v>0</v>
      </c>
      <c r="BC548" s="87">
        <v>0</v>
      </c>
      <c r="BD548" s="87">
        <v>0</v>
      </c>
      <c r="BE548" s="87">
        <v>0</v>
      </c>
      <c r="BF548" s="87">
        <v>0</v>
      </c>
      <c r="BG548" s="88">
        <v>0</v>
      </c>
      <c r="BH548" s="88">
        <v>0</v>
      </c>
      <c r="BI548" s="88">
        <v>0</v>
      </c>
      <c r="BJ548" s="88">
        <v>0</v>
      </c>
      <c r="BK548" s="88">
        <v>0</v>
      </c>
      <c r="BL548" s="88">
        <v>0</v>
      </c>
      <c r="BM548" s="88">
        <v>0</v>
      </c>
      <c r="BN548" s="590">
        <v>0</v>
      </c>
      <c r="BO548" s="171">
        <v>2023</v>
      </c>
      <c r="BP548" s="171">
        <v>1</v>
      </c>
      <c r="BQ548" s="171">
        <v>19</v>
      </c>
      <c r="BS548" s="76" t="str">
        <f t="shared" si="17"/>
        <v>○</v>
      </c>
    </row>
    <row r="549" spans="1:71" x14ac:dyDescent="0.2">
      <c r="A549" s="210">
        <v>1755</v>
      </c>
      <c r="B549" s="211"/>
      <c r="C549" s="212"/>
      <c r="D549" s="211"/>
      <c r="E549" s="212"/>
      <c r="F549" s="211"/>
      <c r="G549" s="211"/>
      <c r="H549" s="212"/>
      <c r="I549" s="211"/>
      <c r="J549" s="211"/>
      <c r="K549" s="211"/>
      <c r="L549" s="171"/>
      <c r="M549" s="171" t="s">
        <v>527</v>
      </c>
      <c r="N549" s="171" t="s">
        <v>269</v>
      </c>
      <c r="O549" s="171" t="s">
        <v>528</v>
      </c>
      <c r="P549" s="171" t="s">
        <v>916</v>
      </c>
      <c r="Q549" s="171"/>
      <c r="R549" s="213">
        <v>1403000</v>
      </c>
      <c r="S549" s="87">
        <v>0</v>
      </c>
      <c r="T549" s="87">
        <v>0</v>
      </c>
      <c r="U549" s="87">
        <v>0</v>
      </c>
      <c r="V549" s="87">
        <v>0</v>
      </c>
      <c r="W549" s="87">
        <v>0</v>
      </c>
      <c r="X549" s="87">
        <v>0</v>
      </c>
      <c r="Y549" s="87">
        <v>0</v>
      </c>
      <c r="Z549" s="87">
        <v>0</v>
      </c>
      <c r="AA549" s="214">
        <v>0</v>
      </c>
      <c r="AB549" s="214">
        <v>0</v>
      </c>
      <c r="AC549" s="214">
        <v>0</v>
      </c>
      <c r="AD549" s="214">
        <v>0</v>
      </c>
      <c r="AE549" s="214">
        <v>0</v>
      </c>
      <c r="AF549" s="214">
        <v>0</v>
      </c>
      <c r="AG549" s="214">
        <v>0</v>
      </c>
      <c r="AH549" s="214">
        <v>0</v>
      </c>
      <c r="AI549" s="87">
        <v>1403160</v>
      </c>
      <c r="AJ549" s="87">
        <v>0</v>
      </c>
      <c r="AK549" s="87">
        <v>1403160</v>
      </c>
      <c r="AL549" s="87">
        <v>1403160</v>
      </c>
      <c r="AM549" s="87">
        <v>1965600</v>
      </c>
      <c r="AN549" s="87">
        <v>1403160</v>
      </c>
      <c r="AO549" s="87">
        <v>1403160</v>
      </c>
      <c r="AP549" s="87">
        <v>1403000</v>
      </c>
      <c r="AQ549" s="88">
        <v>0</v>
      </c>
      <c r="AR549" s="88">
        <v>0</v>
      </c>
      <c r="AS549" s="88">
        <v>0</v>
      </c>
      <c r="AT549" s="88">
        <v>0</v>
      </c>
      <c r="AU549" s="88">
        <v>0</v>
      </c>
      <c r="AV549" s="88">
        <v>0</v>
      </c>
      <c r="AW549" s="88">
        <v>0</v>
      </c>
      <c r="AX549" s="88">
        <v>0</v>
      </c>
      <c r="AY549" s="87">
        <v>0</v>
      </c>
      <c r="AZ549" s="87">
        <v>0</v>
      </c>
      <c r="BA549" s="87">
        <v>0</v>
      </c>
      <c r="BB549" s="87">
        <v>0</v>
      </c>
      <c r="BC549" s="87">
        <v>0</v>
      </c>
      <c r="BD549" s="87">
        <v>0</v>
      </c>
      <c r="BE549" s="87">
        <v>0</v>
      </c>
      <c r="BF549" s="87">
        <v>0</v>
      </c>
      <c r="BG549" s="88">
        <v>0</v>
      </c>
      <c r="BH549" s="88">
        <v>0</v>
      </c>
      <c r="BI549" s="88">
        <v>0</v>
      </c>
      <c r="BJ549" s="88">
        <v>0</v>
      </c>
      <c r="BK549" s="88">
        <v>0</v>
      </c>
      <c r="BL549" s="88">
        <v>0</v>
      </c>
      <c r="BM549" s="88">
        <v>0</v>
      </c>
      <c r="BN549" s="590">
        <v>0</v>
      </c>
      <c r="BO549" s="171">
        <v>2023</v>
      </c>
      <c r="BP549" s="171">
        <v>1</v>
      </c>
      <c r="BQ549" s="171">
        <v>19</v>
      </c>
      <c r="BS549" s="76" t="str">
        <f t="shared" si="17"/>
        <v>○</v>
      </c>
    </row>
    <row r="550" spans="1:71" x14ac:dyDescent="0.2">
      <c r="A550" s="210">
        <v>1756</v>
      </c>
      <c r="B550" s="211"/>
      <c r="C550" s="212"/>
      <c r="D550" s="211"/>
      <c r="E550" s="212"/>
      <c r="F550" s="211"/>
      <c r="G550" s="211"/>
      <c r="H550" s="212"/>
      <c r="I550" s="211"/>
      <c r="J550" s="211"/>
      <c r="K550" s="211"/>
      <c r="L550" s="171"/>
      <c r="M550" s="171" t="s">
        <v>696</v>
      </c>
      <c r="N550" s="171" t="s">
        <v>269</v>
      </c>
      <c r="O550" s="171" t="s">
        <v>432</v>
      </c>
      <c r="P550" s="171" t="s">
        <v>916</v>
      </c>
      <c r="Q550" s="171"/>
      <c r="R550" s="213">
        <v>842000</v>
      </c>
      <c r="S550" s="87">
        <v>0</v>
      </c>
      <c r="T550" s="87">
        <v>0</v>
      </c>
      <c r="U550" s="87">
        <v>0</v>
      </c>
      <c r="V550" s="87">
        <v>0</v>
      </c>
      <c r="W550" s="87">
        <v>0</v>
      </c>
      <c r="X550" s="87">
        <v>0</v>
      </c>
      <c r="Y550" s="87">
        <v>0</v>
      </c>
      <c r="Z550" s="87">
        <v>0</v>
      </c>
      <c r="AA550" s="214">
        <v>0</v>
      </c>
      <c r="AB550" s="214">
        <v>0</v>
      </c>
      <c r="AC550" s="214">
        <v>0</v>
      </c>
      <c r="AD550" s="214">
        <v>0</v>
      </c>
      <c r="AE550" s="214">
        <v>0</v>
      </c>
      <c r="AF550" s="214">
        <v>0</v>
      </c>
      <c r="AG550" s="214">
        <v>0</v>
      </c>
      <c r="AH550" s="214">
        <v>0</v>
      </c>
      <c r="AI550" s="87">
        <v>842930</v>
      </c>
      <c r="AJ550" s="87">
        <v>0</v>
      </c>
      <c r="AK550" s="87">
        <v>842930</v>
      </c>
      <c r="AL550" s="87">
        <v>842930</v>
      </c>
      <c r="AM550" s="87">
        <v>1296000</v>
      </c>
      <c r="AN550" s="87">
        <v>842930</v>
      </c>
      <c r="AO550" s="87">
        <v>842930</v>
      </c>
      <c r="AP550" s="87">
        <v>842000</v>
      </c>
      <c r="AQ550" s="88">
        <v>0</v>
      </c>
      <c r="AR550" s="88">
        <v>0</v>
      </c>
      <c r="AS550" s="88">
        <v>0</v>
      </c>
      <c r="AT550" s="88">
        <v>0</v>
      </c>
      <c r="AU550" s="88">
        <v>0</v>
      </c>
      <c r="AV550" s="88">
        <v>0</v>
      </c>
      <c r="AW550" s="88">
        <v>0</v>
      </c>
      <c r="AX550" s="88">
        <v>0</v>
      </c>
      <c r="AY550" s="87">
        <v>0</v>
      </c>
      <c r="AZ550" s="87">
        <v>0</v>
      </c>
      <c r="BA550" s="87">
        <v>0</v>
      </c>
      <c r="BB550" s="87">
        <v>0</v>
      </c>
      <c r="BC550" s="87">
        <v>0</v>
      </c>
      <c r="BD550" s="87">
        <v>0</v>
      </c>
      <c r="BE550" s="87">
        <v>0</v>
      </c>
      <c r="BF550" s="87">
        <v>0</v>
      </c>
      <c r="BG550" s="88">
        <v>0</v>
      </c>
      <c r="BH550" s="88">
        <v>0</v>
      </c>
      <c r="BI550" s="88">
        <v>0</v>
      </c>
      <c r="BJ550" s="88">
        <v>0</v>
      </c>
      <c r="BK550" s="88">
        <v>0</v>
      </c>
      <c r="BL550" s="88">
        <v>0</v>
      </c>
      <c r="BM550" s="88">
        <v>0</v>
      </c>
      <c r="BN550" s="590">
        <v>0</v>
      </c>
      <c r="BO550" s="171">
        <v>2023</v>
      </c>
      <c r="BP550" s="171">
        <v>1</v>
      </c>
      <c r="BQ550" s="171">
        <v>19</v>
      </c>
      <c r="BS550" s="76" t="str">
        <f t="shared" si="17"/>
        <v>○</v>
      </c>
    </row>
    <row r="551" spans="1:71" x14ac:dyDescent="0.2">
      <c r="A551" s="210">
        <v>1757</v>
      </c>
      <c r="B551" s="211"/>
      <c r="C551" s="212"/>
      <c r="D551" s="211"/>
      <c r="E551" s="212"/>
      <c r="F551" s="211"/>
      <c r="G551" s="211"/>
      <c r="H551" s="212"/>
      <c r="I551" s="211"/>
      <c r="J551" s="211"/>
      <c r="K551" s="211"/>
      <c r="L551" s="171"/>
      <c r="M551" s="171" t="s">
        <v>377</v>
      </c>
      <c r="N551" s="171" t="s">
        <v>286</v>
      </c>
      <c r="O551" s="171" t="s">
        <v>378</v>
      </c>
      <c r="P551" s="171" t="s">
        <v>916</v>
      </c>
      <c r="Q551" s="171"/>
      <c r="R551" s="213">
        <v>837000</v>
      </c>
      <c r="S551" s="87">
        <v>0</v>
      </c>
      <c r="T551" s="87">
        <v>0</v>
      </c>
      <c r="U551" s="87">
        <v>0</v>
      </c>
      <c r="V551" s="87">
        <v>0</v>
      </c>
      <c r="W551" s="87">
        <v>0</v>
      </c>
      <c r="X551" s="87">
        <v>0</v>
      </c>
      <c r="Y551" s="87">
        <v>0</v>
      </c>
      <c r="Z551" s="87">
        <v>0</v>
      </c>
      <c r="AA551" s="214">
        <v>0</v>
      </c>
      <c r="AB551" s="214">
        <v>0</v>
      </c>
      <c r="AC551" s="214">
        <v>0</v>
      </c>
      <c r="AD551" s="214">
        <v>0</v>
      </c>
      <c r="AE551" s="214">
        <v>0</v>
      </c>
      <c r="AF551" s="214">
        <v>0</v>
      </c>
      <c r="AG551" s="214">
        <v>0</v>
      </c>
      <c r="AH551" s="214">
        <v>0</v>
      </c>
      <c r="AI551" s="87">
        <v>837610</v>
      </c>
      <c r="AJ551" s="87">
        <v>0</v>
      </c>
      <c r="AK551" s="87">
        <v>837610</v>
      </c>
      <c r="AL551" s="87">
        <v>837610</v>
      </c>
      <c r="AM551" s="87">
        <v>3110400</v>
      </c>
      <c r="AN551" s="87">
        <v>837610</v>
      </c>
      <c r="AO551" s="87">
        <v>837610</v>
      </c>
      <c r="AP551" s="87">
        <v>837000</v>
      </c>
      <c r="AQ551" s="88">
        <v>0</v>
      </c>
      <c r="AR551" s="88">
        <v>0</v>
      </c>
      <c r="AS551" s="88">
        <v>0</v>
      </c>
      <c r="AT551" s="88">
        <v>0</v>
      </c>
      <c r="AU551" s="88">
        <v>0</v>
      </c>
      <c r="AV551" s="88">
        <v>0</v>
      </c>
      <c r="AW551" s="88">
        <v>0</v>
      </c>
      <c r="AX551" s="88">
        <v>0</v>
      </c>
      <c r="AY551" s="87">
        <v>0</v>
      </c>
      <c r="AZ551" s="87">
        <v>0</v>
      </c>
      <c r="BA551" s="87">
        <v>0</v>
      </c>
      <c r="BB551" s="87">
        <v>0</v>
      </c>
      <c r="BC551" s="87">
        <v>0</v>
      </c>
      <c r="BD551" s="87">
        <v>0</v>
      </c>
      <c r="BE551" s="87">
        <v>0</v>
      </c>
      <c r="BF551" s="87">
        <v>0</v>
      </c>
      <c r="BG551" s="88">
        <v>0</v>
      </c>
      <c r="BH551" s="88">
        <v>0</v>
      </c>
      <c r="BI551" s="88">
        <v>0</v>
      </c>
      <c r="BJ551" s="88">
        <v>0</v>
      </c>
      <c r="BK551" s="88">
        <v>0</v>
      </c>
      <c r="BL551" s="88">
        <v>0</v>
      </c>
      <c r="BM551" s="88">
        <v>0</v>
      </c>
      <c r="BN551" s="590">
        <v>0</v>
      </c>
      <c r="BO551" s="171">
        <v>2023</v>
      </c>
      <c r="BP551" s="171">
        <v>1</v>
      </c>
      <c r="BQ551" s="171">
        <v>19</v>
      </c>
      <c r="BS551" s="76" t="str">
        <f t="shared" si="17"/>
        <v>○</v>
      </c>
    </row>
    <row r="552" spans="1:71" x14ac:dyDescent="0.2">
      <c r="A552" s="210">
        <v>1758</v>
      </c>
      <c r="B552" s="211"/>
      <c r="C552" s="212"/>
      <c r="D552" s="211"/>
      <c r="E552" s="212"/>
      <c r="F552" s="211"/>
      <c r="G552" s="211"/>
      <c r="H552" s="212"/>
      <c r="I552" s="211"/>
      <c r="J552" s="211"/>
      <c r="K552" s="211"/>
      <c r="L552" s="171"/>
      <c r="M552" s="171" t="s">
        <v>553</v>
      </c>
      <c r="N552" s="171" t="s">
        <v>318</v>
      </c>
      <c r="O552" s="171" t="s">
        <v>505</v>
      </c>
      <c r="P552" s="171" t="s">
        <v>916</v>
      </c>
      <c r="Q552" s="171"/>
      <c r="R552" s="213">
        <v>286000</v>
      </c>
      <c r="S552" s="87">
        <v>0</v>
      </c>
      <c r="T552" s="87">
        <v>0</v>
      </c>
      <c r="U552" s="87">
        <v>0</v>
      </c>
      <c r="V552" s="87">
        <v>0</v>
      </c>
      <c r="W552" s="87">
        <v>0</v>
      </c>
      <c r="X552" s="87">
        <v>0</v>
      </c>
      <c r="Y552" s="87">
        <v>0</v>
      </c>
      <c r="Z552" s="87">
        <v>0</v>
      </c>
      <c r="AA552" s="214">
        <v>0</v>
      </c>
      <c r="AB552" s="214">
        <v>0</v>
      </c>
      <c r="AC552" s="214">
        <v>0</v>
      </c>
      <c r="AD552" s="214">
        <v>0</v>
      </c>
      <c r="AE552" s="214">
        <v>0</v>
      </c>
      <c r="AF552" s="214">
        <v>0</v>
      </c>
      <c r="AG552" s="214">
        <v>0</v>
      </c>
      <c r="AH552" s="214">
        <v>0</v>
      </c>
      <c r="AI552" s="87">
        <v>286260</v>
      </c>
      <c r="AJ552" s="87">
        <v>0</v>
      </c>
      <c r="AK552" s="87">
        <v>286260</v>
      </c>
      <c r="AL552" s="87">
        <v>286260</v>
      </c>
      <c r="AM552" s="87">
        <v>1051200</v>
      </c>
      <c r="AN552" s="87">
        <v>286260</v>
      </c>
      <c r="AO552" s="87">
        <v>286260</v>
      </c>
      <c r="AP552" s="87">
        <v>286000</v>
      </c>
      <c r="AQ552" s="88">
        <v>0</v>
      </c>
      <c r="AR552" s="88">
        <v>0</v>
      </c>
      <c r="AS552" s="88">
        <v>0</v>
      </c>
      <c r="AT552" s="88">
        <v>0</v>
      </c>
      <c r="AU552" s="88">
        <v>0</v>
      </c>
      <c r="AV552" s="88">
        <v>0</v>
      </c>
      <c r="AW552" s="88">
        <v>0</v>
      </c>
      <c r="AX552" s="88">
        <v>0</v>
      </c>
      <c r="AY552" s="87">
        <v>0</v>
      </c>
      <c r="AZ552" s="87">
        <v>0</v>
      </c>
      <c r="BA552" s="87">
        <v>0</v>
      </c>
      <c r="BB552" s="87">
        <v>0</v>
      </c>
      <c r="BC552" s="87">
        <v>0</v>
      </c>
      <c r="BD552" s="87">
        <v>0</v>
      </c>
      <c r="BE552" s="87">
        <v>0</v>
      </c>
      <c r="BF552" s="87">
        <v>0</v>
      </c>
      <c r="BG552" s="88">
        <v>0</v>
      </c>
      <c r="BH552" s="88">
        <v>0</v>
      </c>
      <c r="BI552" s="88">
        <v>0</v>
      </c>
      <c r="BJ552" s="88">
        <v>0</v>
      </c>
      <c r="BK552" s="88">
        <v>0</v>
      </c>
      <c r="BL552" s="88">
        <v>0</v>
      </c>
      <c r="BM552" s="88">
        <v>0</v>
      </c>
      <c r="BN552" s="590">
        <v>0</v>
      </c>
      <c r="BO552" s="171">
        <v>2023</v>
      </c>
      <c r="BP552" s="171">
        <v>1</v>
      </c>
      <c r="BQ552" s="171">
        <v>19</v>
      </c>
      <c r="BS552" s="76" t="str">
        <f t="shared" si="17"/>
        <v>○</v>
      </c>
    </row>
    <row r="553" spans="1:71" x14ac:dyDescent="0.2">
      <c r="A553" s="210">
        <v>1759</v>
      </c>
      <c r="B553" s="211"/>
      <c r="C553" s="212"/>
      <c r="D553" s="211"/>
      <c r="E553" s="212"/>
      <c r="F553" s="211"/>
      <c r="G553" s="211"/>
      <c r="H553" s="212"/>
      <c r="I553" s="211"/>
      <c r="J553" s="211"/>
      <c r="K553" s="211"/>
      <c r="L553" s="171"/>
      <c r="M553" s="171" t="s">
        <v>690</v>
      </c>
      <c r="N553" s="171" t="s">
        <v>275</v>
      </c>
      <c r="O553" s="171" t="s">
        <v>691</v>
      </c>
      <c r="P553" s="171" t="s">
        <v>916</v>
      </c>
      <c r="Q553" s="171"/>
      <c r="R553" s="213">
        <v>218000</v>
      </c>
      <c r="S553" s="87">
        <v>0</v>
      </c>
      <c r="T553" s="87">
        <v>0</v>
      </c>
      <c r="U553" s="87">
        <v>0</v>
      </c>
      <c r="V553" s="87">
        <v>0</v>
      </c>
      <c r="W553" s="87">
        <v>0</v>
      </c>
      <c r="X553" s="87">
        <v>0</v>
      </c>
      <c r="Y553" s="87">
        <v>0</v>
      </c>
      <c r="Z553" s="87">
        <v>0</v>
      </c>
      <c r="AA553" s="214">
        <v>0</v>
      </c>
      <c r="AB553" s="214">
        <v>0</v>
      </c>
      <c r="AC553" s="214">
        <v>0</v>
      </c>
      <c r="AD553" s="214">
        <v>0</v>
      </c>
      <c r="AE553" s="214">
        <v>0</v>
      </c>
      <c r="AF553" s="214">
        <v>0</v>
      </c>
      <c r="AG553" s="214">
        <v>0</v>
      </c>
      <c r="AH553" s="214">
        <v>0</v>
      </c>
      <c r="AI553" s="87">
        <v>218329</v>
      </c>
      <c r="AJ553" s="87">
        <v>0</v>
      </c>
      <c r="AK553" s="87">
        <v>218329</v>
      </c>
      <c r="AL553" s="87">
        <v>218329</v>
      </c>
      <c r="AM553" s="87">
        <v>1544400</v>
      </c>
      <c r="AN553" s="87">
        <v>218329</v>
      </c>
      <c r="AO553" s="87">
        <v>218329</v>
      </c>
      <c r="AP553" s="87">
        <v>218000</v>
      </c>
      <c r="AQ553" s="88">
        <v>0</v>
      </c>
      <c r="AR553" s="88">
        <v>0</v>
      </c>
      <c r="AS553" s="88">
        <v>0</v>
      </c>
      <c r="AT553" s="88">
        <v>0</v>
      </c>
      <c r="AU553" s="88">
        <v>0</v>
      </c>
      <c r="AV553" s="88">
        <v>0</v>
      </c>
      <c r="AW553" s="88">
        <v>0</v>
      </c>
      <c r="AX553" s="88">
        <v>0</v>
      </c>
      <c r="AY553" s="87">
        <v>0</v>
      </c>
      <c r="AZ553" s="87">
        <v>0</v>
      </c>
      <c r="BA553" s="87">
        <v>0</v>
      </c>
      <c r="BB553" s="87">
        <v>0</v>
      </c>
      <c r="BC553" s="87">
        <v>0</v>
      </c>
      <c r="BD553" s="87">
        <v>0</v>
      </c>
      <c r="BE553" s="87">
        <v>0</v>
      </c>
      <c r="BF553" s="87">
        <v>0</v>
      </c>
      <c r="BG553" s="88">
        <v>0</v>
      </c>
      <c r="BH553" s="88">
        <v>0</v>
      </c>
      <c r="BI553" s="88">
        <v>0</v>
      </c>
      <c r="BJ553" s="88">
        <v>0</v>
      </c>
      <c r="BK553" s="88">
        <v>0</v>
      </c>
      <c r="BL553" s="88">
        <v>0</v>
      </c>
      <c r="BM553" s="88">
        <v>0</v>
      </c>
      <c r="BN553" s="590">
        <v>0</v>
      </c>
      <c r="BO553" s="171">
        <v>2023</v>
      </c>
      <c r="BP553" s="171">
        <v>1</v>
      </c>
      <c r="BQ553" s="171">
        <v>19</v>
      </c>
      <c r="BS553" s="76" t="str">
        <f t="shared" si="17"/>
        <v>○</v>
      </c>
    </row>
    <row r="554" spans="1:71" x14ac:dyDescent="0.2">
      <c r="A554" s="210">
        <v>1760</v>
      </c>
      <c r="B554" s="211"/>
      <c r="C554" s="212"/>
      <c r="D554" s="211"/>
      <c r="E554" s="212"/>
      <c r="F554" s="211"/>
      <c r="G554" s="211"/>
      <c r="H554" s="212"/>
      <c r="I554" s="211"/>
      <c r="J554" s="211"/>
      <c r="K554" s="211"/>
      <c r="L554" s="171"/>
      <c r="M554" s="171" t="s">
        <v>639</v>
      </c>
      <c r="N554" s="171" t="s">
        <v>289</v>
      </c>
      <c r="O554" s="171" t="s">
        <v>408</v>
      </c>
      <c r="P554" s="171" t="s">
        <v>916</v>
      </c>
      <c r="Q554" s="171"/>
      <c r="R554" s="213">
        <v>750000</v>
      </c>
      <c r="S554" s="87">
        <v>0</v>
      </c>
      <c r="T554" s="87">
        <v>0</v>
      </c>
      <c r="U554" s="87">
        <v>0</v>
      </c>
      <c r="V554" s="87">
        <v>0</v>
      </c>
      <c r="W554" s="87">
        <v>0</v>
      </c>
      <c r="X554" s="87">
        <v>0</v>
      </c>
      <c r="Y554" s="87">
        <v>0</v>
      </c>
      <c r="Z554" s="87">
        <v>0</v>
      </c>
      <c r="AA554" s="214">
        <v>0</v>
      </c>
      <c r="AB554" s="214">
        <v>0</v>
      </c>
      <c r="AC554" s="214">
        <v>0</v>
      </c>
      <c r="AD554" s="214">
        <v>0</v>
      </c>
      <c r="AE554" s="214">
        <v>0</v>
      </c>
      <c r="AF554" s="214">
        <v>0</v>
      </c>
      <c r="AG554" s="214">
        <v>0</v>
      </c>
      <c r="AH554" s="214">
        <v>0</v>
      </c>
      <c r="AI554" s="87">
        <v>750171</v>
      </c>
      <c r="AJ554" s="87">
        <v>0</v>
      </c>
      <c r="AK554" s="87">
        <v>750171</v>
      </c>
      <c r="AL554" s="87">
        <v>750171</v>
      </c>
      <c r="AM554" s="87">
        <v>1263600</v>
      </c>
      <c r="AN554" s="87">
        <v>750171</v>
      </c>
      <c r="AO554" s="87">
        <v>750171</v>
      </c>
      <c r="AP554" s="87">
        <v>750000</v>
      </c>
      <c r="AQ554" s="88">
        <v>0</v>
      </c>
      <c r="AR554" s="88">
        <v>0</v>
      </c>
      <c r="AS554" s="88">
        <v>0</v>
      </c>
      <c r="AT554" s="88">
        <v>0</v>
      </c>
      <c r="AU554" s="88">
        <v>0</v>
      </c>
      <c r="AV554" s="88">
        <v>0</v>
      </c>
      <c r="AW554" s="88">
        <v>0</v>
      </c>
      <c r="AX554" s="88">
        <v>0</v>
      </c>
      <c r="AY554" s="87">
        <v>0</v>
      </c>
      <c r="AZ554" s="87">
        <v>0</v>
      </c>
      <c r="BA554" s="87">
        <v>0</v>
      </c>
      <c r="BB554" s="87">
        <v>0</v>
      </c>
      <c r="BC554" s="87">
        <v>0</v>
      </c>
      <c r="BD554" s="87">
        <v>0</v>
      </c>
      <c r="BE554" s="87">
        <v>0</v>
      </c>
      <c r="BF554" s="87">
        <v>0</v>
      </c>
      <c r="BG554" s="88">
        <v>0</v>
      </c>
      <c r="BH554" s="88">
        <v>0</v>
      </c>
      <c r="BI554" s="88">
        <v>0</v>
      </c>
      <c r="BJ554" s="88">
        <v>0</v>
      </c>
      <c r="BK554" s="88">
        <v>0</v>
      </c>
      <c r="BL554" s="88">
        <v>0</v>
      </c>
      <c r="BM554" s="88">
        <v>0</v>
      </c>
      <c r="BN554" s="590">
        <v>0</v>
      </c>
      <c r="BO554" s="171">
        <v>2023</v>
      </c>
      <c r="BP554" s="171">
        <v>1</v>
      </c>
      <c r="BQ554" s="171">
        <v>19</v>
      </c>
      <c r="BS554" s="76" t="str">
        <f t="shared" si="17"/>
        <v>○</v>
      </c>
    </row>
    <row r="555" spans="1:71" x14ac:dyDescent="0.2">
      <c r="A555" s="210">
        <v>1761</v>
      </c>
      <c r="B555" s="211"/>
      <c r="C555" s="212"/>
      <c r="D555" s="211"/>
      <c r="E555" s="212"/>
      <c r="F555" s="211"/>
      <c r="G555" s="211"/>
      <c r="H555" s="212"/>
      <c r="I555" s="211"/>
      <c r="J555" s="211"/>
      <c r="K555" s="211"/>
      <c r="L555" s="171"/>
      <c r="M555" s="171" t="s">
        <v>867</v>
      </c>
      <c r="N555" s="171" t="s">
        <v>281</v>
      </c>
      <c r="O555" s="171" t="s">
        <v>868</v>
      </c>
      <c r="P555" s="171" t="s">
        <v>916</v>
      </c>
      <c r="Q555" s="171"/>
      <c r="R555" s="213">
        <v>458000</v>
      </c>
      <c r="S555" s="87">
        <v>0</v>
      </c>
      <c r="T555" s="87">
        <v>0</v>
      </c>
      <c r="U555" s="87">
        <v>0</v>
      </c>
      <c r="V555" s="87">
        <v>0</v>
      </c>
      <c r="W555" s="87">
        <v>0</v>
      </c>
      <c r="X555" s="87">
        <v>0</v>
      </c>
      <c r="Y555" s="87">
        <v>0</v>
      </c>
      <c r="Z555" s="87">
        <v>0</v>
      </c>
      <c r="AA555" s="214">
        <v>0</v>
      </c>
      <c r="AB555" s="214">
        <v>0</v>
      </c>
      <c r="AC555" s="214">
        <v>0</v>
      </c>
      <c r="AD555" s="214">
        <v>0</v>
      </c>
      <c r="AE555" s="214">
        <v>0</v>
      </c>
      <c r="AF555" s="214">
        <v>0</v>
      </c>
      <c r="AG555" s="214">
        <v>0</v>
      </c>
      <c r="AH555" s="214">
        <v>0</v>
      </c>
      <c r="AI555" s="87">
        <v>458000</v>
      </c>
      <c r="AJ555" s="87">
        <v>0</v>
      </c>
      <c r="AK555" s="87">
        <v>458000</v>
      </c>
      <c r="AL555" s="87">
        <v>458000</v>
      </c>
      <c r="AM555" s="87">
        <v>7308000</v>
      </c>
      <c r="AN555" s="87">
        <v>458000</v>
      </c>
      <c r="AO555" s="87">
        <v>458000</v>
      </c>
      <c r="AP555" s="87">
        <v>458000</v>
      </c>
      <c r="AQ555" s="88">
        <v>0</v>
      </c>
      <c r="AR555" s="88">
        <v>0</v>
      </c>
      <c r="AS555" s="88">
        <v>0</v>
      </c>
      <c r="AT555" s="88">
        <v>0</v>
      </c>
      <c r="AU555" s="88">
        <v>0</v>
      </c>
      <c r="AV555" s="88">
        <v>0</v>
      </c>
      <c r="AW555" s="88">
        <v>0</v>
      </c>
      <c r="AX555" s="88">
        <v>0</v>
      </c>
      <c r="AY555" s="87">
        <v>0</v>
      </c>
      <c r="AZ555" s="87">
        <v>0</v>
      </c>
      <c r="BA555" s="87">
        <v>0</v>
      </c>
      <c r="BB555" s="87">
        <v>0</v>
      </c>
      <c r="BC555" s="87">
        <v>0</v>
      </c>
      <c r="BD555" s="87">
        <v>0</v>
      </c>
      <c r="BE555" s="87">
        <v>0</v>
      </c>
      <c r="BF555" s="87">
        <v>0</v>
      </c>
      <c r="BG555" s="88">
        <v>0</v>
      </c>
      <c r="BH555" s="88">
        <v>0</v>
      </c>
      <c r="BI555" s="88">
        <v>0</v>
      </c>
      <c r="BJ555" s="88">
        <v>0</v>
      </c>
      <c r="BK555" s="88">
        <v>0</v>
      </c>
      <c r="BL555" s="88">
        <v>0</v>
      </c>
      <c r="BM555" s="88">
        <v>0</v>
      </c>
      <c r="BN555" s="590">
        <v>0</v>
      </c>
      <c r="BO555" s="171">
        <v>2023</v>
      </c>
      <c r="BP555" s="171">
        <v>1</v>
      </c>
      <c r="BQ555" s="171">
        <v>19</v>
      </c>
      <c r="BS555" s="76" t="str">
        <f t="shared" si="17"/>
        <v>○</v>
      </c>
    </row>
    <row r="556" spans="1:71" x14ac:dyDescent="0.2">
      <c r="A556" s="210">
        <v>1762</v>
      </c>
      <c r="B556" s="211"/>
      <c r="C556" s="212"/>
      <c r="D556" s="211"/>
      <c r="E556" s="212"/>
      <c r="F556" s="211"/>
      <c r="G556" s="211"/>
      <c r="H556" s="212"/>
      <c r="I556" s="211"/>
      <c r="J556" s="211"/>
      <c r="K556" s="211"/>
      <c r="L556" s="171"/>
      <c r="M556" s="171" t="s">
        <v>621</v>
      </c>
      <c r="N556" s="171" t="s">
        <v>306</v>
      </c>
      <c r="O556" s="171" t="s">
        <v>622</v>
      </c>
      <c r="P556" s="171" t="s">
        <v>916</v>
      </c>
      <c r="Q556" s="171"/>
      <c r="R556" s="213">
        <v>813000</v>
      </c>
      <c r="S556" s="87">
        <v>0</v>
      </c>
      <c r="T556" s="87">
        <v>0</v>
      </c>
      <c r="U556" s="87">
        <v>0</v>
      </c>
      <c r="V556" s="87">
        <v>0</v>
      </c>
      <c r="W556" s="87">
        <v>0</v>
      </c>
      <c r="X556" s="87">
        <v>0</v>
      </c>
      <c r="Y556" s="87">
        <v>0</v>
      </c>
      <c r="Z556" s="87">
        <v>0</v>
      </c>
      <c r="AA556" s="214">
        <v>0</v>
      </c>
      <c r="AB556" s="214">
        <v>0</v>
      </c>
      <c r="AC556" s="214">
        <v>0</v>
      </c>
      <c r="AD556" s="214">
        <v>0</v>
      </c>
      <c r="AE556" s="214">
        <v>0</v>
      </c>
      <c r="AF556" s="214">
        <v>0</v>
      </c>
      <c r="AG556" s="214">
        <v>0</v>
      </c>
      <c r="AH556" s="214">
        <v>0</v>
      </c>
      <c r="AI556" s="87">
        <v>813690</v>
      </c>
      <c r="AJ556" s="87">
        <v>0</v>
      </c>
      <c r="AK556" s="87">
        <v>813690</v>
      </c>
      <c r="AL556" s="87">
        <v>813690</v>
      </c>
      <c r="AM556" s="87">
        <v>3240000</v>
      </c>
      <c r="AN556" s="87">
        <v>813690</v>
      </c>
      <c r="AO556" s="87">
        <v>813690</v>
      </c>
      <c r="AP556" s="87">
        <v>813000</v>
      </c>
      <c r="AQ556" s="88">
        <v>0</v>
      </c>
      <c r="AR556" s="88">
        <v>0</v>
      </c>
      <c r="AS556" s="88">
        <v>0</v>
      </c>
      <c r="AT556" s="88">
        <v>0</v>
      </c>
      <c r="AU556" s="88">
        <v>0</v>
      </c>
      <c r="AV556" s="88">
        <v>0</v>
      </c>
      <c r="AW556" s="88">
        <v>0</v>
      </c>
      <c r="AX556" s="88">
        <v>0</v>
      </c>
      <c r="AY556" s="87">
        <v>0</v>
      </c>
      <c r="AZ556" s="87">
        <v>0</v>
      </c>
      <c r="BA556" s="87">
        <v>0</v>
      </c>
      <c r="BB556" s="87">
        <v>0</v>
      </c>
      <c r="BC556" s="87">
        <v>0</v>
      </c>
      <c r="BD556" s="87">
        <v>0</v>
      </c>
      <c r="BE556" s="87">
        <v>0</v>
      </c>
      <c r="BF556" s="87">
        <v>0</v>
      </c>
      <c r="BG556" s="88">
        <v>0</v>
      </c>
      <c r="BH556" s="88">
        <v>0</v>
      </c>
      <c r="BI556" s="88">
        <v>0</v>
      </c>
      <c r="BJ556" s="88">
        <v>0</v>
      </c>
      <c r="BK556" s="88">
        <v>0</v>
      </c>
      <c r="BL556" s="88">
        <v>0</v>
      </c>
      <c r="BM556" s="88">
        <v>0</v>
      </c>
      <c r="BN556" s="590">
        <v>0</v>
      </c>
      <c r="BO556" s="171">
        <v>2023</v>
      </c>
      <c r="BP556" s="171">
        <v>1</v>
      </c>
      <c r="BQ556" s="171">
        <v>19</v>
      </c>
      <c r="BS556" s="76" t="str">
        <f t="shared" si="17"/>
        <v>○</v>
      </c>
    </row>
    <row r="557" spans="1:71" x14ac:dyDescent="0.2">
      <c r="A557" s="210">
        <v>1763</v>
      </c>
      <c r="B557" s="211"/>
      <c r="C557" s="212"/>
      <c r="D557" s="211"/>
      <c r="E557" s="212"/>
      <c r="F557" s="211"/>
      <c r="G557" s="211"/>
      <c r="H557" s="212"/>
      <c r="I557" s="211"/>
      <c r="J557" s="211"/>
      <c r="K557" s="211"/>
      <c r="L557" s="171"/>
      <c r="M557" s="171" t="s">
        <v>869</v>
      </c>
      <c r="N557" s="171" t="s">
        <v>306</v>
      </c>
      <c r="O557" s="171" t="s">
        <v>497</v>
      </c>
      <c r="P557" s="171" t="s">
        <v>916</v>
      </c>
      <c r="Q557" s="171"/>
      <c r="R557" s="213">
        <v>91000</v>
      </c>
      <c r="S557" s="87">
        <v>0</v>
      </c>
      <c r="T557" s="87">
        <v>0</v>
      </c>
      <c r="U557" s="87">
        <v>0</v>
      </c>
      <c r="V557" s="87">
        <v>0</v>
      </c>
      <c r="W557" s="87">
        <v>0</v>
      </c>
      <c r="X557" s="87">
        <v>0</v>
      </c>
      <c r="Y557" s="87">
        <v>0</v>
      </c>
      <c r="Z557" s="87">
        <v>0</v>
      </c>
      <c r="AA557" s="214">
        <v>0</v>
      </c>
      <c r="AB557" s="214">
        <v>0</v>
      </c>
      <c r="AC557" s="214">
        <v>0</v>
      </c>
      <c r="AD557" s="214">
        <v>0</v>
      </c>
      <c r="AE557" s="214">
        <v>0</v>
      </c>
      <c r="AF557" s="214">
        <v>0</v>
      </c>
      <c r="AG557" s="214">
        <v>0</v>
      </c>
      <c r="AH557" s="214">
        <v>0</v>
      </c>
      <c r="AI557" s="87">
        <v>91707</v>
      </c>
      <c r="AJ557" s="87">
        <v>0</v>
      </c>
      <c r="AK557" s="87">
        <v>91707</v>
      </c>
      <c r="AL557" s="87">
        <v>91707</v>
      </c>
      <c r="AM557" s="87">
        <v>1728000</v>
      </c>
      <c r="AN557" s="87">
        <v>91707</v>
      </c>
      <c r="AO557" s="87">
        <v>91707</v>
      </c>
      <c r="AP557" s="87">
        <v>91000</v>
      </c>
      <c r="AQ557" s="88">
        <v>0</v>
      </c>
      <c r="AR557" s="88">
        <v>0</v>
      </c>
      <c r="AS557" s="88">
        <v>0</v>
      </c>
      <c r="AT557" s="88">
        <v>0</v>
      </c>
      <c r="AU557" s="88">
        <v>0</v>
      </c>
      <c r="AV557" s="88">
        <v>0</v>
      </c>
      <c r="AW557" s="88">
        <v>0</v>
      </c>
      <c r="AX557" s="88">
        <v>0</v>
      </c>
      <c r="AY557" s="87">
        <v>0</v>
      </c>
      <c r="AZ557" s="87">
        <v>0</v>
      </c>
      <c r="BA557" s="87">
        <v>0</v>
      </c>
      <c r="BB557" s="87">
        <v>0</v>
      </c>
      <c r="BC557" s="87">
        <v>0</v>
      </c>
      <c r="BD557" s="87">
        <v>0</v>
      </c>
      <c r="BE557" s="87">
        <v>0</v>
      </c>
      <c r="BF557" s="87">
        <v>0</v>
      </c>
      <c r="BG557" s="88">
        <v>0</v>
      </c>
      <c r="BH557" s="88">
        <v>0</v>
      </c>
      <c r="BI557" s="88">
        <v>0</v>
      </c>
      <c r="BJ557" s="88">
        <v>0</v>
      </c>
      <c r="BK557" s="88">
        <v>0</v>
      </c>
      <c r="BL557" s="88">
        <v>0</v>
      </c>
      <c r="BM557" s="88">
        <v>0</v>
      </c>
      <c r="BN557" s="590">
        <v>0</v>
      </c>
      <c r="BO557" s="171">
        <v>2023</v>
      </c>
      <c r="BP557" s="171">
        <v>1</v>
      </c>
      <c r="BQ557" s="171">
        <v>19</v>
      </c>
      <c r="BS557" s="76" t="str">
        <f t="shared" si="17"/>
        <v>○</v>
      </c>
    </row>
    <row r="558" spans="1:71" x14ac:dyDescent="0.2">
      <c r="A558" s="210">
        <v>1764</v>
      </c>
      <c r="B558" s="211"/>
      <c r="C558" s="212"/>
      <c r="D558" s="211"/>
      <c r="E558" s="212"/>
      <c r="F558" s="211"/>
      <c r="G558" s="211"/>
      <c r="H558" s="212"/>
      <c r="I558" s="211"/>
      <c r="J558" s="211"/>
      <c r="K558" s="211"/>
      <c r="L558" s="171"/>
      <c r="M558" s="171" t="s">
        <v>870</v>
      </c>
      <c r="N558" s="171" t="s">
        <v>852</v>
      </c>
      <c r="O558" s="171" t="s">
        <v>279</v>
      </c>
      <c r="P558" s="171" t="s">
        <v>916</v>
      </c>
      <c r="Q558" s="171"/>
      <c r="R558" s="213">
        <v>74000</v>
      </c>
      <c r="S558" s="87">
        <v>0</v>
      </c>
      <c r="T558" s="87">
        <v>0</v>
      </c>
      <c r="U558" s="87">
        <v>0</v>
      </c>
      <c r="V558" s="87">
        <v>0</v>
      </c>
      <c r="W558" s="87">
        <v>0</v>
      </c>
      <c r="X558" s="87">
        <v>0</v>
      </c>
      <c r="Y558" s="87">
        <v>0</v>
      </c>
      <c r="Z558" s="87">
        <v>0</v>
      </c>
      <c r="AA558" s="214">
        <v>0</v>
      </c>
      <c r="AB558" s="214">
        <v>0</v>
      </c>
      <c r="AC558" s="214">
        <v>0</v>
      </c>
      <c r="AD558" s="214">
        <v>0</v>
      </c>
      <c r="AE558" s="214">
        <v>0</v>
      </c>
      <c r="AF558" s="214">
        <v>0</v>
      </c>
      <c r="AG558" s="214">
        <v>0</v>
      </c>
      <c r="AH558" s="214">
        <v>0</v>
      </c>
      <c r="AI558" s="87">
        <v>74184</v>
      </c>
      <c r="AJ558" s="87">
        <v>0</v>
      </c>
      <c r="AK558" s="87">
        <v>74184</v>
      </c>
      <c r="AL558" s="87">
        <v>74184</v>
      </c>
      <c r="AM558" s="87">
        <v>1382400</v>
      </c>
      <c r="AN558" s="87">
        <v>74184</v>
      </c>
      <c r="AO558" s="87">
        <v>74184</v>
      </c>
      <c r="AP558" s="87">
        <v>74000</v>
      </c>
      <c r="AQ558" s="88">
        <v>0</v>
      </c>
      <c r="AR558" s="88">
        <v>0</v>
      </c>
      <c r="AS558" s="88">
        <v>0</v>
      </c>
      <c r="AT558" s="88">
        <v>0</v>
      </c>
      <c r="AU558" s="88">
        <v>0</v>
      </c>
      <c r="AV558" s="88">
        <v>0</v>
      </c>
      <c r="AW558" s="88">
        <v>0</v>
      </c>
      <c r="AX558" s="88">
        <v>0</v>
      </c>
      <c r="AY558" s="87">
        <v>0</v>
      </c>
      <c r="AZ558" s="87">
        <v>0</v>
      </c>
      <c r="BA558" s="87">
        <v>0</v>
      </c>
      <c r="BB558" s="87">
        <v>0</v>
      </c>
      <c r="BC558" s="87">
        <v>0</v>
      </c>
      <c r="BD558" s="87">
        <v>0</v>
      </c>
      <c r="BE558" s="87">
        <v>0</v>
      </c>
      <c r="BF558" s="87">
        <v>0</v>
      </c>
      <c r="BG558" s="88">
        <v>0</v>
      </c>
      <c r="BH558" s="88">
        <v>0</v>
      </c>
      <c r="BI558" s="88">
        <v>0</v>
      </c>
      <c r="BJ558" s="88">
        <v>0</v>
      </c>
      <c r="BK558" s="88">
        <v>0</v>
      </c>
      <c r="BL558" s="88">
        <v>0</v>
      </c>
      <c r="BM558" s="88">
        <v>0</v>
      </c>
      <c r="BN558" s="590">
        <v>0</v>
      </c>
      <c r="BO558" s="171">
        <v>2023</v>
      </c>
      <c r="BP558" s="171">
        <v>1</v>
      </c>
      <c r="BQ558" s="171">
        <v>19</v>
      </c>
      <c r="BS558" s="76" t="str">
        <f t="shared" si="17"/>
        <v>○</v>
      </c>
    </row>
    <row r="559" spans="1:71" x14ac:dyDescent="0.2">
      <c r="A559" s="210">
        <v>1765</v>
      </c>
      <c r="B559" s="211"/>
      <c r="C559" s="212"/>
      <c r="D559" s="211"/>
      <c r="E559" s="212"/>
      <c r="F559" s="211"/>
      <c r="G559" s="211"/>
      <c r="H559" s="212"/>
      <c r="I559" s="211"/>
      <c r="J559" s="211"/>
      <c r="K559" s="211"/>
      <c r="L559" s="171"/>
      <c r="M559" s="171" t="s">
        <v>626</v>
      </c>
      <c r="N559" s="171" t="s">
        <v>302</v>
      </c>
      <c r="O559" s="171" t="s">
        <v>369</v>
      </c>
      <c r="P559" s="171" t="s">
        <v>916</v>
      </c>
      <c r="Q559" s="171"/>
      <c r="R559" s="213">
        <v>684000</v>
      </c>
      <c r="S559" s="87">
        <v>0</v>
      </c>
      <c r="T559" s="87">
        <v>0</v>
      </c>
      <c r="U559" s="87">
        <v>0</v>
      </c>
      <c r="V559" s="87">
        <v>0</v>
      </c>
      <c r="W559" s="87">
        <v>0</v>
      </c>
      <c r="X559" s="87">
        <v>0</v>
      </c>
      <c r="Y559" s="87">
        <v>0</v>
      </c>
      <c r="Z559" s="87">
        <v>0</v>
      </c>
      <c r="AA559" s="214">
        <v>0</v>
      </c>
      <c r="AB559" s="214">
        <v>0</v>
      </c>
      <c r="AC559" s="214">
        <v>0</v>
      </c>
      <c r="AD559" s="214">
        <v>0</v>
      </c>
      <c r="AE559" s="214">
        <v>0</v>
      </c>
      <c r="AF559" s="214">
        <v>0</v>
      </c>
      <c r="AG559" s="214">
        <v>0</v>
      </c>
      <c r="AH559" s="214">
        <v>0</v>
      </c>
      <c r="AI559" s="87">
        <v>692570</v>
      </c>
      <c r="AJ559" s="87">
        <v>0</v>
      </c>
      <c r="AK559" s="87">
        <v>692570</v>
      </c>
      <c r="AL559" s="87">
        <v>692570</v>
      </c>
      <c r="AM559" s="87">
        <v>684000</v>
      </c>
      <c r="AN559" s="87">
        <v>684000</v>
      </c>
      <c r="AO559" s="87">
        <v>684000</v>
      </c>
      <c r="AP559" s="87">
        <v>684000</v>
      </c>
      <c r="AQ559" s="88">
        <v>0</v>
      </c>
      <c r="AR559" s="88">
        <v>0</v>
      </c>
      <c r="AS559" s="88">
        <v>0</v>
      </c>
      <c r="AT559" s="88">
        <v>0</v>
      </c>
      <c r="AU559" s="88">
        <v>0</v>
      </c>
      <c r="AV559" s="88">
        <v>0</v>
      </c>
      <c r="AW559" s="88">
        <v>0</v>
      </c>
      <c r="AX559" s="88">
        <v>0</v>
      </c>
      <c r="AY559" s="87">
        <v>0</v>
      </c>
      <c r="AZ559" s="87">
        <v>0</v>
      </c>
      <c r="BA559" s="87">
        <v>0</v>
      </c>
      <c r="BB559" s="87">
        <v>0</v>
      </c>
      <c r="BC559" s="87">
        <v>0</v>
      </c>
      <c r="BD559" s="87">
        <v>0</v>
      </c>
      <c r="BE559" s="87">
        <v>0</v>
      </c>
      <c r="BF559" s="87">
        <v>0</v>
      </c>
      <c r="BG559" s="88">
        <v>0</v>
      </c>
      <c r="BH559" s="88">
        <v>0</v>
      </c>
      <c r="BI559" s="88">
        <v>0</v>
      </c>
      <c r="BJ559" s="88">
        <v>0</v>
      </c>
      <c r="BK559" s="88">
        <v>0</v>
      </c>
      <c r="BL559" s="88">
        <v>0</v>
      </c>
      <c r="BM559" s="88">
        <v>0</v>
      </c>
      <c r="BN559" s="590">
        <v>0</v>
      </c>
      <c r="BO559" s="171">
        <v>2023</v>
      </c>
      <c r="BP559" s="171">
        <v>1</v>
      </c>
      <c r="BQ559" s="171">
        <v>19</v>
      </c>
      <c r="BS559" s="76" t="str">
        <f t="shared" si="17"/>
        <v>○</v>
      </c>
    </row>
    <row r="560" spans="1:71" x14ac:dyDescent="0.2">
      <c r="A560" s="210">
        <v>1766</v>
      </c>
      <c r="B560" s="211"/>
      <c r="C560" s="212"/>
      <c r="D560" s="211"/>
      <c r="E560" s="212"/>
      <c r="F560" s="211"/>
      <c r="G560" s="211"/>
      <c r="H560" s="212"/>
      <c r="I560" s="211"/>
      <c r="J560" s="211"/>
      <c r="K560" s="211"/>
      <c r="L560" s="171"/>
      <c r="M560" s="171" t="s">
        <v>301</v>
      </c>
      <c r="N560" s="171" t="s">
        <v>302</v>
      </c>
      <c r="O560" s="171" t="s">
        <v>303</v>
      </c>
      <c r="P560" s="171" t="s">
        <v>916</v>
      </c>
      <c r="Q560" s="171"/>
      <c r="R560" s="213">
        <v>540000</v>
      </c>
      <c r="S560" s="87">
        <v>0</v>
      </c>
      <c r="T560" s="87">
        <v>0</v>
      </c>
      <c r="U560" s="87">
        <v>0</v>
      </c>
      <c r="V560" s="87">
        <v>0</v>
      </c>
      <c r="W560" s="87">
        <v>0</v>
      </c>
      <c r="X560" s="87">
        <v>0</v>
      </c>
      <c r="Y560" s="87">
        <v>0</v>
      </c>
      <c r="Z560" s="87">
        <v>0</v>
      </c>
      <c r="AA560" s="214">
        <v>0</v>
      </c>
      <c r="AB560" s="214">
        <v>0</v>
      </c>
      <c r="AC560" s="214">
        <v>0</v>
      </c>
      <c r="AD560" s="214">
        <v>0</v>
      </c>
      <c r="AE560" s="214">
        <v>0</v>
      </c>
      <c r="AF560" s="214">
        <v>0</v>
      </c>
      <c r="AG560" s="214">
        <v>0</v>
      </c>
      <c r="AH560" s="214">
        <v>0</v>
      </c>
      <c r="AI560" s="87">
        <v>540464</v>
      </c>
      <c r="AJ560" s="87">
        <v>0</v>
      </c>
      <c r="AK560" s="87">
        <v>540464</v>
      </c>
      <c r="AL560" s="87">
        <v>540464</v>
      </c>
      <c r="AM560" s="87">
        <v>3049200</v>
      </c>
      <c r="AN560" s="87">
        <v>540464</v>
      </c>
      <c r="AO560" s="87">
        <v>540464</v>
      </c>
      <c r="AP560" s="87">
        <v>540000</v>
      </c>
      <c r="AQ560" s="88">
        <v>0</v>
      </c>
      <c r="AR560" s="88">
        <v>0</v>
      </c>
      <c r="AS560" s="88">
        <v>0</v>
      </c>
      <c r="AT560" s="88">
        <v>0</v>
      </c>
      <c r="AU560" s="88">
        <v>0</v>
      </c>
      <c r="AV560" s="88">
        <v>0</v>
      </c>
      <c r="AW560" s="88">
        <v>0</v>
      </c>
      <c r="AX560" s="88">
        <v>0</v>
      </c>
      <c r="AY560" s="87">
        <v>0</v>
      </c>
      <c r="AZ560" s="87">
        <v>0</v>
      </c>
      <c r="BA560" s="87">
        <v>0</v>
      </c>
      <c r="BB560" s="87">
        <v>0</v>
      </c>
      <c r="BC560" s="87">
        <v>0</v>
      </c>
      <c r="BD560" s="87">
        <v>0</v>
      </c>
      <c r="BE560" s="87">
        <v>0</v>
      </c>
      <c r="BF560" s="87">
        <v>0</v>
      </c>
      <c r="BG560" s="88">
        <v>0</v>
      </c>
      <c r="BH560" s="88">
        <v>0</v>
      </c>
      <c r="BI560" s="88">
        <v>0</v>
      </c>
      <c r="BJ560" s="88">
        <v>0</v>
      </c>
      <c r="BK560" s="88">
        <v>0</v>
      </c>
      <c r="BL560" s="88">
        <v>0</v>
      </c>
      <c r="BM560" s="88">
        <v>0</v>
      </c>
      <c r="BN560" s="590">
        <v>0</v>
      </c>
      <c r="BO560" s="171">
        <v>2023</v>
      </c>
      <c r="BP560" s="171">
        <v>1</v>
      </c>
      <c r="BQ560" s="171">
        <v>19</v>
      </c>
      <c r="BS560" s="76" t="str">
        <f t="shared" si="17"/>
        <v>○</v>
      </c>
    </row>
    <row r="561" spans="1:71" x14ac:dyDescent="0.2">
      <c r="A561" s="210">
        <v>1767</v>
      </c>
      <c r="B561" s="211"/>
      <c r="C561" s="212"/>
      <c r="D561" s="211"/>
      <c r="E561" s="212"/>
      <c r="F561" s="211"/>
      <c r="G561" s="211"/>
      <c r="H561" s="212"/>
      <c r="I561" s="211"/>
      <c r="J561" s="211"/>
      <c r="K561" s="211"/>
      <c r="L561" s="171"/>
      <c r="M561" s="171" t="s">
        <v>637</v>
      </c>
      <c r="N561" s="171" t="s">
        <v>269</v>
      </c>
      <c r="O561" s="171" t="s">
        <v>638</v>
      </c>
      <c r="P561" s="171" t="s">
        <v>916</v>
      </c>
      <c r="Q561" s="171"/>
      <c r="R561" s="213">
        <v>102000</v>
      </c>
      <c r="S561" s="87">
        <v>0</v>
      </c>
      <c r="T561" s="87">
        <v>0</v>
      </c>
      <c r="U561" s="87">
        <v>0</v>
      </c>
      <c r="V561" s="87">
        <v>0</v>
      </c>
      <c r="W561" s="87">
        <v>0</v>
      </c>
      <c r="X561" s="87">
        <v>0</v>
      </c>
      <c r="Y561" s="87">
        <v>0</v>
      </c>
      <c r="Z561" s="87">
        <v>0</v>
      </c>
      <c r="AA561" s="214">
        <v>0</v>
      </c>
      <c r="AB561" s="214">
        <v>0</v>
      </c>
      <c r="AC561" s="214">
        <v>0</v>
      </c>
      <c r="AD561" s="214">
        <v>0</v>
      </c>
      <c r="AE561" s="214">
        <v>0</v>
      </c>
      <c r="AF561" s="214">
        <v>0</v>
      </c>
      <c r="AG561" s="214">
        <v>0</v>
      </c>
      <c r="AH561" s="214">
        <v>0</v>
      </c>
      <c r="AI561" s="87">
        <v>102276</v>
      </c>
      <c r="AJ561" s="87">
        <v>0</v>
      </c>
      <c r="AK561" s="87">
        <v>102276</v>
      </c>
      <c r="AL561" s="87">
        <v>102276</v>
      </c>
      <c r="AM561" s="87">
        <v>2286000</v>
      </c>
      <c r="AN561" s="87">
        <v>102276</v>
      </c>
      <c r="AO561" s="87">
        <v>102276</v>
      </c>
      <c r="AP561" s="87">
        <v>102000</v>
      </c>
      <c r="AQ561" s="88">
        <v>0</v>
      </c>
      <c r="AR561" s="88">
        <v>0</v>
      </c>
      <c r="AS561" s="88">
        <v>0</v>
      </c>
      <c r="AT561" s="88">
        <v>0</v>
      </c>
      <c r="AU561" s="88">
        <v>0</v>
      </c>
      <c r="AV561" s="88">
        <v>0</v>
      </c>
      <c r="AW561" s="88">
        <v>0</v>
      </c>
      <c r="AX561" s="88">
        <v>0</v>
      </c>
      <c r="AY561" s="87">
        <v>0</v>
      </c>
      <c r="AZ561" s="87">
        <v>0</v>
      </c>
      <c r="BA561" s="87">
        <v>0</v>
      </c>
      <c r="BB561" s="87">
        <v>0</v>
      </c>
      <c r="BC561" s="87">
        <v>0</v>
      </c>
      <c r="BD561" s="87">
        <v>0</v>
      </c>
      <c r="BE561" s="87">
        <v>0</v>
      </c>
      <c r="BF561" s="87">
        <v>0</v>
      </c>
      <c r="BG561" s="88">
        <v>0</v>
      </c>
      <c r="BH561" s="88">
        <v>0</v>
      </c>
      <c r="BI561" s="88">
        <v>0</v>
      </c>
      <c r="BJ561" s="88">
        <v>0</v>
      </c>
      <c r="BK561" s="88">
        <v>0</v>
      </c>
      <c r="BL561" s="88">
        <v>0</v>
      </c>
      <c r="BM561" s="88">
        <v>0</v>
      </c>
      <c r="BN561" s="590">
        <v>0</v>
      </c>
      <c r="BO561" s="171">
        <v>2023</v>
      </c>
      <c r="BP561" s="171">
        <v>1</v>
      </c>
      <c r="BQ561" s="171">
        <v>19</v>
      </c>
      <c r="BS561" s="76" t="str">
        <f t="shared" si="17"/>
        <v>○</v>
      </c>
    </row>
    <row r="562" spans="1:71" x14ac:dyDescent="0.2">
      <c r="A562" s="210">
        <v>1769</v>
      </c>
      <c r="B562" s="211"/>
      <c r="C562" s="212"/>
      <c r="D562" s="211"/>
      <c r="E562" s="212"/>
      <c r="F562" s="211"/>
      <c r="G562" s="211"/>
      <c r="H562" s="212"/>
      <c r="I562" s="211"/>
      <c r="J562" s="211"/>
      <c r="K562" s="211"/>
      <c r="L562" s="171"/>
      <c r="M562" s="171" t="s">
        <v>871</v>
      </c>
      <c r="N562" s="171" t="s">
        <v>269</v>
      </c>
      <c r="O562" s="171" t="s">
        <v>872</v>
      </c>
      <c r="P562" s="171" t="s">
        <v>916</v>
      </c>
      <c r="Q562" s="171"/>
      <c r="R562" s="213">
        <v>122000</v>
      </c>
      <c r="S562" s="87">
        <v>0</v>
      </c>
      <c r="T562" s="87">
        <v>0</v>
      </c>
      <c r="U562" s="87">
        <v>0</v>
      </c>
      <c r="V562" s="87">
        <v>0</v>
      </c>
      <c r="W562" s="87">
        <v>0</v>
      </c>
      <c r="X562" s="87">
        <v>0</v>
      </c>
      <c r="Y562" s="87">
        <v>0</v>
      </c>
      <c r="Z562" s="87">
        <v>0</v>
      </c>
      <c r="AA562" s="214">
        <v>0</v>
      </c>
      <c r="AB562" s="214">
        <v>0</v>
      </c>
      <c r="AC562" s="214">
        <v>0</v>
      </c>
      <c r="AD562" s="214">
        <v>0</v>
      </c>
      <c r="AE562" s="214">
        <v>0</v>
      </c>
      <c r="AF562" s="214">
        <v>0</v>
      </c>
      <c r="AG562" s="214">
        <v>0</v>
      </c>
      <c r="AH562" s="214">
        <v>0</v>
      </c>
      <c r="AI562" s="87">
        <v>122809</v>
      </c>
      <c r="AJ562" s="87">
        <v>0</v>
      </c>
      <c r="AK562" s="87">
        <v>122809</v>
      </c>
      <c r="AL562" s="87">
        <v>122809</v>
      </c>
      <c r="AM562" s="87">
        <v>1544400</v>
      </c>
      <c r="AN562" s="87">
        <v>122809</v>
      </c>
      <c r="AO562" s="87">
        <v>122809</v>
      </c>
      <c r="AP562" s="87">
        <v>122000</v>
      </c>
      <c r="AQ562" s="88">
        <v>0</v>
      </c>
      <c r="AR562" s="88">
        <v>0</v>
      </c>
      <c r="AS562" s="88">
        <v>0</v>
      </c>
      <c r="AT562" s="88">
        <v>0</v>
      </c>
      <c r="AU562" s="88">
        <v>0</v>
      </c>
      <c r="AV562" s="88">
        <v>0</v>
      </c>
      <c r="AW562" s="88">
        <v>0</v>
      </c>
      <c r="AX562" s="88">
        <v>0</v>
      </c>
      <c r="AY562" s="87">
        <v>0</v>
      </c>
      <c r="AZ562" s="87">
        <v>0</v>
      </c>
      <c r="BA562" s="87">
        <v>0</v>
      </c>
      <c r="BB562" s="87">
        <v>0</v>
      </c>
      <c r="BC562" s="87">
        <v>0</v>
      </c>
      <c r="BD562" s="87">
        <v>0</v>
      </c>
      <c r="BE562" s="87">
        <v>0</v>
      </c>
      <c r="BF562" s="87">
        <v>0</v>
      </c>
      <c r="BG562" s="88">
        <v>0</v>
      </c>
      <c r="BH562" s="88">
        <v>0</v>
      </c>
      <c r="BI562" s="88">
        <v>0</v>
      </c>
      <c r="BJ562" s="88">
        <v>0</v>
      </c>
      <c r="BK562" s="88">
        <v>0</v>
      </c>
      <c r="BL562" s="88">
        <v>0</v>
      </c>
      <c r="BM562" s="88">
        <v>0</v>
      </c>
      <c r="BN562" s="590">
        <v>0</v>
      </c>
      <c r="BO562" s="171">
        <v>2023</v>
      </c>
      <c r="BP562" s="171">
        <v>1</v>
      </c>
      <c r="BQ562" s="171">
        <v>19</v>
      </c>
      <c r="BS562" s="76" t="str">
        <f t="shared" si="17"/>
        <v>○</v>
      </c>
    </row>
    <row r="563" spans="1:71" x14ac:dyDescent="0.2">
      <c r="A563" s="210">
        <v>1770</v>
      </c>
      <c r="B563" s="211"/>
      <c r="C563" s="212"/>
      <c r="D563" s="211"/>
      <c r="E563" s="212"/>
      <c r="F563" s="211"/>
      <c r="G563" s="211"/>
      <c r="H563" s="212"/>
      <c r="I563" s="211"/>
      <c r="J563" s="211"/>
      <c r="K563" s="211"/>
      <c r="L563" s="171"/>
      <c r="M563" s="171" t="s">
        <v>583</v>
      </c>
      <c r="N563" s="171" t="s">
        <v>299</v>
      </c>
      <c r="O563" s="171" t="s">
        <v>584</v>
      </c>
      <c r="P563" s="171" t="s">
        <v>916</v>
      </c>
      <c r="Q563" s="171"/>
      <c r="R563" s="213">
        <v>467000</v>
      </c>
      <c r="S563" s="87">
        <v>0</v>
      </c>
      <c r="T563" s="87">
        <v>0</v>
      </c>
      <c r="U563" s="87">
        <v>0</v>
      </c>
      <c r="V563" s="87">
        <v>0</v>
      </c>
      <c r="W563" s="87">
        <v>0</v>
      </c>
      <c r="X563" s="87">
        <v>0</v>
      </c>
      <c r="Y563" s="87">
        <v>0</v>
      </c>
      <c r="Z563" s="87">
        <v>0</v>
      </c>
      <c r="AA563" s="214">
        <v>0</v>
      </c>
      <c r="AB563" s="214">
        <v>0</v>
      </c>
      <c r="AC563" s="214">
        <v>0</v>
      </c>
      <c r="AD563" s="214">
        <v>0</v>
      </c>
      <c r="AE563" s="214">
        <v>0</v>
      </c>
      <c r="AF563" s="214">
        <v>0</v>
      </c>
      <c r="AG563" s="214">
        <v>0</v>
      </c>
      <c r="AH563" s="214">
        <v>0</v>
      </c>
      <c r="AI563" s="87">
        <v>467500</v>
      </c>
      <c r="AJ563" s="87">
        <v>0</v>
      </c>
      <c r="AK563" s="87">
        <v>467500</v>
      </c>
      <c r="AL563" s="87">
        <v>467500</v>
      </c>
      <c r="AM563" s="87">
        <v>2142000</v>
      </c>
      <c r="AN563" s="87">
        <v>467500</v>
      </c>
      <c r="AO563" s="87">
        <v>467500</v>
      </c>
      <c r="AP563" s="87">
        <v>467000</v>
      </c>
      <c r="AQ563" s="88">
        <v>0</v>
      </c>
      <c r="AR563" s="88">
        <v>0</v>
      </c>
      <c r="AS563" s="88">
        <v>0</v>
      </c>
      <c r="AT563" s="88">
        <v>0</v>
      </c>
      <c r="AU563" s="88">
        <v>0</v>
      </c>
      <c r="AV563" s="88">
        <v>0</v>
      </c>
      <c r="AW563" s="88">
        <v>0</v>
      </c>
      <c r="AX563" s="88">
        <v>0</v>
      </c>
      <c r="AY563" s="87">
        <v>0</v>
      </c>
      <c r="AZ563" s="87">
        <v>0</v>
      </c>
      <c r="BA563" s="87">
        <v>0</v>
      </c>
      <c r="BB563" s="87">
        <v>0</v>
      </c>
      <c r="BC563" s="87">
        <v>0</v>
      </c>
      <c r="BD563" s="87">
        <v>0</v>
      </c>
      <c r="BE563" s="87">
        <v>0</v>
      </c>
      <c r="BF563" s="87">
        <v>0</v>
      </c>
      <c r="BG563" s="88">
        <v>0</v>
      </c>
      <c r="BH563" s="88">
        <v>0</v>
      </c>
      <c r="BI563" s="88">
        <v>0</v>
      </c>
      <c r="BJ563" s="88">
        <v>0</v>
      </c>
      <c r="BK563" s="88">
        <v>0</v>
      </c>
      <c r="BL563" s="88">
        <v>0</v>
      </c>
      <c r="BM563" s="88">
        <v>0</v>
      </c>
      <c r="BN563" s="590">
        <v>0</v>
      </c>
      <c r="BO563" s="171">
        <v>2023</v>
      </c>
      <c r="BP563" s="171">
        <v>1</v>
      </c>
      <c r="BQ563" s="171">
        <v>19</v>
      </c>
      <c r="BS563" s="76" t="str">
        <f t="shared" si="17"/>
        <v>○</v>
      </c>
    </row>
    <row r="564" spans="1:71" x14ac:dyDescent="0.2">
      <c r="A564" s="210">
        <v>1771</v>
      </c>
      <c r="B564" s="211"/>
      <c r="C564" s="212"/>
      <c r="D564" s="211"/>
      <c r="E564" s="212"/>
      <c r="F564" s="211"/>
      <c r="G564" s="211"/>
      <c r="H564" s="212"/>
      <c r="I564" s="211"/>
      <c r="J564" s="211"/>
      <c r="K564" s="211"/>
      <c r="L564" s="171"/>
      <c r="M564" s="171" t="s">
        <v>542</v>
      </c>
      <c r="N564" s="171" t="s">
        <v>269</v>
      </c>
      <c r="O564" s="171" t="s">
        <v>364</v>
      </c>
      <c r="P564" s="171" t="s">
        <v>916</v>
      </c>
      <c r="Q564" s="171"/>
      <c r="R564" s="213">
        <v>260000</v>
      </c>
      <c r="S564" s="87">
        <v>0</v>
      </c>
      <c r="T564" s="87">
        <v>0</v>
      </c>
      <c r="U564" s="87">
        <v>0</v>
      </c>
      <c r="V564" s="87">
        <v>0</v>
      </c>
      <c r="W564" s="87">
        <v>0</v>
      </c>
      <c r="X564" s="87">
        <v>0</v>
      </c>
      <c r="Y564" s="87">
        <v>0</v>
      </c>
      <c r="Z564" s="87">
        <v>0</v>
      </c>
      <c r="AA564" s="214">
        <v>0</v>
      </c>
      <c r="AB564" s="214">
        <v>0</v>
      </c>
      <c r="AC564" s="214">
        <v>0</v>
      </c>
      <c r="AD564" s="214">
        <v>0</v>
      </c>
      <c r="AE564" s="214">
        <v>0</v>
      </c>
      <c r="AF564" s="214">
        <v>0</v>
      </c>
      <c r="AG564" s="214">
        <v>0</v>
      </c>
      <c r="AH564" s="214">
        <v>0</v>
      </c>
      <c r="AI564" s="87">
        <v>260080</v>
      </c>
      <c r="AJ564" s="87">
        <v>0</v>
      </c>
      <c r="AK564" s="87">
        <v>260080</v>
      </c>
      <c r="AL564" s="87">
        <v>260080</v>
      </c>
      <c r="AM564" s="87">
        <v>8506800</v>
      </c>
      <c r="AN564" s="87">
        <v>260080</v>
      </c>
      <c r="AO564" s="87">
        <v>260080</v>
      </c>
      <c r="AP564" s="87">
        <v>260000</v>
      </c>
      <c r="AQ564" s="88">
        <v>0</v>
      </c>
      <c r="AR564" s="88">
        <v>0</v>
      </c>
      <c r="AS564" s="88">
        <v>0</v>
      </c>
      <c r="AT564" s="88">
        <v>0</v>
      </c>
      <c r="AU564" s="88">
        <v>0</v>
      </c>
      <c r="AV564" s="88">
        <v>0</v>
      </c>
      <c r="AW564" s="88">
        <v>0</v>
      </c>
      <c r="AX564" s="88">
        <v>0</v>
      </c>
      <c r="AY564" s="87">
        <v>0</v>
      </c>
      <c r="AZ564" s="87">
        <v>0</v>
      </c>
      <c r="BA564" s="87">
        <v>0</v>
      </c>
      <c r="BB564" s="87">
        <v>0</v>
      </c>
      <c r="BC564" s="87">
        <v>0</v>
      </c>
      <c r="BD564" s="87">
        <v>0</v>
      </c>
      <c r="BE564" s="87">
        <v>0</v>
      </c>
      <c r="BF564" s="87">
        <v>0</v>
      </c>
      <c r="BG564" s="88">
        <v>0</v>
      </c>
      <c r="BH564" s="88">
        <v>0</v>
      </c>
      <c r="BI564" s="88">
        <v>0</v>
      </c>
      <c r="BJ564" s="88">
        <v>0</v>
      </c>
      <c r="BK564" s="88">
        <v>0</v>
      </c>
      <c r="BL564" s="88">
        <v>0</v>
      </c>
      <c r="BM564" s="88">
        <v>0</v>
      </c>
      <c r="BN564" s="590">
        <v>0</v>
      </c>
      <c r="BO564" s="171">
        <v>2023</v>
      </c>
      <c r="BP564" s="171">
        <v>1</v>
      </c>
      <c r="BQ564" s="171">
        <v>19</v>
      </c>
      <c r="BS564" s="76" t="str">
        <f t="shared" si="17"/>
        <v>○</v>
      </c>
    </row>
    <row r="565" spans="1:71" x14ac:dyDescent="0.2">
      <c r="A565" s="210">
        <v>1772</v>
      </c>
      <c r="B565" s="211"/>
      <c r="C565" s="212"/>
      <c r="D565" s="211"/>
      <c r="E565" s="212"/>
      <c r="F565" s="211"/>
      <c r="G565" s="211"/>
      <c r="H565" s="212"/>
      <c r="I565" s="211"/>
      <c r="J565" s="211"/>
      <c r="K565" s="211"/>
      <c r="L565" s="171"/>
      <c r="M565" s="171" t="s">
        <v>725</v>
      </c>
      <c r="N565" s="171" t="s">
        <v>330</v>
      </c>
      <c r="O565" s="171" t="s">
        <v>337</v>
      </c>
      <c r="P565" s="171" t="s">
        <v>916</v>
      </c>
      <c r="Q565" s="171"/>
      <c r="R565" s="213">
        <v>448000</v>
      </c>
      <c r="S565" s="87">
        <v>0</v>
      </c>
      <c r="T565" s="87">
        <v>0</v>
      </c>
      <c r="U565" s="87">
        <v>0</v>
      </c>
      <c r="V565" s="87">
        <v>0</v>
      </c>
      <c r="W565" s="87">
        <v>0</v>
      </c>
      <c r="X565" s="87">
        <v>0</v>
      </c>
      <c r="Y565" s="87">
        <v>0</v>
      </c>
      <c r="Z565" s="87">
        <v>0</v>
      </c>
      <c r="AA565" s="214">
        <v>0</v>
      </c>
      <c r="AB565" s="214">
        <v>0</v>
      </c>
      <c r="AC565" s="214">
        <v>0</v>
      </c>
      <c r="AD565" s="214">
        <v>0</v>
      </c>
      <c r="AE565" s="214">
        <v>0</v>
      </c>
      <c r="AF565" s="214">
        <v>0</v>
      </c>
      <c r="AG565" s="214">
        <v>0</v>
      </c>
      <c r="AH565" s="214">
        <v>0</v>
      </c>
      <c r="AI565" s="87">
        <v>448388</v>
      </c>
      <c r="AJ565" s="87">
        <v>0</v>
      </c>
      <c r="AK565" s="87">
        <v>448388</v>
      </c>
      <c r="AL565" s="87">
        <v>448388</v>
      </c>
      <c r="AM565" s="87">
        <v>856800</v>
      </c>
      <c r="AN565" s="87">
        <v>448388</v>
      </c>
      <c r="AO565" s="87">
        <v>448388</v>
      </c>
      <c r="AP565" s="87">
        <v>448000</v>
      </c>
      <c r="AQ565" s="88">
        <v>0</v>
      </c>
      <c r="AR565" s="88">
        <v>0</v>
      </c>
      <c r="AS565" s="88">
        <v>0</v>
      </c>
      <c r="AT565" s="88">
        <v>0</v>
      </c>
      <c r="AU565" s="88">
        <v>0</v>
      </c>
      <c r="AV565" s="88">
        <v>0</v>
      </c>
      <c r="AW565" s="88">
        <v>0</v>
      </c>
      <c r="AX565" s="88">
        <v>0</v>
      </c>
      <c r="AY565" s="87">
        <v>0</v>
      </c>
      <c r="AZ565" s="87">
        <v>0</v>
      </c>
      <c r="BA565" s="87">
        <v>0</v>
      </c>
      <c r="BB565" s="87">
        <v>0</v>
      </c>
      <c r="BC565" s="87">
        <v>0</v>
      </c>
      <c r="BD565" s="87">
        <v>0</v>
      </c>
      <c r="BE565" s="87">
        <v>0</v>
      </c>
      <c r="BF565" s="87">
        <v>0</v>
      </c>
      <c r="BG565" s="88">
        <v>0</v>
      </c>
      <c r="BH565" s="88">
        <v>0</v>
      </c>
      <c r="BI565" s="88">
        <v>0</v>
      </c>
      <c r="BJ565" s="88">
        <v>0</v>
      </c>
      <c r="BK565" s="88">
        <v>0</v>
      </c>
      <c r="BL565" s="88">
        <v>0</v>
      </c>
      <c r="BM565" s="88">
        <v>0</v>
      </c>
      <c r="BN565" s="590">
        <v>0</v>
      </c>
      <c r="BO565" s="171">
        <v>2023</v>
      </c>
      <c r="BP565" s="171">
        <v>1</v>
      </c>
      <c r="BQ565" s="171">
        <v>19</v>
      </c>
      <c r="BS565" s="76" t="str">
        <f t="shared" ref="BS565:BS596" si="18">IF(R565=SUM(Z565,AH565,AP565,BF565,BN565),"○","×")</f>
        <v>○</v>
      </c>
    </row>
    <row r="566" spans="1:71" x14ac:dyDescent="0.2">
      <c r="A566" s="210">
        <v>1773</v>
      </c>
      <c r="B566" s="211"/>
      <c r="C566" s="212"/>
      <c r="D566" s="211"/>
      <c r="E566" s="212"/>
      <c r="F566" s="211"/>
      <c r="G566" s="211"/>
      <c r="H566" s="212"/>
      <c r="I566" s="211"/>
      <c r="J566" s="211"/>
      <c r="K566" s="211"/>
      <c r="L566" s="171"/>
      <c r="M566" s="171" t="s">
        <v>873</v>
      </c>
      <c r="N566" s="171" t="s">
        <v>299</v>
      </c>
      <c r="O566" s="171" t="s">
        <v>406</v>
      </c>
      <c r="P566" s="171" t="s">
        <v>916</v>
      </c>
      <c r="Q566" s="171"/>
      <c r="R566" s="213">
        <v>47000</v>
      </c>
      <c r="S566" s="87">
        <v>0</v>
      </c>
      <c r="T566" s="87">
        <v>0</v>
      </c>
      <c r="U566" s="87">
        <v>0</v>
      </c>
      <c r="V566" s="87">
        <v>0</v>
      </c>
      <c r="W566" s="87">
        <v>0</v>
      </c>
      <c r="X566" s="87">
        <v>0</v>
      </c>
      <c r="Y566" s="87">
        <v>0</v>
      </c>
      <c r="Z566" s="87">
        <v>0</v>
      </c>
      <c r="AA566" s="214">
        <v>0</v>
      </c>
      <c r="AB566" s="214">
        <v>0</v>
      </c>
      <c r="AC566" s="214">
        <v>0</v>
      </c>
      <c r="AD566" s="214">
        <v>0</v>
      </c>
      <c r="AE566" s="214">
        <v>0</v>
      </c>
      <c r="AF566" s="214">
        <v>0</v>
      </c>
      <c r="AG566" s="214">
        <v>0</v>
      </c>
      <c r="AH566" s="214">
        <v>0</v>
      </c>
      <c r="AI566" s="87">
        <v>47245</v>
      </c>
      <c r="AJ566" s="87">
        <v>0</v>
      </c>
      <c r="AK566" s="87">
        <v>47245</v>
      </c>
      <c r="AL566" s="87">
        <v>47245</v>
      </c>
      <c r="AM566" s="87">
        <v>3528000</v>
      </c>
      <c r="AN566" s="87">
        <v>47245</v>
      </c>
      <c r="AO566" s="87">
        <v>47245</v>
      </c>
      <c r="AP566" s="87">
        <v>47000</v>
      </c>
      <c r="AQ566" s="88">
        <v>0</v>
      </c>
      <c r="AR566" s="88">
        <v>0</v>
      </c>
      <c r="AS566" s="88">
        <v>0</v>
      </c>
      <c r="AT566" s="88">
        <v>0</v>
      </c>
      <c r="AU566" s="88">
        <v>0</v>
      </c>
      <c r="AV566" s="88">
        <v>0</v>
      </c>
      <c r="AW566" s="88">
        <v>0</v>
      </c>
      <c r="AX566" s="88">
        <v>0</v>
      </c>
      <c r="AY566" s="87">
        <v>0</v>
      </c>
      <c r="AZ566" s="87">
        <v>0</v>
      </c>
      <c r="BA566" s="87">
        <v>0</v>
      </c>
      <c r="BB566" s="87">
        <v>0</v>
      </c>
      <c r="BC566" s="87">
        <v>0</v>
      </c>
      <c r="BD566" s="87">
        <v>0</v>
      </c>
      <c r="BE566" s="87">
        <v>0</v>
      </c>
      <c r="BF566" s="87">
        <v>0</v>
      </c>
      <c r="BG566" s="88">
        <v>0</v>
      </c>
      <c r="BH566" s="88">
        <v>0</v>
      </c>
      <c r="BI566" s="88">
        <v>0</v>
      </c>
      <c r="BJ566" s="88">
        <v>0</v>
      </c>
      <c r="BK566" s="88">
        <v>0</v>
      </c>
      <c r="BL566" s="88">
        <v>0</v>
      </c>
      <c r="BM566" s="88">
        <v>0</v>
      </c>
      <c r="BN566" s="590">
        <v>0</v>
      </c>
      <c r="BO566" s="171">
        <v>2023</v>
      </c>
      <c r="BP566" s="171">
        <v>1</v>
      </c>
      <c r="BQ566" s="171">
        <v>19</v>
      </c>
      <c r="BS566" s="76" t="str">
        <f t="shared" si="18"/>
        <v>○</v>
      </c>
    </row>
    <row r="567" spans="1:71" x14ac:dyDescent="0.2">
      <c r="A567" s="210">
        <v>1774</v>
      </c>
      <c r="B567" s="211"/>
      <c r="C567" s="212"/>
      <c r="D567" s="211"/>
      <c r="E567" s="212"/>
      <c r="F567" s="211"/>
      <c r="G567" s="211"/>
      <c r="H567" s="212"/>
      <c r="I567" s="211"/>
      <c r="J567" s="211"/>
      <c r="K567" s="211"/>
      <c r="L567" s="171"/>
      <c r="M567" s="171" t="s">
        <v>527</v>
      </c>
      <c r="N567" s="171" t="s">
        <v>269</v>
      </c>
      <c r="O567" s="171" t="s">
        <v>528</v>
      </c>
      <c r="P567" s="171" t="s">
        <v>916</v>
      </c>
      <c r="Q567" s="171"/>
      <c r="R567" s="213">
        <v>839000</v>
      </c>
      <c r="S567" s="87">
        <v>0</v>
      </c>
      <c r="T567" s="87">
        <v>0</v>
      </c>
      <c r="U567" s="87">
        <v>0</v>
      </c>
      <c r="V567" s="87">
        <v>0</v>
      </c>
      <c r="W567" s="87">
        <v>0</v>
      </c>
      <c r="X567" s="87">
        <v>0</v>
      </c>
      <c r="Y567" s="87">
        <v>0</v>
      </c>
      <c r="Z567" s="87">
        <v>0</v>
      </c>
      <c r="AA567" s="214">
        <v>0</v>
      </c>
      <c r="AB567" s="214">
        <v>0</v>
      </c>
      <c r="AC567" s="214">
        <v>0</v>
      </c>
      <c r="AD567" s="214">
        <v>0</v>
      </c>
      <c r="AE567" s="214">
        <v>0</v>
      </c>
      <c r="AF567" s="214">
        <v>0</v>
      </c>
      <c r="AG567" s="214">
        <v>0</v>
      </c>
      <c r="AH567" s="214">
        <v>0</v>
      </c>
      <c r="AI567" s="87">
        <v>839880</v>
      </c>
      <c r="AJ567" s="87">
        <v>0</v>
      </c>
      <c r="AK567" s="87">
        <v>839880</v>
      </c>
      <c r="AL567" s="87">
        <v>839880</v>
      </c>
      <c r="AM567" s="87">
        <v>1684800</v>
      </c>
      <c r="AN567" s="87">
        <v>839880</v>
      </c>
      <c r="AO567" s="87">
        <v>839880</v>
      </c>
      <c r="AP567" s="87">
        <v>839000</v>
      </c>
      <c r="AQ567" s="88">
        <v>0</v>
      </c>
      <c r="AR567" s="88">
        <v>0</v>
      </c>
      <c r="AS567" s="88">
        <v>0</v>
      </c>
      <c r="AT567" s="88">
        <v>0</v>
      </c>
      <c r="AU567" s="88">
        <v>0</v>
      </c>
      <c r="AV567" s="88">
        <v>0</v>
      </c>
      <c r="AW567" s="88">
        <v>0</v>
      </c>
      <c r="AX567" s="88">
        <v>0</v>
      </c>
      <c r="AY567" s="87">
        <v>0</v>
      </c>
      <c r="AZ567" s="87">
        <v>0</v>
      </c>
      <c r="BA567" s="87">
        <v>0</v>
      </c>
      <c r="BB567" s="87">
        <v>0</v>
      </c>
      <c r="BC567" s="87">
        <v>0</v>
      </c>
      <c r="BD567" s="87">
        <v>0</v>
      </c>
      <c r="BE567" s="87">
        <v>0</v>
      </c>
      <c r="BF567" s="87">
        <v>0</v>
      </c>
      <c r="BG567" s="88">
        <v>0</v>
      </c>
      <c r="BH567" s="88">
        <v>0</v>
      </c>
      <c r="BI567" s="88">
        <v>0</v>
      </c>
      <c r="BJ567" s="88">
        <v>0</v>
      </c>
      <c r="BK567" s="88">
        <v>0</v>
      </c>
      <c r="BL567" s="88">
        <v>0</v>
      </c>
      <c r="BM567" s="88">
        <v>0</v>
      </c>
      <c r="BN567" s="590">
        <v>0</v>
      </c>
      <c r="BO567" s="171">
        <v>2023</v>
      </c>
      <c r="BP567" s="171">
        <v>1</v>
      </c>
      <c r="BQ567" s="171">
        <v>19</v>
      </c>
      <c r="BS567" s="76" t="str">
        <f t="shared" si="18"/>
        <v>○</v>
      </c>
    </row>
    <row r="568" spans="1:71" x14ac:dyDescent="0.2">
      <c r="A568" s="210">
        <v>1775</v>
      </c>
      <c r="B568" s="211"/>
      <c r="C568" s="212"/>
      <c r="D568" s="211"/>
      <c r="E568" s="212"/>
      <c r="F568" s="211"/>
      <c r="G568" s="211"/>
      <c r="H568" s="212"/>
      <c r="I568" s="211"/>
      <c r="J568" s="211"/>
      <c r="K568" s="211"/>
      <c r="L568" s="171"/>
      <c r="M568" s="171" t="s">
        <v>572</v>
      </c>
      <c r="N568" s="171" t="s">
        <v>269</v>
      </c>
      <c r="O568" s="171" t="s">
        <v>297</v>
      </c>
      <c r="P568" s="171" t="s">
        <v>916</v>
      </c>
      <c r="Q568" s="171"/>
      <c r="R568" s="213">
        <v>2102000</v>
      </c>
      <c r="S568" s="87">
        <v>0</v>
      </c>
      <c r="T568" s="87">
        <v>0</v>
      </c>
      <c r="U568" s="87">
        <v>0</v>
      </c>
      <c r="V568" s="87">
        <v>0</v>
      </c>
      <c r="W568" s="87">
        <v>0</v>
      </c>
      <c r="X568" s="87">
        <v>0</v>
      </c>
      <c r="Y568" s="87">
        <v>0</v>
      </c>
      <c r="Z568" s="87">
        <v>0</v>
      </c>
      <c r="AA568" s="214">
        <v>0</v>
      </c>
      <c r="AB568" s="214">
        <v>0</v>
      </c>
      <c r="AC568" s="214">
        <v>0</v>
      </c>
      <c r="AD568" s="214">
        <v>0</v>
      </c>
      <c r="AE568" s="214">
        <v>0</v>
      </c>
      <c r="AF568" s="214">
        <v>0</v>
      </c>
      <c r="AG568" s="214">
        <v>0</v>
      </c>
      <c r="AH568" s="214">
        <v>0</v>
      </c>
      <c r="AI568" s="87">
        <v>2155684</v>
      </c>
      <c r="AJ568" s="87">
        <v>0</v>
      </c>
      <c r="AK568" s="87">
        <v>2155684</v>
      </c>
      <c r="AL568" s="87">
        <v>2155684</v>
      </c>
      <c r="AM568" s="87">
        <v>2102400</v>
      </c>
      <c r="AN568" s="87">
        <v>2102400</v>
      </c>
      <c r="AO568" s="87">
        <v>2102400</v>
      </c>
      <c r="AP568" s="87">
        <v>2102000</v>
      </c>
      <c r="AQ568" s="88">
        <v>0</v>
      </c>
      <c r="AR568" s="88">
        <v>0</v>
      </c>
      <c r="AS568" s="88">
        <v>0</v>
      </c>
      <c r="AT568" s="88">
        <v>0</v>
      </c>
      <c r="AU568" s="88">
        <v>0</v>
      </c>
      <c r="AV568" s="88">
        <v>0</v>
      </c>
      <c r="AW568" s="88">
        <v>0</v>
      </c>
      <c r="AX568" s="88">
        <v>0</v>
      </c>
      <c r="AY568" s="87">
        <v>0</v>
      </c>
      <c r="AZ568" s="87">
        <v>0</v>
      </c>
      <c r="BA568" s="87">
        <v>0</v>
      </c>
      <c r="BB568" s="87">
        <v>0</v>
      </c>
      <c r="BC568" s="87">
        <v>0</v>
      </c>
      <c r="BD568" s="87">
        <v>0</v>
      </c>
      <c r="BE568" s="87">
        <v>0</v>
      </c>
      <c r="BF568" s="87">
        <v>0</v>
      </c>
      <c r="BG568" s="88">
        <v>0</v>
      </c>
      <c r="BH568" s="88">
        <v>0</v>
      </c>
      <c r="BI568" s="88">
        <v>0</v>
      </c>
      <c r="BJ568" s="88">
        <v>0</v>
      </c>
      <c r="BK568" s="88">
        <v>0</v>
      </c>
      <c r="BL568" s="88">
        <v>0</v>
      </c>
      <c r="BM568" s="88">
        <v>0</v>
      </c>
      <c r="BN568" s="590">
        <v>0</v>
      </c>
      <c r="BO568" s="171">
        <v>2023</v>
      </c>
      <c r="BP568" s="171">
        <v>1</v>
      </c>
      <c r="BQ568" s="171">
        <v>19</v>
      </c>
      <c r="BS568" s="76" t="str">
        <f t="shared" si="18"/>
        <v>○</v>
      </c>
    </row>
    <row r="569" spans="1:71" x14ac:dyDescent="0.2">
      <c r="A569" s="210">
        <v>1776</v>
      </c>
      <c r="B569" s="211"/>
      <c r="C569" s="212"/>
      <c r="D569" s="211"/>
      <c r="E569" s="212"/>
      <c r="F569" s="211"/>
      <c r="G569" s="211"/>
      <c r="H569" s="212"/>
      <c r="I569" s="211"/>
      <c r="J569" s="211"/>
      <c r="K569" s="211"/>
      <c r="L569" s="171"/>
      <c r="M569" s="171" t="s">
        <v>308</v>
      </c>
      <c r="N569" s="171" t="s">
        <v>272</v>
      </c>
      <c r="O569" s="171" t="s">
        <v>309</v>
      </c>
      <c r="P569" s="171" t="s">
        <v>916</v>
      </c>
      <c r="Q569" s="171"/>
      <c r="R569" s="213">
        <v>242000</v>
      </c>
      <c r="S569" s="87">
        <v>0</v>
      </c>
      <c r="T569" s="87">
        <v>0</v>
      </c>
      <c r="U569" s="87">
        <v>0</v>
      </c>
      <c r="V569" s="87">
        <v>0</v>
      </c>
      <c r="W569" s="87">
        <v>0</v>
      </c>
      <c r="X569" s="87">
        <v>0</v>
      </c>
      <c r="Y569" s="87">
        <v>0</v>
      </c>
      <c r="Z569" s="87">
        <v>0</v>
      </c>
      <c r="AA569" s="214">
        <v>0</v>
      </c>
      <c r="AB569" s="214">
        <v>0</v>
      </c>
      <c r="AC569" s="214">
        <v>0</v>
      </c>
      <c r="AD569" s="214">
        <v>0</v>
      </c>
      <c r="AE569" s="214">
        <v>0</v>
      </c>
      <c r="AF569" s="214">
        <v>0</v>
      </c>
      <c r="AG569" s="214">
        <v>0</v>
      </c>
      <c r="AH569" s="214">
        <v>0</v>
      </c>
      <c r="AI569" s="87">
        <v>242304</v>
      </c>
      <c r="AJ569" s="87">
        <v>0</v>
      </c>
      <c r="AK569" s="87">
        <v>242304</v>
      </c>
      <c r="AL569" s="87">
        <v>242304</v>
      </c>
      <c r="AM569" s="87">
        <v>3650400</v>
      </c>
      <c r="AN569" s="87">
        <v>242304</v>
      </c>
      <c r="AO569" s="87">
        <v>242304</v>
      </c>
      <c r="AP569" s="87">
        <v>242000</v>
      </c>
      <c r="AQ569" s="88">
        <v>0</v>
      </c>
      <c r="AR569" s="88">
        <v>0</v>
      </c>
      <c r="AS569" s="88">
        <v>0</v>
      </c>
      <c r="AT569" s="88">
        <v>0</v>
      </c>
      <c r="AU569" s="88">
        <v>0</v>
      </c>
      <c r="AV569" s="88">
        <v>0</v>
      </c>
      <c r="AW569" s="88">
        <v>0</v>
      </c>
      <c r="AX569" s="88">
        <v>0</v>
      </c>
      <c r="AY569" s="87">
        <v>0</v>
      </c>
      <c r="AZ569" s="87">
        <v>0</v>
      </c>
      <c r="BA569" s="87">
        <v>0</v>
      </c>
      <c r="BB569" s="87">
        <v>0</v>
      </c>
      <c r="BC569" s="87">
        <v>0</v>
      </c>
      <c r="BD569" s="87">
        <v>0</v>
      </c>
      <c r="BE569" s="87">
        <v>0</v>
      </c>
      <c r="BF569" s="87">
        <v>0</v>
      </c>
      <c r="BG569" s="88">
        <v>0</v>
      </c>
      <c r="BH569" s="88">
        <v>0</v>
      </c>
      <c r="BI569" s="88">
        <v>0</v>
      </c>
      <c r="BJ569" s="88">
        <v>0</v>
      </c>
      <c r="BK569" s="88">
        <v>0</v>
      </c>
      <c r="BL569" s="88">
        <v>0</v>
      </c>
      <c r="BM569" s="88">
        <v>0</v>
      </c>
      <c r="BN569" s="590">
        <v>0</v>
      </c>
      <c r="BO569" s="171">
        <v>2023</v>
      </c>
      <c r="BP569" s="171">
        <v>1</v>
      </c>
      <c r="BQ569" s="171">
        <v>19</v>
      </c>
      <c r="BS569" s="76" t="str">
        <f t="shared" si="18"/>
        <v>○</v>
      </c>
    </row>
    <row r="570" spans="1:71" x14ac:dyDescent="0.2">
      <c r="A570" s="210">
        <v>1777</v>
      </c>
      <c r="B570" s="211"/>
      <c r="C570" s="212"/>
      <c r="D570" s="211"/>
      <c r="E570" s="212"/>
      <c r="F570" s="211"/>
      <c r="G570" s="211"/>
      <c r="H570" s="212"/>
      <c r="I570" s="211"/>
      <c r="J570" s="211"/>
      <c r="K570" s="211"/>
      <c r="L570" s="171"/>
      <c r="M570" s="171" t="s">
        <v>874</v>
      </c>
      <c r="N570" s="171" t="s">
        <v>354</v>
      </c>
      <c r="O570" s="171" t="s">
        <v>412</v>
      </c>
      <c r="P570" s="171" t="s">
        <v>916</v>
      </c>
      <c r="Q570" s="171"/>
      <c r="R570" s="213">
        <v>459000</v>
      </c>
      <c r="S570" s="87">
        <v>0</v>
      </c>
      <c r="T570" s="87">
        <v>0</v>
      </c>
      <c r="U570" s="87">
        <v>0</v>
      </c>
      <c r="V570" s="87">
        <v>0</v>
      </c>
      <c r="W570" s="87">
        <v>0</v>
      </c>
      <c r="X570" s="87">
        <v>0</v>
      </c>
      <c r="Y570" s="87">
        <v>0</v>
      </c>
      <c r="Z570" s="87">
        <v>0</v>
      </c>
      <c r="AA570" s="214">
        <v>0</v>
      </c>
      <c r="AB570" s="214">
        <v>0</v>
      </c>
      <c r="AC570" s="214">
        <v>0</v>
      </c>
      <c r="AD570" s="214">
        <v>0</v>
      </c>
      <c r="AE570" s="214">
        <v>0</v>
      </c>
      <c r="AF570" s="214">
        <v>0</v>
      </c>
      <c r="AG570" s="214">
        <v>0</v>
      </c>
      <c r="AH570" s="214">
        <v>0</v>
      </c>
      <c r="AI570" s="87">
        <v>459360</v>
      </c>
      <c r="AJ570" s="87">
        <v>0</v>
      </c>
      <c r="AK570" s="87">
        <v>459360</v>
      </c>
      <c r="AL570" s="87">
        <v>459360</v>
      </c>
      <c r="AM570" s="87">
        <v>5220000</v>
      </c>
      <c r="AN570" s="87">
        <v>459360</v>
      </c>
      <c r="AO570" s="87">
        <v>459360</v>
      </c>
      <c r="AP570" s="87">
        <v>459000</v>
      </c>
      <c r="AQ570" s="88">
        <v>0</v>
      </c>
      <c r="AR570" s="88">
        <v>0</v>
      </c>
      <c r="AS570" s="88">
        <v>0</v>
      </c>
      <c r="AT570" s="88">
        <v>0</v>
      </c>
      <c r="AU570" s="88">
        <v>0</v>
      </c>
      <c r="AV570" s="88">
        <v>0</v>
      </c>
      <c r="AW570" s="88">
        <v>0</v>
      </c>
      <c r="AX570" s="88">
        <v>0</v>
      </c>
      <c r="AY570" s="87">
        <v>0</v>
      </c>
      <c r="AZ570" s="87">
        <v>0</v>
      </c>
      <c r="BA570" s="87">
        <v>0</v>
      </c>
      <c r="BB570" s="87">
        <v>0</v>
      </c>
      <c r="BC570" s="87">
        <v>0</v>
      </c>
      <c r="BD570" s="87">
        <v>0</v>
      </c>
      <c r="BE570" s="87">
        <v>0</v>
      </c>
      <c r="BF570" s="87">
        <v>0</v>
      </c>
      <c r="BG570" s="88">
        <v>0</v>
      </c>
      <c r="BH570" s="88">
        <v>0</v>
      </c>
      <c r="BI570" s="88">
        <v>0</v>
      </c>
      <c r="BJ570" s="88">
        <v>0</v>
      </c>
      <c r="BK570" s="88">
        <v>0</v>
      </c>
      <c r="BL570" s="88">
        <v>0</v>
      </c>
      <c r="BM570" s="88">
        <v>0</v>
      </c>
      <c r="BN570" s="590">
        <v>0</v>
      </c>
      <c r="BO570" s="171">
        <v>2023</v>
      </c>
      <c r="BP570" s="171">
        <v>1</v>
      </c>
      <c r="BQ570" s="171">
        <v>19</v>
      </c>
      <c r="BS570" s="76" t="str">
        <f t="shared" si="18"/>
        <v>○</v>
      </c>
    </row>
    <row r="571" spans="1:71" x14ac:dyDescent="0.2">
      <c r="A571" s="210">
        <v>1779</v>
      </c>
      <c r="B571" s="211"/>
      <c r="C571" s="212"/>
      <c r="D571" s="211"/>
      <c r="E571" s="212"/>
      <c r="F571" s="211"/>
      <c r="G571" s="211"/>
      <c r="H571" s="212"/>
      <c r="I571" s="211"/>
      <c r="J571" s="211"/>
      <c r="K571" s="211"/>
      <c r="L571" s="171"/>
      <c r="M571" s="171" t="s">
        <v>837</v>
      </c>
      <c r="N571" s="171" t="s">
        <v>493</v>
      </c>
      <c r="O571" s="171" t="s">
        <v>838</v>
      </c>
      <c r="P571" s="171" t="s">
        <v>916</v>
      </c>
      <c r="Q571" s="171"/>
      <c r="R571" s="213">
        <v>91000</v>
      </c>
      <c r="S571" s="87">
        <v>0</v>
      </c>
      <c r="T571" s="87">
        <v>0</v>
      </c>
      <c r="U571" s="87">
        <v>0</v>
      </c>
      <c r="V571" s="87">
        <v>0</v>
      </c>
      <c r="W571" s="87">
        <v>0</v>
      </c>
      <c r="X571" s="87">
        <v>0</v>
      </c>
      <c r="Y571" s="87">
        <v>0</v>
      </c>
      <c r="Z571" s="87">
        <v>0</v>
      </c>
      <c r="AA571" s="214">
        <v>0</v>
      </c>
      <c r="AB571" s="214">
        <v>0</v>
      </c>
      <c r="AC571" s="214">
        <v>0</v>
      </c>
      <c r="AD571" s="214">
        <v>0</v>
      </c>
      <c r="AE571" s="214">
        <v>0</v>
      </c>
      <c r="AF571" s="214">
        <v>0</v>
      </c>
      <c r="AG571" s="214">
        <v>0</v>
      </c>
      <c r="AH571" s="214">
        <v>0</v>
      </c>
      <c r="AI571" s="87">
        <v>91000</v>
      </c>
      <c r="AJ571" s="87">
        <v>0</v>
      </c>
      <c r="AK571" s="87">
        <v>91000</v>
      </c>
      <c r="AL571" s="87">
        <v>91000</v>
      </c>
      <c r="AM571" s="87">
        <v>4212000</v>
      </c>
      <c r="AN571" s="87">
        <v>91000</v>
      </c>
      <c r="AO571" s="87">
        <v>91000</v>
      </c>
      <c r="AP571" s="87">
        <v>91000</v>
      </c>
      <c r="AQ571" s="88">
        <v>0</v>
      </c>
      <c r="AR571" s="88">
        <v>0</v>
      </c>
      <c r="AS571" s="88">
        <v>0</v>
      </c>
      <c r="AT571" s="88">
        <v>0</v>
      </c>
      <c r="AU571" s="88">
        <v>0</v>
      </c>
      <c r="AV571" s="88">
        <v>0</v>
      </c>
      <c r="AW571" s="88">
        <v>0</v>
      </c>
      <c r="AX571" s="88">
        <v>0</v>
      </c>
      <c r="AY571" s="87">
        <v>0</v>
      </c>
      <c r="AZ571" s="87">
        <v>0</v>
      </c>
      <c r="BA571" s="87">
        <v>0</v>
      </c>
      <c r="BB571" s="87">
        <v>0</v>
      </c>
      <c r="BC571" s="87">
        <v>0</v>
      </c>
      <c r="BD571" s="87">
        <v>0</v>
      </c>
      <c r="BE571" s="87">
        <v>0</v>
      </c>
      <c r="BF571" s="87">
        <v>0</v>
      </c>
      <c r="BG571" s="88">
        <v>0</v>
      </c>
      <c r="BH571" s="88">
        <v>0</v>
      </c>
      <c r="BI571" s="88">
        <v>0</v>
      </c>
      <c r="BJ571" s="88">
        <v>0</v>
      </c>
      <c r="BK571" s="88">
        <v>0</v>
      </c>
      <c r="BL571" s="88">
        <v>0</v>
      </c>
      <c r="BM571" s="88">
        <v>0</v>
      </c>
      <c r="BN571" s="590">
        <v>0</v>
      </c>
      <c r="BO571" s="171">
        <v>2023</v>
      </c>
      <c r="BP571" s="171">
        <v>1</v>
      </c>
      <c r="BQ571" s="171">
        <v>19</v>
      </c>
      <c r="BS571" s="76" t="str">
        <f t="shared" si="18"/>
        <v>○</v>
      </c>
    </row>
    <row r="572" spans="1:71" x14ac:dyDescent="0.2">
      <c r="A572" s="210">
        <v>1780</v>
      </c>
      <c r="B572" s="211"/>
      <c r="C572" s="212"/>
      <c r="D572" s="211"/>
      <c r="E572" s="212"/>
      <c r="F572" s="211"/>
      <c r="G572" s="211"/>
      <c r="H572" s="212"/>
      <c r="I572" s="211"/>
      <c r="J572" s="211"/>
      <c r="K572" s="211"/>
      <c r="L572" s="171"/>
      <c r="M572" s="171" t="s">
        <v>875</v>
      </c>
      <c r="N572" s="171" t="s">
        <v>302</v>
      </c>
      <c r="O572" s="171" t="s">
        <v>427</v>
      </c>
      <c r="P572" s="171" t="s">
        <v>916</v>
      </c>
      <c r="Q572" s="171"/>
      <c r="R572" s="213">
        <v>100000</v>
      </c>
      <c r="S572" s="87">
        <v>0</v>
      </c>
      <c r="T572" s="87">
        <v>0</v>
      </c>
      <c r="U572" s="87">
        <v>0</v>
      </c>
      <c r="V572" s="87">
        <v>0</v>
      </c>
      <c r="W572" s="87">
        <v>0</v>
      </c>
      <c r="X572" s="87">
        <v>0</v>
      </c>
      <c r="Y572" s="87">
        <v>0</v>
      </c>
      <c r="Z572" s="87">
        <v>0</v>
      </c>
      <c r="AA572" s="214">
        <v>0</v>
      </c>
      <c r="AB572" s="214">
        <v>0</v>
      </c>
      <c r="AC572" s="214">
        <v>0</v>
      </c>
      <c r="AD572" s="214">
        <v>0</v>
      </c>
      <c r="AE572" s="214">
        <v>0</v>
      </c>
      <c r="AF572" s="214">
        <v>0</v>
      </c>
      <c r="AG572" s="214">
        <v>0</v>
      </c>
      <c r="AH572" s="214">
        <v>0</v>
      </c>
      <c r="AI572" s="87">
        <v>100320</v>
      </c>
      <c r="AJ572" s="87">
        <v>0</v>
      </c>
      <c r="AK572" s="87">
        <v>100320</v>
      </c>
      <c r="AL572" s="87">
        <v>100320</v>
      </c>
      <c r="AM572" s="87">
        <v>1440000</v>
      </c>
      <c r="AN572" s="87">
        <v>100320</v>
      </c>
      <c r="AO572" s="87">
        <v>100320</v>
      </c>
      <c r="AP572" s="87">
        <v>100000</v>
      </c>
      <c r="AQ572" s="88">
        <v>0</v>
      </c>
      <c r="AR572" s="88">
        <v>0</v>
      </c>
      <c r="AS572" s="88">
        <v>0</v>
      </c>
      <c r="AT572" s="88">
        <v>0</v>
      </c>
      <c r="AU572" s="88">
        <v>0</v>
      </c>
      <c r="AV572" s="88">
        <v>0</v>
      </c>
      <c r="AW572" s="88">
        <v>0</v>
      </c>
      <c r="AX572" s="88">
        <v>0</v>
      </c>
      <c r="AY572" s="87">
        <v>0</v>
      </c>
      <c r="AZ572" s="87">
        <v>0</v>
      </c>
      <c r="BA572" s="87">
        <v>0</v>
      </c>
      <c r="BB572" s="87">
        <v>0</v>
      </c>
      <c r="BC572" s="87">
        <v>0</v>
      </c>
      <c r="BD572" s="87">
        <v>0</v>
      </c>
      <c r="BE572" s="87">
        <v>0</v>
      </c>
      <c r="BF572" s="87">
        <v>0</v>
      </c>
      <c r="BG572" s="88">
        <v>0</v>
      </c>
      <c r="BH572" s="88">
        <v>0</v>
      </c>
      <c r="BI572" s="88">
        <v>0</v>
      </c>
      <c r="BJ572" s="88">
        <v>0</v>
      </c>
      <c r="BK572" s="88">
        <v>0</v>
      </c>
      <c r="BL572" s="88">
        <v>0</v>
      </c>
      <c r="BM572" s="88">
        <v>0</v>
      </c>
      <c r="BN572" s="590">
        <v>0</v>
      </c>
      <c r="BO572" s="171">
        <v>2023</v>
      </c>
      <c r="BP572" s="171">
        <v>1</v>
      </c>
      <c r="BQ572" s="171">
        <v>19</v>
      </c>
      <c r="BS572" s="76" t="str">
        <f t="shared" si="18"/>
        <v>○</v>
      </c>
    </row>
    <row r="573" spans="1:71" s="81" customFormat="1" x14ac:dyDescent="0.2">
      <c r="A573" s="210">
        <v>1781</v>
      </c>
      <c r="B573" s="211"/>
      <c r="C573" s="212"/>
      <c r="D573" s="211"/>
      <c r="E573" s="212"/>
      <c r="F573" s="211"/>
      <c r="G573" s="211"/>
      <c r="H573" s="212"/>
      <c r="I573" s="211"/>
      <c r="J573" s="211"/>
      <c r="K573" s="211"/>
      <c r="L573" s="171"/>
      <c r="M573" s="171" t="s">
        <v>876</v>
      </c>
      <c r="N573" s="171" t="s">
        <v>275</v>
      </c>
      <c r="O573" s="171" t="s">
        <v>622</v>
      </c>
      <c r="P573" s="171" t="s">
        <v>916</v>
      </c>
      <c r="Q573" s="171"/>
      <c r="R573" s="213">
        <v>518000</v>
      </c>
      <c r="S573" s="87">
        <v>0</v>
      </c>
      <c r="T573" s="87">
        <v>0</v>
      </c>
      <c r="U573" s="87">
        <v>0</v>
      </c>
      <c r="V573" s="87">
        <v>0</v>
      </c>
      <c r="W573" s="87">
        <v>0</v>
      </c>
      <c r="X573" s="87">
        <v>0</v>
      </c>
      <c r="Y573" s="87">
        <v>0</v>
      </c>
      <c r="Z573" s="87">
        <v>0</v>
      </c>
      <c r="AA573" s="214">
        <v>0</v>
      </c>
      <c r="AB573" s="214">
        <v>0</v>
      </c>
      <c r="AC573" s="214">
        <v>0</v>
      </c>
      <c r="AD573" s="214">
        <v>0</v>
      </c>
      <c r="AE573" s="214">
        <v>0</v>
      </c>
      <c r="AF573" s="214">
        <v>0</v>
      </c>
      <c r="AG573" s="214">
        <v>0</v>
      </c>
      <c r="AH573" s="214">
        <v>0</v>
      </c>
      <c r="AI573" s="87">
        <v>518455</v>
      </c>
      <c r="AJ573" s="87">
        <v>0</v>
      </c>
      <c r="AK573" s="87">
        <v>518455</v>
      </c>
      <c r="AL573" s="87">
        <v>518455</v>
      </c>
      <c r="AM573" s="87">
        <v>1029600</v>
      </c>
      <c r="AN573" s="87">
        <v>518455</v>
      </c>
      <c r="AO573" s="87">
        <v>518455</v>
      </c>
      <c r="AP573" s="87">
        <v>518000</v>
      </c>
      <c r="AQ573" s="88">
        <v>0</v>
      </c>
      <c r="AR573" s="88">
        <v>0</v>
      </c>
      <c r="AS573" s="88">
        <v>0</v>
      </c>
      <c r="AT573" s="88">
        <v>0</v>
      </c>
      <c r="AU573" s="88">
        <v>0</v>
      </c>
      <c r="AV573" s="88">
        <v>0</v>
      </c>
      <c r="AW573" s="88">
        <v>0</v>
      </c>
      <c r="AX573" s="88">
        <v>0</v>
      </c>
      <c r="AY573" s="87">
        <v>0</v>
      </c>
      <c r="AZ573" s="87">
        <v>0</v>
      </c>
      <c r="BA573" s="87">
        <v>0</v>
      </c>
      <c r="BB573" s="87">
        <v>0</v>
      </c>
      <c r="BC573" s="87">
        <v>0</v>
      </c>
      <c r="BD573" s="87">
        <v>0</v>
      </c>
      <c r="BE573" s="87">
        <v>0</v>
      </c>
      <c r="BF573" s="87">
        <v>0</v>
      </c>
      <c r="BG573" s="88">
        <v>0</v>
      </c>
      <c r="BH573" s="88">
        <v>0</v>
      </c>
      <c r="BI573" s="88">
        <v>0</v>
      </c>
      <c r="BJ573" s="88">
        <v>0</v>
      </c>
      <c r="BK573" s="88">
        <v>0</v>
      </c>
      <c r="BL573" s="88">
        <v>0</v>
      </c>
      <c r="BM573" s="88">
        <v>0</v>
      </c>
      <c r="BN573" s="590">
        <v>0</v>
      </c>
      <c r="BO573" s="171">
        <v>2023</v>
      </c>
      <c r="BP573" s="171">
        <v>1</v>
      </c>
      <c r="BQ573" s="171">
        <v>19</v>
      </c>
      <c r="BR573" s="77"/>
      <c r="BS573" s="76" t="str">
        <f t="shared" si="18"/>
        <v>○</v>
      </c>
    </row>
    <row r="574" spans="1:71" s="81" customFormat="1" x14ac:dyDescent="0.2">
      <c r="A574" s="210">
        <v>1782</v>
      </c>
      <c r="B574" s="211"/>
      <c r="C574" s="212"/>
      <c r="D574" s="211"/>
      <c r="E574" s="212"/>
      <c r="F574" s="211"/>
      <c r="G574" s="211"/>
      <c r="H574" s="212"/>
      <c r="I574" s="211"/>
      <c r="J574" s="211"/>
      <c r="K574" s="211"/>
      <c r="L574" s="171"/>
      <c r="M574" s="171" t="s">
        <v>585</v>
      </c>
      <c r="N574" s="171" t="s">
        <v>272</v>
      </c>
      <c r="O574" s="171" t="s">
        <v>284</v>
      </c>
      <c r="P574" s="171" t="s">
        <v>916</v>
      </c>
      <c r="Q574" s="171"/>
      <c r="R574" s="213">
        <v>240000</v>
      </c>
      <c r="S574" s="87">
        <v>0</v>
      </c>
      <c r="T574" s="87">
        <v>0</v>
      </c>
      <c r="U574" s="87">
        <v>0</v>
      </c>
      <c r="V574" s="87">
        <v>0</v>
      </c>
      <c r="W574" s="87">
        <v>0</v>
      </c>
      <c r="X574" s="87">
        <v>0</v>
      </c>
      <c r="Y574" s="87">
        <v>0</v>
      </c>
      <c r="Z574" s="87">
        <v>0</v>
      </c>
      <c r="AA574" s="214">
        <v>0</v>
      </c>
      <c r="AB574" s="214">
        <v>0</v>
      </c>
      <c r="AC574" s="214">
        <v>0</v>
      </c>
      <c r="AD574" s="214">
        <v>0</v>
      </c>
      <c r="AE574" s="214">
        <v>0</v>
      </c>
      <c r="AF574" s="214">
        <v>0</v>
      </c>
      <c r="AG574" s="214">
        <v>0</v>
      </c>
      <c r="AH574" s="214">
        <v>0</v>
      </c>
      <c r="AI574" s="87">
        <v>240204</v>
      </c>
      <c r="AJ574" s="87">
        <v>0</v>
      </c>
      <c r="AK574" s="87">
        <v>240204</v>
      </c>
      <c r="AL574" s="87">
        <v>240204</v>
      </c>
      <c r="AM574" s="87">
        <v>1328400</v>
      </c>
      <c r="AN574" s="87">
        <v>240204</v>
      </c>
      <c r="AO574" s="87">
        <v>240204</v>
      </c>
      <c r="AP574" s="87">
        <v>240000</v>
      </c>
      <c r="AQ574" s="88">
        <v>0</v>
      </c>
      <c r="AR574" s="88">
        <v>0</v>
      </c>
      <c r="AS574" s="88">
        <v>0</v>
      </c>
      <c r="AT574" s="88">
        <v>0</v>
      </c>
      <c r="AU574" s="88">
        <v>0</v>
      </c>
      <c r="AV574" s="88">
        <v>0</v>
      </c>
      <c r="AW574" s="88">
        <v>0</v>
      </c>
      <c r="AX574" s="88">
        <v>0</v>
      </c>
      <c r="AY574" s="87">
        <v>0</v>
      </c>
      <c r="AZ574" s="87">
        <v>0</v>
      </c>
      <c r="BA574" s="87">
        <v>0</v>
      </c>
      <c r="BB574" s="87">
        <v>0</v>
      </c>
      <c r="BC574" s="87">
        <v>0</v>
      </c>
      <c r="BD574" s="87">
        <v>0</v>
      </c>
      <c r="BE574" s="87">
        <v>0</v>
      </c>
      <c r="BF574" s="87">
        <v>0</v>
      </c>
      <c r="BG574" s="88">
        <v>0</v>
      </c>
      <c r="BH574" s="88">
        <v>0</v>
      </c>
      <c r="BI574" s="88">
        <v>0</v>
      </c>
      <c r="BJ574" s="88">
        <v>0</v>
      </c>
      <c r="BK574" s="88">
        <v>0</v>
      </c>
      <c r="BL574" s="88">
        <v>0</v>
      </c>
      <c r="BM574" s="88">
        <v>0</v>
      </c>
      <c r="BN574" s="590">
        <v>0</v>
      </c>
      <c r="BO574" s="171">
        <v>2023</v>
      </c>
      <c r="BP574" s="171">
        <v>1</v>
      </c>
      <c r="BQ574" s="171">
        <v>19</v>
      </c>
      <c r="BR574" s="77"/>
      <c r="BS574" s="76" t="str">
        <f t="shared" si="18"/>
        <v>○</v>
      </c>
    </row>
    <row r="575" spans="1:71" x14ac:dyDescent="0.2">
      <c r="A575" s="210">
        <v>1783</v>
      </c>
      <c r="B575" s="211"/>
      <c r="C575" s="212"/>
      <c r="D575" s="211"/>
      <c r="E575" s="212"/>
      <c r="F575" s="211"/>
      <c r="G575" s="211"/>
      <c r="H575" s="212"/>
      <c r="I575" s="211"/>
      <c r="J575" s="211"/>
      <c r="K575" s="211"/>
      <c r="L575" s="171"/>
      <c r="M575" s="171" t="s">
        <v>334</v>
      </c>
      <c r="N575" s="171" t="s">
        <v>299</v>
      </c>
      <c r="O575" s="171" t="s">
        <v>335</v>
      </c>
      <c r="P575" s="171" t="s">
        <v>916</v>
      </c>
      <c r="Q575" s="171"/>
      <c r="R575" s="213">
        <v>215000</v>
      </c>
      <c r="S575" s="87">
        <v>0</v>
      </c>
      <c r="T575" s="87">
        <v>0</v>
      </c>
      <c r="U575" s="87">
        <v>0</v>
      </c>
      <c r="V575" s="87">
        <v>0</v>
      </c>
      <c r="W575" s="87">
        <v>0</v>
      </c>
      <c r="X575" s="87">
        <v>0</v>
      </c>
      <c r="Y575" s="87">
        <v>0</v>
      </c>
      <c r="Z575" s="87">
        <v>0</v>
      </c>
      <c r="AA575" s="214">
        <v>0</v>
      </c>
      <c r="AB575" s="214">
        <v>0</v>
      </c>
      <c r="AC575" s="214">
        <v>0</v>
      </c>
      <c r="AD575" s="214">
        <v>0</v>
      </c>
      <c r="AE575" s="214">
        <v>0</v>
      </c>
      <c r="AF575" s="214">
        <v>0</v>
      </c>
      <c r="AG575" s="214">
        <v>0</v>
      </c>
      <c r="AH575" s="214">
        <v>0</v>
      </c>
      <c r="AI575" s="87">
        <v>215210</v>
      </c>
      <c r="AJ575" s="87">
        <v>0</v>
      </c>
      <c r="AK575" s="87">
        <v>215210</v>
      </c>
      <c r="AL575" s="87">
        <v>215210</v>
      </c>
      <c r="AM575" s="87">
        <v>189734400</v>
      </c>
      <c r="AN575" s="87">
        <v>215210</v>
      </c>
      <c r="AO575" s="87">
        <v>215210</v>
      </c>
      <c r="AP575" s="87">
        <v>215000</v>
      </c>
      <c r="AQ575" s="88">
        <v>0</v>
      </c>
      <c r="AR575" s="88">
        <v>0</v>
      </c>
      <c r="AS575" s="88">
        <v>0</v>
      </c>
      <c r="AT575" s="88">
        <v>0</v>
      </c>
      <c r="AU575" s="88">
        <v>0</v>
      </c>
      <c r="AV575" s="88">
        <v>0</v>
      </c>
      <c r="AW575" s="88">
        <v>0</v>
      </c>
      <c r="AX575" s="88">
        <v>0</v>
      </c>
      <c r="AY575" s="87">
        <v>0</v>
      </c>
      <c r="AZ575" s="87">
        <v>0</v>
      </c>
      <c r="BA575" s="87">
        <v>0</v>
      </c>
      <c r="BB575" s="87">
        <v>0</v>
      </c>
      <c r="BC575" s="87">
        <v>0</v>
      </c>
      <c r="BD575" s="87">
        <v>0</v>
      </c>
      <c r="BE575" s="87">
        <v>0</v>
      </c>
      <c r="BF575" s="87">
        <v>0</v>
      </c>
      <c r="BG575" s="88">
        <v>0</v>
      </c>
      <c r="BH575" s="88">
        <v>0</v>
      </c>
      <c r="BI575" s="88">
        <v>0</v>
      </c>
      <c r="BJ575" s="88">
        <v>0</v>
      </c>
      <c r="BK575" s="88">
        <v>0</v>
      </c>
      <c r="BL575" s="88">
        <v>0</v>
      </c>
      <c r="BM575" s="88">
        <v>0</v>
      </c>
      <c r="BN575" s="590">
        <v>0</v>
      </c>
      <c r="BO575" s="171">
        <v>2023</v>
      </c>
      <c r="BP575" s="171">
        <v>1</v>
      </c>
      <c r="BQ575" s="171">
        <v>19</v>
      </c>
      <c r="BS575" s="76" t="str">
        <f t="shared" si="18"/>
        <v>○</v>
      </c>
    </row>
    <row r="576" spans="1:71" x14ac:dyDescent="0.2">
      <c r="A576" s="210">
        <v>1784</v>
      </c>
      <c r="B576" s="211"/>
      <c r="C576" s="212"/>
      <c r="D576" s="211"/>
      <c r="E576" s="212"/>
      <c r="F576" s="211"/>
      <c r="G576" s="211"/>
      <c r="H576" s="212"/>
      <c r="I576" s="211"/>
      <c r="J576" s="211"/>
      <c r="K576" s="211"/>
      <c r="L576" s="171"/>
      <c r="M576" s="171" t="s">
        <v>637</v>
      </c>
      <c r="N576" s="171" t="s">
        <v>269</v>
      </c>
      <c r="O576" s="171" t="s">
        <v>638</v>
      </c>
      <c r="P576" s="171" t="s">
        <v>916</v>
      </c>
      <c r="Q576" s="171"/>
      <c r="R576" s="213">
        <v>197000</v>
      </c>
      <c r="S576" s="87">
        <v>0</v>
      </c>
      <c r="T576" s="87">
        <v>0</v>
      </c>
      <c r="U576" s="87">
        <v>0</v>
      </c>
      <c r="V576" s="87">
        <v>0</v>
      </c>
      <c r="W576" s="87">
        <v>0</v>
      </c>
      <c r="X576" s="87">
        <v>0</v>
      </c>
      <c r="Y576" s="87">
        <v>0</v>
      </c>
      <c r="Z576" s="87">
        <v>0</v>
      </c>
      <c r="AA576" s="214">
        <v>0</v>
      </c>
      <c r="AB576" s="214">
        <v>0</v>
      </c>
      <c r="AC576" s="214">
        <v>0</v>
      </c>
      <c r="AD576" s="214">
        <v>0</v>
      </c>
      <c r="AE576" s="214">
        <v>0</v>
      </c>
      <c r="AF576" s="214">
        <v>0</v>
      </c>
      <c r="AG576" s="214">
        <v>0</v>
      </c>
      <c r="AH576" s="214">
        <v>0</v>
      </c>
      <c r="AI576" s="87">
        <v>197758</v>
      </c>
      <c r="AJ576" s="87">
        <v>0</v>
      </c>
      <c r="AK576" s="87">
        <v>197758</v>
      </c>
      <c r="AL576" s="87">
        <v>197758</v>
      </c>
      <c r="AM576" s="87">
        <v>2088000</v>
      </c>
      <c r="AN576" s="87">
        <v>197758</v>
      </c>
      <c r="AO576" s="87">
        <v>197758</v>
      </c>
      <c r="AP576" s="87">
        <v>197000</v>
      </c>
      <c r="AQ576" s="88">
        <v>0</v>
      </c>
      <c r="AR576" s="88">
        <v>0</v>
      </c>
      <c r="AS576" s="88">
        <v>0</v>
      </c>
      <c r="AT576" s="88">
        <v>0</v>
      </c>
      <c r="AU576" s="88">
        <v>0</v>
      </c>
      <c r="AV576" s="88">
        <v>0</v>
      </c>
      <c r="AW576" s="88">
        <v>0</v>
      </c>
      <c r="AX576" s="88">
        <v>0</v>
      </c>
      <c r="AY576" s="87">
        <v>0</v>
      </c>
      <c r="AZ576" s="87">
        <v>0</v>
      </c>
      <c r="BA576" s="87">
        <v>0</v>
      </c>
      <c r="BB576" s="87">
        <v>0</v>
      </c>
      <c r="BC576" s="87">
        <v>0</v>
      </c>
      <c r="BD576" s="87">
        <v>0</v>
      </c>
      <c r="BE576" s="87">
        <v>0</v>
      </c>
      <c r="BF576" s="87">
        <v>0</v>
      </c>
      <c r="BG576" s="88">
        <v>0</v>
      </c>
      <c r="BH576" s="88">
        <v>0</v>
      </c>
      <c r="BI576" s="88">
        <v>0</v>
      </c>
      <c r="BJ576" s="88">
        <v>0</v>
      </c>
      <c r="BK576" s="88">
        <v>0</v>
      </c>
      <c r="BL576" s="88">
        <v>0</v>
      </c>
      <c r="BM576" s="88">
        <v>0</v>
      </c>
      <c r="BN576" s="590">
        <v>0</v>
      </c>
      <c r="BO576" s="171">
        <v>2023</v>
      </c>
      <c r="BP576" s="171">
        <v>1</v>
      </c>
      <c r="BQ576" s="171">
        <v>19</v>
      </c>
      <c r="BS576" s="76" t="str">
        <f t="shared" si="18"/>
        <v>○</v>
      </c>
    </row>
    <row r="577" spans="1:71" x14ac:dyDescent="0.2">
      <c r="A577" s="210">
        <v>1785</v>
      </c>
      <c r="B577" s="211"/>
      <c r="C577" s="212"/>
      <c r="D577" s="211"/>
      <c r="E577" s="212"/>
      <c r="F577" s="211"/>
      <c r="G577" s="211"/>
      <c r="H577" s="212"/>
      <c r="I577" s="211"/>
      <c r="J577" s="211"/>
      <c r="K577" s="211"/>
      <c r="L577" s="171"/>
      <c r="M577" s="171" t="s">
        <v>498</v>
      </c>
      <c r="N577" s="171" t="s">
        <v>299</v>
      </c>
      <c r="O577" s="171" t="s">
        <v>292</v>
      </c>
      <c r="P577" s="171" t="s">
        <v>916</v>
      </c>
      <c r="Q577" s="171"/>
      <c r="R577" s="213">
        <v>79000</v>
      </c>
      <c r="S577" s="87">
        <v>0</v>
      </c>
      <c r="T577" s="87">
        <v>0</v>
      </c>
      <c r="U577" s="87">
        <v>0</v>
      </c>
      <c r="V577" s="87">
        <v>0</v>
      </c>
      <c r="W577" s="87">
        <v>0</v>
      </c>
      <c r="X577" s="87">
        <v>0</v>
      </c>
      <c r="Y577" s="87">
        <v>0</v>
      </c>
      <c r="Z577" s="87">
        <v>0</v>
      </c>
      <c r="AA577" s="214">
        <v>0</v>
      </c>
      <c r="AB577" s="214">
        <v>0</v>
      </c>
      <c r="AC577" s="214">
        <v>0</v>
      </c>
      <c r="AD577" s="214">
        <v>0</v>
      </c>
      <c r="AE577" s="214">
        <v>0</v>
      </c>
      <c r="AF577" s="214">
        <v>0</v>
      </c>
      <c r="AG577" s="214">
        <v>0</v>
      </c>
      <c r="AH577" s="214">
        <v>0</v>
      </c>
      <c r="AI577" s="87">
        <v>79720</v>
      </c>
      <c r="AJ577" s="87">
        <v>0</v>
      </c>
      <c r="AK577" s="87">
        <v>79720</v>
      </c>
      <c r="AL577" s="87">
        <v>79720</v>
      </c>
      <c r="AM577" s="87">
        <v>1044000</v>
      </c>
      <c r="AN577" s="87">
        <v>79720</v>
      </c>
      <c r="AO577" s="87">
        <v>79720</v>
      </c>
      <c r="AP577" s="87">
        <v>79000</v>
      </c>
      <c r="AQ577" s="88">
        <v>0</v>
      </c>
      <c r="AR577" s="88">
        <v>0</v>
      </c>
      <c r="AS577" s="88">
        <v>0</v>
      </c>
      <c r="AT577" s="88">
        <v>0</v>
      </c>
      <c r="AU577" s="88">
        <v>0</v>
      </c>
      <c r="AV577" s="88">
        <v>0</v>
      </c>
      <c r="AW577" s="88">
        <v>0</v>
      </c>
      <c r="AX577" s="88">
        <v>0</v>
      </c>
      <c r="AY577" s="87">
        <v>0</v>
      </c>
      <c r="AZ577" s="87">
        <v>0</v>
      </c>
      <c r="BA577" s="87">
        <v>0</v>
      </c>
      <c r="BB577" s="87">
        <v>0</v>
      </c>
      <c r="BC577" s="87">
        <v>0</v>
      </c>
      <c r="BD577" s="87">
        <v>0</v>
      </c>
      <c r="BE577" s="87">
        <v>0</v>
      </c>
      <c r="BF577" s="87">
        <v>0</v>
      </c>
      <c r="BG577" s="88">
        <v>0</v>
      </c>
      <c r="BH577" s="88">
        <v>0</v>
      </c>
      <c r="BI577" s="88">
        <v>0</v>
      </c>
      <c r="BJ577" s="88">
        <v>0</v>
      </c>
      <c r="BK577" s="88">
        <v>0</v>
      </c>
      <c r="BL577" s="88">
        <v>0</v>
      </c>
      <c r="BM577" s="88">
        <v>0</v>
      </c>
      <c r="BN577" s="590">
        <v>0</v>
      </c>
      <c r="BO577" s="171">
        <v>2023</v>
      </c>
      <c r="BP577" s="171">
        <v>1</v>
      </c>
      <c r="BQ577" s="171">
        <v>19</v>
      </c>
      <c r="BR577" s="81"/>
      <c r="BS577" s="76" t="str">
        <f t="shared" si="18"/>
        <v>○</v>
      </c>
    </row>
    <row r="578" spans="1:71" s="81" customFormat="1" x14ac:dyDescent="0.2">
      <c r="A578" s="210">
        <v>1786</v>
      </c>
      <c r="B578" s="211"/>
      <c r="C578" s="212"/>
      <c r="D578" s="211"/>
      <c r="E578" s="212"/>
      <c r="F578" s="211"/>
      <c r="G578" s="211"/>
      <c r="H578" s="212"/>
      <c r="I578" s="211"/>
      <c r="J578" s="211"/>
      <c r="K578" s="211"/>
      <c r="L578" s="171"/>
      <c r="M578" s="171" t="s">
        <v>836</v>
      </c>
      <c r="N578" s="171" t="s">
        <v>286</v>
      </c>
      <c r="O578" s="171" t="s">
        <v>565</v>
      </c>
      <c r="P578" s="171" t="s">
        <v>916</v>
      </c>
      <c r="Q578" s="171"/>
      <c r="R578" s="213">
        <v>87000</v>
      </c>
      <c r="S578" s="87">
        <v>0</v>
      </c>
      <c r="T578" s="87">
        <v>0</v>
      </c>
      <c r="U578" s="87">
        <v>0</v>
      </c>
      <c r="V578" s="87">
        <v>0</v>
      </c>
      <c r="W578" s="87">
        <v>0</v>
      </c>
      <c r="X578" s="87">
        <v>0</v>
      </c>
      <c r="Y578" s="87">
        <v>0</v>
      </c>
      <c r="Z578" s="87">
        <v>0</v>
      </c>
      <c r="AA578" s="214">
        <v>0</v>
      </c>
      <c r="AB578" s="214">
        <v>0</v>
      </c>
      <c r="AC578" s="214">
        <v>0</v>
      </c>
      <c r="AD578" s="214">
        <v>0</v>
      </c>
      <c r="AE578" s="214">
        <v>0</v>
      </c>
      <c r="AF578" s="214">
        <v>0</v>
      </c>
      <c r="AG578" s="214">
        <v>0</v>
      </c>
      <c r="AH578" s="214">
        <v>0</v>
      </c>
      <c r="AI578" s="87">
        <v>87206</v>
      </c>
      <c r="AJ578" s="87">
        <v>0</v>
      </c>
      <c r="AK578" s="87">
        <v>87206</v>
      </c>
      <c r="AL578" s="87">
        <v>87206</v>
      </c>
      <c r="AM578" s="87">
        <v>2610000</v>
      </c>
      <c r="AN578" s="87">
        <v>87206</v>
      </c>
      <c r="AO578" s="87">
        <v>87206</v>
      </c>
      <c r="AP578" s="87">
        <v>87000</v>
      </c>
      <c r="AQ578" s="88">
        <v>0</v>
      </c>
      <c r="AR578" s="88">
        <v>0</v>
      </c>
      <c r="AS578" s="88">
        <v>0</v>
      </c>
      <c r="AT578" s="88">
        <v>0</v>
      </c>
      <c r="AU578" s="88">
        <v>0</v>
      </c>
      <c r="AV578" s="88">
        <v>0</v>
      </c>
      <c r="AW578" s="88">
        <v>0</v>
      </c>
      <c r="AX578" s="88">
        <v>0</v>
      </c>
      <c r="AY578" s="87">
        <v>0</v>
      </c>
      <c r="AZ578" s="87">
        <v>0</v>
      </c>
      <c r="BA578" s="87">
        <v>0</v>
      </c>
      <c r="BB578" s="87">
        <v>0</v>
      </c>
      <c r="BC578" s="87">
        <v>0</v>
      </c>
      <c r="BD578" s="87">
        <v>0</v>
      </c>
      <c r="BE578" s="87">
        <v>0</v>
      </c>
      <c r="BF578" s="87">
        <v>0</v>
      </c>
      <c r="BG578" s="88">
        <v>0</v>
      </c>
      <c r="BH578" s="88">
        <v>0</v>
      </c>
      <c r="BI578" s="88">
        <v>0</v>
      </c>
      <c r="BJ578" s="88">
        <v>0</v>
      </c>
      <c r="BK578" s="88">
        <v>0</v>
      </c>
      <c r="BL578" s="88">
        <v>0</v>
      </c>
      <c r="BM578" s="88">
        <v>0</v>
      </c>
      <c r="BN578" s="590">
        <v>0</v>
      </c>
      <c r="BO578" s="171">
        <v>2023</v>
      </c>
      <c r="BP578" s="171">
        <v>1</v>
      </c>
      <c r="BQ578" s="171">
        <v>19</v>
      </c>
      <c r="BS578" s="76" t="str">
        <f t="shared" si="18"/>
        <v>○</v>
      </c>
    </row>
    <row r="579" spans="1:71" x14ac:dyDescent="0.2">
      <c r="A579" s="210">
        <v>1787</v>
      </c>
      <c r="B579" s="211"/>
      <c r="C579" s="212"/>
      <c r="D579" s="211"/>
      <c r="E579" s="212"/>
      <c r="F579" s="211"/>
      <c r="G579" s="211"/>
      <c r="H579" s="212"/>
      <c r="I579" s="211"/>
      <c r="J579" s="211"/>
      <c r="K579" s="211"/>
      <c r="L579" s="171"/>
      <c r="M579" s="171" t="s">
        <v>877</v>
      </c>
      <c r="N579" s="171" t="s">
        <v>286</v>
      </c>
      <c r="O579" s="171" t="s">
        <v>878</v>
      </c>
      <c r="P579" s="171" t="s">
        <v>916</v>
      </c>
      <c r="Q579" s="171"/>
      <c r="R579" s="213">
        <v>1188000</v>
      </c>
      <c r="S579" s="87">
        <v>0</v>
      </c>
      <c r="T579" s="87">
        <v>0</v>
      </c>
      <c r="U579" s="87">
        <v>0</v>
      </c>
      <c r="V579" s="87">
        <v>0</v>
      </c>
      <c r="W579" s="87">
        <v>0</v>
      </c>
      <c r="X579" s="87">
        <v>0</v>
      </c>
      <c r="Y579" s="87">
        <v>0</v>
      </c>
      <c r="Z579" s="87">
        <v>0</v>
      </c>
      <c r="AA579" s="214">
        <v>0</v>
      </c>
      <c r="AB579" s="214">
        <v>0</v>
      </c>
      <c r="AC579" s="214">
        <v>0</v>
      </c>
      <c r="AD579" s="214">
        <v>0</v>
      </c>
      <c r="AE579" s="214">
        <v>0</v>
      </c>
      <c r="AF579" s="214">
        <v>0</v>
      </c>
      <c r="AG579" s="214">
        <v>0</v>
      </c>
      <c r="AH579" s="214">
        <v>0</v>
      </c>
      <c r="AI579" s="87">
        <v>1188000</v>
      </c>
      <c r="AJ579" s="87">
        <v>0</v>
      </c>
      <c r="AK579" s="87">
        <v>1188000</v>
      </c>
      <c r="AL579" s="87">
        <v>1188000</v>
      </c>
      <c r="AM579" s="87">
        <v>3067200</v>
      </c>
      <c r="AN579" s="87">
        <v>1188000</v>
      </c>
      <c r="AO579" s="87">
        <v>1188000</v>
      </c>
      <c r="AP579" s="87">
        <v>1188000</v>
      </c>
      <c r="AQ579" s="88">
        <v>0</v>
      </c>
      <c r="AR579" s="88">
        <v>0</v>
      </c>
      <c r="AS579" s="88">
        <v>0</v>
      </c>
      <c r="AT579" s="88">
        <v>0</v>
      </c>
      <c r="AU579" s="88">
        <v>0</v>
      </c>
      <c r="AV579" s="88">
        <v>0</v>
      </c>
      <c r="AW579" s="88">
        <v>0</v>
      </c>
      <c r="AX579" s="88">
        <v>0</v>
      </c>
      <c r="AY579" s="87">
        <v>0</v>
      </c>
      <c r="AZ579" s="87">
        <v>0</v>
      </c>
      <c r="BA579" s="87">
        <v>0</v>
      </c>
      <c r="BB579" s="87">
        <v>0</v>
      </c>
      <c r="BC579" s="87">
        <v>0</v>
      </c>
      <c r="BD579" s="87">
        <v>0</v>
      </c>
      <c r="BE579" s="87">
        <v>0</v>
      </c>
      <c r="BF579" s="87">
        <v>0</v>
      </c>
      <c r="BG579" s="88">
        <v>0</v>
      </c>
      <c r="BH579" s="88">
        <v>0</v>
      </c>
      <c r="BI579" s="88">
        <v>0</v>
      </c>
      <c r="BJ579" s="88">
        <v>0</v>
      </c>
      <c r="BK579" s="88">
        <v>0</v>
      </c>
      <c r="BL579" s="88">
        <v>0</v>
      </c>
      <c r="BM579" s="88">
        <v>0</v>
      </c>
      <c r="BN579" s="590">
        <v>0</v>
      </c>
      <c r="BO579" s="171">
        <v>2023</v>
      </c>
      <c r="BP579" s="171">
        <v>1</v>
      </c>
      <c r="BQ579" s="171">
        <v>19</v>
      </c>
      <c r="BS579" s="76" t="str">
        <f t="shared" si="18"/>
        <v>○</v>
      </c>
    </row>
    <row r="580" spans="1:71" x14ac:dyDescent="0.2">
      <c r="A580" s="210">
        <v>1788</v>
      </c>
      <c r="B580" s="211"/>
      <c r="C580" s="212"/>
      <c r="D580" s="211"/>
      <c r="E580" s="212"/>
      <c r="F580" s="211"/>
      <c r="G580" s="211"/>
      <c r="H580" s="212"/>
      <c r="I580" s="211"/>
      <c r="J580" s="211"/>
      <c r="K580" s="211"/>
      <c r="L580" s="171"/>
      <c r="M580" s="171" t="s">
        <v>365</v>
      </c>
      <c r="N580" s="171" t="s">
        <v>289</v>
      </c>
      <c r="O580" s="171" t="s">
        <v>303</v>
      </c>
      <c r="P580" s="171" t="s">
        <v>916</v>
      </c>
      <c r="Q580" s="171"/>
      <c r="R580" s="213">
        <v>176000</v>
      </c>
      <c r="S580" s="87">
        <v>0</v>
      </c>
      <c r="T580" s="87">
        <v>0</v>
      </c>
      <c r="U580" s="87">
        <v>0</v>
      </c>
      <c r="V580" s="87">
        <v>0</v>
      </c>
      <c r="W580" s="87">
        <v>0</v>
      </c>
      <c r="X580" s="87">
        <v>0</v>
      </c>
      <c r="Y580" s="87">
        <v>0</v>
      </c>
      <c r="Z580" s="87">
        <v>0</v>
      </c>
      <c r="AA580" s="214">
        <v>0</v>
      </c>
      <c r="AB580" s="214">
        <v>0</v>
      </c>
      <c r="AC580" s="214">
        <v>0</v>
      </c>
      <c r="AD580" s="214">
        <v>0</v>
      </c>
      <c r="AE580" s="214">
        <v>0</v>
      </c>
      <c r="AF580" s="214">
        <v>0</v>
      </c>
      <c r="AG580" s="214">
        <v>0</v>
      </c>
      <c r="AH580" s="214">
        <v>0</v>
      </c>
      <c r="AI580" s="87">
        <v>176000</v>
      </c>
      <c r="AJ580" s="87">
        <v>0</v>
      </c>
      <c r="AK580" s="87">
        <v>176000</v>
      </c>
      <c r="AL580" s="87">
        <v>176000</v>
      </c>
      <c r="AM580" s="87">
        <v>1296000</v>
      </c>
      <c r="AN580" s="87">
        <v>176000</v>
      </c>
      <c r="AO580" s="87">
        <v>176000</v>
      </c>
      <c r="AP580" s="87">
        <v>176000</v>
      </c>
      <c r="AQ580" s="88">
        <v>0</v>
      </c>
      <c r="AR580" s="88">
        <v>0</v>
      </c>
      <c r="AS580" s="88">
        <v>0</v>
      </c>
      <c r="AT580" s="88">
        <v>0</v>
      </c>
      <c r="AU580" s="88">
        <v>0</v>
      </c>
      <c r="AV580" s="88">
        <v>0</v>
      </c>
      <c r="AW580" s="88">
        <v>0</v>
      </c>
      <c r="AX580" s="88">
        <v>0</v>
      </c>
      <c r="AY580" s="87">
        <v>0</v>
      </c>
      <c r="AZ580" s="87">
        <v>0</v>
      </c>
      <c r="BA580" s="87">
        <v>0</v>
      </c>
      <c r="BB580" s="87">
        <v>0</v>
      </c>
      <c r="BC580" s="87">
        <v>0</v>
      </c>
      <c r="BD580" s="87">
        <v>0</v>
      </c>
      <c r="BE580" s="87">
        <v>0</v>
      </c>
      <c r="BF580" s="87">
        <v>0</v>
      </c>
      <c r="BG580" s="88">
        <v>0</v>
      </c>
      <c r="BH580" s="88">
        <v>0</v>
      </c>
      <c r="BI580" s="88">
        <v>0</v>
      </c>
      <c r="BJ580" s="88">
        <v>0</v>
      </c>
      <c r="BK580" s="88">
        <v>0</v>
      </c>
      <c r="BL580" s="88">
        <v>0</v>
      </c>
      <c r="BM580" s="88">
        <v>0</v>
      </c>
      <c r="BN580" s="590">
        <v>0</v>
      </c>
      <c r="BO580" s="171">
        <v>2023</v>
      </c>
      <c r="BP580" s="171">
        <v>1</v>
      </c>
      <c r="BQ580" s="171">
        <v>19</v>
      </c>
      <c r="BS580" s="76" t="str">
        <f t="shared" si="18"/>
        <v>○</v>
      </c>
    </row>
    <row r="581" spans="1:71" x14ac:dyDescent="0.2">
      <c r="A581" s="210">
        <v>1789</v>
      </c>
      <c r="B581" s="211"/>
      <c r="C581" s="212"/>
      <c r="D581" s="211"/>
      <c r="E581" s="212"/>
      <c r="F581" s="211"/>
      <c r="G581" s="211"/>
      <c r="H581" s="212"/>
      <c r="I581" s="211"/>
      <c r="J581" s="211"/>
      <c r="K581" s="211"/>
      <c r="L581" s="171"/>
      <c r="M581" s="171" t="s">
        <v>455</v>
      </c>
      <c r="N581" s="171" t="s">
        <v>313</v>
      </c>
      <c r="O581" s="171" t="s">
        <v>270</v>
      </c>
      <c r="P581" s="171" t="s">
        <v>916</v>
      </c>
      <c r="Q581" s="171"/>
      <c r="R581" s="213">
        <v>150000</v>
      </c>
      <c r="S581" s="87">
        <v>0</v>
      </c>
      <c r="T581" s="87">
        <v>0</v>
      </c>
      <c r="U581" s="87">
        <v>0</v>
      </c>
      <c r="V581" s="87">
        <v>0</v>
      </c>
      <c r="W581" s="87">
        <v>0</v>
      </c>
      <c r="X581" s="87">
        <v>0</v>
      </c>
      <c r="Y581" s="87">
        <v>0</v>
      </c>
      <c r="Z581" s="87">
        <v>0</v>
      </c>
      <c r="AA581" s="214">
        <v>0</v>
      </c>
      <c r="AB581" s="214">
        <v>0</v>
      </c>
      <c r="AC581" s="214">
        <v>0</v>
      </c>
      <c r="AD581" s="214">
        <v>0</v>
      </c>
      <c r="AE581" s="214">
        <v>0</v>
      </c>
      <c r="AF581" s="214">
        <v>0</v>
      </c>
      <c r="AG581" s="214">
        <v>0</v>
      </c>
      <c r="AH581" s="214">
        <v>0</v>
      </c>
      <c r="AI581" s="87">
        <v>150215</v>
      </c>
      <c r="AJ581" s="87">
        <v>0</v>
      </c>
      <c r="AK581" s="87">
        <v>150215</v>
      </c>
      <c r="AL581" s="87">
        <v>150215</v>
      </c>
      <c r="AM581" s="87">
        <v>2376000</v>
      </c>
      <c r="AN581" s="87">
        <v>150215</v>
      </c>
      <c r="AO581" s="87">
        <v>150215</v>
      </c>
      <c r="AP581" s="87">
        <v>150000</v>
      </c>
      <c r="AQ581" s="88">
        <v>0</v>
      </c>
      <c r="AR581" s="88">
        <v>0</v>
      </c>
      <c r="AS581" s="88">
        <v>0</v>
      </c>
      <c r="AT581" s="88">
        <v>0</v>
      </c>
      <c r="AU581" s="88">
        <v>0</v>
      </c>
      <c r="AV581" s="88">
        <v>0</v>
      </c>
      <c r="AW581" s="88">
        <v>0</v>
      </c>
      <c r="AX581" s="88">
        <v>0</v>
      </c>
      <c r="AY581" s="87">
        <v>0</v>
      </c>
      <c r="AZ581" s="87">
        <v>0</v>
      </c>
      <c r="BA581" s="87">
        <v>0</v>
      </c>
      <c r="BB581" s="87">
        <v>0</v>
      </c>
      <c r="BC581" s="87">
        <v>0</v>
      </c>
      <c r="BD581" s="87">
        <v>0</v>
      </c>
      <c r="BE581" s="87">
        <v>0</v>
      </c>
      <c r="BF581" s="87">
        <v>0</v>
      </c>
      <c r="BG581" s="88">
        <v>0</v>
      </c>
      <c r="BH581" s="88">
        <v>0</v>
      </c>
      <c r="BI581" s="88">
        <v>0</v>
      </c>
      <c r="BJ581" s="88">
        <v>0</v>
      </c>
      <c r="BK581" s="88">
        <v>0</v>
      </c>
      <c r="BL581" s="88">
        <v>0</v>
      </c>
      <c r="BM581" s="88">
        <v>0</v>
      </c>
      <c r="BN581" s="590">
        <v>0</v>
      </c>
      <c r="BO581" s="171">
        <v>2023</v>
      </c>
      <c r="BP581" s="171">
        <v>1</v>
      </c>
      <c r="BQ581" s="171">
        <v>19</v>
      </c>
      <c r="BS581" s="76" t="str">
        <f t="shared" si="18"/>
        <v>○</v>
      </c>
    </row>
    <row r="582" spans="1:71" x14ac:dyDescent="0.2">
      <c r="A582" s="210">
        <v>1791</v>
      </c>
      <c r="B582" s="211"/>
      <c r="C582" s="212"/>
      <c r="D582" s="211"/>
      <c r="E582" s="212"/>
      <c r="F582" s="211"/>
      <c r="G582" s="211"/>
      <c r="H582" s="212"/>
      <c r="I582" s="211"/>
      <c r="J582" s="211"/>
      <c r="K582" s="211"/>
      <c r="L582" s="171"/>
      <c r="M582" s="171" t="s">
        <v>879</v>
      </c>
      <c r="N582" s="171" t="s">
        <v>306</v>
      </c>
      <c r="O582" s="171" t="s">
        <v>880</v>
      </c>
      <c r="P582" s="171" t="s">
        <v>916</v>
      </c>
      <c r="Q582" s="171"/>
      <c r="R582" s="213">
        <v>236000</v>
      </c>
      <c r="S582" s="87">
        <v>0</v>
      </c>
      <c r="T582" s="87">
        <v>0</v>
      </c>
      <c r="U582" s="87">
        <v>0</v>
      </c>
      <c r="V582" s="87">
        <v>0</v>
      </c>
      <c r="W582" s="87">
        <v>0</v>
      </c>
      <c r="X582" s="87">
        <v>0</v>
      </c>
      <c r="Y582" s="87">
        <v>0</v>
      </c>
      <c r="Z582" s="87">
        <v>0</v>
      </c>
      <c r="AA582" s="214">
        <v>0</v>
      </c>
      <c r="AB582" s="214">
        <v>0</v>
      </c>
      <c r="AC582" s="214">
        <v>0</v>
      </c>
      <c r="AD582" s="214">
        <v>0</v>
      </c>
      <c r="AE582" s="214">
        <v>0</v>
      </c>
      <c r="AF582" s="214">
        <v>0</v>
      </c>
      <c r="AG582" s="214">
        <v>0</v>
      </c>
      <c r="AH582" s="214">
        <v>0</v>
      </c>
      <c r="AI582" s="87">
        <v>236794</v>
      </c>
      <c r="AJ582" s="87">
        <v>0</v>
      </c>
      <c r="AK582" s="87">
        <v>236794</v>
      </c>
      <c r="AL582" s="87">
        <v>236794</v>
      </c>
      <c r="AM582" s="87">
        <v>2620800</v>
      </c>
      <c r="AN582" s="87">
        <v>236794</v>
      </c>
      <c r="AO582" s="87">
        <v>236794</v>
      </c>
      <c r="AP582" s="87">
        <v>236000</v>
      </c>
      <c r="AQ582" s="88">
        <v>0</v>
      </c>
      <c r="AR582" s="88">
        <v>0</v>
      </c>
      <c r="AS582" s="88">
        <v>0</v>
      </c>
      <c r="AT582" s="88">
        <v>0</v>
      </c>
      <c r="AU582" s="88">
        <v>0</v>
      </c>
      <c r="AV582" s="88">
        <v>0</v>
      </c>
      <c r="AW582" s="88">
        <v>0</v>
      </c>
      <c r="AX582" s="88">
        <v>0</v>
      </c>
      <c r="AY582" s="87">
        <v>0</v>
      </c>
      <c r="AZ582" s="87">
        <v>0</v>
      </c>
      <c r="BA582" s="87">
        <v>0</v>
      </c>
      <c r="BB582" s="87">
        <v>0</v>
      </c>
      <c r="BC582" s="87">
        <v>0</v>
      </c>
      <c r="BD582" s="87">
        <v>0</v>
      </c>
      <c r="BE582" s="87">
        <v>0</v>
      </c>
      <c r="BF582" s="87">
        <v>0</v>
      </c>
      <c r="BG582" s="88">
        <v>0</v>
      </c>
      <c r="BH582" s="88">
        <v>0</v>
      </c>
      <c r="BI582" s="88">
        <v>0</v>
      </c>
      <c r="BJ582" s="88">
        <v>0</v>
      </c>
      <c r="BK582" s="88">
        <v>0</v>
      </c>
      <c r="BL582" s="88">
        <v>0</v>
      </c>
      <c r="BM582" s="88">
        <v>0</v>
      </c>
      <c r="BN582" s="590">
        <v>0</v>
      </c>
      <c r="BO582" s="171">
        <v>2023</v>
      </c>
      <c r="BP582" s="171">
        <v>1</v>
      </c>
      <c r="BQ582" s="171">
        <v>19</v>
      </c>
      <c r="BR582" s="81"/>
      <c r="BS582" s="76" t="str">
        <f t="shared" si="18"/>
        <v>○</v>
      </c>
    </row>
    <row r="583" spans="1:71" s="81" customFormat="1" x14ac:dyDescent="0.2">
      <c r="A583" s="210">
        <v>1792</v>
      </c>
      <c r="B583" s="211"/>
      <c r="C583" s="212"/>
      <c r="D583" s="211"/>
      <c r="E583" s="212"/>
      <c r="F583" s="211"/>
      <c r="G583" s="211"/>
      <c r="H583" s="212"/>
      <c r="I583" s="211"/>
      <c r="J583" s="211"/>
      <c r="K583" s="211"/>
      <c r="L583" s="171"/>
      <c r="M583" s="171" t="s">
        <v>881</v>
      </c>
      <c r="N583" s="171" t="s">
        <v>330</v>
      </c>
      <c r="O583" s="171" t="s">
        <v>882</v>
      </c>
      <c r="P583" s="171" t="s">
        <v>916</v>
      </c>
      <c r="Q583" s="171"/>
      <c r="R583" s="213">
        <v>108000</v>
      </c>
      <c r="S583" s="87">
        <v>0</v>
      </c>
      <c r="T583" s="87">
        <v>0</v>
      </c>
      <c r="U583" s="87">
        <v>0</v>
      </c>
      <c r="V583" s="87">
        <v>0</v>
      </c>
      <c r="W583" s="87">
        <v>0</v>
      </c>
      <c r="X583" s="87">
        <v>0</v>
      </c>
      <c r="Y583" s="87">
        <v>0</v>
      </c>
      <c r="Z583" s="87">
        <v>0</v>
      </c>
      <c r="AA583" s="214">
        <v>0</v>
      </c>
      <c r="AB583" s="214">
        <v>0</v>
      </c>
      <c r="AC583" s="214">
        <v>0</v>
      </c>
      <c r="AD583" s="214">
        <v>0</v>
      </c>
      <c r="AE583" s="214">
        <v>0</v>
      </c>
      <c r="AF583" s="214">
        <v>0</v>
      </c>
      <c r="AG583" s="214">
        <v>0</v>
      </c>
      <c r="AH583" s="214">
        <v>0</v>
      </c>
      <c r="AI583" s="87">
        <v>108355</v>
      </c>
      <c r="AJ583" s="87">
        <v>0</v>
      </c>
      <c r="AK583" s="87">
        <v>108355</v>
      </c>
      <c r="AL583" s="87">
        <v>108355</v>
      </c>
      <c r="AM583" s="87">
        <v>7257600</v>
      </c>
      <c r="AN583" s="87">
        <v>108355</v>
      </c>
      <c r="AO583" s="87">
        <v>108355</v>
      </c>
      <c r="AP583" s="87">
        <v>108000</v>
      </c>
      <c r="AQ583" s="88">
        <v>0</v>
      </c>
      <c r="AR583" s="88">
        <v>0</v>
      </c>
      <c r="AS583" s="88">
        <v>0</v>
      </c>
      <c r="AT583" s="88">
        <v>0</v>
      </c>
      <c r="AU583" s="88">
        <v>0</v>
      </c>
      <c r="AV583" s="88">
        <v>0</v>
      </c>
      <c r="AW583" s="88">
        <v>0</v>
      </c>
      <c r="AX583" s="88">
        <v>0</v>
      </c>
      <c r="AY583" s="87">
        <v>0</v>
      </c>
      <c r="AZ583" s="87">
        <v>0</v>
      </c>
      <c r="BA583" s="87">
        <v>0</v>
      </c>
      <c r="BB583" s="87">
        <v>0</v>
      </c>
      <c r="BC583" s="87">
        <v>0</v>
      </c>
      <c r="BD583" s="87">
        <v>0</v>
      </c>
      <c r="BE583" s="87">
        <v>0</v>
      </c>
      <c r="BF583" s="87">
        <v>0</v>
      </c>
      <c r="BG583" s="88">
        <v>0</v>
      </c>
      <c r="BH583" s="88">
        <v>0</v>
      </c>
      <c r="BI583" s="88">
        <v>0</v>
      </c>
      <c r="BJ583" s="88">
        <v>0</v>
      </c>
      <c r="BK583" s="88">
        <v>0</v>
      </c>
      <c r="BL583" s="88">
        <v>0</v>
      </c>
      <c r="BM583" s="88">
        <v>0</v>
      </c>
      <c r="BN583" s="590">
        <v>0</v>
      </c>
      <c r="BO583" s="171">
        <v>2023</v>
      </c>
      <c r="BP583" s="171">
        <v>1</v>
      </c>
      <c r="BQ583" s="171">
        <v>19</v>
      </c>
      <c r="BR583" s="77"/>
      <c r="BS583" s="76" t="str">
        <f t="shared" si="18"/>
        <v>○</v>
      </c>
    </row>
    <row r="584" spans="1:71" x14ac:dyDescent="0.2">
      <c r="A584" s="210">
        <v>1794</v>
      </c>
      <c r="B584" s="211"/>
      <c r="C584" s="212"/>
      <c r="D584" s="211"/>
      <c r="E584" s="212"/>
      <c r="F584" s="211"/>
      <c r="G584" s="211"/>
      <c r="H584" s="212"/>
      <c r="I584" s="211"/>
      <c r="J584" s="211"/>
      <c r="K584" s="211"/>
      <c r="L584" s="171"/>
      <c r="M584" s="171" t="s">
        <v>883</v>
      </c>
      <c r="N584" s="171" t="s">
        <v>286</v>
      </c>
      <c r="O584" s="171" t="s">
        <v>561</v>
      </c>
      <c r="P584" s="171" t="s">
        <v>916</v>
      </c>
      <c r="Q584" s="171"/>
      <c r="R584" s="213">
        <v>126000</v>
      </c>
      <c r="S584" s="87">
        <v>0</v>
      </c>
      <c r="T584" s="87">
        <v>0</v>
      </c>
      <c r="U584" s="87">
        <v>0</v>
      </c>
      <c r="V584" s="87">
        <v>0</v>
      </c>
      <c r="W584" s="87">
        <v>0</v>
      </c>
      <c r="X584" s="87">
        <v>0</v>
      </c>
      <c r="Y584" s="87">
        <v>0</v>
      </c>
      <c r="Z584" s="87">
        <v>0</v>
      </c>
      <c r="AA584" s="214">
        <v>0</v>
      </c>
      <c r="AB584" s="214">
        <v>0</v>
      </c>
      <c r="AC584" s="214">
        <v>0</v>
      </c>
      <c r="AD584" s="214">
        <v>0</v>
      </c>
      <c r="AE584" s="214">
        <v>0</v>
      </c>
      <c r="AF584" s="214">
        <v>0</v>
      </c>
      <c r="AG584" s="214">
        <v>0</v>
      </c>
      <c r="AH584" s="214">
        <v>0</v>
      </c>
      <c r="AI584" s="87">
        <v>126800</v>
      </c>
      <c r="AJ584" s="87">
        <v>0</v>
      </c>
      <c r="AK584" s="87">
        <v>126800</v>
      </c>
      <c r="AL584" s="87">
        <v>126800</v>
      </c>
      <c r="AM584" s="87">
        <v>907200</v>
      </c>
      <c r="AN584" s="87">
        <v>126800</v>
      </c>
      <c r="AO584" s="87">
        <v>126800</v>
      </c>
      <c r="AP584" s="87">
        <v>126000</v>
      </c>
      <c r="AQ584" s="88">
        <v>0</v>
      </c>
      <c r="AR584" s="88">
        <v>0</v>
      </c>
      <c r="AS584" s="88">
        <v>0</v>
      </c>
      <c r="AT584" s="88">
        <v>0</v>
      </c>
      <c r="AU584" s="88">
        <v>0</v>
      </c>
      <c r="AV584" s="88">
        <v>0</v>
      </c>
      <c r="AW584" s="88">
        <v>0</v>
      </c>
      <c r="AX584" s="88">
        <v>0</v>
      </c>
      <c r="AY584" s="87">
        <v>0</v>
      </c>
      <c r="AZ584" s="87">
        <v>0</v>
      </c>
      <c r="BA584" s="87">
        <v>0</v>
      </c>
      <c r="BB584" s="87">
        <v>0</v>
      </c>
      <c r="BC584" s="87">
        <v>0</v>
      </c>
      <c r="BD584" s="87">
        <v>0</v>
      </c>
      <c r="BE584" s="87">
        <v>0</v>
      </c>
      <c r="BF584" s="87">
        <v>0</v>
      </c>
      <c r="BG584" s="88">
        <v>0</v>
      </c>
      <c r="BH584" s="88">
        <v>0</v>
      </c>
      <c r="BI584" s="88">
        <v>0</v>
      </c>
      <c r="BJ584" s="88">
        <v>0</v>
      </c>
      <c r="BK584" s="88">
        <v>0</v>
      </c>
      <c r="BL584" s="88">
        <v>0</v>
      </c>
      <c r="BM584" s="88">
        <v>0</v>
      </c>
      <c r="BN584" s="590">
        <v>0</v>
      </c>
      <c r="BO584" s="171">
        <v>2023</v>
      </c>
      <c r="BP584" s="171">
        <v>1</v>
      </c>
      <c r="BQ584" s="171">
        <v>19</v>
      </c>
      <c r="BS584" s="76" t="str">
        <f t="shared" si="18"/>
        <v>○</v>
      </c>
    </row>
    <row r="585" spans="1:71" x14ac:dyDescent="0.2">
      <c r="A585" s="210">
        <v>1795</v>
      </c>
      <c r="B585" s="211"/>
      <c r="C585" s="212"/>
      <c r="D585" s="211"/>
      <c r="E585" s="212"/>
      <c r="F585" s="211"/>
      <c r="G585" s="211"/>
      <c r="H585" s="212"/>
      <c r="I585" s="211"/>
      <c r="J585" s="211"/>
      <c r="K585" s="211"/>
      <c r="L585" s="171"/>
      <c r="M585" s="171" t="s">
        <v>884</v>
      </c>
      <c r="N585" s="171" t="s">
        <v>272</v>
      </c>
      <c r="O585" s="171" t="s">
        <v>505</v>
      </c>
      <c r="P585" s="171" t="s">
        <v>916</v>
      </c>
      <c r="Q585" s="171"/>
      <c r="R585" s="213">
        <v>274000</v>
      </c>
      <c r="S585" s="87">
        <v>0</v>
      </c>
      <c r="T585" s="87">
        <v>0</v>
      </c>
      <c r="U585" s="87">
        <v>0</v>
      </c>
      <c r="V585" s="87">
        <v>0</v>
      </c>
      <c r="W585" s="87">
        <v>0</v>
      </c>
      <c r="X585" s="87">
        <v>0</v>
      </c>
      <c r="Y585" s="87">
        <v>0</v>
      </c>
      <c r="Z585" s="87">
        <v>0</v>
      </c>
      <c r="AA585" s="214">
        <v>0</v>
      </c>
      <c r="AB585" s="214">
        <v>0</v>
      </c>
      <c r="AC585" s="214">
        <v>0</v>
      </c>
      <c r="AD585" s="214">
        <v>0</v>
      </c>
      <c r="AE585" s="214">
        <v>0</v>
      </c>
      <c r="AF585" s="214">
        <v>0</v>
      </c>
      <c r="AG585" s="214">
        <v>0</v>
      </c>
      <c r="AH585" s="214">
        <v>0</v>
      </c>
      <c r="AI585" s="87">
        <v>274890</v>
      </c>
      <c r="AJ585" s="87">
        <v>0</v>
      </c>
      <c r="AK585" s="87">
        <v>274890</v>
      </c>
      <c r="AL585" s="87">
        <v>274890</v>
      </c>
      <c r="AM585" s="87">
        <v>3456000</v>
      </c>
      <c r="AN585" s="87">
        <v>274890</v>
      </c>
      <c r="AO585" s="87">
        <v>274890</v>
      </c>
      <c r="AP585" s="87">
        <v>274000</v>
      </c>
      <c r="AQ585" s="88">
        <v>0</v>
      </c>
      <c r="AR585" s="88">
        <v>0</v>
      </c>
      <c r="AS585" s="88">
        <v>0</v>
      </c>
      <c r="AT585" s="88">
        <v>0</v>
      </c>
      <c r="AU585" s="88">
        <v>0</v>
      </c>
      <c r="AV585" s="88">
        <v>0</v>
      </c>
      <c r="AW585" s="88">
        <v>0</v>
      </c>
      <c r="AX585" s="88">
        <v>0</v>
      </c>
      <c r="AY585" s="87">
        <v>0</v>
      </c>
      <c r="AZ585" s="87">
        <v>0</v>
      </c>
      <c r="BA585" s="87">
        <v>0</v>
      </c>
      <c r="BB585" s="87">
        <v>0</v>
      </c>
      <c r="BC585" s="87">
        <v>0</v>
      </c>
      <c r="BD585" s="87">
        <v>0</v>
      </c>
      <c r="BE585" s="87">
        <v>0</v>
      </c>
      <c r="BF585" s="87">
        <v>0</v>
      </c>
      <c r="BG585" s="88">
        <v>0</v>
      </c>
      <c r="BH585" s="88">
        <v>0</v>
      </c>
      <c r="BI585" s="88">
        <v>0</v>
      </c>
      <c r="BJ585" s="88">
        <v>0</v>
      </c>
      <c r="BK585" s="88">
        <v>0</v>
      </c>
      <c r="BL585" s="88">
        <v>0</v>
      </c>
      <c r="BM585" s="88">
        <v>0</v>
      </c>
      <c r="BN585" s="590">
        <v>0</v>
      </c>
      <c r="BO585" s="171">
        <v>2023</v>
      </c>
      <c r="BP585" s="171">
        <v>1</v>
      </c>
      <c r="BQ585" s="171">
        <v>19</v>
      </c>
      <c r="BS585" s="76" t="str">
        <f t="shared" si="18"/>
        <v>○</v>
      </c>
    </row>
    <row r="586" spans="1:71" x14ac:dyDescent="0.2">
      <c r="A586" s="210">
        <v>1796</v>
      </c>
      <c r="B586" s="211"/>
      <c r="C586" s="212"/>
      <c r="D586" s="211"/>
      <c r="E586" s="212"/>
      <c r="F586" s="211"/>
      <c r="G586" s="211"/>
      <c r="H586" s="212"/>
      <c r="I586" s="211"/>
      <c r="J586" s="211"/>
      <c r="K586" s="211"/>
      <c r="L586" s="171"/>
      <c r="M586" s="171" t="s">
        <v>854</v>
      </c>
      <c r="N586" s="171" t="s">
        <v>286</v>
      </c>
      <c r="O586" s="171" t="s">
        <v>855</v>
      </c>
      <c r="P586" s="171" t="s">
        <v>916</v>
      </c>
      <c r="Q586" s="171"/>
      <c r="R586" s="213">
        <v>83000</v>
      </c>
      <c r="S586" s="87">
        <v>0</v>
      </c>
      <c r="T586" s="87">
        <v>0</v>
      </c>
      <c r="U586" s="87">
        <v>0</v>
      </c>
      <c r="V586" s="87">
        <v>0</v>
      </c>
      <c r="W586" s="87">
        <v>0</v>
      </c>
      <c r="X586" s="87">
        <v>0</v>
      </c>
      <c r="Y586" s="87">
        <v>0</v>
      </c>
      <c r="Z586" s="87">
        <v>0</v>
      </c>
      <c r="AA586" s="214">
        <v>0</v>
      </c>
      <c r="AB586" s="214">
        <v>0</v>
      </c>
      <c r="AC586" s="214">
        <v>0</v>
      </c>
      <c r="AD586" s="214">
        <v>0</v>
      </c>
      <c r="AE586" s="214">
        <v>0</v>
      </c>
      <c r="AF586" s="214">
        <v>0</v>
      </c>
      <c r="AG586" s="214">
        <v>0</v>
      </c>
      <c r="AH586" s="214">
        <v>0</v>
      </c>
      <c r="AI586" s="87">
        <v>83519</v>
      </c>
      <c r="AJ586" s="87">
        <v>0</v>
      </c>
      <c r="AK586" s="87">
        <v>83519</v>
      </c>
      <c r="AL586" s="87">
        <v>83519</v>
      </c>
      <c r="AM586" s="87">
        <v>1152000</v>
      </c>
      <c r="AN586" s="87">
        <v>83519</v>
      </c>
      <c r="AO586" s="87">
        <v>83519</v>
      </c>
      <c r="AP586" s="87">
        <v>83000</v>
      </c>
      <c r="AQ586" s="88">
        <v>0</v>
      </c>
      <c r="AR586" s="88">
        <v>0</v>
      </c>
      <c r="AS586" s="88">
        <v>0</v>
      </c>
      <c r="AT586" s="88">
        <v>0</v>
      </c>
      <c r="AU586" s="88">
        <v>0</v>
      </c>
      <c r="AV586" s="88">
        <v>0</v>
      </c>
      <c r="AW586" s="88">
        <v>0</v>
      </c>
      <c r="AX586" s="88">
        <v>0</v>
      </c>
      <c r="AY586" s="87">
        <v>0</v>
      </c>
      <c r="AZ586" s="87">
        <v>0</v>
      </c>
      <c r="BA586" s="87">
        <v>0</v>
      </c>
      <c r="BB586" s="87">
        <v>0</v>
      </c>
      <c r="BC586" s="87">
        <v>0</v>
      </c>
      <c r="BD586" s="87">
        <v>0</v>
      </c>
      <c r="BE586" s="87">
        <v>0</v>
      </c>
      <c r="BF586" s="87">
        <v>0</v>
      </c>
      <c r="BG586" s="88">
        <v>0</v>
      </c>
      <c r="BH586" s="88">
        <v>0</v>
      </c>
      <c r="BI586" s="88">
        <v>0</v>
      </c>
      <c r="BJ586" s="88">
        <v>0</v>
      </c>
      <c r="BK586" s="88">
        <v>0</v>
      </c>
      <c r="BL586" s="88">
        <v>0</v>
      </c>
      <c r="BM586" s="88">
        <v>0</v>
      </c>
      <c r="BN586" s="590">
        <v>0</v>
      </c>
      <c r="BO586" s="171">
        <v>2023</v>
      </c>
      <c r="BP586" s="171">
        <v>1</v>
      </c>
      <c r="BQ586" s="171">
        <v>19</v>
      </c>
      <c r="BS586" s="76" t="str">
        <f t="shared" si="18"/>
        <v>○</v>
      </c>
    </row>
    <row r="587" spans="1:71" x14ac:dyDescent="0.2">
      <c r="A587" s="210">
        <v>1797</v>
      </c>
      <c r="B587" s="211"/>
      <c r="C587" s="212"/>
      <c r="D587" s="211"/>
      <c r="E587" s="212"/>
      <c r="F587" s="211"/>
      <c r="G587" s="211"/>
      <c r="H587" s="212"/>
      <c r="I587" s="211"/>
      <c r="J587" s="211"/>
      <c r="K587" s="211"/>
      <c r="L587" s="171"/>
      <c r="M587" s="171" t="s">
        <v>572</v>
      </c>
      <c r="N587" s="171" t="s">
        <v>269</v>
      </c>
      <c r="O587" s="171" t="s">
        <v>297</v>
      </c>
      <c r="P587" s="171" t="s">
        <v>916</v>
      </c>
      <c r="Q587" s="171"/>
      <c r="R587" s="213">
        <v>189000</v>
      </c>
      <c r="S587" s="87">
        <v>0</v>
      </c>
      <c r="T587" s="87">
        <v>0</v>
      </c>
      <c r="U587" s="87">
        <v>0</v>
      </c>
      <c r="V587" s="87">
        <v>0</v>
      </c>
      <c r="W587" s="87">
        <v>0</v>
      </c>
      <c r="X587" s="87">
        <v>0</v>
      </c>
      <c r="Y587" s="87">
        <v>0</v>
      </c>
      <c r="Z587" s="87">
        <v>0</v>
      </c>
      <c r="AA587" s="214">
        <v>0</v>
      </c>
      <c r="AB587" s="214">
        <v>0</v>
      </c>
      <c r="AC587" s="214">
        <v>0</v>
      </c>
      <c r="AD587" s="214">
        <v>0</v>
      </c>
      <c r="AE587" s="214">
        <v>0</v>
      </c>
      <c r="AF587" s="214">
        <v>0</v>
      </c>
      <c r="AG587" s="214">
        <v>0</v>
      </c>
      <c r="AH587" s="214">
        <v>0</v>
      </c>
      <c r="AI587" s="87">
        <v>189962</v>
      </c>
      <c r="AJ587" s="87">
        <v>0</v>
      </c>
      <c r="AK587" s="87">
        <v>189962</v>
      </c>
      <c r="AL587" s="87">
        <v>189962</v>
      </c>
      <c r="AM587" s="87">
        <v>1544400</v>
      </c>
      <c r="AN587" s="87">
        <v>189962</v>
      </c>
      <c r="AO587" s="87">
        <v>189962</v>
      </c>
      <c r="AP587" s="87">
        <v>189000</v>
      </c>
      <c r="AQ587" s="88">
        <v>0</v>
      </c>
      <c r="AR587" s="88">
        <v>0</v>
      </c>
      <c r="AS587" s="88">
        <v>0</v>
      </c>
      <c r="AT587" s="88">
        <v>0</v>
      </c>
      <c r="AU587" s="88">
        <v>0</v>
      </c>
      <c r="AV587" s="88">
        <v>0</v>
      </c>
      <c r="AW587" s="88">
        <v>0</v>
      </c>
      <c r="AX587" s="88">
        <v>0</v>
      </c>
      <c r="AY587" s="87">
        <v>0</v>
      </c>
      <c r="AZ587" s="87">
        <v>0</v>
      </c>
      <c r="BA587" s="87">
        <v>0</v>
      </c>
      <c r="BB587" s="87">
        <v>0</v>
      </c>
      <c r="BC587" s="87">
        <v>0</v>
      </c>
      <c r="BD587" s="87">
        <v>0</v>
      </c>
      <c r="BE587" s="87">
        <v>0</v>
      </c>
      <c r="BF587" s="87">
        <v>0</v>
      </c>
      <c r="BG587" s="88">
        <v>0</v>
      </c>
      <c r="BH587" s="88">
        <v>0</v>
      </c>
      <c r="BI587" s="88">
        <v>0</v>
      </c>
      <c r="BJ587" s="88">
        <v>0</v>
      </c>
      <c r="BK587" s="88">
        <v>0</v>
      </c>
      <c r="BL587" s="88">
        <v>0</v>
      </c>
      <c r="BM587" s="88">
        <v>0</v>
      </c>
      <c r="BN587" s="590">
        <v>0</v>
      </c>
      <c r="BO587" s="171">
        <v>2023</v>
      </c>
      <c r="BP587" s="171">
        <v>1</v>
      </c>
      <c r="BQ587" s="171">
        <v>19</v>
      </c>
      <c r="BR587" s="81"/>
      <c r="BS587" s="76" t="str">
        <f t="shared" si="18"/>
        <v>○</v>
      </c>
    </row>
    <row r="588" spans="1:71" x14ac:dyDescent="0.2">
      <c r="A588" s="210">
        <v>1798</v>
      </c>
      <c r="B588" s="211"/>
      <c r="C588" s="212"/>
      <c r="D588" s="211"/>
      <c r="E588" s="212"/>
      <c r="F588" s="211"/>
      <c r="G588" s="211"/>
      <c r="H588" s="212"/>
      <c r="I588" s="211"/>
      <c r="J588" s="211"/>
      <c r="K588" s="211"/>
      <c r="L588" s="171"/>
      <c r="M588" s="171" t="s">
        <v>885</v>
      </c>
      <c r="N588" s="171" t="s">
        <v>323</v>
      </c>
      <c r="O588" s="171" t="s">
        <v>270</v>
      </c>
      <c r="P588" s="171" t="s">
        <v>916</v>
      </c>
      <c r="Q588" s="171"/>
      <c r="R588" s="213">
        <v>455000</v>
      </c>
      <c r="S588" s="87">
        <v>0</v>
      </c>
      <c r="T588" s="87">
        <v>0</v>
      </c>
      <c r="U588" s="87">
        <v>0</v>
      </c>
      <c r="V588" s="87">
        <v>0</v>
      </c>
      <c r="W588" s="87">
        <v>0</v>
      </c>
      <c r="X588" s="87">
        <v>0</v>
      </c>
      <c r="Y588" s="87">
        <v>0</v>
      </c>
      <c r="Z588" s="87">
        <v>0</v>
      </c>
      <c r="AA588" s="214">
        <v>0</v>
      </c>
      <c r="AB588" s="214">
        <v>0</v>
      </c>
      <c r="AC588" s="214">
        <v>0</v>
      </c>
      <c r="AD588" s="214">
        <v>0</v>
      </c>
      <c r="AE588" s="214">
        <v>0</v>
      </c>
      <c r="AF588" s="214">
        <v>0</v>
      </c>
      <c r="AG588" s="214">
        <v>0</v>
      </c>
      <c r="AH588" s="214">
        <v>0</v>
      </c>
      <c r="AI588" s="87">
        <v>455350</v>
      </c>
      <c r="AJ588" s="87">
        <v>0</v>
      </c>
      <c r="AK588" s="87">
        <v>455350</v>
      </c>
      <c r="AL588" s="87">
        <v>455350</v>
      </c>
      <c r="AM588" s="87">
        <v>2088000</v>
      </c>
      <c r="AN588" s="87">
        <v>455350</v>
      </c>
      <c r="AO588" s="87">
        <v>455350</v>
      </c>
      <c r="AP588" s="87">
        <v>455000</v>
      </c>
      <c r="AQ588" s="88">
        <v>0</v>
      </c>
      <c r="AR588" s="88">
        <v>0</v>
      </c>
      <c r="AS588" s="88">
        <v>0</v>
      </c>
      <c r="AT588" s="88">
        <v>0</v>
      </c>
      <c r="AU588" s="88">
        <v>0</v>
      </c>
      <c r="AV588" s="88">
        <v>0</v>
      </c>
      <c r="AW588" s="88">
        <v>0</v>
      </c>
      <c r="AX588" s="88">
        <v>0</v>
      </c>
      <c r="AY588" s="87">
        <v>0</v>
      </c>
      <c r="AZ588" s="87">
        <v>0</v>
      </c>
      <c r="BA588" s="87">
        <v>0</v>
      </c>
      <c r="BB588" s="87">
        <v>0</v>
      </c>
      <c r="BC588" s="87">
        <v>0</v>
      </c>
      <c r="BD588" s="87">
        <v>0</v>
      </c>
      <c r="BE588" s="87">
        <v>0</v>
      </c>
      <c r="BF588" s="87">
        <v>0</v>
      </c>
      <c r="BG588" s="88">
        <v>0</v>
      </c>
      <c r="BH588" s="88">
        <v>0</v>
      </c>
      <c r="BI588" s="88">
        <v>0</v>
      </c>
      <c r="BJ588" s="88">
        <v>0</v>
      </c>
      <c r="BK588" s="88">
        <v>0</v>
      </c>
      <c r="BL588" s="88">
        <v>0</v>
      </c>
      <c r="BM588" s="88">
        <v>0</v>
      </c>
      <c r="BN588" s="590">
        <v>0</v>
      </c>
      <c r="BO588" s="171">
        <v>2023</v>
      </c>
      <c r="BP588" s="171">
        <v>1</v>
      </c>
      <c r="BQ588" s="171">
        <v>19</v>
      </c>
      <c r="BS588" s="76" t="str">
        <f t="shared" si="18"/>
        <v>○</v>
      </c>
    </row>
    <row r="589" spans="1:71" x14ac:dyDescent="0.2">
      <c r="A589" s="210">
        <v>1799</v>
      </c>
      <c r="B589" s="211"/>
      <c r="C589" s="212"/>
      <c r="D589" s="211"/>
      <c r="E589" s="212"/>
      <c r="F589" s="211"/>
      <c r="G589" s="211"/>
      <c r="H589" s="212"/>
      <c r="I589" s="211"/>
      <c r="J589" s="211"/>
      <c r="K589" s="211"/>
      <c r="L589" s="171"/>
      <c r="M589" s="171" t="s">
        <v>515</v>
      </c>
      <c r="N589" s="171" t="s">
        <v>286</v>
      </c>
      <c r="O589" s="171" t="s">
        <v>279</v>
      </c>
      <c r="P589" s="171" t="s">
        <v>916</v>
      </c>
      <c r="Q589" s="171"/>
      <c r="R589" s="213">
        <v>390000</v>
      </c>
      <c r="S589" s="87">
        <v>0</v>
      </c>
      <c r="T589" s="87">
        <v>0</v>
      </c>
      <c r="U589" s="87">
        <v>0</v>
      </c>
      <c r="V589" s="87">
        <v>0</v>
      </c>
      <c r="W589" s="87">
        <v>0</v>
      </c>
      <c r="X589" s="87">
        <v>0</v>
      </c>
      <c r="Y589" s="87">
        <v>0</v>
      </c>
      <c r="Z589" s="87">
        <v>0</v>
      </c>
      <c r="AA589" s="214">
        <v>0</v>
      </c>
      <c r="AB589" s="214">
        <v>0</v>
      </c>
      <c r="AC589" s="214">
        <v>0</v>
      </c>
      <c r="AD589" s="214">
        <v>0</v>
      </c>
      <c r="AE589" s="214">
        <v>0</v>
      </c>
      <c r="AF589" s="214">
        <v>0</v>
      </c>
      <c r="AG589" s="214">
        <v>0</v>
      </c>
      <c r="AH589" s="214">
        <v>0</v>
      </c>
      <c r="AI589" s="87">
        <v>390036</v>
      </c>
      <c r="AJ589" s="87">
        <v>0</v>
      </c>
      <c r="AK589" s="87">
        <v>390036</v>
      </c>
      <c r="AL589" s="87">
        <v>390036</v>
      </c>
      <c r="AM589" s="87">
        <v>3553200</v>
      </c>
      <c r="AN589" s="87">
        <v>390036</v>
      </c>
      <c r="AO589" s="87">
        <v>390036</v>
      </c>
      <c r="AP589" s="87">
        <v>390000</v>
      </c>
      <c r="AQ589" s="88">
        <v>0</v>
      </c>
      <c r="AR589" s="88">
        <v>0</v>
      </c>
      <c r="AS589" s="88">
        <v>0</v>
      </c>
      <c r="AT589" s="88">
        <v>0</v>
      </c>
      <c r="AU589" s="88">
        <v>0</v>
      </c>
      <c r="AV589" s="88">
        <v>0</v>
      </c>
      <c r="AW589" s="88">
        <v>0</v>
      </c>
      <c r="AX589" s="88">
        <v>0</v>
      </c>
      <c r="AY589" s="87">
        <v>0</v>
      </c>
      <c r="AZ589" s="87">
        <v>0</v>
      </c>
      <c r="BA589" s="87">
        <v>0</v>
      </c>
      <c r="BB589" s="87">
        <v>0</v>
      </c>
      <c r="BC589" s="87">
        <v>0</v>
      </c>
      <c r="BD589" s="87">
        <v>0</v>
      </c>
      <c r="BE589" s="87">
        <v>0</v>
      </c>
      <c r="BF589" s="87">
        <v>0</v>
      </c>
      <c r="BG589" s="88">
        <v>0</v>
      </c>
      <c r="BH589" s="88">
        <v>0</v>
      </c>
      <c r="BI589" s="88">
        <v>0</v>
      </c>
      <c r="BJ589" s="88">
        <v>0</v>
      </c>
      <c r="BK589" s="88">
        <v>0</v>
      </c>
      <c r="BL589" s="88">
        <v>0</v>
      </c>
      <c r="BM589" s="88">
        <v>0</v>
      </c>
      <c r="BN589" s="590">
        <v>0</v>
      </c>
      <c r="BO589" s="171">
        <v>2023</v>
      </c>
      <c r="BP589" s="171">
        <v>1</v>
      </c>
      <c r="BQ589" s="171">
        <v>19</v>
      </c>
      <c r="BS589" s="76" t="str">
        <f t="shared" si="18"/>
        <v>○</v>
      </c>
    </row>
    <row r="590" spans="1:71" x14ac:dyDescent="0.2">
      <c r="A590" s="210">
        <v>1800</v>
      </c>
      <c r="B590" s="211"/>
      <c r="C590" s="212"/>
      <c r="D590" s="211"/>
      <c r="E590" s="212"/>
      <c r="F590" s="211"/>
      <c r="G590" s="211"/>
      <c r="H590" s="212"/>
      <c r="I590" s="211"/>
      <c r="J590" s="211"/>
      <c r="K590" s="211"/>
      <c r="L590" s="171"/>
      <c r="M590" s="171" t="s">
        <v>731</v>
      </c>
      <c r="N590" s="171" t="s">
        <v>269</v>
      </c>
      <c r="O590" s="171" t="s">
        <v>732</v>
      </c>
      <c r="P590" s="171" t="s">
        <v>916</v>
      </c>
      <c r="Q590" s="171"/>
      <c r="R590" s="213">
        <v>127000</v>
      </c>
      <c r="S590" s="87">
        <v>0</v>
      </c>
      <c r="T590" s="87">
        <v>0</v>
      </c>
      <c r="U590" s="87">
        <v>0</v>
      </c>
      <c r="V590" s="87">
        <v>0</v>
      </c>
      <c r="W590" s="87">
        <v>0</v>
      </c>
      <c r="X590" s="87">
        <v>0</v>
      </c>
      <c r="Y590" s="87">
        <v>0</v>
      </c>
      <c r="Z590" s="87">
        <v>0</v>
      </c>
      <c r="AA590" s="214">
        <v>0</v>
      </c>
      <c r="AB590" s="214">
        <v>0</v>
      </c>
      <c r="AC590" s="214">
        <v>0</v>
      </c>
      <c r="AD590" s="214">
        <v>0</v>
      </c>
      <c r="AE590" s="214">
        <v>0</v>
      </c>
      <c r="AF590" s="214">
        <v>0</v>
      </c>
      <c r="AG590" s="214">
        <v>0</v>
      </c>
      <c r="AH590" s="214">
        <v>0</v>
      </c>
      <c r="AI590" s="87">
        <v>127875</v>
      </c>
      <c r="AJ590" s="87">
        <v>0</v>
      </c>
      <c r="AK590" s="87">
        <v>127875</v>
      </c>
      <c r="AL590" s="87">
        <v>127875</v>
      </c>
      <c r="AM590" s="87">
        <v>2102400</v>
      </c>
      <c r="AN590" s="87">
        <v>127875</v>
      </c>
      <c r="AO590" s="87">
        <v>127875</v>
      </c>
      <c r="AP590" s="87">
        <v>127000</v>
      </c>
      <c r="AQ590" s="88">
        <v>0</v>
      </c>
      <c r="AR590" s="88">
        <v>0</v>
      </c>
      <c r="AS590" s="88">
        <v>0</v>
      </c>
      <c r="AT590" s="88">
        <v>0</v>
      </c>
      <c r="AU590" s="88">
        <v>0</v>
      </c>
      <c r="AV590" s="88">
        <v>0</v>
      </c>
      <c r="AW590" s="88">
        <v>0</v>
      </c>
      <c r="AX590" s="88">
        <v>0</v>
      </c>
      <c r="AY590" s="87">
        <v>0</v>
      </c>
      <c r="AZ590" s="87">
        <v>0</v>
      </c>
      <c r="BA590" s="87">
        <v>0</v>
      </c>
      <c r="BB590" s="87">
        <v>0</v>
      </c>
      <c r="BC590" s="87">
        <v>0</v>
      </c>
      <c r="BD590" s="87">
        <v>0</v>
      </c>
      <c r="BE590" s="87">
        <v>0</v>
      </c>
      <c r="BF590" s="87">
        <v>0</v>
      </c>
      <c r="BG590" s="88">
        <v>0</v>
      </c>
      <c r="BH590" s="88">
        <v>0</v>
      </c>
      <c r="BI590" s="88">
        <v>0</v>
      </c>
      <c r="BJ590" s="88">
        <v>0</v>
      </c>
      <c r="BK590" s="88">
        <v>0</v>
      </c>
      <c r="BL590" s="88">
        <v>0</v>
      </c>
      <c r="BM590" s="88">
        <v>0</v>
      </c>
      <c r="BN590" s="590">
        <v>0</v>
      </c>
      <c r="BO590" s="171">
        <v>2023</v>
      </c>
      <c r="BP590" s="171">
        <v>1</v>
      </c>
      <c r="BQ590" s="171">
        <v>19</v>
      </c>
      <c r="BS590" s="76" t="str">
        <f t="shared" si="18"/>
        <v>○</v>
      </c>
    </row>
    <row r="591" spans="1:71" x14ac:dyDescent="0.2">
      <c r="A591" s="210">
        <v>1801</v>
      </c>
      <c r="B591" s="211"/>
      <c r="C591" s="212"/>
      <c r="D591" s="211"/>
      <c r="E591" s="212"/>
      <c r="F591" s="211"/>
      <c r="G591" s="211"/>
      <c r="H591" s="212"/>
      <c r="I591" s="211"/>
      <c r="J591" s="211"/>
      <c r="K591" s="211"/>
      <c r="L591" s="171"/>
      <c r="M591" s="171" t="s">
        <v>421</v>
      </c>
      <c r="N591" s="171" t="s">
        <v>313</v>
      </c>
      <c r="O591" s="171" t="s">
        <v>422</v>
      </c>
      <c r="P591" s="171" t="s">
        <v>916</v>
      </c>
      <c r="Q591" s="171"/>
      <c r="R591" s="213">
        <v>654000</v>
      </c>
      <c r="S591" s="87">
        <v>0</v>
      </c>
      <c r="T591" s="87">
        <v>0</v>
      </c>
      <c r="U591" s="87">
        <v>0</v>
      </c>
      <c r="V591" s="87">
        <v>0</v>
      </c>
      <c r="W591" s="87">
        <v>0</v>
      </c>
      <c r="X591" s="87">
        <v>0</v>
      </c>
      <c r="Y591" s="87">
        <v>0</v>
      </c>
      <c r="Z591" s="87">
        <v>0</v>
      </c>
      <c r="AA591" s="214">
        <v>0</v>
      </c>
      <c r="AB591" s="214">
        <v>0</v>
      </c>
      <c r="AC591" s="214">
        <v>0</v>
      </c>
      <c r="AD591" s="214">
        <v>0</v>
      </c>
      <c r="AE591" s="214">
        <v>0</v>
      </c>
      <c r="AF591" s="214">
        <v>0</v>
      </c>
      <c r="AG591" s="214">
        <v>0</v>
      </c>
      <c r="AH591" s="214">
        <v>0</v>
      </c>
      <c r="AI591" s="87">
        <v>654390</v>
      </c>
      <c r="AJ591" s="87">
        <v>0</v>
      </c>
      <c r="AK591" s="87">
        <v>654390</v>
      </c>
      <c r="AL591" s="87">
        <v>654390</v>
      </c>
      <c r="AM591" s="87">
        <v>1814400</v>
      </c>
      <c r="AN591" s="87">
        <v>654390</v>
      </c>
      <c r="AO591" s="87">
        <v>654390</v>
      </c>
      <c r="AP591" s="87">
        <v>654000</v>
      </c>
      <c r="AQ591" s="88">
        <v>0</v>
      </c>
      <c r="AR591" s="88">
        <v>0</v>
      </c>
      <c r="AS591" s="88">
        <v>0</v>
      </c>
      <c r="AT591" s="88">
        <v>0</v>
      </c>
      <c r="AU591" s="88">
        <v>0</v>
      </c>
      <c r="AV591" s="88">
        <v>0</v>
      </c>
      <c r="AW591" s="88">
        <v>0</v>
      </c>
      <c r="AX591" s="88">
        <v>0</v>
      </c>
      <c r="AY591" s="87">
        <v>0</v>
      </c>
      <c r="AZ591" s="87">
        <v>0</v>
      </c>
      <c r="BA591" s="87">
        <v>0</v>
      </c>
      <c r="BB591" s="87">
        <v>0</v>
      </c>
      <c r="BC591" s="87">
        <v>0</v>
      </c>
      <c r="BD591" s="87">
        <v>0</v>
      </c>
      <c r="BE591" s="87">
        <v>0</v>
      </c>
      <c r="BF591" s="87">
        <v>0</v>
      </c>
      <c r="BG591" s="88">
        <v>0</v>
      </c>
      <c r="BH591" s="88">
        <v>0</v>
      </c>
      <c r="BI591" s="88">
        <v>0</v>
      </c>
      <c r="BJ591" s="88">
        <v>0</v>
      </c>
      <c r="BK591" s="88">
        <v>0</v>
      </c>
      <c r="BL591" s="88">
        <v>0</v>
      </c>
      <c r="BM591" s="88">
        <v>0</v>
      </c>
      <c r="BN591" s="590">
        <v>0</v>
      </c>
      <c r="BO591" s="171">
        <v>2023</v>
      </c>
      <c r="BP591" s="171">
        <v>1</v>
      </c>
      <c r="BQ591" s="171">
        <v>19</v>
      </c>
      <c r="BS591" s="76" t="str">
        <f t="shared" si="18"/>
        <v>○</v>
      </c>
    </row>
    <row r="592" spans="1:71" x14ac:dyDescent="0.2">
      <c r="A592" s="210">
        <v>1802</v>
      </c>
      <c r="B592" s="211"/>
      <c r="C592" s="212"/>
      <c r="D592" s="211"/>
      <c r="E592" s="212"/>
      <c r="F592" s="211"/>
      <c r="G592" s="211"/>
      <c r="H592" s="212"/>
      <c r="I592" s="211"/>
      <c r="J592" s="211"/>
      <c r="K592" s="211"/>
      <c r="L592" s="171"/>
      <c r="M592" s="171" t="s">
        <v>527</v>
      </c>
      <c r="N592" s="171" t="s">
        <v>269</v>
      </c>
      <c r="O592" s="171" t="s">
        <v>528</v>
      </c>
      <c r="P592" s="171" t="s">
        <v>916</v>
      </c>
      <c r="Q592" s="171"/>
      <c r="R592" s="213">
        <v>646000</v>
      </c>
      <c r="S592" s="87">
        <v>0</v>
      </c>
      <c r="T592" s="87">
        <v>0</v>
      </c>
      <c r="U592" s="87">
        <v>0</v>
      </c>
      <c r="V592" s="87">
        <v>0</v>
      </c>
      <c r="W592" s="87">
        <v>0</v>
      </c>
      <c r="X592" s="87">
        <v>0</v>
      </c>
      <c r="Y592" s="87">
        <v>0</v>
      </c>
      <c r="Z592" s="87">
        <v>0</v>
      </c>
      <c r="AA592" s="214">
        <v>0</v>
      </c>
      <c r="AB592" s="214">
        <v>0</v>
      </c>
      <c r="AC592" s="214">
        <v>0</v>
      </c>
      <c r="AD592" s="214">
        <v>0</v>
      </c>
      <c r="AE592" s="214">
        <v>0</v>
      </c>
      <c r="AF592" s="214">
        <v>0</v>
      </c>
      <c r="AG592" s="214">
        <v>0</v>
      </c>
      <c r="AH592" s="214">
        <v>0</v>
      </c>
      <c r="AI592" s="87">
        <v>646360</v>
      </c>
      <c r="AJ592" s="87">
        <v>0</v>
      </c>
      <c r="AK592" s="87">
        <v>646360</v>
      </c>
      <c r="AL592" s="87">
        <v>646360</v>
      </c>
      <c r="AM592" s="87">
        <v>1328400</v>
      </c>
      <c r="AN592" s="87">
        <v>646360</v>
      </c>
      <c r="AO592" s="87">
        <v>646360</v>
      </c>
      <c r="AP592" s="87">
        <v>646000</v>
      </c>
      <c r="AQ592" s="88">
        <v>0</v>
      </c>
      <c r="AR592" s="88">
        <v>0</v>
      </c>
      <c r="AS592" s="88">
        <v>0</v>
      </c>
      <c r="AT592" s="88">
        <v>0</v>
      </c>
      <c r="AU592" s="88">
        <v>0</v>
      </c>
      <c r="AV592" s="88">
        <v>0</v>
      </c>
      <c r="AW592" s="88">
        <v>0</v>
      </c>
      <c r="AX592" s="88">
        <v>0</v>
      </c>
      <c r="AY592" s="87">
        <v>0</v>
      </c>
      <c r="AZ592" s="87">
        <v>0</v>
      </c>
      <c r="BA592" s="87">
        <v>0</v>
      </c>
      <c r="BB592" s="87">
        <v>0</v>
      </c>
      <c r="BC592" s="87">
        <v>0</v>
      </c>
      <c r="BD592" s="87">
        <v>0</v>
      </c>
      <c r="BE592" s="87">
        <v>0</v>
      </c>
      <c r="BF592" s="87">
        <v>0</v>
      </c>
      <c r="BG592" s="88">
        <v>0</v>
      </c>
      <c r="BH592" s="88">
        <v>0</v>
      </c>
      <c r="BI592" s="88">
        <v>0</v>
      </c>
      <c r="BJ592" s="88">
        <v>0</v>
      </c>
      <c r="BK592" s="88">
        <v>0</v>
      </c>
      <c r="BL592" s="88">
        <v>0</v>
      </c>
      <c r="BM592" s="88">
        <v>0</v>
      </c>
      <c r="BN592" s="590">
        <v>0</v>
      </c>
      <c r="BO592" s="171">
        <v>2023</v>
      </c>
      <c r="BP592" s="171">
        <v>1</v>
      </c>
      <c r="BQ592" s="171">
        <v>19</v>
      </c>
      <c r="BS592" s="76" t="str">
        <f t="shared" si="18"/>
        <v>○</v>
      </c>
    </row>
    <row r="593" spans="1:71" x14ac:dyDescent="0.2">
      <c r="A593" s="210">
        <v>1803</v>
      </c>
      <c r="B593" s="211"/>
      <c r="C593" s="212"/>
      <c r="D593" s="211"/>
      <c r="E593" s="212"/>
      <c r="F593" s="211"/>
      <c r="G593" s="211"/>
      <c r="H593" s="212"/>
      <c r="I593" s="211"/>
      <c r="J593" s="211"/>
      <c r="K593" s="211"/>
      <c r="L593" s="171"/>
      <c r="M593" s="171" t="s">
        <v>834</v>
      </c>
      <c r="N593" s="171" t="s">
        <v>286</v>
      </c>
      <c r="O593" s="171" t="s">
        <v>314</v>
      </c>
      <c r="P593" s="171" t="s">
        <v>916</v>
      </c>
      <c r="Q593" s="171"/>
      <c r="R593" s="213">
        <v>1230000</v>
      </c>
      <c r="S593" s="87">
        <v>0</v>
      </c>
      <c r="T593" s="87">
        <v>0</v>
      </c>
      <c r="U593" s="87">
        <v>0</v>
      </c>
      <c r="V593" s="87">
        <v>0</v>
      </c>
      <c r="W593" s="87">
        <v>0</v>
      </c>
      <c r="X593" s="87">
        <v>0</v>
      </c>
      <c r="Y593" s="87">
        <v>0</v>
      </c>
      <c r="Z593" s="87">
        <v>0</v>
      </c>
      <c r="AA593" s="214">
        <v>0</v>
      </c>
      <c r="AB593" s="214">
        <v>0</v>
      </c>
      <c r="AC593" s="214">
        <v>0</v>
      </c>
      <c r="AD593" s="214">
        <v>0</v>
      </c>
      <c r="AE593" s="214">
        <v>0</v>
      </c>
      <c r="AF593" s="214">
        <v>0</v>
      </c>
      <c r="AG593" s="214">
        <v>0</v>
      </c>
      <c r="AH593" s="214">
        <v>0</v>
      </c>
      <c r="AI593" s="87">
        <v>1230336</v>
      </c>
      <c r="AJ593" s="87">
        <v>0</v>
      </c>
      <c r="AK593" s="87">
        <v>1230336</v>
      </c>
      <c r="AL593" s="87">
        <v>1230336</v>
      </c>
      <c r="AM593" s="87">
        <v>2073600</v>
      </c>
      <c r="AN593" s="87">
        <v>1230336</v>
      </c>
      <c r="AO593" s="87">
        <v>1230336</v>
      </c>
      <c r="AP593" s="87">
        <v>1230000</v>
      </c>
      <c r="AQ593" s="88">
        <v>0</v>
      </c>
      <c r="AR593" s="88">
        <v>0</v>
      </c>
      <c r="AS593" s="88">
        <v>0</v>
      </c>
      <c r="AT593" s="88">
        <v>0</v>
      </c>
      <c r="AU593" s="88">
        <v>0</v>
      </c>
      <c r="AV593" s="88">
        <v>0</v>
      </c>
      <c r="AW593" s="88">
        <v>0</v>
      </c>
      <c r="AX593" s="88">
        <v>0</v>
      </c>
      <c r="AY593" s="87">
        <v>0</v>
      </c>
      <c r="AZ593" s="87">
        <v>0</v>
      </c>
      <c r="BA593" s="87">
        <v>0</v>
      </c>
      <c r="BB593" s="87">
        <v>0</v>
      </c>
      <c r="BC593" s="87">
        <v>0</v>
      </c>
      <c r="BD593" s="87">
        <v>0</v>
      </c>
      <c r="BE593" s="87">
        <v>0</v>
      </c>
      <c r="BF593" s="87">
        <v>0</v>
      </c>
      <c r="BG593" s="88">
        <v>0</v>
      </c>
      <c r="BH593" s="88">
        <v>0</v>
      </c>
      <c r="BI593" s="88">
        <v>0</v>
      </c>
      <c r="BJ593" s="88">
        <v>0</v>
      </c>
      <c r="BK593" s="88">
        <v>0</v>
      </c>
      <c r="BL593" s="88">
        <v>0</v>
      </c>
      <c r="BM593" s="88">
        <v>0</v>
      </c>
      <c r="BN593" s="590">
        <v>0</v>
      </c>
      <c r="BO593" s="171">
        <v>2023</v>
      </c>
      <c r="BP593" s="171">
        <v>1</v>
      </c>
      <c r="BQ593" s="171">
        <v>19</v>
      </c>
      <c r="BS593" s="76" t="str">
        <f t="shared" si="18"/>
        <v>○</v>
      </c>
    </row>
    <row r="594" spans="1:71" x14ac:dyDescent="0.2">
      <c r="A594" s="210">
        <v>1804</v>
      </c>
      <c r="B594" s="211"/>
      <c r="C594" s="212"/>
      <c r="D594" s="211"/>
      <c r="E594" s="212"/>
      <c r="F594" s="211"/>
      <c r="G594" s="211"/>
      <c r="H594" s="212"/>
      <c r="I594" s="211"/>
      <c r="J594" s="211"/>
      <c r="K594" s="211"/>
      <c r="L594" s="171"/>
      <c r="M594" s="171" t="s">
        <v>864</v>
      </c>
      <c r="N594" s="171" t="s">
        <v>281</v>
      </c>
      <c r="O594" s="171" t="s">
        <v>326</v>
      </c>
      <c r="P594" s="171" t="s">
        <v>916</v>
      </c>
      <c r="Q594" s="171"/>
      <c r="R594" s="213">
        <v>79000</v>
      </c>
      <c r="S594" s="87">
        <v>0</v>
      </c>
      <c r="T594" s="87">
        <v>0</v>
      </c>
      <c r="U594" s="87">
        <v>0</v>
      </c>
      <c r="V594" s="87">
        <v>0</v>
      </c>
      <c r="W594" s="87">
        <v>0</v>
      </c>
      <c r="X594" s="87">
        <v>0</v>
      </c>
      <c r="Y594" s="87">
        <v>0</v>
      </c>
      <c r="Z594" s="87">
        <v>0</v>
      </c>
      <c r="AA594" s="214">
        <v>0</v>
      </c>
      <c r="AB594" s="214">
        <v>0</v>
      </c>
      <c r="AC594" s="214">
        <v>0</v>
      </c>
      <c r="AD594" s="214">
        <v>0</v>
      </c>
      <c r="AE594" s="214">
        <v>0</v>
      </c>
      <c r="AF594" s="214">
        <v>0</v>
      </c>
      <c r="AG594" s="214">
        <v>0</v>
      </c>
      <c r="AH594" s="214">
        <v>0</v>
      </c>
      <c r="AI594" s="87">
        <v>79200</v>
      </c>
      <c r="AJ594" s="87">
        <v>0</v>
      </c>
      <c r="AK594" s="87">
        <v>79200</v>
      </c>
      <c r="AL594" s="87">
        <v>79200</v>
      </c>
      <c r="AM594" s="87">
        <v>3110400</v>
      </c>
      <c r="AN594" s="87">
        <v>79200</v>
      </c>
      <c r="AO594" s="87">
        <v>79200</v>
      </c>
      <c r="AP594" s="87">
        <v>79000</v>
      </c>
      <c r="AQ594" s="88">
        <v>0</v>
      </c>
      <c r="AR594" s="88">
        <v>0</v>
      </c>
      <c r="AS594" s="88">
        <v>0</v>
      </c>
      <c r="AT594" s="88">
        <v>0</v>
      </c>
      <c r="AU594" s="88">
        <v>0</v>
      </c>
      <c r="AV594" s="88">
        <v>0</v>
      </c>
      <c r="AW594" s="88">
        <v>0</v>
      </c>
      <c r="AX594" s="88">
        <v>0</v>
      </c>
      <c r="AY594" s="87">
        <v>0</v>
      </c>
      <c r="AZ594" s="87">
        <v>0</v>
      </c>
      <c r="BA594" s="87">
        <v>0</v>
      </c>
      <c r="BB594" s="87">
        <v>0</v>
      </c>
      <c r="BC594" s="87">
        <v>0</v>
      </c>
      <c r="BD594" s="87">
        <v>0</v>
      </c>
      <c r="BE594" s="87">
        <v>0</v>
      </c>
      <c r="BF594" s="87">
        <v>0</v>
      </c>
      <c r="BG594" s="88">
        <v>0</v>
      </c>
      <c r="BH594" s="88">
        <v>0</v>
      </c>
      <c r="BI594" s="88">
        <v>0</v>
      </c>
      <c r="BJ594" s="88">
        <v>0</v>
      </c>
      <c r="BK594" s="88">
        <v>0</v>
      </c>
      <c r="BL594" s="88">
        <v>0</v>
      </c>
      <c r="BM594" s="88">
        <v>0</v>
      </c>
      <c r="BN594" s="590">
        <v>0</v>
      </c>
      <c r="BO594" s="171">
        <v>2023</v>
      </c>
      <c r="BP594" s="171">
        <v>1</v>
      </c>
      <c r="BQ594" s="171">
        <v>19</v>
      </c>
      <c r="BS594" s="76" t="str">
        <f t="shared" si="18"/>
        <v>○</v>
      </c>
    </row>
    <row r="595" spans="1:71" x14ac:dyDescent="0.2">
      <c r="A595" s="210">
        <v>1805</v>
      </c>
      <c r="B595" s="211"/>
      <c r="C595" s="212"/>
      <c r="D595" s="211"/>
      <c r="E595" s="212"/>
      <c r="F595" s="211"/>
      <c r="G595" s="211"/>
      <c r="H595" s="212"/>
      <c r="I595" s="211"/>
      <c r="J595" s="211"/>
      <c r="K595" s="211"/>
      <c r="L595" s="171"/>
      <c r="M595" s="171" t="s">
        <v>886</v>
      </c>
      <c r="N595" s="171" t="s">
        <v>272</v>
      </c>
      <c r="O595" s="171" t="s">
        <v>887</v>
      </c>
      <c r="P595" s="171" t="s">
        <v>916</v>
      </c>
      <c r="Q595" s="171"/>
      <c r="R595" s="213">
        <v>665000</v>
      </c>
      <c r="S595" s="87">
        <v>0</v>
      </c>
      <c r="T595" s="87">
        <v>0</v>
      </c>
      <c r="U595" s="87">
        <v>0</v>
      </c>
      <c r="V595" s="87">
        <v>0</v>
      </c>
      <c r="W595" s="87">
        <v>0</v>
      </c>
      <c r="X595" s="87">
        <v>0</v>
      </c>
      <c r="Y595" s="87">
        <v>0</v>
      </c>
      <c r="Z595" s="87">
        <v>0</v>
      </c>
      <c r="AA595" s="214">
        <v>0</v>
      </c>
      <c r="AB595" s="214">
        <v>0</v>
      </c>
      <c r="AC595" s="214">
        <v>0</v>
      </c>
      <c r="AD595" s="214">
        <v>0</v>
      </c>
      <c r="AE595" s="214">
        <v>0</v>
      </c>
      <c r="AF595" s="214">
        <v>0</v>
      </c>
      <c r="AG595" s="214">
        <v>0</v>
      </c>
      <c r="AH595" s="214">
        <v>0</v>
      </c>
      <c r="AI595" s="87">
        <v>665380</v>
      </c>
      <c r="AJ595" s="87">
        <v>0</v>
      </c>
      <c r="AK595" s="87">
        <v>665380</v>
      </c>
      <c r="AL595" s="87">
        <v>665380</v>
      </c>
      <c r="AM595" s="87">
        <v>5148000</v>
      </c>
      <c r="AN595" s="87">
        <v>665380</v>
      </c>
      <c r="AO595" s="87">
        <v>665380</v>
      </c>
      <c r="AP595" s="87">
        <v>665000</v>
      </c>
      <c r="AQ595" s="88">
        <v>0</v>
      </c>
      <c r="AR595" s="88">
        <v>0</v>
      </c>
      <c r="AS595" s="88">
        <v>0</v>
      </c>
      <c r="AT595" s="88">
        <v>0</v>
      </c>
      <c r="AU595" s="88">
        <v>0</v>
      </c>
      <c r="AV595" s="88">
        <v>0</v>
      </c>
      <c r="AW595" s="88">
        <v>0</v>
      </c>
      <c r="AX595" s="88">
        <v>0</v>
      </c>
      <c r="AY595" s="87">
        <v>0</v>
      </c>
      <c r="AZ595" s="87">
        <v>0</v>
      </c>
      <c r="BA595" s="87">
        <v>0</v>
      </c>
      <c r="BB595" s="87">
        <v>0</v>
      </c>
      <c r="BC595" s="87">
        <v>0</v>
      </c>
      <c r="BD595" s="87">
        <v>0</v>
      </c>
      <c r="BE595" s="87">
        <v>0</v>
      </c>
      <c r="BF595" s="87">
        <v>0</v>
      </c>
      <c r="BG595" s="88">
        <v>0</v>
      </c>
      <c r="BH595" s="88">
        <v>0</v>
      </c>
      <c r="BI595" s="88">
        <v>0</v>
      </c>
      <c r="BJ595" s="88">
        <v>0</v>
      </c>
      <c r="BK595" s="88">
        <v>0</v>
      </c>
      <c r="BL595" s="88">
        <v>0</v>
      </c>
      <c r="BM595" s="88">
        <v>0</v>
      </c>
      <c r="BN595" s="590">
        <v>0</v>
      </c>
      <c r="BO595" s="171">
        <v>2023</v>
      </c>
      <c r="BP595" s="171">
        <v>1</v>
      </c>
      <c r="BQ595" s="171">
        <v>19</v>
      </c>
      <c r="BS595" s="76" t="str">
        <f t="shared" si="18"/>
        <v>○</v>
      </c>
    </row>
    <row r="596" spans="1:71" x14ac:dyDescent="0.2">
      <c r="A596" s="210">
        <v>1806</v>
      </c>
      <c r="B596" s="211"/>
      <c r="C596" s="212"/>
      <c r="D596" s="211"/>
      <c r="E596" s="212"/>
      <c r="F596" s="211"/>
      <c r="G596" s="211"/>
      <c r="H596" s="212"/>
      <c r="I596" s="211"/>
      <c r="J596" s="211"/>
      <c r="K596" s="211"/>
      <c r="L596" s="171"/>
      <c r="M596" s="171" t="s">
        <v>888</v>
      </c>
      <c r="N596" s="171" t="s">
        <v>373</v>
      </c>
      <c r="O596" s="171" t="s">
        <v>889</v>
      </c>
      <c r="P596" s="171" t="s">
        <v>916</v>
      </c>
      <c r="Q596" s="171"/>
      <c r="R596" s="213">
        <v>885000</v>
      </c>
      <c r="S596" s="87">
        <v>0</v>
      </c>
      <c r="T596" s="87">
        <v>0</v>
      </c>
      <c r="U596" s="87">
        <v>0</v>
      </c>
      <c r="V596" s="87">
        <v>0</v>
      </c>
      <c r="W596" s="87">
        <v>0</v>
      </c>
      <c r="X596" s="87">
        <v>0</v>
      </c>
      <c r="Y596" s="87">
        <v>0</v>
      </c>
      <c r="Z596" s="87">
        <v>0</v>
      </c>
      <c r="AA596" s="214">
        <v>0</v>
      </c>
      <c r="AB596" s="214">
        <v>0</v>
      </c>
      <c r="AC596" s="214">
        <v>0</v>
      </c>
      <c r="AD596" s="214">
        <v>0</v>
      </c>
      <c r="AE596" s="214">
        <v>0</v>
      </c>
      <c r="AF596" s="214">
        <v>0</v>
      </c>
      <c r="AG596" s="214">
        <v>0</v>
      </c>
      <c r="AH596" s="214">
        <v>0</v>
      </c>
      <c r="AI596" s="87">
        <v>885935</v>
      </c>
      <c r="AJ596" s="87">
        <v>0</v>
      </c>
      <c r="AK596" s="87">
        <v>885935</v>
      </c>
      <c r="AL596" s="87">
        <v>885935</v>
      </c>
      <c r="AM596" s="87">
        <v>6879600</v>
      </c>
      <c r="AN596" s="87">
        <v>885935</v>
      </c>
      <c r="AO596" s="87">
        <v>885935</v>
      </c>
      <c r="AP596" s="87">
        <v>885000</v>
      </c>
      <c r="AQ596" s="88">
        <v>0</v>
      </c>
      <c r="AR596" s="88">
        <v>0</v>
      </c>
      <c r="AS596" s="88">
        <v>0</v>
      </c>
      <c r="AT596" s="88">
        <v>0</v>
      </c>
      <c r="AU596" s="88">
        <v>0</v>
      </c>
      <c r="AV596" s="88">
        <v>0</v>
      </c>
      <c r="AW596" s="88">
        <v>0</v>
      </c>
      <c r="AX596" s="88">
        <v>0</v>
      </c>
      <c r="AY596" s="87">
        <v>0</v>
      </c>
      <c r="AZ596" s="87">
        <v>0</v>
      </c>
      <c r="BA596" s="87">
        <v>0</v>
      </c>
      <c r="BB596" s="87">
        <v>0</v>
      </c>
      <c r="BC596" s="87">
        <v>0</v>
      </c>
      <c r="BD596" s="87">
        <v>0</v>
      </c>
      <c r="BE596" s="87">
        <v>0</v>
      </c>
      <c r="BF596" s="87">
        <v>0</v>
      </c>
      <c r="BG596" s="88">
        <v>0</v>
      </c>
      <c r="BH596" s="88">
        <v>0</v>
      </c>
      <c r="BI596" s="88">
        <v>0</v>
      </c>
      <c r="BJ596" s="88">
        <v>0</v>
      </c>
      <c r="BK596" s="88">
        <v>0</v>
      </c>
      <c r="BL596" s="88">
        <v>0</v>
      </c>
      <c r="BM596" s="88">
        <v>0</v>
      </c>
      <c r="BN596" s="590">
        <v>0</v>
      </c>
      <c r="BO596" s="171">
        <v>2023</v>
      </c>
      <c r="BP596" s="171">
        <v>1</v>
      </c>
      <c r="BQ596" s="171">
        <v>19</v>
      </c>
      <c r="BS596" s="76" t="str">
        <f t="shared" si="18"/>
        <v>○</v>
      </c>
    </row>
    <row r="597" spans="1:71" x14ac:dyDescent="0.2">
      <c r="A597" s="210">
        <v>1807</v>
      </c>
      <c r="B597" s="211"/>
      <c r="C597" s="212"/>
      <c r="D597" s="211"/>
      <c r="E597" s="212"/>
      <c r="F597" s="211"/>
      <c r="G597" s="211"/>
      <c r="H597" s="212"/>
      <c r="I597" s="211"/>
      <c r="J597" s="211"/>
      <c r="K597" s="211"/>
      <c r="L597" s="171"/>
      <c r="M597" s="171" t="s">
        <v>890</v>
      </c>
      <c r="N597" s="171" t="s">
        <v>269</v>
      </c>
      <c r="O597" s="171" t="s">
        <v>617</v>
      </c>
      <c r="P597" s="171" t="s">
        <v>916</v>
      </c>
      <c r="Q597" s="171"/>
      <c r="R597" s="213">
        <v>91000</v>
      </c>
      <c r="S597" s="87">
        <v>0</v>
      </c>
      <c r="T597" s="87">
        <v>0</v>
      </c>
      <c r="U597" s="87">
        <v>0</v>
      </c>
      <c r="V597" s="87">
        <v>0</v>
      </c>
      <c r="W597" s="87">
        <v>0</v>
      </c>
      <c r="X597" s="87">
        <v>0</v>
      </c>
      <c r="Y597" s="87">
        <v>0</v>
      </c>
      <c r="Z597" s="87">
        <v>0</v>
      </c>
      <c r="AA597" s="214">
        <v>0</v>
      </c>
      <c r="AB597" s="214">
        <v>0</v>
      </c>
      <c r="AC597" s="214">
        <v>0</v>
      </c>
      <c r="AD597" s="214">
        <v>0</v>
      </c>
      <c r="AE597" s="214">
        <v>0</v>
      </c>
      <c r="AF597" s="214">
        <v>0</v>
      </c>
      <c r="AG597" s="214">
        <v>0</v>
      </c>
      <c r="AH597" s="214">
        <v>0</v>
      </c>
      <c r="AI597" s="87">
        <v>91390</v>
      </c>
      <c r="AJ597" s="87">
        <v>0</v>
      </c>
      <c r="AK597" s="87">
        <v>91390</v>
      </c>
      <c r="AL597" s="87">
        <v>91390</v>
      </c>
      <c r="AM597" s="87">
        <v>1036800</v>
      </c>
      <c r="AN597" s="87">
        <v>91390</v>
      </c>
      <c r="AO597" s="87">
        <v>91390</v>
      </c>
      <c r="AP597" s="87">
        <v>91000</v>
      </c>
      <c r="AQ597" s="88">
        <v>0</v>
      </c>
      <c r="AR597" s="88">
        <v>0</v>
      </c>
      <c r="AS597" s="88">
        <v>0</v>
      </c>
      <c r="AT597" s="88">
        <v>0</v>
      </c>
      <c r="AU597" s="88">
        <v>0</v>
      </c>
      <c r="AV597" s="88">
        <v>0</v>
      </c>
      <c r="AW597" s="88">
        <v>0</v>
      </c>
      <c r="AX597" s="88">
        <v>0</v>
      </c>
      <c r="AY597" s="87">
        <v>0</v>
      </c>
      <c r="AZ597" s="87">
        <v>0</v>
      </c>
      <c r="BA597" s="87">
        <v>0</v>
      </c>
      <c r="BB597" s="87">
        <v>0</v>
      </c>
      <c r="BC597" s="87">
        <v>0</v>
      </c>
      <c r="BD597" s="87">
        <v>0</v>
      </c>
      <c r="BE597" s="87">
        <v>0</v>
      </c>
      <c r="BF597" s="87">
        <v>0</v>
      </c>
      <c r="BG597" s="88">
        <v>0</v>
      </c>
      <c r="BH597" s="88">
        <v>0</v>
      </c>
      <c r="BI597" s="88">
        <v>0</v>
      </c>
      <c r="BJ597" s="88">
        <v>0</v>
      </c>
      <c r="BK597" s="88">
        <v>0</v>
      </c>
      <c r="BL597" s="88">
        <v>0</v>
      </c>
      <c r="BM597" s="88">
        <v>0</v>
      </c>
      <c r="BN597" s="590">
        <v>0</v>
      </c>
      <c r="BO597" s="171">
        <v>2023</v>
      </c>
      <c r="BP597" s="171">
        <v>1</v>
      </c>
      <c r="BQ597" s="171">
        <v>19</v>
      </c>
      <c r="BS597" s="76" t="str">
        <f t="shared" ref="BS597:BS628" si="19">IF(R597=SUM(Z597,AH597,AP597,BF597,BN597),"○","×")</f>
        <v>○</v>
      </c>
    </row>
    <row r="598" spans="1:71" x14ac:dyDescent="0.2">
      <c r="A598" s="210">
        <v>1808</v>
      </c>
      <c r="B598" s="211"/>
      <c r="C598" s="212"/>
      <c r="D598" s="211"/>
      <c r="E598" s="212"/>
      <c r="F598" s="211"/>
      <c r="G598" s="211"/>
      <c r="H598" s="212"/>
      <c r="I598" s="211"/>
      <c r="J598" s="211"/>
      <c r="K598" s="211"/>
      <c r="L598" s="171"/>
      <c r="M598" s="171" t="s">
        <v>403</v>
      </c>
      <c r="N598" s="171" t="s">
        <v>302</v>
      </c>
      <c r="O598" s="171" t="s">
        <v>404</v>
      </c>
      <c r="P598" s="171" t="s">
        <v>916</v>
      </c>
      <c r="Q598" s="171"/>
      <c r="R598" s="213">
        <v>672000</v>
      </c>
      <c r="S598" s="87">
        <v>0</v>
      </c>
      <c r="T598" s="87">
        <v>0</v>
      </c>
      <c r="U598" s="87">
        <v>0</v>
      </c>
      <c r="V598" s="87">
        <v>0</v>
      </c>
      <c r="W598" s="87">
        <v>0</v>
      </c>
      <c r="X598" s="87">
        <v>0</v>
      </c>
      <c r="Y598" s="87">
        <v>0</v>
      </c>
      <c r="Z598" s="87">
        <v>0</v>
      </c>
      <c r="AA598" s="214">
        <v>0</v>
      </c>
      <c r="AB598" s="214">
        <v>0</v>
      </c>
      <c r="AC598" s="214">
        <v>0</v>
      </c>
      <c r="AD598" s="214">
        <v>0</v>
      </c>
      <c r="AE598" s="214">
        <v>0</v>
      </c>
      <c r="AF598" s="214">
        <v>0</v>
      </c>
      <c r="AG598" s="214">
        <v>0</v>
      </c>
      <c r="AH598" s="214">
        <v>0</v>
      </c>
      <c r="AI598" s="87">
        <v>672172</v>
      </c>
      <c r="AJ598" s="87">
        <v>0</v>
      </c>
      <c r="AK598" s="87">
        <v>672172</v>
      </c>
      <c r="AL598" s="87">
        <v>672172</v>
      </c>
      <c r="AM598" s="87">
        <v>1814400</v>
      </c>
      <c r="AN598" s="87">
        <v>672172</v>
      </c>
      <c r="AO598" s="87">
        <v>672172</v>
      </c>
      <c r="AP598" s="87">
        <v>672000</v>
      </c>
      <c r="AQ598" s="88">
        <v>0</v>
      </c>
      <c r="AR598" s="88">
        <v>0</v>
      </c>
      <c r="AS598" s="88">
        <v>0</v>
      </c>
      <c r="AT598" s="88">
        <v>0</v>
      </c>
      <c r="AU598" s="88">
        <v>0</v>
      </c>
      <c r="AV598" s="88">
        <v>0</v>
      </c>
      <c r="AW598" s="88">
        <v>0</v>
      </c>
      <c r="AX598" s="88">
        <v>0</v>
      </c>
      <c r="AY598" s="87">
        <v>0</v>
      </c>
      <c r="AZ598" s="87">
        <v>0</v>
      </c>
      <c r="BA598" s="87">
        <v>0</v>
      </c>
      <c r="BB598" s="87">
        <v>0</v>
      </c>
      <c r="BC598" s="87">
        <v>0</v>
      </c>
      <c r="BD598" s="87">
        <v>0</v>
      </c>
      <c r="BE598" s="87">
        <v>0</v>
      </c>
      <c r="BF598" s="87">
        <v>0</v>
      </c>
      <c r="BG598" s="88">
        <v>0</v>
      </c>
      <c r="BH598" s="88">
        <v>0</v>
      </c>
      <c r="BI598" s="88">
        <v>0</v>
      </c>
      <c r="BJ598" s="88">
        <v>0</v>
      </c>
      <c r="BK598" s="88">
        <v>0</v>
      </c>
      <c r="BL598" s="88">
        <v>0</v>
      </c>
      <c r="BM598" s="88">
        <v>0</v>
      </c>
      <c r="BN598" s="590">
        <v>0</v>
      </c>
      <c r="BO598" s="171">
        <v>2023</v>
      </c>
      <c r="BP598" s="171">
        <v>1</v>
      </c>
      <c r="BQ598" s="171">
        <v>19</v>
      </c>
      <c r="BS598" s="76" t="str">
        <f t="shared" si="19"/>
        <v>○</v>
      </c>
    </row>
    <row r="599" spans="1:71" x14ac:dyDescent="0.2">
      <c r="A599" s="210">
        <v>1809</v>
      </c>
      <c r="B599" s="211"/>
      <c r="C599" s="212"/>
      <c r="D599" s="211"/>
      <c r="E599" s="212"/>
      <c r="F599" s="211"/>
      <c r="G599" s="211"/>
      <c r="H599" s="212"/>
      <c r="I599" s="211"/>
      <c r="J599" s="211"/>
      <c r="K599" s="211"/>
      <c r="L599" s="171"/>
      <c r="M599" s="171" t="s">
        <v>583</v>
      </c>
      <c r="N599" s="171" t="s">
        <v>299</v>
      </c>
      <c r="O599" s="171" t="s">
        <v>584</v>
      </c>
      <c r="P599" s="171" t="s">
        <v>916</v>
      </c>
      <c r="Q599" s="171"/>
      <c r="R599" s="213">
        <v>233000</v>
      </c>
      <c r="S599" s="87">
        <v>0</v>
      </c>
      <c r="T599" s="87">
        <v>0</v>
      </c>
      <c r="U599" s="87">
        <v>0</v>
      </c>
      <c r="V599" s="87">
        <v>0</v>
      </c>
      <c r="W599" s="87">
        <v>0</v>
      </c>
      <c r="X599" s="87">
        <v>0</v>
      </c>
      <c r="Y599" s="87">
        <v>0</v>
      </c>
      <c r="Z599" s="87">
        <v>0</v>
      </c>
      <c r="AA599" s="214">
        <v>0</v>
      </c>
      <c r="AB599" s="214">
        <v>0</v>
      </c>
      <c r="AC599" s="214">
        <v>0</v>
      </c>
      <c r="AD599" s="214">
        <v>0</v>
      </c>
      <c r="AE599" s="214">
        <v>0</v>
      </c>
      <c r="AF599" s="214">
        <v>0</v>
      </c>
      <c r="AG599" s="214">
        <v>0</v>
      </c>
      <c r="AH599" s="214">
        <v>0</v>
      </c>
      <c r="AI599" s="87">
        <v>233200</v>
      </c>
      <c r="AJ599" s="87">
        <v>0</v>
      </c>
      <c r="AK599" s="87">
        <v>233200</v>
      </c>
      <c r="AL599" s="87">
        <v>233200</v>
      </c>
      <c r="AM599" s="87">
        <v>1771200</v>
      </c>
      <c r="AN599" s="87">
        <v>233200</v>
      </c>
      <c r="AO599" s="87">
        <v>233200</v>
      </c>
      <c r="AP599" s="87">
        <v>233000</v>
      </c>
      <c r="AQ599" s="88">
        <v>0</v>
      </c>
      <c r="AR599" s="88">
        <v>0</v>
      </c>
      <c r="AS599" s="88">
        <v>0</v>
      </c>
      <c r="AT599" s="88">
        <v>0</v>
      </c>
      <c r="AU599" s="88">
        <v>0</v>
      </c>
      <c r="AV599" s="88">
        <v>0</v>
      </c>
      <c r="AW599" s="88">
        <v>0</v>
      </c>
      <c r="AX599" s="88">
        <v>0</v>
      </c>
      <c r="AY599" s="87">
        <v>0</v>
      </c>
      <c r="AZ599" s="87">
        <v>0</v>
      </c>
      <c r="BA599" s="87">
        <v>0</v>
      </c>
      <c r="BB599" s="87">
        <v>0</v>
      </c>
      <c r="BC599" s="87">
        <v>0</v>
      </c>
      <c r="BD599" s="87">
        <v>0</v>
      </c>
      <c r="BE599" s="87">
        <v>0</v>
      </c>
      <c r="BF599" s="87">
        <v>0</v>
      </c>
      <c r="BG599" s="88">
        <v>0</v>
      </c>
      <c r="BH599" s="88">
        <v>0</v>
      </c>
      <c r="BI599" s="88">
        <v>0</v>
      </c>
      <c r="BJ599" s="88">
        <v>0</v>
      </c>
      <c r="BK599" s="88">
        <v>0</v>
      </c>
      <c r="BL599" s="88">
        <v>0</v>
      </c>
      <c r="BM599" s="88">
        <v>0</v>
      </c>
      <c r="BN599" s="590">
        <v>0</v>
      </c>
      <c r="BO599" s="171">
        <v>2023</v>
      </c>
      <c r="BP599" s="171">
        <v>1</v>
      </c>
      <c r="BQ599" s="171">
        <v>19</v>
      </c>
      <c r="BS599" s="76" t="str">
        <f t="shared" si="19"/>
        <v>○</v>
      </c>
    </row>
    <row r="600" spans="1:71" x14ac:dyDescent="0.2">
      <c r="A600" s="210">
        <v>1810</v>
      </c>
      <c r="B600" s="211"/>
      <c r="C600" s="212"/>
      <c r="D600" s="211"/>
      <c r="E600" s="212"/>
      <c r="F600" s="211"/>
      <c r="G600" s="211"/>
      <c r="H600" s="212"/>
      <c r="I600" s="211"/>
      <c r="J600" s="211"/>
      <c r="K600" s="211"/>
      <c r="L600" s="171"/>
      <c r="M600" s="171" t="s">
        <v>891</v>
      </c>
      <c r="N600" s="171" t="s">
        <v>278</v>
      </c>
      <c r="O600" s="171" t="s">
        <v>892</v>
      </c>
      <c r="P600" s="171" t="s">
        <v>916</v>
      </c>
      <c r="Q600" s="171"/>
      <c r="R600" s="213">
        <v>275000</v>
      </c>
      <c r="S600" s="87">
        <v>0</v>
      </c>
      <c r="T600" s="87">
        <v>0</v>
      </c>
      <c r="U600" s="87">
        <v>0</v>
      </c>
      <c r="V600" s="87">
        <v>0</v>
      </c>
      <c r="W600" s="87">
        <v>0</v>
      </c>
      <c r="X600" s="87">
        <v>0</v>
      </c>
      <c r="Y600" s="87">
        <v>0</v>
      </c>
      <c r="Z600" s="87">
        <v>0</v>
      </c>
      <c r="AA600" s="214">
        <v>0</v>
      </c>
      <c r="AB600" s="214">
        <v>0</v>
      </c>
      <c r="AC600" s="214">
        <v>0</v>
      </c>
      <c r="AD600" s="214">
        <v>0</v>
      </c>
      <c r="AE600" s="214">
        <v>0</v>
      </c>
      <c r="AF600" s="214">
        <v>0</v>
      </c>
      <c r="AG600" s="214">
        <v>0</v>
      </c>
      <c r="AH600" s="214">
        <v>0</v>
      </c>
      <c r="AI600" s="87">
        <v>275358</v>
      </c>
      <c r="AJ600" s="87">
        <v>0</v>
      </c>
      <c r="AK600" s="87">
        <v>275358</v>
      </c>
      <c r="AL600" s="87">
        <v>275358</v>
      </c>
      <c r="AM600" s="87">
        <v>2116800</v>
      </c>
      <c r="AN600" s="87">
        <v>275358</v>
      </c>
      <c r="AO600" s="87">
        <v>275358</v>
      </c>
      <c r="AP600" s="87">
        <v>275000</v>
      </c>
      <c r="AQ600" s="88">
        <v>0</v>
      </c>
      <c r="AR600" s="88">
        <v>0</v>
      </c>
      <c r="AS600" s="88">
        <v>0</v>
      </c>
      <c r="AT600" s="88">
        <v>0</v>
      </c>
      <c r="AU600" s="88">
        <v>0</v>
      </c>
      <c r="AV600" s="88">
        <v>0</v>
      </c>
      <c r="AW600" s="88">
        <v>0</v>
      </c>
      <c r="AX600" s="88">
        <v>0</v>
      </c>
      <c r="AY600" s="87">
        <v>0</v>
      </c>
      <c r="AZ600" s="87">
        <v>0</v>
      </c>
      <c r="BA600" s="87">
        <v>0</v>
      </c>
      <c r="BB600" s="87">
        <v>0</v>
      </c>
      <c r="BC600" s="87">
        <v>0</v>
      </c>
      <c r="BD600" s="87">
        <v>0</v>
      </c>
      <c r="BE600" s="87">
        <v>0</v>
      </c>
      <c r="BF600" s="87">
        <v>0</v>
      </c>
      <c r="BG600" s="88">
        <v>0</v>
      </c>
      <c r="BH600" s="88">
        <v>0</v>
      </c>
      <c r="BI600" s="88">
        <v>0</v>
      </c>
      <c r="BJ600" s="88">
        <v>0</v>
      </c>
      <c r="BK600" s="88">
        <v>0</v>
      </c>
      <c r="BL600" s="88">
        <v>0</v>
      </c>
      <c r="BM600" s="88">
        <v>0</v>
      </c>
      <c r="BN600" s="590">
        <v>0</v>
      </c>
      <c r="BO600" s="171">
        <v>2023</v>
      </c>
      <c r="BP600" s="171">
        <v>1</v>
      </c>
      <c r="BQ600" s="171">
        <v>19</v>
      </c>
      <c r="BS600" s="76" t="str">
        <f t="shared" si="19"/>
        <v>○</v>
      </c>
    </row>
    <row r="601" spans="1:71" x14ac:dyDescent="0.2">
      <c r="A601" s="210">
        <v>1812</v>
      </c>
      <c r="B601" s="211"/>
      <c r="C601" s="212"/>
      <c r="D601" s="211"/>
      <c r="E601" s="212"/>
      <c r="F601" s="211"/>
      <c r="G601" s="211"/>
      <c r="H601" s="212"/>
      <c r="I601" s="211"/>
      <c r="J601" s="211"/>
      <c r="K601" s="211"/>
      <c r="L601" s="171"/>
      <c r="M601" s="171" t="s">
        <v>893</v>
      </c>
      <c r="N601" s="171" t="s">
        <v>393</v>
      </c>
      <c r="O601" s="171" t="s">
        <v>630</v>
      </c>
      <c r="P601" s="171" t="s">
        <v>916</v>
      </c>
      <c r="Q601" s="171"/>
      <c r="R601" s="213">
        <v>446000</v>
      </c>
      <c r="S601" s="87">
        <v>0</v>
      </c>
      <c r="T601" s="87">
        <v>0</v>
      </c>
      <c r="U601" s="87">
        <v>0</v>
      </c>
      <c r="V601" s="87">
        <v>0</v>
      </c>
      <c r="W601" s="87">
        <v>0</v>
      </c>
      <c r="X601" s="87">
        <v>0</v>
      </c>
      <c r="Y601" s="87">
        <v>0</v>
      </c>
      <c r="Z601" s="87">
        <v>0</v>
      </c>
      <c r="AA601" s="214">
        <v>0</v>
      </c>
      <c r="AB601" s="214">
        <v>0</v>
      </c>
      <c r="AC601" s="214">
        <v>0</v>
      </c>
      <c r="AD601" s="214">
        <v>0</v>
      </c>
      <c r="AE601" s="214">
        <v>0</v>
      </c>
      <c r="AF601" s="214">
        <v>0</v>
      </c>
      <c r="AG601" s="214">
        <v>0</v>
      </c>
      <c r="AH601" s="214">
        <v>0</v>
      </c>
      <c r="AI601" s="87">
        <v>446538</v>
      </c>
      <c r="AJ601" s="87">
        <v>0</v>
      </c>
      <c r="AK601" s="87">
        <v>446538</v>
      </c>
      <c r="AL601" s="87">
        <v>446538</v>
      </c>
      <c r="AM601" s="87">
        <v>1252800</v>
      </c>
      <c r="AN601" s="87">
        <v>446538</v>
      </c>
      <c r="AO601" s="87">
        <v>446538</v>
      </c>
      <c r="AP601" s="87">
        <v>446000</v>
      </c>
      <c r="AQ601" s="88">
        <v>0</v>
      </c>
      <c r="AR601" s="88">
        <v>0</v>
      </c>
      <c r="AS601" s="88">
        <v>0</v>
      </c>
      <c r="AT601" s="88">
        <v>0</v>
      </c>
      <c r="AU601" s="88">
        <v>0</v>
      </c>
      <c r="AV601" s="88">
        <v>0</v>
      </c>
      <c r="AW601" s="88">
        <v>0</v>
      </c>
      <c r="AX601" s="88">
        <v>0</v>
      </c>
      <c r="AY601" s="87">
        <v>0</v>
      </c>
      <c r="AZ601" s="87">
        <v>0</v>
      </c>
      <c r="BA601" s="87">
        <v>0</v>
      </c>
      <c r="BB601" s="87">
        <v>0</v>
      </c>
      <c r="BC601" s="87">
        <v>0</v>
      </c>
      <c r="BD601" s="87">
        <v>0</v>
      </c>
      <c r="BE601" s="87">
        <v>0</v>
      </c>
      <c r="BF601" s="87">
        <v>0</v>
      </c>
      <c r="BG601" s="88">
        <v>0</v>
      </c>
      <c r="BH601" s="88">
        <v>0</v>
      </c>
      <c r="BI601" s="88">
        <v>0</v>
      </c>
      <c r="BJ601" s="88">
        <v>0</v>
      </c>
      <c r="BK601" s="88">
        <v>0</v>
      </c>
      <c r="BL601" s="88">
        <v>0</v>
      </c>
      <c r="BM601" s="88">
        <v>0</v>
      </c>
      <c r="BN601" s="590">
        <v>0</v>
      </c>
      <c r="BO601" s="171">
        <v>2023</v>
      </c>
      <c r="BP601" s="171">
        <v>1</v>
      </c>
      <c r="BQ601" s="171">
        <v>19</v>
      </c>
      <c r="BS601" s="76" t="str">
        <f t="shared" si="19"/>
        <v>○</v>
      </c>
    </row>
    <row r="602" spans="1:71" x14ac:dyDescent="0.2">
      <c r="A602" s="210">
        <v>1813</v>
      </c>
      <c r="B602" s="211"/>
      <c r="C602" s="212"/>
      <c r="D602" s="211"/>
      <c r="E602" s="212"/>
      <c r="F602" s="211"/>
      <c r="G602" s="211"/>
      <c r="H602" s="212"/>
      <c r="I602" s="211"/>
      <c r="J602" s="211"/>
      <c r="K602" s="211"/>
      <c r="L602" s="171"/>
      <c r="M602" s="171" t="s">
        <v>690</v>
      </c>
      <c r="N602" s="171" t="s">
        <v>275</v>
      </c>
      <c r="O602" s="171" t="s">
        <v>691</v>
      </c>
      <c r="P602" s="171" t="s">
        <v>916</v>
      </c>
      <c r="Q602" s="171"/>
      <c r="R602" s="213">
        <v>107000</v>
      </c>
      <c r="S602" s="87">
        <v>0</v>
      </c>
      <c r="T602" s="87">
        <v>0</v>
      </c>
      <c r="U602" s="87">
        <v>0</v>
      </c>
      <c r="V602" s="87">
        <v>0</v>
      </c>
      <c r="W602" s="87">
        <v>0</v>
      </c>
      <c r="X602" s="87">
        <v>0</v>
      </c>
      <c r="Y602" s="87">
        <v>0</v>
      </c>
      <c r="Z602" s="87">
        <v>0</v>
      </c>
      <c r="AA602" s="214">
        <v>0</v>
      </c>
      <c r="AB602" s="214">
        <v>0</v>
      </c>
      <c r="AC602" s="214">
        <v>0</v>
      </c>
      <c r="AD602" s="214">
        <v>0</v>
      </c>
      <c r="AE602" s="214">
        <v>0</v>
      </c>
      <c r="AF602" s="214">
        <v>0</v>
      </c>
      <c r="AG602" s="214">
        <v>0</v>
      </c>
      <c r="AH602" s="214">
        <v>0</v>
      </c>
      <c r="AI602" s="87">
        <v>107320</v>
      </c>
      <c r="AJ602" s="87">
        <v>0</v>
      </c>
      <c r="AK602" s="87">
        <v>107320</v>
      </c>
      <c r="AL602" s="87">
        <v>107320</v>
      </c>
      <c r="AM602" s="87">
        <v>2502000</v>
      </c>
      <c r="AN602" s="87">
        <v>107320</v>
      </c>
      <c r="AO602" s="87">
        <v>107320</v>
      </c>
      <c r="AP602" s="87">
        <v>107000</v>
      </c>
      <c r="AQ602" s="88">
        <v>0</v>
      </c>
      <c r="AR602" s="88">
        <v>0</v>
      </c>
      <c r="AS602" s="88">
        <v>0</v>
      </c>
      <c r="AT602" s="88">
        <v>0</v>
      </c>
      <c r="AU602" s="88">
        <v>0</v>
      </c>
      <c r="AV602" s="88">
        <v>0</v>
      </c>
      <c r="AW602" s="88">
        <v>0</v>
      </c>
      <c r="AX602" s="88">
        <v>0</v>
      </c>
      <c r="AY602" s="87">
        <v>0</v>
      </c>
      <c r="AZ602" s="87">
        <v>0</v>
      </c>
      <c r="BA602" s="87">
        <v>0</v>
      </c>
      <c r="BB602" s="87">
        <v>0</v>
      </c>
      <c r="BC602" s="87">
        <v>0</v>
      </c>
      <c r="BD602" s="87">
        <v>0</v>
      </c>
      <c r="BE602" s="87">
        <v>0</v>
      </c>
      <c r="BF602" s="87">
        <v>0</v>
      </c>
      <c r="BG602" s="88">
        <v>0</v>
      </c>
      <c r="BH602" s="88">
        <v>0</v>
      </c>
      <c r="BI602" s="88">
        <v>0</v>
      </c>
      <c r="BJ602" s="88">
        <v>0</v>
      </c>
      <c r="BK602" s="88">
        <v>0</v>
      </c>
      <c r="BL602" s="88">
        <v>0</v>
      </c>
      <c r="BM602" s="88">
        <v>0</v>
      </c>
      <c r="BN602" s="590">
        <v>0</v>
      </c>
      <c r="BO602" s="171">
        <v>2023</v>
      </c>
      <c r="BP602" s="171">
        <v>1</v>
      </c>
      <c r="BQ602" s="171">
        <v>19</v>
      </c>
      <c r="BS602" s="76" t="str">
        <f t="shared" si="19"/>
        <v>○</v>
      </c>
    </row>
    <row r="603" spans="1:71" x14ac:dyDescent="0.2">
      <c r="A603" s="210">
        <v>1814</v>
      </c>
      <c r="B603" s="211"/>
      <c r="C603" s="212"/>
      <c r="D603" s="211"/>
      <c r="E603" s="212"/>
      <c r="F603" s="211"/>
      <c r="G603" s="211"/>
      <c r="H603" s="212"/>
      <c r="I603" s="211"/>
      <c r="J603" s="211"/>
      <c r="K603" s="211"/>
      <c r="L603" s="171"/>
      <c r="M603" s="171" t="s">
        <v>449</v>
      </c>
      <c r="N603" s="171" t="s">
        <v>275</v>
      </c>
      <c r="O603" s="171" t="s">
        <v>450</v>
      </c>
      <c r="P603" s="171" t="s">
        <v>916</v>
      </c>
      <c r="Q603" s="75"/>
      <c r="R603" s="213">
        <v>176000</v>
      </c>
      <c r="S603" s="87">
        <v>0</v>
      </c>
      <c r="T603" s="87">
        <v>0</v>
      </c>
      <c r="U603" s="87">
        <v>0</v>
      </c>
      <c r="V603" s="87">
        <v>0</v>
      </c>
      <c r="W603" s="87">
        <v>0</v>
      </c>
      <c r="X603" s="87">
        <v>0</v>
      </c>
      <c r="Y603" s="87">
        <v>0</v>
      </c>
      <c r="Z603" s="87">
        <v>0</v>
      </c>
      <c r="AA603" s="214">
        <v>0</v>
      </c>
      <c r="AB603" s="214">
        <v>0</v>
      </c>
      <c r="AC603" s="214">
        <v>0</v>
      </c>
      <c r="AD603" s="214">
        <v>0</v>
      </c>
      <c r="AE603" s="214">
        <v>0</v>
      </c>
      <c r="AF603" s="214">
        <v>0</v>
      </c>
      <c r="AG603" s="214">
        <v>0</v>
      </c>
      <c r="AH603" s="214">
        <v>0</v>
      </c>
      <c r="AI603" s="87">
        <v>176740</v>
      </c>
      <c r="AJ603" s="87">
        <v>0</v>
      </c>
      <c r="AK603" s="87">
        <v>176740</v>
      </c>
      <c r="AL603" s="87">
        <v>176740</v>
      </c>
      <c r="AM603" s="87">
        <v>3049200</v>
      </c>
      <c r="AN603" s="87">
        <v>176740</v>
      </c>
      <c r="AO603" s="87">
        <v>176740</v>
      </c>
      <c r="AP603" s="87">
        <v>176000</v>
      </c>
      <c r="AQ603" s="88">
        <v>0</v>
      </c>
      <c r="AR603" s="88">
        <v>0</v>
      </c>
      <c r="AS603" s="88">
        <v>0</v>
      </c>
      <c r="AT603" s="88">
        <v>0</v>
      </c>
      <c r="AU603" s="88">
        <v>0</v>
      </c>
      <c r="AV603" s="88">
        <v>0</v>
      </c>
      <c r="AW603" s="88">
        <v>0</v>
      </c>
      <c r="AX603" s="88">
        <v>0</v>
      </c>
      <c r="AY603" s="87">
        <v>0</v>
      </c>
      <c r="AZ603" s="87">
        <v>0</v>
      </c>
      <c r="BA603" s="87">
        <v>0</v>
      </c>
      <c r="BB603" s="87">
        <v>0</v>
      </c>
      <c r="BC603" s="87">
        <v>0</v>
      </c>
      <c r="BD603" s="87">
        <v>0</v>
      </c>
      <c r="BE603" s="87">
        <v>0</v>
      </c>
      <c r="BF603" s="87">
        <v>0</v>
      </c>
      <c r="BG603" s="88">
        <v>0</v>
      </c>
      <c r="BH603" s="88">
        <v>0</v>
      </c>
      <c r="BI603" s="88">
        <v>0</v>
      </c>
      <c r="BJ603" s="88">
        <v>0</v>
      </c>
      <c r="BK603" s="88">
        <v>0</v>
      </c>
      <c r="BL603" s="88">
        <v>0</v>
      </c>
      <c r="BM603" s="88">
        <v>0</v>
      </c>
      <c r="BN603" s="590">
        <v>0</v>
      </c>
      <c r="BO603" s="171">
        <v>2023</v>
      </c>
      <c r="BP603" s="171">
        <v>1</v>
      </c>
      <c r="BQ603" s="171">
        <v>19</v>
      </c>
      <c r="BS603" s="76" t="str">
        <f t="shared" si="19"/>
        <v>○</v>
      </c>
    </row>
    <row r="604" spans="1:71" x14ac:dyDescent="0.2">
      <c r="A604" s="210">
        <v>1815</v>
      </c>
      <c r="B604" s="211"/>
      <c r="C604" s="212"/>
      <c r="D604" s="211"/>
      <c r="E604" s="212"/>
      <c r="F604" s="211"/>
      <c r="G604" s="211"/>
      <c r="H604" s="212"/>
      <c r="I604" s="211"/>
      <c r="J604" s="211"/>
      <c r="K604" s="211"/>
      <c r="L604" s="171"/>
      <c r="M604" s="171" t="s">
        <v>894</v>
      </c>
      <c r="N604" s="171" t="s">
        <v>299</v>
      </c>
      <c r="O604" s="171" t="s">
        <v>337</v>
      </c>
      <c r="P604" s="171" t="s">
        <v>916</v>
      </c>
      <c r="Q604" s="75"/>
      <c r="R604" s="213">
        <v>117000</v>
      </c>
      <c r="S604" s="87">
        <v>0</v>
      </c>
      <c r="T604" s="87">
        <v>0</v>
      </c>
      <c r="U604" s="87">
        <v>0</v>
      </c>
      <c r="V604" s="87">
        <v>0</v>
      </c>
      <c r="W604" s="87">
        <v>0</v>
      </c>
      <c r="X604" s="87">
        <v>0</v>
      </c>
      <c r="Y604" s="87">
        <v>0</v>
      </c>
      <c r="Z604" s="87">
        <v>0</v>
      </c>
      <c r="AA604" s="214">
        <v>0</v>
      </c>
      <c r="AB604" s="214">
        <v>0</v>
      </c>
      <c r="AC604" s="214">
        <v>0</v>
      </c>
      <c r="AD604" s="214">
        <v>0</v>
      </c>
      <c r="AE604" s="214">
        <v>0</v>
      </c>
      <c r="AF604" s="214">
        <v>0</v>
      </c>
      <c r="AG604" s="214">
        <v>0</v>
      </c>
      <c r="AH604" s="214">
        <v>0</v>
      </c>
      <c r="AI604" s="87">
        <v>117190</v>
      </c>
      <c r="AJ604" s="87">
        <v>0</v>
      </c>
      <c r="AK604" s="87">
        <v>117190</v>
      </c>
      <c r="AL604" s="87">
        <v>117190</v>
      </c>
      <c r="AM604" s="87">
        <v>4320000</v>
      </c>
      <c r="AN604" s="87">
        <v>117190</v>
      </c>
      <c r="AO604" s="87">
        <v>117190</v>
      </c>
      <c r="AP604" s="87">
        <v>117000</v>
      </c>
      <c r="AQ604" s="88">
        <v>0</v>
      </c>
      <c r="AR604" s="88">
        <v>0</v>
      </c>
      <c r="AS604" s="88">
        <v>0</v>
      </c>
      <c r="AT604" s="88">
        <v>0</v>
      </c>
      <c r="AU604" s="88">
        <v>0</v>
      </c>
      <c r="AV604" s="88">
        <v>0</v>
      </c>
      <c r="AW604" s="88">
        <v>0</v>
      </c>
      <c r="AX604" s="88">
        <v>0</v>
      </c>
      <c r="AY604" s="87">
        <v>0</v>
      </c>
      <c r="AZ604" s="87">
        <v>0</v>
      </c>
      <c r="BA604" s="87">
        <v>0</v>
      </c>
      <c r="BB604" s="87">
        <v>0</v>
      </c>
      <c r="BC604" s="87">
        <v>0</v>
      </c>
      <c r="BD604" s="87">
        <v>0</v>
      </c>
      <c r="BE604" s="87">
        <v>0</v>
      </c>
      <c r="BF604" s="87">
        <v>0</v>
      </c>
      <c r="BG604" s="88">
        <v>0</v>
      </c>
      <c r="BH604" s="88">
        <v>0</v>
      </c>
      <c r="BI604" s="88">
        <v>0</v>
      </c>
      <c r="BJ604" s="88">
        <v>0</v>
      </c>
      <c r="BK604" s="88">
        <v>0</v>
      </c>
      <c r="BL604" s="88">
        <v>0</v>
      </c>
      <c r="BM604" s="88">
        <v>0</v>
      </c>
      <c r="BN604" s="590">
        <v>0</v>
      </c>
      <c r="BO604" s="171">
        <v>2023</v>
      </c>
      <c r="BP604" s="171">
        <v>1</v>
      </c>
      <c r="BQ604" s="171">
        <v>19</v>
      </c>
      <c r="BS604" s="76" t="str">
        <f t="shared" si="19"/>
        <v>○</v>
      </c>
    </row>
    <row r="605" spans="1:71" x14ac:dyDescent="0.2">
      <c r="A605" s="210">
        <v>1816</v>
      </c>
      <c r="B605" s="211"/>
      <c r="C605" s="212"/>
      <c r="D605" s="211"/>
      <c r="E605" s="212"/>
      <c r="F605" s="211"/>
      <c r="G605" s="211"/>
      <c r="H605" s="212"/>
      <c r="I605" s="211"/>
      <c r="J605" s="211"/>
      <c r="K605" s="211"/>
      <c r="L605" s="171"/>
      <c r="M605" s="171" t="s">
        <v>895</v>
      </c>
      <c r="N605" s="171" t="s">
        <v>272</v>
      </c>
      <c r="O605" s="171" t="s">
        <v>596</v>
      </c>
      <c r="P605" s="171" t="s">
        <v>916</v>
      </c>
      <c r="Q605" s="171"/>
      <c r="R605" s="213">
        <v>230000</v>
      </c>
      <c r="S605" s="87">
        <v>0</v>
      </c>
      <c r="T605" s="87">
        <v>0</v>
      </c>
      <c r="U605" s="87">
        <v>0</v>
      </c>
      <c r="V605" s="87">
        <v>0</v>
      </c>
      <c r="W605" s="87">
        <v>0</v>
      </c>
      <c r="X605" s="87">
        <v>0</v>
      </c>
      <c r="Y605" s="87">
        <v>0</v>
      </c>
      <c r="Z605" s="87">
        <v>0</v>
      </c>
      <c r="AA605" s="214">
        <v>0</v>
      </c>
      <c r="AB605" s="214">
        <v>0</v>
      </c>
      <c r="AC605" s="214">
        <v>0</v>
      </c>
      <c r="AD605" s="214">
        <v>0</v>
      </c>
      <c r="AE605" s="214">
        <v>0</v>
      </c>
      <c r="AF605" s="214">
        <v>0</v>
      </c>
      <c r="AG605" s="214">
        <v>0</v>
      </c>
      <c r="AH605" s="214">
        <v>0</v>
      </c>
      <c r="AI605" s="87">
        <v>230654</v>
      </c>
      <c r="AJ605" s="87">
        <v>0</v>
      </c>
      <c r="AK605" s="87">
        <v>230654</v>
      </c>
      <c r="AL605" s="87">
        <v>230654</v>
      </c>
      <c r="AM605" s="87">
        <v>1533600</v>
      </c>
      <c r="AN605" s="87">
        <v>230654</v>
      </c>
      <c r="AO605" s="87">
        <v>230654</v>
      </c>
      <c r="AP605" s="87">
        <v>230000</v>
      </c>
      <c r="AQ605" s="88">
        <v>0</v>
      </c>
      <c r="AR605" s="88">
        <v>0</v>
      </c>
      <c r="AS605" s="88">
        <v>0</v>
      </c>
      <c r="AT605" s="88">
        <v>0</v>
      </c>
      <c r="AU605" s="88">
        <v>0</v>
      </c>
      <c r="AV605" s="88">
        <v>0</v>
      </c>
      <c r="AW605" s="88">
        <v>0</v>
      </c>
      <c r="AX605" s="88">
        <v>0</v>
      </c>
      <c r="AY605" s="87">
        <v>0</v>
      </c>
      <c r="AZ605" s="87">
        <v>0</v>
      </c>
      <c r="BA605" s="87">
        <v>0</v>
      </c>
      <c r="BB605" s="87">
        <v>0</v>
      </c>
      <c r="BC605" s="87">
        <v>0</v>
      </c>
      <c r="BD605" s="87">
        <v>0</v>
      </c>
      <c r="BE605" s="87">
        <v>0</v>
      </c>
      <c r="BF605" s="87">
        <v>0</v>
      </c>
      <c r="BG605" s="88">
        <v>0</v>
      </c>
      <c r="BH605" s="88">
        <v>0</v>
      </c>
      <c r="BI605" s="88">
        <v>0</v>
      </c>
      <c r="BJ605" s="88">
        <v>0</v>
      </c>
      <c r="BK605" s="88">
        <v>0</v>
      </c>
      <c r="BL605" s="88">
        <v>0</v>
      </c>
      <c r="BM605" s="88">
        <v>0</v>
      </c>
      <c r="BN605" s="590">
        <v>0</v>
      </c>
      <c r="BO605" s="171">
        <v>2023</v>
      </c>
      <c r="BP605" s="171">
        <v>3</v>
      </c>
      <c r="BQ605" s="171">
        <v>9</v>
      </c>
      <c r="BS605" s="76" t="str">
        <f t="shared" si="19"/>
        <v>○</v>
      </c>
    </row>
    <row r="606" spans="1:71" x14ac:dyDescent="0.2">
      <c r="A606" s="210">
        <v>1817</v>
      </c>
      <c r="B606" s="211"/>
      <c r="C606" s="212"/>
      <c r="D606" s="211"/>
      <c r="E606" s="212"/>
      <c r="F606" s="211"/>
      <c r="G606" s="211"/>
      <c r="H606" s="212"/>
      <c r="I606" s="211"/>
      <c r="J606" s="211"/>
      <c r="K606" s="211"/>
      <c r="L606" s="171"/>
      <c r="M606" s="171" t="s">
        <v>896</v>
      </c>
      <c r="N606" s="171" t="s">
        <v>302</v>
      </c>
      <c r="O606" s="171" t="s">
        <v>897</v>
      </c>
      <c r="P606" s="171" t="s">
        <v>916</v>
      </c>
      <c r="Q606" s="171"/>
      <c r="R606" s="213">
        <v>153000</v>
      </c>
      <c r="S606" s="87">
        <v>0</v>
      </c>
      <c r="T606" s="87">
        <v>0</v>
      </c>
      <c r="U606" s="87">
        <v>0</v>
      </c>
      <c r="V606" s="87">
        <v>0</v>
      </c>
      <c r="W606" s="87">
        <v>0</v>
      </c>
      <c r="X606" s="87">
        <v>0</v>
      </c>
      <c r="Y606" s="87">
        <v>0</v>
      </c>
      <c r="Z606" s="87">
        <v>0</v>
      </c>
      <c r="AA606" s="214">
        <v>0</v>
      </c>
      <c r="AB606" s="214">
        <v>0</v>
      </c>
      <c r="AC606" s="214">
        <v>0</v>
      </c>
      <c r="AD606" s="214">
        <v>0</v>
      </c>
      <c r="AE606" s="214">
        <v>0</v>
      </c>
      <c r="AF606" s="214">
        <v>0</v>
      </c>
      <c r="AG606" s="214">
        <v>0</v>
      </c>
      <c r="AH606" s="214">
        <v>0</v>
      </c>
      <c r="AI606" s="87">
        <v>153930</v>
      </c>
      <c r="AJ606" s="87">
        <v>0</v>
      </c>
      <c r="AK606" s="87">
        <v>153930</v>
      </c>
      <c r="AL606" s="87">
        <v>153930</v>
      </c>
      <c r="AM606" s="87">
        <v>2797200</v>
      </c>
      <c r="AN606" s="87">
        <v>153930</v>
      </c>
      <c r="AO606" s="87">
        <v>153930</v>
      </c>
      <c r="AP606" s="87">
        <v>153000</v>
      </c>
      <c r="AQ606" s="88">
        <v>0</v>
      </c>
      <c r="AR606" s="88">
        <v>0</v>
      </c>
      <c r="AS606" s="88">
        <v>0</v>
      </c>
      <c r="AT606" s="88">
        <v>0</v>
      </c>
      <c r="AU606" s="88">
        <v>0</v>
      </c>
      <c r="AV606" s="88">
        <v>0</v>
      </c>
      <c r="AW606" s="88">
        <v>0</v>
      </c>
      <c r="AX606" s="88">
        <v>0</v>
      </c>
      <c r="AY606" s="87">
        <v>0</v>
      </c>
      <c r="AZ606" s="87">
        <v>0</v>
      </c>
      <c r="BA606" s="87">
        <v>0</v>
      </c>
      <c r="BB606" s="87">
        <v>0</v>
      </c>
      <c r="BC606" s="87">
        <v>0</v>
      </c>
      <c r="BD606" s="87">
        <v>0</v>
      </c>
      <c r="BE606" s="87">
        <v>0</v>
      </c>
      <c r="BF606" s="87">
        <v>0</v>
      </c>
      <c r="BG606" s="88">
        <v>0</v>
      </c>
      <c r="BH606" s="88">
        <v>0</v>
      </c>
      <c r="BI606" s="88">
        <v>0</v>
      </c>
      <c r="BJ606" s="88">
        <v>0</v>
      </c>
      <c r="BK606" s="88">
        <v>0</v>
      </c>
      <c r="BL606" s="88">
        <v>0</v>
      </c>
      <c r="BM606" s="88">
        <v>0</v>
      </c>
      <c r="BN606" s="590">
        <v>0</v>
      </c>
      <c r="BO606" s="171">
        <v>2023</v>
      </c>
      <c r="BP606" s="171">
        <v>3</v>
      </c>
      <c r="BQ606" s="171">
        <v>9</v>
      </c>
      <c r="BS606" s="76" t="str">
        <f t="shared" si="19"/>
        <v>○</v>
      </c>
    </row>
    <row r="607" spans="1:71" x14ac:dyDescent="0.2">
      <c r="A607" s="210">
        <v>1818</v>
      </c>
      <c r="B607" s="211"/>
      <c r="C607" s="212"/>
      <c r="D607" s="211"/>
      <c r="E607" s="212"/>
      <c r="F607" s="211"/>
      <c r="G607" s="211"/>
      <c r="H607" s="212"/>
      <c r="I607" s="211"/>
      <c r="J607" s="211"/>
      <c r="K607" s="211"/>
      <c r="L607" s="171"/>
      <c r="M607" s="171" t="s">
        <v>457</v>
      </c>
      <c r="N607" s="171" t="s">
        <v>269</v>
      </c>
      <c r="O607" s="171" t="s">
        <v>410</v>
      </c>
      <c r="P607" s="171" t="s">
        <v>916</v>
      </c>
      <c r="Q607" s="171"/>
      <c r="R607" s="213">
        <v>440000</v>
      </c>
      <c r="S607" s="87">
        <v>0</v>
      </c>
      <c r="T607" s="87">
        <v>0</v>
      </c>
      <c r="U607" s="87">
        <v>0</v>
      </c>
      <c r="V607" s="87">
        <v>0</v>
      </c>
      <c r="W607" s="87">
        <v>0</v>
      </c>
      <c r="X607" s="87">
        <v>0</v>
      </c>
      <c r="Y607" s="87">
        <v>0</v>
      </c>
      <c r="Z607" s="87">
        <v>0</v>
      </c>
      <c r="AA607" s="214">
        <v>0</v>
      </c>
      <c r="AB607" s="214">
        <v>0</v>
      </c>
      <c r="AC607" s="214">
        <v>0</v>
      </c>
      <c r="AD607" s="214">
        <v>0</v>
      </c>
      <c r="AE607" s="214">
        <v>0</v>
      </c>
      <c r="AF607" s="214">
        <v>0</v>
      </c>
      <c r="AG607" s="214">
        <v>0</v>
      </c>
      <c r="AH607" s="214">
        <v>0</v>
      </c>
      <c r="AI607" s="87">
        <v>440630</v>
      </c>
      <c r="AJ607" s="87">
        <v>0</v>
      </c>
      <c r="AK607" s="87">
        <v>440630</v>
      </c>
      <c r="AL607" s="87">
        <v>440630</v>
      </c>
      <c r="AM607" s="87">
        <v>5004000</v>
      </c>
      <c r="AN607" s="87">
        <v>440630</v>
      </c>
      <c r="AO607" s="87">
        <v>440630</v>
      </c>
      <c r="AP607" s="87">
        <v>440000</v>
      </c>
      <c r="AQ607" s="88">
        <v>0</v>
      </c>
      <c r="AR607" s="88">
        <v>0</v>
      </c>
      <c r="AS607" s="88">
        <v>0</v>
      </c>
      <c r="AT607" s="88">
        <v>0</v>
      </c>
      <c r="AU607" s="88">
        <v>0</v>
      </c>
      <c r="AV607" s="88">
        <v>0</v>
      </c>
      <c r="AW607" s="88">
        <v>0</v>
      </c>
      <c r="AX607" s="88">
        <v>0</v>
      </c>
      <c r="AY607" s="87">
        <v>0</v>
      </c>
      <c r="AZ607" s="87">
        <v>0</v>
      </c>
      <c r="BA607" s="87">
        <v>0</v>
      </c>
      <c r="BB607" s="87">
        <v>0</v>
      </c>
      <c r="BC607" s="87">
        <v>0</v>
      </c>
      <c r="BD607" s="87">
        <v>0</v>
      </c>
      <c r="BE607" s="87">
        <v>0</v>
      </c>
      <c r="BF607" s="87">
        <v>0</v>
      </c>
      <c r="BG607" s="88">
        <v>0</v>
      </c>
      <c r="BH607" s="88">
        <v>0</v>
      </c>
      <c r="BI607" s="88">
        <v>0</v>
      </c>
      <c r="BJ607" s="88">
        <v>0</v>
      </c>
      <c r="BK607" s="88">
        <v>0</v>
      </c>
      <c r="BL607" s="88">
        <v>0</v>
      </c>
      <c r="BM607" s="88">
        <v>0</v>
      </c>
      <c r="BN607" s="590">
        <v>0</v>
      </c>
      <c r="BO607" s="171">
        <v>2023</v>
      </c>
      <c r="BP607" s="171">
        <v>3</v>
      </c>
      <c r="BQ607" s="171">
        <v>9</v>
      </c>
      <c r="BS607" s="76" t="str">
        <f t="shared" si="19"/>
        <v>○</v>
      </c>
    </row>
    <row r="608" spans="1:71" x14ac:dyDescent="0.2">
      <c r="A608" s="210">
        <v>1819</v>
      </c>
      <c r="B608" s="211"/>
      <c r="C608" s="212"/>
      <c r="D608" s="211"/>
      <c r="E608" s="212"/>
      <c r="F608" s="211"/>
      <c r="G608" s="211"/>
      <c r="H608" s="212"/>
      <c r="I608" s="211"/>
      <c r="J608" s="211"/>
      <c r="K608" s="211"/>
      <c r="L608" s="171"/>
      <c r="M608" s="171" t="s">
        <v>498</v>
      </c>
      <c r="N608" s="171" t="s">
        <v>299</v>
      </c>
      <c r="O608" s="171" t="s">
        <v>292</v>
      </c>
      <c r="P608" s="171" t="s">
        <v>916</v>
      </c>
      <c r="Q608" s="75"/>
      <c r="R608" s="213">
        <v>738000</v>
      </c>
      <c r="S608" s="87">
        <v>0</v>
      </c>
      <c r="T608" s="87">
        <v>0</v>
      </c>
      <c r="U608" s="87">
        <v>0</v>
      </c>
      <c r="V608" s="87">
        <v>0</v>
      </c>
      <c r="W608" s="87">
        <v>0</v>
      </c>
      <c r="X608" s="87">
        <v>0</v>
      </c>
      <c r="Y608" s="87">
        <v>0</v>
      </c>
      <c r="Z608" s="87">
        <v>0</v>
      </c>
      <c r="AA608" s="214">
        <v>0</v>
      </c>
      <c r="AB608" s="214">
        <v>0</v>
      </c>
      <c r="AC608" s="214">
        <v>0</v>
      </c>
      <c r="AD608" s="214">
        <v>0</v>
      </c>
      <c r="AE608" s="214">
        <v>0</v>
      </c>
      <c r="AF608" s="214">
        <v>0</v>
      </c>
      <c r="AG608" s="214">
        <v>0</v>
      </c>
      <c r="AH608" s="214">
        <v>0</v>
      </c>
      <c r="AI608" s="87">
        <v>738685</v>
      </c>
      <c r="AJ608" s="87">
        <v>0</v>
      </c>
      <c r="AK608" s="87">
        <v>738685</v>
      </c>
      <c r="AL608" s="87">
        <v>738685</v>
      </c>
      <c r="AM608" s="87">
        <v>2268000</v>
      </c>
      <c r="AN608" s="87">
        <v>738685</v>
      </c>
      <c r="AO608" s="87">
        <v>738685</v>
      </c>
      <c r="AP608" s="87">
        <v>738000</v>
      </c>
      <c r="AQ608" s="88">
        <v>0</v>
      </c>
      <c r="AR608" s="88">
        <v>0</v>
      </c>
      <c r="AS608" s="88">
        <v>0</v>
      </c>
      <c r="AT608" s="88">
        <v>0</v>
      </c>
      <c r="AU608" s="88">
        <v>0</v>
      </c>
      <c r="AV608" s="88">
        <v>0</v>
      </c>
      <c r="AW608" s="88">
        <v>0</v>
      </c>
      <c r="AX608" s="88">
        <v>0</v>
      </c>
      <c r="AY608" s="87">
        <v>0</v>
      </c>
      <c r="AZ608" s="87">
        <v>0</v>
      </c>
      <c r="BA608" s="87">
        <v>0</v>
      </c>
      <c r="BB608" s="87">
        <v>0</v>
      </c>
      <c r="BC608" s="87">
        <v>0</v>
      </c>
      <c r="BD608" s="87">
        <v>0</v>
      </c>
      <c r="BE608" s="87">
        <v>0</v>
      </c>
      <c r="BF608" s="87">
        <v>0</v>
      </c>
      <c r="BG608" s="88">
        <v>0</v>
      </c>
      <c r="BH608" s="88">
        <v>0</v>
      </c>
      <c r="BI608" s="88">
        <v>0</v>
      </c>
      <c r="BJ608" s="88">
        <v>0</v>
      </c>
      <c r="BK608" s="88">
        <v>0</v>
      </c>
      <c r="BL608" s="88">
        <v>0</v>
      </c>
      <c r="BM608" s="88">
        <v>0</v>
      </c>
      <c r="BN608" s="590">
        <v>0</v>
      </c>
      <c r="BO608" s="171">
        <v>2023</v>
      </c>
      <c r="BP608" s="171">
        <v>3</v>
      </c>
      <c r="BQ608" s="171">
        <v>9</v>
      </c>
      <c r="BS608" s="76" t="str">
        <f t="shared" si="19"/>
        <v>○</v>
      </c>
    </row>
    <row r="609" spans="1:71" x14ac:dyDescent="0.2">
      <c r="A609" s="210">
        <v>1821</v>
      </c>
      <c r="B609" s="211"/>
      <c r="C609" s="212"/>
      <c r="D609" s="211"/>
      <c r="E609" s="212"/>
      <c r="F609" s="211"/>
      <c r="G609" s="211"/>
      <c r="H609" s="212"/>
      <c r="I609" s="211"/>
      <c r="J609" s="211"/>
      <c r="K609" s="211"/>
      <c r="L609" s="171"/>
      <c r="M609" s="171" t="s">
        <v>742</v>
      </c>
      <c r="N609" s="171" t="s">
        <v>269</v>
      </c>
      <c r="O609" s="171" t="s">
        <v>545</v>
      </c>
      <c r="P609" s="171" t="s">
        <v>916</v>
      </c>
      <c r="Q609" s="171"/>
      <c r="R609" s="213">
        <v>231000</v>
      </c>
      <c r="S609" s="87">
        <v>0</v>
      </c>
      <c r="T609" s="87">
        <v>0</v>
      </c>
      <c r="U609" s="87">
        <v>0</v>
      </c>
      <c r="V609" s="87">
        <v>0</v>
      </c>
      <c r="W609" s="87">
        <v>0</v>
      </c>
      <c r="X609" s="87">
        <v>0</v>
      </c>
      <c r="Y609" s="87">
        <v>0</v>
      </c>
      <c r="Z609" s="87">
        <v>0</v>
      </c>
      <c r="AA609" s="214">
        <v>0</v>
      </c>
      <c r="AB609" s="214">
        <v>0</v>
      </c>
      <c r="AC609" s="214">
        <v>0</v>
      </c>
      <c r="AD609" s="214">
        <v>0</v>
      </c>
      <c r="AE609" s="214">
        <v>0</v>
      </c>
      <c r="AF609" s="214">
        <v>0</v>
      </c>
      <c r="AG609" s="214">
        <v>0</v>
      </c>
      <c r="AH609" s="214">
        <v>0</v>
      </c>
      <c r="AI609" s="87">
        <v>231820</v>
      </c>
      <c r="AJ609" s="87">
        <v>0</v>
      </c>
      <c r="AK609" s="87">
        <v>231820</v>
      </c>
      <c r="AL609" s="87">
        <v>231820</v>
      </c>
      <c r="AM609" s="87">
        <v>1728000</v>
      </c>
      <c r="AN609" s="87">
        <v>231820</v>
      </c>
      <c r="AO609" s="87">
        <v>231820</v>
      </c>
      <c r="AP609" s="87">
        <v>231000</v>
      </c>
      <c r="AQ609" s="88">
        <v>0</v>
      </c>
      <c r="AR609" s="88">
        <v>0</v>
      </c>
      <c r="AS609" s="88">
        <v>0</v>
      </c>
      <c r="AT609" s="88">
        <v>0</v>
      </c>
      <c r="AU609" s="88">
        <v>0</v>
      </c>
      <c r="AV609" s="88">
        <v>0</v>
      </c>
      <c r="AW609" s="88">
        <v>0</v>
      </c>
      <c r="AX609" s="88">
        <v>0</v>
      </c>
      <c r="AY609" s="87">
        <v>0</v>
      </c>
      <c r="AZ609" s="87">
        <v>0</v>
      </c>
      <c r="BA609" s="87">
        <v>0</v>
      </c>
      <c r="BB609" s="87">
        <v>0</v>
      </c>
      <c r="BC609" s="87">
        <v>0</v>
      </c>
      <c r="BD609" s="87">
        <v>0</v>
      </c>
      <c r="BE609" s="87">
        <v>0</v>
      </c>
      <c r="BF609" s="87">
        <v>0</v>
      </c>
      <c r="BG609" s="88">
        <v>0</v>
      </c>
      <c r="BH609" s="88">
        <v>0</v>
      </c>
      <c r="BI609" s="88">
        <v>0</v>
      </c>
      <c r="BJ609" s="88">
        <v>0</v>
      </c>
      <c r="BK609" s="88">
        <v>0</v>
      </c>
      <c r="BL609" s="88">
        <v>0</v>
      </c>
      <c r="BM609" s="88">
        <v>0</v>
      </c>
      <c r="BN609" s="590">
        <v>0</v>
      </c>
      <c r="BO609" s="171">
        <v>2023</v>
      </c>
      <c r="BP609" s="171">
        <v>3</v>
      </c>
      <c r="BQ609" s="171">
        <v>9</v>
      </c>
      <c r="BS609" s="76" t="str">
        <f t="shared" si="19"/>
        <v>○</v>
      </c>
    </row>
    <row r="610" spans="1:71" x14ac:dyDescent="0.2">
      <c r="A610" s="210">
        <v>1822</v>
      </c>
      <c r="B610" s="211"/>
      <c r="C610" s="212"/>
      <c r="D610" s="211"/>
      <c r="E610" s="212"/>
      <c r="F610" s="211"/>
      <c r="G610" s="211"/>
      <c r="H610" s="212"/>
      <c r="I610" s="211"/>
      <c r="J610" s="211"/>
      <c r="K610" s="211"/>
      <c r="L610" s="171"/>
      <c r="M610" s="171" t="s">
        <v>898</v>
      </c>
      <c r="N610" s="171" t="s">
        <v>286</v>
      </c>
      <c r="O610" s="171" t="s">
        <v>657</v>
      </c>
      <c r="P610" s="171" t="s">
        <v>916</v>
      </c>
      <c r="Q610" s="171"/>
      <c r="R610" s="213">
        <v>374000</v>
      </c>
      <c r="S610" s="87">
        <v>0</v>
      </c>
      <c r="T610" s="87">
        <v>0</v>
      </c>
      <c r="U610" s="87">
        <v>0</v>
      </c>
      <c r="V610" s="87">
        <v>0</v>
      </c>
      <c r="W610" s="87">
        <v>0</v>
      </c>
      <c r="X610" s="87">
        <v>0</v>
      </c>
      <c r="Y610" s="87">
        <v>0</v>
      </c>
      <c r="Z610" s="87">
        <v>0</v>
      </c>
      <c r="AA610" s="214">
        <v>0</v>
      </c>
      <c r="AB610" s="214">
        <v>0</v>
      </c>
      <c r="AC610" s="214">
        <v>0</v>
      </c>
      <c r="AD610" s="214">
        <v>0</v>
      </c>
      <c r="AE610" s="214">
        <v>0</v>
      </c>
      <c r="AF610" s="214">
        <v>0</v>
      </c>
      <c r="AG610" s="214">
        <v>0</v>
      </c>
      <c r="AH610" s="214">
        <v>0</v>
      </c>
      <c r="AI610" s="87">
        <v>374550</v>
      </c>
      <c r="AJ610" s="87">
        <v>0</v>
      </c>
      <c r="AK610" s="87">
        <v>374550</v>
      </c>
      <c r="AL610" s="87">
        <v>374550</v>
      </c>
      <c r="AM610" s="87">
        <v>2160000</v>
      </c>
      <c r="AN610" s="87">
        <v>374550</v>
      </c>
      <c r="AO610" s="87">
        <v>374550</v>
      </c>
      <c r="AP610" s="87">
        <v>374000</v>
      </c>
      <c r="AQ610" s="88">
        <v>0</v>
      </c>
      <c r="AR610" s="88">
        <v>0</v>
      </c>
      <c r="AS610" s="88">
        <v>0</v>
      </c>
      <c r="AT610" s="88">
        <v>0</v>
      </c>
      <c r="AU610" s="88">
        <v>0</v>
      </c>
      <c r="AV610" s="88">
        <v>0</v>
      </c>
      <c r="AW610" s="88">
        <v>0</v>
      </c>
      <c r="AX610" s="88">
        <v>0</v>
      </c>
      <c r="AY610" s="87">
        <v>0</v>
      </c>
      <c r="AZ610" s="87">
        <v>0</v>
      </c>
      <c r="BA610" s="87">
        <v>0</v>
      </c>
      <c r="BB610" s="87">
        <v>0</v>
      </c>
      <c r="BC610" s="87">
        <v>0</v>
      </c>
      <c r="BD610" s="87">
        <v>0</v>
      </c>
      <c r="BE610" s="87">
        <v>0</v>
      </c>
      <c r="BF610" s="87">
        <v>0</v>
      </c>
      <c r="BG610" s="88">
        <v>0</v>
      </c>
      <c r="BH610" s="88">
        <v>0</v>
      </c>
      <c r="BI610" s="88">
        <v>0</v>
      </c>
      <c r="BJ610" s="88">
        <v>0</v>
      </c>
      <c r="BK610" s="88">
        <v>0</v>
      </c>
      <c r="BL610" s="88">
        <v>0</v>
      </c>
      <c r="BM610" s="88">
        <v>0</v>
      </c>
      <c r="BN610" s="590">
        <v>0</v>
      </c>
      <c r="BO610" s="171">
        <v>2023</v>
      </c>
      <c r="BP610" s="171">
        <v>3</v>
      </c>
      <c r="BQ610" s="171">
        <v>9</v>
      </c>
      <c r="BS610" s="76" t="str">
        <f t="shared" si="19"/>
        <v>○</v>
      </c>
    </row>
    <row r="611" spans="1:71" x14ac:dyDescent="0.2">
      <c r="A611" s="210">
        <v>1826</v>
      </c>
      <c r="B611" s="211"/>
      <c r="C611" s="212"/>
      <c r="D611" s="211"/>
      <c r="E611" s="212"/>
      <c r="F611" s="211"/>
      <c r="G611" s="211"/>
      <c r="H611" s="212"/>
      <c r="I611" s="211"/>
      <c r="J611" s="211"/>
      <c r="K611" s="211"/>
      <c r="L611" s="171"/>
      <c r="M611" s="171" t="s">
        <v>305</v>
      </c>
      <c r="N611" s="171" t="s">
        <v>306</v>
      </c>
      <c r="O611" s="171" t="s">
        <v>307</v>
      </c>
      <c r="P611" s="171" t="s">
        <v>916</v>
      </c>
      <c r="Q611" s="171"/>
      <c r="R611" s="213">
        <v>554000</v>
      </c>
      <c r="S611" s="87">
        <v>0</v>
      </c>
      <c r="T611" s="87">
        <v>0</v>
      </c>
      <c r="U611" s="87">
        <v>0</v>
      </c>
      <c r="V611" s="87">
        <v>0</v>
      </c>
      <c r="W611" s="87">
        <v>0</v>
      </c>
      <c r="X611" s="87">
        <v>0</v>
      </c>
      <c r="Y611" s="87">
        <v>0</v>
      </c>
      <c r="Z611" s="87">
        <v>0</v>
      </c>
      <c r="AA611" s="214">
        <v>0</v>
      </c>
      <c r="AB611" s="214">
        <v>0</v>
      </c>
      <c r="AC611" s="214">
        <v>0</v>
      </c>
      <c r="AD611" s="214">
        <v>0</v>
      </c>
      <c r="AE611" s="214">
        <v>0</v>
      </c>
      <c r="AF611" s="214">
        <v>0</v>
      </c>
      <c r="AG611" s="214">
        <v>0</v>
      </c>
      <c r="AH611" s="214">
        <v>0</v>
      </c>
      <c r="AI611" s="87">
        <v>414920</v>
      </c>
      <c r="AJ611" s="87">
        <v>0</v>
      </c>
      <c r="AK611" s="87">
        <v>414920</v>
      </c>
      <c r="AL611" s="87">
        <v>414920</v>
      </c>
      <c r="AM611" s="87">
        <v>6879600</v>
      </c>
      <c r="AN611" s="87">
        <v>414920</v>
      </c>
      <c r="AO611" s="87">
        <v>414920</v>
      </c>
      <c r="AP611" s="87">
        <v>414000</v>
      </c>
      <c r="AQ611" s="88">
        <v>0</v>
      </c>
      <c r="AR611" s="88">
        <v>0</v>
      </c>
      <c r="AS611" s="88">
        <v>0</v>
      </c>
      <c r="AT611" s="88">
        <v>0</v>
      </c>
      <c r="AU611" s="88">
        <v>0</v>
      </c>
      <c r="AV611" s="88">
        <v>0</v>
      </c>
      <c r="AW611" s="88">
        <v>0</v>
      </c>
      <c r="AX611" s="88">
        <v>0</v>
      </c>
      <c r="AY611" s="87">
        <v>0</v>
      </c>
      <c r="AZ611" s="87">
        <v>0</v>
      </c>
      <c r="BA611" s="87">
        <v>0</v>
      </c>
      <c r="BB611" s="87">
        <v>0</v>
      </c>
      <c r="BC611" s="87">
        <v>0</v>
      </c>
      <c r="BD611" s="87">
        <v>0</v>
      </c>
      <c r="BE611" s="87">
        <v>0</v>
      </c>
      <c r="BF611" s="87">
        <v>0</v>
      </c>
      <c r="BG611" s="88">
        <v>140580</v>
      </c>
      <c r="BH611" s="88">
        <v>0</v>
      </c>
      <c r="BI611" s="88">
        <v>140580</v>
      </c>
      <c r="BJ611" s="88">
        <v>140580</v>
      </c>
      <c r="BK611" s="88">
        <v>140580</v>
      </c>
      <c r="BL611" s="88">
        <v>140580</v>
      </c>
      <c r="BM611" s="88">
        <v>140580</v>
      </c>
      <c r="BN611" s="590">
        <v>140000</v>
      </c>
      <c r="BO611" s="171">
        <v>2023</v>
      </c>
      <c r="BP611" s="171">
        <v>3</v>
      </c>
      <c r="BQ611" s="171">
        <v>9</v>
      </c>
      <c r="BS611" s="76" t="str">
        <f t="shared" si="19"/>
        <v>○</v>
      </c>
    </row>
    <row r="612" spans="1:71" x14ac:dyDescent="0.2">
      <c r="A612" s="210">
        <v>1827</v>
      </c>
      <c r="B612" s="211"/>
      <c r="C612" s="212"/>
      <c r="D612" s="211"/>
      <c r="E612" s="212"/>
      <c r="F612" s="211"/>
      <c r="G612" s="211"/>
      <c r="H612" s="212"/>
      <c r="I612" s="211"/>
      <c r="J612" s="211"/>
      <c r="K612" s="211"/>
      <c r="L612" s="171"/>
      <c r="M612" s="171" t="s">
        <v>382</v>
      </c>
      <c r="N612" s="171" t="s">
        <v>286</v>
      </c>
      <c r="O612" s="171" t="s">
        <v>383</v>
      </c>
      <c r="P612" s="171" t="s">
        <v>916</v>
      </c>
      <c r="Q612" s="75"/>
      <c r="R612" s="213">
        <v>1123000</v>
      </c>
      <c r="S612" s="87">
        <v>0</v>
      </c>
      <c r="T612" s="87">
        <v>0</v>
      </c>
      <c r="U612" s="87">
        <v>0</v>
      </c>
      <c r="V612" s="87">
        <v>0</v>
      </c>
      <c r="W612" s="87">
        <v>0</v>
      </c>
      <c r="X612" s="87">
        <v>0</v>
      </c>
      <c r="Y612" s="87">
        <v>0</v>
      </c>
      <c r="Z612" s="87">
        <v>0</v>
      </c>
      <c r="AA612" s="214">
        <v>0</v>
      </c>
      <c r="AB612" s="214">
        <v>0</v>
      </c>
      <c r="AC612" s="214">
        <v>0</v>
      </c>
      <c r="AD612" s="214">
        <v>0</v>
      </c>
      <c r="AE612" s="214">
        <v>0</v>
      </c>
      <c r="AF612" s="214">
        <v>0</v>
      </c>
      <c r="AG612" s="214">
        <v>0</v>
      </c>
      <c r="AH612" s="214">
        <v>0</v>
      </c>
      <c r="AI612" s="87">
        <v>80740</v>
      </c>
      <c r="AJ612" s="87">
        <v>0</v>
      </c>
      <c r="AK612" s="87">
        <v>80740</v>
      </c>
      <c r="AL612" s="87">
        <v>80740</v>
      </c>
      <c r="AM612" s="87">
        <v>1029600</v>
      </c>
      <c r="AN612" s="87">
        <v>80740</v>
      </c>
      <c r="AO612" s="87">
        <v>80740</v>
      </c>
      <c r="AP612" s="87">
        <v>80000</v>
      </c>
      <c r="AQ612" s="88">
        <v>0</v>
      </c>
      <c r="AR612" s="88">
        <v>0</v>
      </c>
      <c r="AS612" s="88">
        <v>0</v>
      </c>
      <c r="AT612" s="88">
        <v>0</v>
      </c>
      <c r="AU612" s="88">
        <v>0</v>
      </c>
      <c r="AV612" s="88">
        <v>0</v>
      </c>
      <c r="AW612" s="88">
        <v>0</v>
      </c>
      <c r="AX612" s="88">
        <v>0</v>
      </c>
      <c r="AY612" s="87">
        <v>0</v>
      </c>
      <c r="AZ612" s="87">
        <v>0</v>
      </c>
      <c r="BA612" s="87">
        <v>0</v>
      </c>
      <c r="BB612" s="87">
        <v>0</v>
      </c>
      <c r="BC612" s="87">
        <v>0</v>
      </c>
      <c r="BD612" s="87">
        <v>0</v>
      </c>
      <c r="BE612" s="87">
        <v>0</v>
      </c>
      <c r="BF612" s="87">
        <v>0</v>
      </c>
      <c r="BG612" s="88">
        <v>1043280</v>
      </c>
      <c r="BH612" s="88">
        <v>0</v>
      </c>
      <c r="BI612" s="88">
        <v>1043280</v>
      </c>
      <c r="BJ612" s="88">
        <v>1043280</v>
      </c>
      <c r="BK612" s="88">
        <v>1043280</v>
      </c>
      <c r="BL612" s="88">
        <v>1043280</v>
      </c>
      <c r="BM612" s="88">
        <v>1043280</v>
      </c>
      <c r="BN612" s="590">
        <v>1043000</v>
      </c>
      <c r="BO612" s="171">
        <v>2023</v>
      </c>
      <c r="BP612" s="171">
        <v>3</v>
      </c>
      <c r="BQ612" s="171">
        <v>9</v>
      </c>
      <c r="BS612" s="76" t="str">
        <f t="shared" si="19"/>
        <v>○</v>
      </c>
    </row>
    <row r="613" spans="1:71" x14ac:dyDescent="0.2">
      <c r="A613" s="210">
        <v>1828</v>
      </c>
      <c r="B613" s="211"/>
      <c r="C613" s="212"/>
      <c r="D613" s="211"/>
      <c r="E613" s="212"/>
      <c r="F613" s="211"/>
      <c r="G613" s="211"/>
      <c r="H613" s="212"/>
      <c r="I613" s="211"/>
      <c r="J613" s="211"/>
      <c r="K613" s="211"/>
      <c r="L613" s="171"/>
      <c r="M613" s="171" t="s">
        <v>544</v>
      </c>
      <c r="N613" s="171" t="s">
        <v>323</v>
      </c>
      <c r="O613" s="171" t="s">
        <v>545</v>
      </c>
      <c r="P613" s="171" t="s">
        <v>916</v>
      </c>
      <c r="Q613" s="171"/>
      <c r="R613" s="213">
        <v>154000</v>
      </c>
      <c r="S613" s="87">
        <v>0</v>
      </c>
      <c r="T613" s="87">
        <v>0</v>
      </c>
      <c r="U613" s="87">
        <v>0</v>
      </c>
      <c r="V613" s="87">
        <v>0</v>
      </c>
      <c r="W613" s="87">
        <v>0</v>
      </c>
      <c r="X613" s="87">
        <v>0</v>
      </c>
      <c r="Y613" s="87">
        <v>0</v>
      </c>
      <c r="Z613" s="87">
        <v>0</v>
      </c>
      <c r="AA613" s="214">
        <v>0</v>
      </c>
      <c r="AB613" s="214">
        <v>0</v>
      </c>
      <c r="AC613" s="214">
        <v>0</v>
      </c>
      <c r="AD613" s="214">
        <v>0</v>
      </c>
      <c r="AE613" s="214">
        <v>0</v>
      </c>
      <c r="AF613" s="214">
        <v>0</v>
      </c>
      <c r="AG613" s="214">
        <v>0</v>
      </c>
      <c r="AH613" s="214">
        <v>0</v>
      </c>
      <c r="AI613" s="87">
        <v>154021</v>
      </c>
      <c r="AJ613" s="87">
        <v>0</v>
      </c>
      <c r="AK613" s="87">
        <v>154021</v>
      </c>
      <c r="AL613" s="87">
        <v>154021</v>
      </c>
      <c r="AM613" s="87">
        <v>381600</v>
      </c>
      <c r="AN613" s="87">
        <v>154021</v>
      </c>
      <c r="AO613" s="87">
        <v>154021</v>
      </c>
      <c r="AP613" s="87">
        <v>154000</v>
      </c>
      <c r="AQ613" s="88">
        <v>0</v>
      </c>
      <c r="AR613" s="88">
        <v>0</v>
      </c>
      <c r="AS613" s="88">
        <v>0</v>
      </c>
      <c r="AT613" s="88">
        <v>0</v>
      </c>
      <c r="AU613" s="88">
        <v>0</v>
      </c>
      <c r="AV613" s="88">
        <v>0</v>
      </c>
      <c r="AW613" s="88">
        <v>0</v>
      </c>
      <c r="AX613" s="88">
        <v>0</v>
      </c>
      <c r="AY613" s="87">
        <v>0</v>
      </c>
      <c r="AZ613" s="87">
        <v>0</v>
      </c>
      <c r="BA613" s="87">
        <v>0</v>
      </c>
      <c r="BB613" s="87">
        <v>0</v>
      </c>
      <c r="BC613" s="87">
        <v>0</v>
      </c>
      <c r="BD613" s="87">
        <v>0</v>
      </c>
      <c r="BE613" s="87">
        <v>0</v>
      </c>
      <c r="BF613" s="87">
        <v>0</v>
      </c>
      <c r="BG613" s="88">
        <v>0</v>
      </c>
      <c r="BH613" s="88">
        <v>0</v>
      </c>
      <c r="BI613" s="88">
        <v>0</v>
      </c>
      <c r="BJ613" s="88">
        <v>0</v>
      </c>
      <c r="BK613" s="88">
        <v>0</v>
      </c>
      <c r="BL613" s="88">
        <v>0</v>
      </c>
      <c r="BM613" s="88">
        <v>0</v>
      </c>
      <c r="BN613" s="590">
        <v>0</v>
      </c>
      <c r="BO613" s="171">
        <v>2023</v>
      </c>
      <c r="BP613" s="171">
        <v>3</v>
      </c>
      <c r="BQ613" s="171">
        <v>9</v>
      </c>
      <c r="BS613" s="76" t="str">
        <f t="shared" si="19"/>
        <v>○</v>
      </c>
    </row>
    <row r="614" spans="1:71" x14ac:dyDescent="0.2">
      <c r="A614" s="210">
        <v>1830</v>
      </c>
      <c r="B614" s="211"/>
      <c r="C614" s="212"/>
      <c r="D614" s="211"/>
      <c r="E614" s="212"/>
      <c r="F614" s="211"/>
      <c r="G614" s="211"/>
      <c r="H614" s="212"/>
      <c r="I614" s="211"/>
      <c r="J614" s="211"/>
      <c r="K614" s="211"/>
      <c r="L614" s="171"/>
      <c r="M614" s="171" t="s">
        <v>899</v>
      </c>
      <c r="N614" s="171" t="s">
        <v>272</v>
      </c>
      <c r="O614" s="171" t="s">
        <v>782</v>
      </c>
      <c r="P614" s="171" t="s">
        <v>916</v>
      </c>
      <c r="Q614" s="171"/>
      <c r="R614" s="213">
        <v>99000</v>
      </c>
      <c r="S614" s="87">
        <v>0</v>
      </c>
      <c r="T614" s="87">
        <v>0</v>
      </c>
      <c r="U614" s="87">
        <v>0</v>
      </c>
      <c r="V614" s="87">
        <v>0</v>
      </c>
      <c r="W614" s="87">
        <v>0</v>
      </c>
      <c r="X614" s="87">
        <v>0</v>
      </c>
      <c r="Y614" s="87">
        <v>0</v>
      </c>
      <c r="Z614" s="87">
        <v>0</v>
      </c>
      <c r="AA614" s="214">
        <v>0</v>
      </c>
      <c r="AB614" s="214">
        <v>0</v>
      </c>
      <c r="AC614" s="214">
        <v>0</v>
      </c>
      <c r="AD614" s="214">
        <v>0</v>
      </c>
      <c r="AE614" s="214">
        <v>0</v>
      </c>
      <c r="AF614" s="214">
        <v>0</v>
      </c>
      <c r="AG614" s="214">
        <v>0</v>
      </c>
      <c r="AH614" s="214">
        <v>0</v>
      </c>
      <c r="AI614" s="87">
        <v>99440</v>
      </c>
      <c r="AJ614" s="87">
        <v>0</v>
      </c>
      <c r="AK614" s="87">
        <v>99440</v>
      </c>
      <c r="AL614" s="87">
        <v>99440</v>
      </c>
      <c r="AM614" s="87">
        <v>5184000</v>
      </c>
      <c r="AN614" s="87">
        <v>99440</v>
      </c>
      <c r="AO614" s="87">
        <v>99440</v>
      </c>
      <c r="AP614" s="87">
        <v>99000</v>
      </c>
      <c r="AQ614" s="88">
        <v>0</v>
      </c>
      <c r="AR614" s="88">
        <v>0</v>
      </c>
      <c r="AS614" s="88">
        <v>0</v>
      </c>
      <c r="AT614" s="88">
        <v>0</v>
      </c>
      <c r="AU614" s="88">
        <v>0</v>
      </c>
      <c r="AV614" s="88">
        <v>0</v>
      </c>
      <c r="AW614" s="88">
        <v>0</v>
      </c>
      <c r="AX614" s="88">
        <v>0</v>
      </c>
      <c r="AY614" s="87">
        <v>0</v>
      </c>
      <c r="AZ614" s="87">
        <v>0</v>
      </c>
      <c r="BA614" s="87">
        <v>0</v>
      </c>
      <c r="BB614" s="87">
        <v>0</v>
      </c>
      <c r="BC614" s="87">
        <v>0</v>
      </c>
      <c r="BD614" s="87">
        <v>0</v>
      </c>
      <c r="BE614" s="87">
        <v>0</v>
      </c>
      <c r="BF614" s="87">
        <v>0</v>
      </c>
      <c r="BG614" s="88">
        <v>0</v>
      </c>
      <c r="BH614" s="88">
        <v>0</v>
      </c>
      <c r="BI614" s="88">
        <v>0</v>
      </c>
      <c r="BJ614" s="88">
        <v>0</v>
      </c>
      <c r="BK614" s="88">
        <v>0</v>
      </c>
      <c r="BL614" s="88">
        <v>0</v>
      </c>
      <c r="BM614" s="88">
        <v>0</v>
      </c>
      <c r="BN614" s="590">
        <v>0</v>
      </c>
      <c r="BO614" s="171">
        <v>2023</v>
      </c>
      <c r="BP614" s="171">
        <v>3</v>
      </c>
      <c r="BQ614" s="171">
        <v>9</v>
      </c>
      <c r="BS614" s="76" t="str">
        <f t="shared" si="19"/>
        <v>○</v>
      </c>
    </row>
    <row r="615" spans="1:71" x14ac:dyDescent="0.2">
      <c r="A615" s="210">
        <v>1831</v>
      </c>
      <c r="B615" s="211"/>
      <c r="C615" s="212"/>
      <c r="D615" s="211"/>
      <c r="E615" s="212"/>
      <c r="F615" s="211"/>
      <c r="G615" s="211"/>
      <c r="H615" s="212"/>
      <c r="I615" s="211"/>
      <c r="J615" s="211"/>
      <c r="K615" s="211"/>
      <c r="L615" s="171"/>
      <c r="M615" s="171" t="s">
        <v>472</v>
      </c>
      <c r="N615" s="171" t="s">
        <v>275</v>
      </c>
      <c r="O615" s="171" t="s">
        <v>452</v>
      </c>
      <c r="P615" s="171" t="s">
        <v>916</v>
      </c>
      <c r="Q615" s="171"/>
      <c r="R615" s="213">
        <v>431000</v>
      </c>
      <c r="S615" s="87">
        <v>0</v>
      </c>
      <c r="T615" s="87">
        <v>0</v>
      </c>
      <c r="U615" s="87">
        <v>0</v>
      </c>
      <c r="V615" s="87">
        <v>0</v>
      </c>
      <c r="W615" s="87">
        <v>0</v>
      </c>
      <c r="X615" s="87">
        <v>0</v>
      </c>
      <c r="Y615" s="87">
        <v>0</v>
      </c>
      <c r="Z615" s="87">
        <v>0</v>
      </c>
      <c r="AA615" s="214">
        <v>0</v>
      </c>
      <c r="AB615" s="214">
        <v>0</v>
      </c>
      <c r="AC615" s="214">
        <v>0</v>
      </c>
      <c r="AD615" s="214">
        <v>0</v>
      </c>
      <c r="AE615" s="214">
        <v>0</v>
      </c>
      <c r="AF615" s="214">
        <v>0</v>
      </c>
      <c r="AG615" s="214">
        <v>0</v>
      </c>
      <c r="AH615" s="214">
        <v>0</v>
      </c>
      <c r="AI615" s="87">
        <v>382800</v>
      </c>
      <c r="AJ615" s="87">
        <v>0</v>
      </c>
      <c r="AK615" s="87">
        <v>382800</v>
      </c>
      <c r="AL615" s="87">
        <v>382800</v>
      </c>
      <c r="AM615" s="87">
        <v>2116800</v>
      </c>
      <c r="AN615" s="87">
        <v>382800</v>
      </c>
      <c r="AO615" s="87">
        <v>382800</v>
      </c>
      <c r="AP615" s="87">
        <v>382000</v>
      </c>
      <c r="AQ615" s="88">
        <v>0</v>
      </c>
      <c r="AR615" s="88">
        <v>0</v>
      </c>
      <c r="AS615" s="88">
        <v>0</v>
      </c>
      <c r="AT615" s="88">
        <v>0</v>
      </c>
      <c r="AU615" s="88">
        <v>0</v>
      </c>
      <c r="AV615" s="88">
        <v>0</v>
      </c>
      <c r="AW615" s="88">
        <v>0</v>
      </c>
      <c r="AX615" s="88">
        <v>0</v>
      </c>
      <c r="AY615" s="87">
        <v>49500</v>
      </c>
      <c r="AZ615" s="87">
        <v>0</v>
      </c>
      <c r="BA615" s="87">
        <v>49500</v>
      </c>
      <c r="BB615" s="87">
        <v>49500</v>
      </c>
      <c r="BC615" s="87">
        <v>51400</v>
      </c>
      <c r="BD615" s="87">
        <v>49500</v>
      </c>
      <c r="BE615" s="87">
        <v>49500</v>
      </c>
      <c r="BF615" s="87">
        <v>49000</v>
      </c>
      <c r="BG615" s="88">
        <v>0</v>
      </c>
      <c r="BH615" s="88">
        <v>0</v>
      </c>
      <c r="BI615" s="88">
        <v>0</v>
      </c>
      <c r="BJ615" s="88">
        <v>0</v>
      </c>
      <c r="BK615" s="88">
        <v>0</v>
      </c>
      <c r="BL615" s="88">
        <v>0</v>
      </c>
      <c r="BM615" s="88">
        <v>0</v>
      </c>
      <c r="BN615" s="590">
        <v>0</v>
      </c>
      <c r="BO615" s="171">
        <v>2023</v>
      </c>
      <c r="BP615" s="171">
        <v>3</v>
      </c>
      <c r="BQ615" s="171">
        <v>9</v>
      </c>
      <c r="BS615" s="76" t="str">
        <f t="shared" si="19"/>
        <v>○</v>
      </c>
    </row>
    <row r="616" spans="1:71" x14ac:dyDescent="0.2">
      <c r="A616" s="210">
        <v>1832</v>
      </c>
      <c r="B616" s="211"/>
      <c r="C616" s="212"/>
      <c r="D616" s="211"/>
      <c r="E616" s="212"/>
      <c r="F616" s="211"/>
      <c r="G616" s="211"/>
      <c r="H616" s="212"/>
      <c r="I616" s="211"/>
      <c r="J616" s="211"/>
      <c r="K616" s="211"/>
      <c r="L616" s="171"/>
      <c r="M616" s="171" t="s">
        <v>900</v>
      </c>
      <c r="N616" s="171" t="s">
        <v>393</v>
      </c>
      <c r="O616" s="171" t="s">
        <v>901</v>
      </c>
      <c r="P616" s="171" t="s">
        <v>916</v>
      </c>
      <c r="Q616" s="171"/>
      <c r="R616" s="213">
        <v>53000</v>
      </c>
      <c r="S616" s="87">
        <v>0</v>
      </c>
      <c r="T616" s="87">
        <v>0</v>
      </c>
      <c r="U616" s="87">
        <v>0</v>
      </c>
      <c r="V616" s="87">
        <v>0</v>
      </c>
      <c r="W616" s="87">
        <v>0</v>
      </c>
      <c r="X616" s="87">
        <v>0</v>
      </c>
      <c r="Y616" s="87">
        <v>0</v>
      </c>
      <c r="Z616" s="87">
        <v>0</v>
      </c>
      <c r="AA616" s="214">
        <v>0</v>
      </c>
      <c r="AB616" s="214">
        <v>0</v>
      </c>
      <c r="AC616" s="214">
        <v>0</v>
      </c>
      <c r="AD616" s="214">
        <v>0</v>
      </c>
      <c r="AE616" s="214">
        <v>0</v>
      </c>
      <c r="AF616" s="214">
        <v>0</v>
      </c>
      <c r="AG616" s="214">
        <v>0</v>
      </c>
      <c r="AH616" s="214">
        <v>0</v>
      </c>
      <c r="AI616" s="87">
        <v>53900</v>
      </c>
      <c r="AJ616" s="87">
        <v>0</v>
      </c>
      <c r="AK616" s="87">
        <v>53900</v>
      </c>
      <c r="AL616" s="87">
        <v>53900</v>
      </c>
      <c r="AM616" s="87">
        <v>2016000</v>
      </c>
      <c r="AN616" s="87">
        <v>53900</v>
      </c>
      <c r="AO616" s="87">
        <v>53900</v>
      </c>
      <c r="AP616" s="87">
        <v>53000</v>
      </c>
      <c r="AQ616" s="88">
        <v>0</v>
      </c>
      <c r="AR616" s="88">
        <v>0</v>
      </c>
      <c r="AS616" s="88">
        <v>0</v>
      </c>
      <c r="AT616" s="88">
        <v>0</v>
      </c>
      <c r="AU616" s="88">
        <v>0</v>
      </c>
      <c r="AV616" s="88">
        <v>0</v>
      </c>
      <c r="AW616" s="88">
        <v>0</v>
      </c>
      <c r="AX616" s="88">
        <v>0</v>
      </c>
      <c r="AY616" s="87">
        <v>0</v>
      </c>
      <c r="AZ616" s="87">
        <v>0</v>
      </c>
      <c r="BA616" s="87">
        <v>0</v>
      </c>
      <c r="BB616" s="87">
        <v>0</v>
      </c>
      <c r="BC616" s="87">
        <v>0</v>
      </c>
      <c r="BD616" s="87">
        <v>0</v>
      </c>
      <c r="BE616" s="87">
        <v>0</v>
      </c>
      <c r="BF616" s="87">
        <v>0</v>
      </c>
      <c r="BG616" s="88">
        <v>0</v>
      </c>
      <c r="BH616" s="88">
        <v>0</v>
      </c>
      <c r="BI616" s="88">
        <v>0</v>
      </c>
      <c r="BJ616" s="88">
        <v>0</v>
      </c>
      <c r="BK616" s="88">
        <v>0</v>
      </c>
      <c r="BL616" s="88">
        <v>0</v>
      </c>
      <c r="BM616" s="88">
        <v>0</v>
      </c>
      <c r="BN616" s="590">
        <v>0</v>
      </c>
      <c r="BO616" s="171">
        <v>2023</v>
      </c>
      <c r="BP616" s="171">
        <v>3</v>
      </c>
      <c r="BQ616" s="171">
        <v>9</v>
      </c>
      <c r="BS616" s="76" t="str">
        <f t="shared" si="19"/>
        <v>○</v>
      </c>
    </row>
    <row r="617" spans="1:71" x14ac:dyDescent="0.2">
      <c r="A617" s="210">
        <v>1835</v>
      </c>
      <c r="B617" s="211"/>
      <c r="C617" s="212"/>
      <c r="D617" s="211"/>
      <c r="E617" s="212"/>
      <c r="F617" s="211"/>
      <c r="G617" s="211"/>
      <c r="H617" s="212"/>
      <c r="I617" s="211"/>
      <c r="J617" s="211"/>
      <c r="K617" s="211"/>
      <c r="L617" s="171"/>
      <c r="M617" s="171">
        <v>1554044</v>
      </c>
      <c r="N617" s="171" t="s">
        <v>393</v>
      </c>
      <c r="O617" s="171" t="s">
        <v>671</v>
      </c>
      <c r="P617" s="171" t="s">
        <v>916</v>
      </c>
      <c r="Q617" s="171"/>
      <c r="R617" s="213">
        <v>413000</v>
      </c>
      <c r="S617" s="87">
        <v>0</v>
      </c>
      <c r="T617" s="87">
        <v>0</v>
      </c>
      <c r="U617" s="87">
        <v>0</v>
      </c>
      <c r="V617" s="87">
        <v>0</v>
      </c>
      <c r="W617" s="87">
        <v>0</v>
      </c>
      <c r="X617" s="87">
        <v>0</v>
      </c>
      <c r="Y617" s="87">
        <v>0</v>
      </c>
      <c r="Z617" s="87">
        <v>0</v>
      </c>
      <c r="AA617" s="214">
        <v>0</v>
      </c>
      <c r="AB617" s="214">
        <v>0</v>
      </c>
      <c r="AC617" s="214">
        <v>0</v>
      </c>
      <c r="AD617" s="214">
        <v>0</v>
      </c>
      <c r="AE617" s="214">
        <v>0</v>
      </c>
      <c r="AF617" s="214">
        <v>0</v>
      </c>
      <c r="AG617" s="214">
        <v>0</v>
      </c>
      <c r="AH617" s="214">
        <v>0</v>
      </c>
      <c r="AI617" s="87">
        <v>413760</v>
      </c>
      <c r="AJ617" s="87">
        <v>0</v>
      </c>
      <c r="AK617" s="87">
        <v>413760</v>
      </c>
      <c r="AL617" s="87">
        <v>413760</v>
      </c>
      <c r="AM617" s="87">
        <v>1566000</v>
      </c>
      <c r="AN617" s="87">
        <v>413760</v>
      </c>
      <c r="AO617" s="87">
        <v>413760</v>
      </c>
      <c r="AP617" s="87">
        <v>413000</v>
      </c>
      <c r="AQ617" s="88">
        <v>0</v>
      </c>
      <c r="AR617" s="88">
        <v>0</v>
      </c>
      <c r="AS617" s="88">
        <v>0</v>
      </c>
      <c r="AT617" s="88">
        <v>0</v>
      </c>
      <c r="AU617" s="88">
        <v>0</v>
      </c>
      <c r="AV617" s="88">
        <v>0</v>
      </c>
      <c r="AW617" s="88">
        <v>0</v>
      </c>
      <c r="AX617" s="88">
        <v>0</v>
      </c>
      <c r="AY617" s="87">
        <v>0</v>
      </c>
      <c r="AZ617" s="87">
        <v>0</v>
      </c>
      <c r="BA617" s="87">
        <v>0</v>
      </c>
      <c r="BB617" s="87">
        <v>0</v>
      </c>
      <c r="BC617" s="87">
        <v>0</v>
      </c>
      <c r="BD617" s="87">
        <v>0</v>
      </c>
      <c r="BE617" s="87">
        <v>0</v>
      </c>
      <c r="BF617" s="87">
        <v>0</v>
      </c>
      <c r="BG617" s="88">
        <v>0</v>
      </c>
      <c r="BH617" s="88">
        <v>0</v>
      </c>
      <c r="BI617" s="88">
        <v>0</v>
      </c>
      <c r="BJ617" s="88">
        <v>0</v>
      </c>
      <c r="BK617" s="88">
        <v>0</v>
      </c>
      <c r="BL617" s="88">
        <v>0</v>
      </c>
      <c r="BM617" s="88">
        <v>0</v>
      </c>
      <c r="BN617" s="590">
        <v>0</v>
      </c>
      <c r="BO617" s="171">
        <v>2023</v>
      </c>
      <c r="BP617" s="171">
        <v>3</v>
      </c>
      <c r="BQ617" s="171">
        <v>9</v>
      </c>
      <c r="BS617" s="76" t="str">
        <f t="shared" si="19"/>
        <v>○</v>
      </c>
    </row>
    <row r="618" spans="1:71" x14ac:dyDescent="0.2">
      <c r="A618" s="210">
        <v>1838</v>
      </c>
      <c r="B618" s="211"/>
      <c r="C618" s="212"/>
      <c r="D618" s="211"/>
      <c r="E618" s="212"/>
      <c r="F618" s="211"/>
      <c r="G618" s="211"/>
      <c r="H618" s="212"/>
      <c r="I618" s="211"/>
      <c r="J618" s="211"/>
      <c r="K618" s="211"/>
      <c r="L618" s="171"/>
      <c r="M618" s="171" t="s">
        <v>709</v>
      </c>
      <c r="N618" s="171" t="s">
        <v>330</v>
      </c>
      <c r="O618" s="171" t="s">
        <v>427</v>
      </c>
      <c r="P618" s="171" t="s">
        <v>916</v>
      </c>
      <c r="Q618" s="171"/>
      <c r="R618" s="213">
        <v>315000</v>
      </c>
      <c r="S618" s="87">
        <v>0</v>
      </c>
      <c r="T618" s="87">
        <v>0</v>
      </c>
      <c r="U618" s="87">
        <v>0</v>
      </c>
      <c r="V618" s="87">
        <v>0</v>
      </c>
      <c r="W618" s="87">
        <v>0</v>
      </c>
      <c r="X618" s="87">
        <v>0</v>
      </c>
      <c r="Y618" s="87">
        <v>0</v>
      </c>
      <c r="Z618" s="87">
        <v>0</v>
      </c>
      <c r="AA618" s="214">
        <v>0</v>
      </c>
      <c r="AB618" s="214">
        <v>0</v>
      </c>
      <c r="AC618" s="214">
        <v>0</v>
      </c>
      <c r="AD618" s="214">
        <v>0</v>
      </c>
      <c r="AE618" s="214">
        <v>0</v>
      </c>
      <c r="AF618" s="214">
        <v>0</v>
      </c>
      <c r="AG618" s="214">
        <v>0</v>
      </c>
      <c r="AH618" s="214">
        <v>0</v>
      </c>
      <c r="AI618" s="87">
        <v>315150</v>
      </c>
      <c r="AJ618" s="87">
        <v>0</v>
      </c>
      <c r="AK618" s="87">
        <v>315150</v>
      </c>
      <c r="AL618" s="87">
        <v>315150</v>
      </c>
      <c r="AM618" s="87">
        <v>2880000</v>
      </c>
      <c r="AN618" s="87">
        <v>315150</v>
      </c>
      <c r="AO618" s="87">
        <v>315150</v>
      </c>
      <c r="AP618" s="87">
        <v>315000</v>
      </c>
      <c r="AQ618" s="88">
        <v>0</v>
      </c>
      <c r="AR618" s="88">
        <v>0</v>
      </c>
      <c r="AS618" s="88">
        <v>0</v>
      </c>
      <c r="AT618" s="88">
        <v>0</v>
      </c>
      <c r="AU618" s="88">
        <v>0</v>
      </c>
      <c r="AV618" s="88">
        <v>0</v>
      </c>
      <c r="AW618" s="88">
        <v>0</v>
      </c>
      <c r="AX618" s="88">
        <v>0</v>
      </c>
      <c r="AY618" s="87">
        <v>0</v>
      </c>
      <c r="AZ618" s="87">
        <v>0</v>
      </c>
      <c r="BA618" s="87">
        <v>0</v>
      </c>
      <c r="BB618" s="87">
        <v>0</v>
      </c>
      <c r="BC618" s="87">
        <v>0</v>
      </c>
      <c r="BD618" s="87">
        <v>0</v>
      </c>
      <c r="BE618" s="87">
        <v>0</v>
      </c>
      <c r="BF618" s="87">
        <v>0</v>
      </c>
      <c r="BG618" s="88">
        <v>0</v>
      </c>
      <c r="BH618" s="88">
        <v>0</v>
      </c>
      <c r="BI618" s="88">
        <v>0</v>
      </c>
      <c r="BJ618" s="88">
        <v>0</v>
      </c>
      <c r="BK618" s="88">
        <v>0</v>
      </c>
      <c r="BL618" s="88">
        <v>0</v>
      </c>
      <c r="BM618" s="88">
        <v>0</v>
      </c>
      <c r="BN618" s="590">
        <v>0</v>
      </c>
      <c r="BO618" s="171">
        <v>2023</v>
      </c>
      <c r="BP618" s="171">
        <v>3</v>
      </c>
      <c r="BQ618" s="171">
        <v>9</v>
      </c>
      <c r="BS618" s="76" t="str">
        <f t="shared" si="19"/>
        <v>○</v>
      </c>
    </row>
    <row r="619" spans="1:71" x14ac:dyDescent="0.2">
      <c r="A619" s="210">
        <v>1839</v>
      </c>
      <c r="B619" s="211"/>
      <c r="C619" s="212"/>
      <c r="D619" s="211"/>
      <c r="E619" s="212"/>
      <c r="F619" s="211"/>
      <c r="G619" s="211"/>
      <c r="H619" s="212"/>
      <c r="I619" s="211"/>
      <c r="J619" s="211"/>
      <c r="K619" s="211"/>
      <c r="L619" s="171"/>
      <c r="M619" s="171" t="s">
        <v>896</v>
      </c>
      <c r="N619" s="171" t="s">
        <v>302</v>
      </c>
      <c r="O619" s="171" t="s">
        <v>897</v>
      </c>
      <c r="P619" s="171" t="s">
        <v>916</v>
      </c>
      <c r="Q619" s="171"/>
      <c r="R619" s="213">
        <v>1317000</v>
      </c>
      <c r="S619" s="87">
        <v>0</v>
      </c>
      <c r="T619" s="87">
        <v>0</v>
      </c>
      <c r="U619" s="87">
        <v>0</v>
      </c>
      <c r="V619" s="87">
        <v>0</v>
      </c>
      <c r="W619" s="87">
        <v>0</v>
      </c>
      <c r="X619" s="87">
        <v>0</v>
      </c>
      <c r="Y619" s="87">
        <v>0</v>
      </c>
      <c r="Z619" s="87">
        <v>0</v>
      </c>
      <c r="AA619" s="214">
        <v>0</v>
      </c>
      <c r="AB619" s="214">
        <v>0</v>
      </c>
      <c r="AC619" s="214">
        <v>0</v>
      </c>
      <c r="AD619" s="214">
        <v>0</v>
      </c>
      <c r="AE619" s="214">
        <v>0</v>
      </c>
      <c r="AF619" s="214">
        <v>0</v>
      </c>
      <c r="AG619" s="214">
        <v>0</v>
      </c>
      <c r="AH619" s="214">
        <v>0</v>
      </c>
      <c r="AI619" s="87">
        <v>250519</v>
      </c>
      <c r="AJ619" s="87">
        <v>0</v>
      </c>
      <c r="AK619" s="87">
        <v>250519</v>
      </c>
      <c r="AL619" s="87">
        <v>250519</v>
      </c>
      <c r="AM619" s="87">
        <v>2592000</v>
      </c>
      <c r="AN619" s="87">
        <v>250519</v>
      </c>
      <c r="AO619" s="87">
        <v>250519</v>
      </c>
      <c r="AP619" s="87">
        <v>250000</v>
      </c>
      <c r="AQ619" s="88">
        <v>0</v>
      </c>
      <c r="AR619" s="88">
        <v>0</v>
      </c>
      <c r="AS619" s="88">
        <v>0</v>
      </c>
      <c r="AT619" s="88">
        <v>0</v>
      </c>
      <c r="AU619" s="88">
        <v>0</v>
      </c>
      <c r="AV619" s="88">
        <v>0</v>
      </c>
      <c r="AW619" s="88">
        <v>0</v>
      </c>
      <c r="AX619" s="88">
        <v>0</v>
      </c>
      <c r="AY619" s="87">
        <v>0</v>
      </c>
      <c r="AZ619" s="87">
        <v>0</v>
      </c>
      <c r="BA619" s="87">
        <v>0</v>
      </c>
      <c r="BB619" s="87">
        <v>0</v>
      </c>
      <c r="BC619" s="87">
        <v>0</v>
      </c>
      <c r="BD619" s="87">
        <v>0</v>
      </c>
      <c r="BE619" s="87">
        <v>0</v>
      </c>
      <c r="BF619" s="87">
        <v>0</v>
      </c>
      <c r="BG619" s="88">
        <v>1067000</v>
      </c>
      <c r="BH619" s="88">
        <v>0</v>
      </c>
      <c r="BI619" s="88">
        <v>1067000</v>
      </c>
      <c r="BJ619" s="88">
        <v>1067000</v>
      </c>
      <c r="BK619" s="88">
        <v>1067000</v>
      </c>
      <c r="BL619" s="88">
        <v>1067000</v>
      </c>
      <c r="BM619" s="88">
        <v>1067000</v>
      </c>
      <c r="BN619" s="590">
        <v>1067000</v>
      </c>
      <c r="BO619" s="171">
        <v>2023</v>
      </c>
      <c r="BP619" s="171">
        <v>3</v>
      </c>
      <c r="BQ619" s="171">
        <v>9</v>
      </c>
      <c r="BS619" s="76" t="str">
        <f t="shared" si="19"/>
        <v>○</v>
      </c>
    </row>
    <row r="620" spans="1:71" x14ac:dyDescent="0.2">
      <c r="A620" s="210">
        <v>1840</v>
      </c>
      <c r="B620" s="211"/>
      <c r="C620" s="212"/>
      <c r="D620" s="211"/>
      <c r="E620" s="212"/>
      <c r="F620" s="211"/>
      <c r="G620" s="211"/>
      <c r="H620" s="212"/>
      <c r="I620" s="211"/>
      <c r="J620" s="211"/>
      <c r="K620" s="211"/>
      <c r="L620" s="171"/>
      <c r="M620" s="171" t="s">
        <v>595</v>
      </c>
      <c r="N620" s="171" t="s">
        <v>275</v>
      </c>
      <c r="O620" s="171" t="s">
        <v>596</v>
      </c>
      <c r="P620" s="171" t="s">
        <v>916</v>
      </c>
      <c r="Q620" s="171"/>
      <c r="R620" s="213">
        <v>758000</v>
      </c>
      <c r="S620" s="87">
        <v>0</v>
      </c>
      <c r="T620" s="87">
        <v>0</v>
      </c>
      <c r="U620" s="87">
        <v>0</v>
      </c>
      <c r="V620" s="87">
        <v>0</v>
      </c>
      <c r="W620" s="87">
        <v>0</v>
      </c>
      <c r="X620" s="87">
        <v>0</v>
      </c>
      <c r="Y620" s="87">
        <v>0</v>
      </c>
      <c r="Z620" s="87">
        <v>0</v>
      </c>
      <c r="AA620" s="214">
        <v>0</v>
      </c>
      <c r="AB620" s="214">
        <v>0</v>
      </c>
      <c r="AC620" s="214">
        <v>0</v>
      </c>
      <c r="AD620" s="214">
        <v>0</v>
      </c>
      <c r="AE620" s="214">
        <v>0</v>
      </c>
      <c r="AF620" s="214">
        <v>0</v>
      </c>
      <c r="AG620" s="214">
        <v>0</v>
      </c>
      <c r="AH620" s="214">
        <v>0</v>
      </c>
      <c r="AI620" s="87">
        <v>758798</v>
      </c>
      <c r="AJ620" s="87">
        <v>0</v>
      </c>
      <c r="AK620" s="87">
        <v>758798</v>
      </c>
      <c r="AL620" s="87">
        <v>758798</v>
      </c>
      <c r="AM620" s="87">
        <v>1044000</v>
      </c>
      <c r="AN620" s="87">
        <v>758798</v>
      </c>
      <c r="AO620" s="87">
        <v>758798</v>
      </c>
      <c r="AP620" s="87">
        <v>758000</v>
      </c>
      <c r="AQ620" s="88">
        <v>0</v>
      </c>
      <c r="AR620" s="88">
        <v>0</v>
      </c>
      <c r="AS620" s="88">
        <v>0</v>
      </c>
      <c r="AT620" s="88">
        <v>0</v>
      </c>
      <c r="AU620" s="88">
        <v>0</v>
      </c>
      <c r="AV620" s="88">
        <v>0</v>
      </c>
      <c r="AW620" s="88">
        <v>0</v>
      </c>
      <c r="AX620" s="88">
        <v>0</v>
      </c>
      <c r="AY620" s="87">
        <v>0</v>
      </c>
      <c r="AZ620" s="87">
        <v>0</v>
      </c>
      <c r="BA620" s="87">
        <v>0</v>
      </c>
      <c r="BB620" s="87">
        <v>0</v>
      </c>
      <c r="BC620" s="87">
        <v>0</v>
      </c>
      <c r="BD620" s="87">
        <v>0</v>
      </c>
      <c r="BE620" s="87">
        <v>0</v>
      </c>
      <c r="BF620" s="87">
        <v>0</v>
      </c>
      <c r="BG620" s="88">
        <v>0</v>
      </c>
      <c r="BH620" s="88">
        <v>0</v>
      </c>
      <c r="BI620" s="88">
        <v>0</v>
      </c>
      <c r="BJ620" s="88">
        <v>0</v>
      </c>
      <c r="BK620" s="88">
        <v>0</v>
      </c>
      <c r="BL620" s="88">
        <v>0</v>
      </c>
      <c r="BM620" s="88">
        <v>0</v>
      </c>
      <c r="BN620" s="590">
        <v>0</v>
      </c>
      <c r="BO620" s="171">
        <v>2023</v>
      </c>
      <c r="BP620" s="171">
        <v>3</v>
      </c>
      <c r="BQ620" s="171">
        <v>9</v>
      </c>
      <c r="BS620" s="76" t="str">
        <f t="shared" si="19"/>
        <v>○</v>
      </c>
    </row>
    <row r="621" spans="1:71" x14ac:dyDescent="0.2">
      <c r="A621" s="210">
        <v>1841</v>
      </c>
      <c r="B621" s="211"/>
      <c r="C621" s="212"/>
      <c r="D621" s="211"/>
      <c r="E621" s="212"/>
      <c r="F621" s="211"/>
      <c r="G621" s="211"/>
      <c r="H621" s="212"/>
      <c r="I621" s="211"/>
      <c r="J621" s="211"/>
      <c r="K621" s="211"/>
      <c r="L621" s="171"/>
      <c r="M621" s="171" t="s">
        <v>902</v>
      </c>
      <c r="N621" s="171" t="s">
        <v>354</v>
      </c>
      <c r="O621" s="171" t="s">
        <v>563</v>
      </c>
      <c r="P621" s="171" t="s">
        <v>916</v>
      </c>
      <c r="Q621" s="171"/>
      <c r="R621" s="213">
        <v>970000</v>
      </c>
      <c r="S621" s="87">
        <v>0</v>
      </c>
      <c r="T621" s="87">
        <v>0</v>
      </c>
      <c r="U621" s="87">
        <v>0</v>
      </c>
      <c r="V621" s="87">
        <v>0</v>
      </c>
      <c r="W621" s="87">
        <v>0</v>
      </c>
      <c r="X621" s="87">
        <v>0</v>
      </c>
      <c r="Y621" s="87">
        <v>0</v>
      </c>
      <c r="Z621" s="87">
        <v>0</v>
      </c>
      <c r="AA621" s="214">
        <v>0</v>
      </c>
      <c r="AB621" s="214">
        <v>0</v>
      </c>
      <c r="AC621" s="214">
        <v>0</v>
      </c>
      <c r="AD621" s="214">
        <v>0</v>
      </c>
      <c r="AE621" s="214">
        <v>0</v>
      </c>
      <c r="AF621" s="214">
        <v>0</v>
      </c>
      <c r="AG621" s="214">
        <v>0</v>
      </c>
      <c r="AH621" s="214">
        <v>0</v>
      </c>
      <c r="AI621" s="87">
        <v>970580</v>
      </c>
      <c r="AJ621" s="87">
        <v>0</v>
      </c>
      <c r="AK621" s="87">
        <v>970580</v>
      </c>
      <c r="AL621" s="87">
        <v>970580</v>
      </c>
      <c r="AM621" s="87">
        <v>1317600</v>
      </c>
      <c r="AN621" s="87">
        <v>970580</v>
      </c>
      <c r="AO621" s="87">
        <v>970000</v>
      </c>
      <c r="AP621" s="87">
        <v>970000</v>
      </c>
      <c r="AQ621" s="88">
        <v>0</v>
      </c>
      <c r="AR621" s="88">
        <v>0</v>
      </c>
      <c r="AS621" s="88">
        <v>0</v>
      </c>
      <c r="AT621" s="88">
        <v>0</v>
      </c>
      <c r="AU621" s="88">
        <v>0</v>
      </c>
      <c r="AV621" s="88">
        <v>0</v>
      </c>
      <c r="AW621" s="88">
        <v>0</v>
      </c>
      <c r="AX621" s="88">
        <v>0</v>
      </c>
      <c r="AY621" s="87">
        <v>0</v>
      </c>
      <c r="AZ621" s="87">
        <v>0</v>
      </c>
      <c r="BA621" s="87">
        <v>0</v>
      </c>
      <c r="BB621" s="87">
        <v>0</v>
      </c>
      <c r="BC621" s="87">
        <v>0</v>
      </c>
      <c r="BD621" s="87">
        <v>0</v>
      </c>
      <c r="BE621" s="87">
        <v>0</v>
      </c>
      <c r="BF621" s="87">
        <v>0</v>
      </c>
      <c r="BG621" s="88">
        <v>0</v>
      </c>
      <c r="BH621" s="88">
        <v>0</v>
      </c>
      <c r="BI621" s="88">
        <v>0</v>
      </c>
      <c r="BJ621" s="88">
        <v>0</v>
      </c>
      <c r="BK621" s="88">
        <v>0</v>
      </c>
      <c r="BL621" s="88">
        <v>0</v>
      </c>
      <c r="BM621" s="88">
        <v>0</v>
      </c>
      <c r="BN621" s="590">
        <v>0</v>
      </c>
      <c r="BO621" s="171">
        <v>2023</v>
      </c>
      <c r="BP621" s="171">
        <v>3</v>
      </c>
      <c r="BQ621" s="171">
        <v>9</v>
      </c>
      <c r="BS621" s="76" t="str">
        <f t="shared" si="19"/>
        <v>○</v>
      </c>
    </row>
    <row r="622" spans="1:71" x14ac:dyDescent="0.2">
      <c r="A622" s="210">
        <v>1842</v>
      </c>
      <c r="B622" s="211"/>
      <c r="C622" s="212"/>
      <c r="D622" s="211"/>
      <c r="E622" s="212"/>
      <c r="F622" s="211"/>
      <c r="G622" s="211"/>
      <c r="H622" s="212"/>
      <c r="I622" s="211"/>
      <c r="J622" s="211"/>
      <c r="K622" s="211"/>
      <c r="L622" s="171"/>
      <c r="M622" s="171" t="s">
        <v>423</v>
      </c>
      <c r="N622" s="171" t="s">
        <v>299</v>
      </c>
      <c r="O622" s="171" t="s">
        <v>324</v>
      </c>
      <c r="P622" s="171" t="s">
        <v>916</v>
      </c>
      <c r="Q622" s="171"/>
      <c r="R622" s="213">
        <v>2369000</v>
      </c>
      <c r="S622" s="87">
        <v>0</v>
      </c>
      <c r="T622" s="87">
        <v>0</v>
      </c>
      <c r="U622" s="87">
        <v>0</v>
      </c>
      <c r="V622" s="87">
        <v>0</v>
      </c>
      <c r="W622" s="87">
        <v>0</v>
      </c>
      <c r="X622" s="87">
        <v>0</v>
      </c>
      <c r="Y622" s="87">
        <v>0</v>
      </c>
      <c r="Z622" s="87">
        <v>0</v>
      </c>
      <c r="AA622" s="214">
        <v>0</v>
      </c>
      <c r="AB622" s="214">
        <v>0</v>
      </c>
      <c r="AC622" s="214">
        <v>0</v>
      </c>
      <c r="AD622" s="214">
        <v>0</v>
      </c>
      <c r="AE622" s="214">
        <v>0</v>
      </c>
      <c r="AF622" s="214">
        <v>0</v>
      </c>
      <c r="AG622" s="214">
        <v>0</v>
      </c>
      <c r="AH622" s="214">
        <v>0</v>
      </c>
      <c r="AI622" s="87">
        <v>2369308</v>
      </c>
      <c r="AJ622" s="87">
        <v>0</v>
      </c>
      <c r="AK622" s="87">
        <v>2369308</v>
      </c>
      <c r="AL622" s="87">
        <v>2369308</v>
      </c>
      <c r="AM622" s="87">
        <v>3456000</v>
      </c>
      <c r="AN622" s="87">
        <v>2369308</v>
      </c>
      <c r="AO622" s="87">
        <v>2369308</v>
      </c>
      <c r="AP622" s="87">
        <v>2369000</v>
      </c>
      <c r="AQ622" s="88">
        <v>0</v>
      </c>
      <c r="AR622" s="88">
        <v>0</v>
      </c>
      <c r="AS622" s="88">
        <v>0</v>
      </c>
      <c r="AT622" s="88">
        <v>0</v>
      </c>
      <c r="AU622" s="88">
        <v>0</v>
      </c>
      <c r="AV622" s="88">
        <v>0</v>
      </c>
      <c r="AW622" s="88">
        <v>0</v>
      </c>
      <c r="AX622" s="88">
        <v>0</v>
      </c>
      <c r="AY622" s="87">
        <v>0</v>
      </c>
      <c r="AZ622" s="87">
        <v>0</v>
      </c>
      <c r="BA622" s="87">
        <v>0</v>
      </c>
      <c r="BB622" s="87">
        <v>0</v>
      </c>
      <c r="BC622" s="87">
        <v>0</v>
      </c>
      <c r="BD622" s="87">
        <v>0</v>
      </c>
      <c r="BE622" s="87">
        <v>0</v>
      </c>
      <c r="BF622" s="87">
        <v>0</v>
      </c>
      <c r="BG622" s="88">
        <v>0</v>
      </c>
      <c r="BH622" s="88">
        <v>0</v>
      </c>
      <c r="BI622" s="88">
        <v>0</v>
      </c>
      <c r="BJ622" s="88">
        <v>0</v>
      </c>
      <c r="BK622" s="88">
        <v>0</v>
      </c>
      <c r="BL622" s="88">
        <v>0</v>
      </c>
      <c r="BM622" s="88">
        <v>0</v>
      </c>
      <c r="BN622" s="590">
        <v>0</v>
      </c>
      <c r="BO622" s="171">
        <v>2023</v>
      </c>
      <c r="BP622" s="171">
        <v>3</v>
      </c>
      <c r="BQ622" s="171">
        <v>9</v>
      </c>
      <c r="BS622" s="76" t="str">
        <f t="shared" si="19"/>
        <v>○</v>
      </c>
    </row>
    <row r="623" spans="1:71" x14ac:dyDescent="0.2">
      <c r="A623" s="210">
        <v>1843</v>
      </c>
      <c r="B623" s="211"/>
      <c r="C623" s="212"/>
      <c r="D623" s="211"/>
      <c r="E623" s="212"/>
      <c r="F623" s="211"/>
      <c r="G623" s="211"/>
      <c r="H623" s="212"/>
      <c r="I623" s="211"/>
      <c r="J623" s="211"/>
      <c r="K623" s="211"/>
      <c r="L623" s="171"/>
      <c r="M623" s="171" t="s">
        <v>569</v>
      </c>
      <c r="N623" s="171" t="s">
        <v>299</v>
      </c>
      <c r="O623" s="171" t="s">
        <v>341</v>
      </c>
      <c r="P623" s="171" t="s">
        <v>916</v>
      </c>
      <c r="Q623" s="171"/>
      <c r="R623" s="213">
        <v>760000</v>
      </c>
      <c r="S623" s="87">
        <v>0</v>
      </c>
      <c r="T623" s="87">
        <v>0</v>
      </c>
      <c r="U623" s="87">
        <v>0</v>
      </c>
      <c r="V623" s="87">
        <v>0</v>
      </c>
      <c r="W623" s="87">
        <v>0</v>
      </c>
      <c r="X623" s="87">
        <v>0</v>
      </c>
      <c r="Y623" s="87">
        <v>0</v>
      </c>
      <c r="Z623" s="87">
        <v>0</v>
      </c>
      <c r="AA623" s="214">
        <v>0</v>
      </c>
      <c r="AB623" s="214">
        <v>0</v>
      </c>
      <c r="AC623" s="214">
        <v>0</v>
      </c>
      <c r="AD623" s="214">
        <v>0</v>
      </c>
      <c r="AE623" s="214">
        <v>0</v>
      </c>
      <c r="AF623" s="214">
        <v>0</v>
      </c>
      <c r="AG623" s="214">
        <v>0</v>
      </c>
      <c r="AH623" s="214">
        <v>0</v>
      </c>
      <c r="AI623" s="87">
        <v>760470</v>
      </c>
      <c r="AJ623" s="87">
        <v>0</v>
      </c>
      <c r="AK623" s="87">
        <v>760470</v>
      </c>
      <c r="AL623" s="87">
        <v>760470</v>
      </c>
      <c r="AM623" s="87">
        <v>2628000</v>
      </c>
      <c r="AN623" s="87">
        <v>760470</v>
      </c>
      <c r="AO623" s="87">
        <v>760470</v>
      </c>
      <c r="AP623" s="87">
        <v>760000</v>
      </c>
      <c r="AQ623" s="88">
        <v>0</v>
      </c>
      <c r="AR623" s="88">
        <v>0</v>
      </c>
      <c r="AS623" s="88">
        <v>0</v>
      </c>
      <c r="AT623" s="88">
        <v>0</v>
      </c>
      <c r="AU623" s="88">
        <v>0</v>
      </c>
      <c r="AV623" s="88">
        <v>0</v>
      </c>
      <c r="AW623" s="88">
        <v>0</v>
      </c>
      <c r="AX623" s="88">
        <v>0</v>
      </c>
      <c r="AY623" s="87">
        <v>0</v>
      </c>
      <c r="AZ623" s="87">
        <v>0</v>
      </c>
      <c r="BA623" s="87">
        <v>0</v>
      </c>
      <c r="BB623" s="87">
        <v>0</v>
      </c>
      <c r="BC623" s="87">
        <v>0</v>
      </c>
      <c r="BD623" s="87">
        <v>0</v>
      </c>
      <c r="BE623" s="87">
        <v>0</v>
      </c>
      <c r="BF623" s="87">
        <v>0</v>
      </c>
      <c r="BG623" s="88">
        <v>0</v>
      </c>
      <c r="BH623" s="88">
        <v>0</v>
      </c>
      <c r="BI623" s="88">
        <v>0</v>
      </c>
      <c r="BJ623" s="88">
        <v>0</v>
      </c>
      <c r="BK623" s="88">
        <v>0</v>
      </c>
      <c r="BL623" s="88">
        <v>0</v>
      </c>
      <c r="BM623" s="88">
        <v>0</v>
      </c>
      <c r="BN623" s="590">
        <v>0</v>
      </c>
      <c r="BO623" s="171">
        <v>2023</v>
      </c>
      <c r="BP623" s="171">
        <v>3</v>
      </c>
      <c r="BQ623" s="171">
        <v>9</v>
      </c>
      <c r="BS623" s="76" t="str">
        <f t="shared" si="19"/>
        <v>○</v>
      </c>
    </row>
    <row r="624" spans="1:71" x14ac:dyDescent="0.2">
      <c r="A624" s="210">
        <v>1844</v>
      </c>
      <c r="B624" s="211"/>
      <c r="C624" s="212"/>
      <c r="D624" s="211"/>
      <c r="E624" s="212"/>
      <c r="F624" s="211"/>
      <c r="G624" s="211"/>
      <c r="H624" s="212"/>
      <c r="I624" s="211"/>
      <c r="J624" s="211"/>
      <c r="K624" s="211"/>
      <c r="L624" s="171"/>
      <c r="M624" s="171" t="s">
        <v>728</v>
      </c>
      <c r="N624" s="171" t="s">
        <v>275</v>
      </c>
      <c r="O624" s="171" t="s">
        <v>563</v>
      </c>
      <c r="P624" s="171" t="s">
        <v>916</v>
      </c>
      <c r="Q624" s="171"/>
      <c r="R624" s="213">
        <v>471000</v>
      </c>
      <c r="S624" s="87">
        <v>0</v>
      </c>
      <c r="T624" s="87">
        <v>0</v>
      </c>
      <c r="U624" s="87">
        <v>0</v>
      </c>
      <c r="V624" s="87">
        <v>0</v>
      </c>
      <c r="W624" s="87">
        <v>0</v>
      </c>
      <c r="X624" s="87">
        <v>0</v>
      </c>
      <c r="Y624" s="87">
        <v>0</v>
      </c>
      <c r="Z624" s="87">
        <v>0</v>
      </c>
      <c r="AA624" s="214">
        <v>0</v>
      </c>
      <c r="AB624" s="214">
        <v>0</v>
      </c>
      <c r="AC624" s="214">
        <v>0</v>
      </c>
      <c r="AD624" s="214">
        <v>0</v>
      </c>
      <c r="AE624" s="214">
        <v>0</v>
      </c>
      <c r="AF624" s="214">
        <v>0</v>
      </c>
      <c r="AG624" s="214">
        <v>0</v>
      </c>
      <c r="AH624" s="214">
        <v>0</v>
      </c>
      <c r="AI624" s="87">
        <v>471075</v>
      </c>
      <c r="AJ624" s="87">
        <v>0</v>
      </c>
      <c r="AK624" s="87">
        <v>471075</v>
      </c>
      <c r="AL624" s="87">
        <v>471075</v>
      </c>
      <c r="AM624" s="87">
        <v>1944000</v>
      </c>
      <c r="AN624" s="87">
        <v>471075</v>
      </c>
      <c r="AO624" s="87">
        <v>471075</v>
      </c>
      <c r="AP624" s="87">
        <v>471000</v>
      </c>
      <c r="AQ624" s="88">
        <v>0</v>
      </c>
      <c r="AR624" s="88">
        <v>0</v>
      </c>
      <c r="AS624" s="88">
        <v>0</v>
      </c>
      <c r="AT624" s="88">
        <v>0</v>
      </c>
      <c r="AU624" s="88">
        <v>0</v>
      </c>
      <c r="AV624" s="88">
        <v>0</v>
      </c>
      <c r="AW624" s="88">
        <v>0</v>
      </c>
      <c r="AX624" s="88">
        <v>0</v>
      </c>
      <c r="AY624" s="87">
        <v>0</v>
      </c>
      <c r="AZ624" s="87">
        <v>0</v>
      </c>
      <c r="BA624" s="87">
        <v>0</v>
      </c>
      <c r="BB624" s="87">
        <v>0</v>
      </c>
      <c r="BC624" s="87">
        <v>0</v>
      </c>
      <c r="BD624" s="87">
        <v>0</v>
      </c>
      <c r="BE624" s="87">
        <v>0</v>
      </c>
      <c r="BF624" s="87">
        <v>0</v>
      </c>
      <c r="BG624" s="88">
        <v>0</v>
      </c>
      <c r="BH624" s="88">
        <v>0</v>
      </c>
      <c r="BI624" s="88">
        <v>0</v>
      </c>
      <c r="BJ624" s="88">
        <v>0</v>
      </c>
      <c r="BK624" s="88">
        <v>0</v>
      </c>
      <c r="BL624" s="88">
        <v>0</v>
      </c>
      <c r="BM624" s="88">
        <v>0</v>
      </c>
      <c r="BN624" s="590">
        <v>0</v>
      </c>
      <c r="BO624" s="171">
        <v>2023</v>
      </c>
      <c r="BP624" s="171">
        <v>3</v>
      </c>
      <c r="BQ624" s="171">
        <v>9</v>
      </c>
      <c r="BS624" s="76" t="str">
        <f t="shared" si="19"/>
        <v>○</v>
      </c>
    </row>
    <row r="625" spans="1:71" x14ac:dyDescent="0.2">
      <c r="A625" s="210">
        <v>1845</v>
      </c>
      <c r="B625" s="211"/>
      <c r="C625" s="212"/>
      <c r="D625" s="211"/>
      <c r="E625" s="212"/>
      <c r="F625" s="211"/>
      <c r="G625" s="211"/>
      <c r="H625" s="212"/>
      <c r="I625" s="211"/>
      <c r="J625" s="211"/>
      <c r="K625" s="211"/>
      <c r="L625" s="171"/>
      <c r="M625" s="171" t="s">
        <v>903</v>
      </c>
      <c r="N625" s="171" t="s">
        <v>286</v>
      </c>
      <c r="O625" s="171" t="s">
        <v>904</v>
      </c>
      <c r="P625" s="171" t="s">
        <v>916</v>
      </c>
      <c r="Q625" s="171"/>
      <c r="R625" s="213">
        <v>2578000</v>
      </c>
      <c r="S625" s="87">
        <v>0</v>
      </c>
      <c r="T625" s="87">
        <v>0</v>
      </c>
      <c r="U625" s="87">
        <v>0</v>
      </c>
      <c r="V625" s="87">
        <v>0</v>
      </c>
      <c r="W625" s="87">
        <v>0</v>
      </c>
      <c r="X625" s="87">
        <v>0</v>
      </c>
      <c r="Y625" s="87">
        <v>0</v>
      </c>
      <c r="Z625" s="87">
        <v>0</v>
      </c>
      <c r="AA625" s="214">
        <v>0</v>
      </c>
      <c r="AB625" s="214">
        <v>0</v>
      </c>
      <c r="AC625" s="214">
        <v>0</v>
      </c>
      <c r="AD625" s="214">
        <v>0</v>
      </c>
      <c r="AE625" s="214">
        <v>0</v>
      </c>
      <c r="AF625" s="214">
        <v>0</v>
      </c>
      <c r="AG625" s="214">
        <v>0</v>
      </c>
      <c r="AH625" s="214">
        <v>0</v>
      </c>
      <c r="AI625" s="87">
        <v>2578360</v>
      </c>
      <c r="AJ625" s="87">
        <v>0</v>
      </c>
      <c r="AK625" s="87">
        <v>2578360</v>
      </c>
      <c r="AL625" s="87">
        <v>2578360</v>
      </c>
      <c r="AM625" s="87">
        <v>2620800</v>
      </c>
      <c r="AN625" s="87">
        <v>2578360</v>
      </c>
      <c r="AO625" s="87">
        <v>2578360</v>
      </c>
      <c r="AP625" s="87">
        <v>2578000</v>
      </c>
      <c r="AQ625" s="88">
        <v>0</v>
      </c>
      <c r="AR625" s="88">
        <v>0</v>
      </c>
      <c r="AS625" s="88">
        <v>0</v>
      </c>
      <c r="AT625" s="88">
        <v>0</v>
      </c>
      <c r="AU625" s="88">
        <v>0</v>
      </c>
      <c r="AV625" s="88">
        <v>0</v>
      </c>
      <c r="AW625" s="88">
        <v>0</v>
      </c>
      <c r="AX625" s="88">
        <v>0</v>
      </c>
      <c r="AY625" s="87">
        <v>0</v>
      </c>
      <c r="AZ625" s="87">
        <v>0</v>
      </c>
      <c r="BA625" s="87">
        <v>0</v>
      </c>
      <c r="BB625" s="87">
        <v>0</v>
      </c>
      <c r="BC625" s="87">
        <v>0</v>
      </c>
      <c r="BD625" s="87">
        <v>0</v>
      </c>
      <c r="BE625" s="87">
        <v>0</v>
      </c>
      <c r="BF625" s="87">
        <v>0</v>
      </c>
      <c r="BG625" s="88">
        <v>0</v>
      </c>
      <c r="BH625" s="88">
        <v>0</v>
      </c>
      <c r="BI625" s="88">
        <v>0</v>
      </c>
      <c r="BJ625" s="88">
        <v>0</v>
      </c>
      <c r="BK625" s="88">
        <v>0</v>
      </c>
      <c r="BL625" s="88">
        <v>0</v>
      </c>
      <c r="BM625" s="88">
        <v>0</v>
      </c>
      <c r="BN625" s="590">
        <v>0</v>
      </c>
      <c r="BO625" s="171">
        <v>2023</v>
      </c>
      <c r="BP625" s="171">
        <v>3</v>
      </c>
      <c r="BQ625" s="171">
        <v>9</v>
      </c>
      <c r="BS625" s="76" t="str">
        <f t="shared" si="19"/>
        <v>○</v>
      </c>
    </row>
    <row r="626" spans="1:71" x14ac:dyDescent="0.2">
      <c r="A626" s="210">
        <v>1846</v>
      </c>
      <c r="B626" s="211"/>
      <c r="C626" s="212"/>
      <c r="D626" s="211"/>
      <c r="E626" s="212"/>
      <c r="F626" s="211"/>
      <c r="G626" s="211"/>
      <c r="H626" s="212"/>
      <c r="I626" s="211"/>
      <c r="J626" s="211"/>
      <c r="K626" s="211"/>
      <c r="L626" s="171"/>
      <c r="M626" s="171" t="s">
        <v>535</v>
      </c>
      <c r="N626" s="171" t="s">
        <v>299</v>
      </c>
      <c r="O626" s="171" t="s">
        <v>536</v>
      </c>
      <c r="P626" s="171" t="s">
        <v>916</v>
      </c>
      <c r="Q626" s="171"/>
      <c r="R626" s="213">
        <v>1823000</v>
      </c>
      <c r="S626" s="87">
        <v>0</v>
      </c>
      <c r="T626" s="87">
        <v>0</v>
      </c>
      <c r="U626" s="87">
        <v>0</v>
      </c>
      <c r="V626" s="87">
        <v>0</v>
      </c>
      <c r="W626" s="87">
        <v>0</v>
      </c>
      <c r="X626" s="87">
        <v>0</v>
      </c>
      <c r="Y626" s="87">
        <v>0</v>
      </c>
      <c r="Z626" s="87">
        <v>0</v>
      </c>
      <c r="AA626" s="214">
        <v>0</v>
      </c>
      <c r="AB626" s="214">
        <v>0</v>
      </c>
      <c r="AC626" s="214">
        <v>0</v>
      </c>
      <c r="AD626" s="214">
        <v>0</v>
      </c>
      <c r="AE626" s="214">
        <v>0</v>
      </c>
      <c r="AF626" s="214">
        <v>0</v>
      </c>
      <c r="AG626" s="214">
        <v>0</v>
      </c>
      <c r="AH626" s="214">
        <v>0</v>
      </c>
      <c r="AI626" s="87">
        <v>1823835</v>
      </c>
      <c r="AJ626" s="87">
        <v>0</v>
      </c>
      <c r="AK626" s="87">
        <v>1823835</v>
      </c>
      <c r="AL626" s="87">
        <v>1823835</v>
      </c>
      <c r="AM626" s="87">
        <v>2214000</v>
      </c>
      <c r="AN626" s="87">
        <v>1823835</v>
      </c>
      <c r="AO626" s="87">
        <v>1823835</v>
      </c>
      <c r="AP626" s="87">
        <v>1823000</v>
      </c>
      <c r="AQ626" s="88">
        <v>0</v>
      </c>
      <c r="AR626" s="88">
        <v>0</v>
      </c>
      <c r="AS626" s="88">
        <v>0</v>
      </c>
      <c r="AT626" s="88">
        <v>0</v>
      </c>
      <c r="AU626" s="88">
        <v>0</v>
      </c>
      <c r="AV626" s="88">
        <v>0</v>
      </c>
      <c r="AW626" s="88">
        <v>0</v>
      </c>
      <c r="AX626" s="88">
        <v>0</v>
      </c>
      <c r="AY626" s="87">
        <v>0</v>
      </c>
      <c r="AZ626" s="87">
        <v>0</v>
      </c>
      <c r="BA626" s="87">
        <v>0</v>
      </c>
      <c r="BB626" s="87">
        <v>0</v>
      </c>
      <c r="BC626" s="87">
        <v>0</v>
      </c>
      <c r="BD626" s="87">
        <v>0</v>
      </c>
      <c r="BE626" s="87">
        <v>0</v>
      </c>
      <c r="BF626" s="87">
        <v>0</v>
      </c>
      <c r="BG626" s="88">
        <v>0</v>
      </c>
      <c r="BH626" s="88">
        <v>0</v>
      </c>
      <c r="BI626" s="88">
        <v>0</v>
      </c>
      <c r="BJ626" s="88">
        <v>0</v>
      </c>
      <c r="BK626" s="88">
        <v>0</v>
      </c>
      <c r="BL626" s="88">
        <v>0</v>
      </c>
      <c r="BM626" s="88">
        <v>0</v>
      </c>
      <c r="BN626" s="590">
        <v>0</v>
      </c>
      <c r="BO626" s="171">
        <v>2023</v>
      </c>
      <c r="BP626" s="171">
        <v>3</v>
      </c>
      <c r="BQ626" s="171">
        <v>9</v>
      </c>
      <c r="BS626" s="76" t="str">
        <f t="shared" si="19"/>
        <v>○</v>
      </c>
    </row>
    <row r="627" spans="1:71" x14ac:dyDescent="0.2">
      <c r="A627" s="210">
        <v>1847</v>
      </c>
      <c r="B627" s="211"/>
      <c r="C627" s="212"/>
      <c r="D627" s="211"/>
      <c r="E627" s="212"/>
      <c r="F627" s="211"/>
      <c r="G627" s="211"/>
      <c r="H627" s="212"/>
      <c r="I627" s="211"/>
      <c r="J627" s="211"/>
      <c r="K627" s="211"/>
      <c r="L627" s="171"/>
      <c r="M627" s="171" t="s">
        <v>799</v>
      </c>
      <c r="N627" s="171" t="s">
        <v>275</v>
      </c>
      <c r="O627" s="171" t="s">
        <v>412</v>
      </c>
      <c r="P627" s="171" t="s">
        <v>916</v>
      </c>
      <c r="Q627" s="171"/>
      <c r="R627" s="213">
        <v>908000</v>
      </c>
      <c r="S627" s="87">
        <v>0</v>
      </c>
      <c r="T627" s="87">
        <v>0</v>
      </c>
      <c r="U627" s="87">
        <v>0</v>
      </c>
      <c r="V627" s="87">
        <v>0</v>
      </c>
      <c r="W627" s="87">
        <v>0</v>
      </c>
      <c r="X627" s="87">
        <v>0</v>
      </c>
      <c r="Y627" s="87">
        <v>0</v>
      </c>
      <c r="Z627" s="87">
        <v>0</v>
      </c>
      <c r="AA627" s="214">
        <v>0</v>
      </c>
      <c r="AB627" s="214">
        <v>0</v>
      </c>
      <c r="AC627" s="214">
        <v>0</v>
      </c>
      <c r="AD627" s="214">
        <v>0</v>
      </c>
      <c r="AE627" s="214">
        <v>0</v>
      </c>
      <c r="AF627" s="214">
        <v>0</v>
      </c>
      <c r="AG627" s="214">
        <v>0</v>
      </c>
      <c r="AH627" s="214">
        <v>0</v>
      </c>
      <c r="AI627" s="87">
        <v>908490</v>
      </c>
      <c r="AJ627" s="87">
        <v>0</v>
      </c>
      <c r="AK627" s="87">
        <v>908490</v>
      </c>
      <c r="AL627" s="87">
        <v>908490</v>
      </c>
      <c r="AM627" s="87">
        <v>2160000</v>
      </c>
      <c r="AN627" s="87">
        <v>908490</v>
      </c>
      <c r="AO627" s="87">
        <v>908490</v>
      </c>
      <c r="AP627" s="87">
        <v>908000</v>
      </c>
      <c r="AQ627" s="88">
        <v>0</v>
      </c>
      <c r="AR627" s="88">
        <v>0</v>
      </c>
      <c r="AS627" s="88">
        <v>0</v>
      </c>
      <c r="AT627" s="88">
        <v>0</v>
      </c>
      <c r="AU627" s="88">
        <v>0</v>
      </c>
      <c r="AV627" s="88">
        <v>0</v>
      </c>
      <c r="AW627" s="88">
        <v>0</v>
      </c>
      <c r="AX627" s="88">
        <v>0</v>
      </c>
      <c r="AY627" s="87">
        <v>0</v>
      </c>
      <c r="AZ627" s="87">
        <v>0</v>
      </c>
      <c r="BA627" s="87">
        <v>0</v>
      </c>
      <c r="BB627" s="87">
        <v>0</v>
      </c>
      <c r="BC627" s="87">
        <v>0</v>
      </c>
      <c r="BD627" s="87">
        <v>0</v>
      </c>
      <c r="BE627" s="87">
        <v>0</v>
      </c>
      <c r="BF627" s="87">
        <v>0</v>
      </c>
      <c r="BG627" s="88">
        <v>0</v>
      </c>
      <c r="BH627" s="88">
        <v>0</v>
      </c>
      <c r="BI627" s="88">
        <v>0</v>
      </c>
      <c r="BJ627" s="88">
        <v>0</v>
      </c>
      <c r="BK627" s="88">
        <v>0</v>
      </c>
      <c r="BL627" s="88">
        <v>0</v>
      </c>
      <c r="BM627" s="88">
        <v>0</v>
      </c>
      <c r="BN627" s="590">
        <v>0</v>
      </c>
      <c r="BO627" s="171">
        <v>2023</v>
      </c>
      <c r="BP627" s="171">
        <v>3</v>
      </c>
      <c r="BQ627" s="171">
        <v>9</v>
      </c>
      <c r="BS627" s="76" t="str">
        <f t="shared" si="19"/>
        <v>○</v>
      </c>
    </row>
    <row r="628" spans="1:71" x14ac:dyDescent="0.2">
      <c r="A628" s="210">
        <v>1848</v>
      </c>
      <c r="B628" s="211"/>
      <c r="C628" s="212"/>
      <c r="D628" s="211"/>
      <c r="E628" s="212"/>
      <c r="F628" s="211"/>
      <c r="G628" s="211"/>
      <c r="H628" s="212"/>
      <c r="I628" s="211"/>
      <c r="J628" s="211"/>
      <c r="K628" s="211"/>
      <c r="L628" s="171"/>
      <c r="M628" s="171" t="s">
        <v>905</v>
      </c>
      <c r="N628" s="171" t="s">
        <v>373</v>
      </c>
      <c r="O628" s="171" t="s">
        <v>906</v>
      </c>
      <c r="P628" s="171" t="s">
        <v>916</v>
      </c>
      <c r="Q628" s="171"/>
      <c r="R628" s="213">
        <v>2332000</v>
      </c>
      <c r="S628" s="87">
        <v>0</v>
      </c>
      <c r="T628" s="87">
        <v>0</v>
      </c>
      <c r="U628" s="87">
        <v>0</v>
      </c>
      <c r="V628" s="87">
        <v>0</v>
      </c>
      <c r="W628" s="87">
        <v>0</v>
      </c>
      <c r="X628" s="87">
        <v>0</v>
      </c>
      <c r="Y628" s="87">
        <v>0</v>
      </c>
      <c r="Z628" s="87">
        <v>0</v>
      </c>
      <c r="AA628" s="214">
        <v>0</v>
      </c>
      <c r="AB628" s="214">
        <v>0</v>
      </c>
      <c r="AC628" s="214">
        <v>0</v>
      </c>
      <c r="AD628" s="214">
        <v>0</v>
      </c>
      <c r="AE628" s="214">
        <v>0</v>
      </c>
      <c r="AF628" s="214">
        <v>0</v>
      </c>
      <c r="AG628" s="214">
        <v>0</v>
      </c>
      <c r="AH628" s="214">
        <v>0</v>
      </c>
      <c r="AI628" s="87">
        <v>2332740</v>
      </c>
      <c r="AJ628" s="87">
        <v>0</v>
      </c>
      <c r="AK628" s="87">
        <v>2332740</v>
      </c>
      <c r="AL628" s="87">
        <v>2332740</v>
      </c>
      <c r="AM628" s="87">
        <v>4633200</v>
      </c>
      <c r="AN628" s="87">
        <v>2332740</v>
      </c>
      <c r="AO628" s="87">
        <v>2332740</v>
      </c>
      <c r="AP628" s="87">
        <v>2332000</v>
      </c>
      <c r="AQ628" s="88">
        <v>0</v>
      </c>
      <c r="AR628" s="88">
        <v>0</v>
      </c>
      <c r="AS628" s="88">
        <v>0</v>
      </c>
      <c r="AT628" s="88">
        <v>0</v>
      </c>
      <c r="AU628" s="88">
        <v>0</v>
      </c>
      <c r="AV628" s="88">
        <v>0</v>
      </c>
      <c r="AW628" s="88">
        <v>0</v>
      </c>
      <c r="AX628" s="88">
        <v>0</v>
      </c>
      <c r="AY628" s="87">
        <v>0</v>
      </c>
      <c r="AZ628" s="87">
        <v>0</v>
      </c>
      <c r="BA628" s="87">
        <v>0</v>
      </c>
      <c r="BB628" s="87">
        <v>0</v>
      </c>
      <c r="BC628" s="87">
        <v>0</v>
      </c>
      <c r="BD628" s="87">
        <v>0</v>
      </c>
      <c r="BE628" s="87">
        <v>0</v>
      </c>
      <c r="BF628" s="87">
        <v>0</v>
      </c>
      <c r="BG628" s="88">
        <v>0</v>
      </c>
      <c r="BH628" s="88">
        <v>0</v>
      </c>
      <c r="BI628" s="88">
        <v>0</v>
      </c>
      <c r="BJ628" s="88">
        <v>0</v>
      </c>
      <c r="BK628" s="88">
        <v>0</v>
      </c>
      <c r="BL628" s="88">
        <v>0</v>
      </c>
      <c r="BM628" s="88">
        <v>0</v>
      </c>
      <c r="BN628" s="590">
        <v>0</v>
      </c>
      <c r="BO628" s="171">
        <v>2023</v>
      </c>
      <c r="BP628" s="171">
        <v>3</v>
      </c>
      <c r="BQ628" s="171">
        <v>9</v>
      </c>
      <c r="BS628" s="76" t="str">
        <f t="shared" si="19"/>
        <v>○</v>
      </c>
    </row>
    <row r="629" spans="1:71" x14ac:dyDescent="0.2">
      <c r="A629" s="210">
        <v>1849</v>
      </c>
      <c r="B629" s="211"/>
      <c r="C629" s="212"/>
      <c r="D629" s="211"/>
      <c r="E629" s="212"/>
      <c r="F629" s="211"/>
      <c r="G629" s="211"/>
      <c r="H629" s="212"/>
      <c r="I629" s="211"/>
      <c r="J629" s="211"/>
      <c r="K629" s="211"/>
      <c r="L629" s="171"/>
      <c r="M629" s="171" t="s">
        <v>301</v>
      </c>
      <c r="N629" s="171" t="s">
        <v>302</v>
      </c>
      <c r="O629" s="171" t="s">
        <v>303</v>
      </c>
      <c r="P629" s="171" t="s">
        <v>916</v>
      </c>
      <c r="Q629" s="171"/>
      <c r="R629" s="213">
        <v>1111000</v>
      </c>
      <c r="S629" s="87">
        <v>0</v>
      </c>
      <c r="T629" s="87">
        <v>0</v>
      </c>
      <c r="U629" s="87">
        <v>0</v>
      </c>
      <c r="V629" s="87">
        <v>0</v>
      </c>
      <c r="W629" s="87">
        <v>0</v>
      </c>
      <c r="X629" s="87">
        <v>0</v>
      </c>
      <c r="Y629" s="87">
        <v>0</v>
      </c>
      <c r="Z629" s="87">
        <v>0</v>
      </c>
      <c r="AA629" s="214">
        <v>0</v>
      </c>
      <c r="AB629" s="214">
        <v>0</v>
      </c>
      <c r="AC629" s="214">
        <v>0</v>
      </c>
      <c r="AD629" s="214">
        <v>0</v>
      </c>
      <c r="AE629" s="214">
        <v>0</v>
      </c>
      <c r="AF629" s="214">
        <v>0</v>
      </c>
      <c r="AG629" s="214">
        <v>0</v>
      </c>
      <c r="AH629" s="214">
        <v>0</v>
      </c>
      <c r="AI629" s="87">
        <v>1111742</v>
      </c>
      <c r="AJ629" s="87">
        <v>0</v>
      </c>
      <c r="AK629" s="87">
        <v>1111742</v>
      </c>
      <c r="AL629" s="87">
        <v>1111742</v>
      </c>
      <c r="AM629" s="87">
        <v>5227200</v>
      </c>
      <c r="AN629" s="87">
        <v>1111742</v>
      </c>
      <c r="AO629" s="87">
        <v>1111742</v>
      </c>
      <c r="AP629" s="87">
        <v>1111000</v>
      </c>
      <c r="AQ629" s="88">
        <v>0</v>
      </c>
      <c r="AR629" s="88">
        <v>0</v>
      </c>
      <c r="AS629" s="88">
        <v>0</v>
      </c>
      <c r="AT629" s="88">
        <v>0</v>
      </c>
      <c r="AU629" s="88">
        <v>0</v>
      </c>
      <c r="AV629" s="88">
        <v>0</v>
      </c>
      <c r="AW629" s="88">
        <v>0</v>
      </c>
      <c r="AX629" s="88">
        <v>0</v>
      </c>
      <c r="AY629" s="87">
        <v>0</v>
      </c>
      <c r="AZ629" s="87">
        <v>0</v>
      </c>
      <c r="BA629" s="87">
        <v>0</v>
      </c>
      <c r="BB629" s="87">
        <v>0</v>
      </c>
      <c r="BC629" s="87">
        <v>0</v>
      </c>
      <c r="BD629" s="87">
        <v>0</v>
      </c>
      <c r="BE629" s="87">
        <v>0</v>
      </c>
      <c r="BF629" s="87">
        <v>0</v>
      </c>
      <c r="BG629" s="88">
        <v>0</v>
      </c>
      <c r="BH629" s="88">
        <v>0</v>
      </c>
      <c r="BI629" s="88">
        <v>0</v>
      </c>
      <c r="BJ629" s="88">
        <v>0</v>
      </c>
      <c r="BK629" s="88">
        <v>0</v>
      </c>
      <c r="BL629" s="88">
        <v>0</v>
      </c>
      <c r="BM629" s="88">
        <v>0</v>
      </c>
      <c r="BN629" s="590">
        <v>0</v>
      </c>
      <c r="BO629" s="171">
        <v>2023</v>
      </c>
      <c r="BP629" s="171">
        <v>3</v>
      </c>
      <c r="BQ629" s="171">
        <v>9</v>
      </c>
      <c r="BS629" s="76" t="str">
        <f t="shared" ref="BS629:BS657" si="20">IF(R629=SUM(Z629,AH629,AP629,BF629,BN629),"○","×")</f>
        <v>○</v>
      </c>
    </row>
    <row r="630" spans="1:71" x14ac:dyDescent="0.2">
      <c r="A630" s="210">
        <v>1850</v>
      </c>
      <c r="B630" s="211"/>
      <c r="C630" s="212"/>
      <c r="D630" s="211"/>
      <c r="E630" s="212"/>
      <c r="F630" s="211"/>
      <c r="G630" s="211"/>
      <c r="H630" s="212"/>
      <c r="I630" s="211"/>
      <c r="J630" s="211"/>
      <c r="K630" s="211"/>
      <c r="L630" s="171"/>
      <c r="M630" s="171" t="s">
        <v>301</v>
      </c>
      <c r="N630" s="171" t="s">
        <v>302</v>
      </c>
      <c r="O630" s="171" t="s">
        <v>303</v>
      </c>
      <c r="P630" s="171" t="s">
        <v>916</v>
      </c>
      <c r="Q630" s="171"/>
      <c r="R630" s="213">
        <v>2024000</v>
      </c>
      <c r="S630" s="87">
        <v>0</v>
      </c>
      <c r="T630" s="87">
        <v>0</v>
      </c>
      <c r="U630" s="87">
        <v>0</v>
      </c>
      <c r="V630" s="87">
        <v>0</v>
      </c>
      <c r="W630" s="87">
        <v>0</v>
      </c>
      <c r="X630" s="87">
        <v>0</v>
      </c>
      <c r="Y630" s="87">
        <v>0</v>
      </c>
      <c r="Z630" s="87">
        <v>0</v>
      </c>
      <c r="AA630" s="214">
        <v>0</v>
      </c>
      <c r="AB630" s="214">
        <v>0</v>
      </c>
      <c r="AC630" s="214">
        <v>0</v>
      </c>
      <c r="AD630" s="214">
        <v>0</v>
      </c>
      <c r="AE630" s="214">
        <v>0</v>
      </c>
      <c r="AF630" s="214">
        <v>0</v>
      </c>
      <c r="AG630" s="214">
        <v>0</v>
      </c>
      <c r="AH630" s="214">
        <v>0</v>
      </c>
      <c r="AI630" s="87">
        <v>2024568</v>
      </c>
      <c r="AJ630" s="87">
        <v>0</v>
      </c>
      <c r="AK630" s="87">
        <v>2024568</v>
      </c>
      <c r="AL630" s="87">
        <v>2024568</v>
      </c>
      <c r="AM630" s="87">
        <v>3931200</v>
      </c>
      <c r="AN630" s="87">
        <v>2024568</v>
      </c>
      <c r="AO630" s="87">
        <v>2024568</v>
      </c>
      <c r="AP630" s="87">
        <v>2024000</v>
      </c>
      <c r="AQ630" s="88">
        <v>0</v>
      </c>
      <c r="AR630" s="88">
        <v>0</v>
      </c>
      <c r="AS630" s="88">
        <v>0</v>
      </c>
      <c r="AT630" s="88">
        <v>0</v>
      </c>
      <c r="AU630" s="88">
        <v>0</v>
      </c>
      <c r="AV630" s="88">
        <v>0</v>
      </c>
      <c r="AW630" s="88">
        <v>0</v>
      </c>
      <c r="AX630" s="88">
        <v>0</v>
      </c>
      <c r="AY630" s="87">
        <v>0</v>
      </c>
      <c r="AZ630" s="87">
        <v>0</v>
      </c>
      <c r="BA630" s="87">
        <v>0</v>
      </c>
      <c r="BB630" s="87">
        <v>0</v>
      </c>
      <c r="BC630" s="87">
        <v>0</v>
      </c>
      <c r="BD630" s="87">
        <v>0</v>
      </c>
      <c r="BE630" s="87">
        <v>0</v>
      </c>
      <c r="BF630" s="87">
        <v>0</v>
      </c>
      <c r="BG630" s="88">
        <v>0</v>
      </c>
      <c r="BH630" s="88">
        <v>0</v>
      </c>
      <c r="BI630" s="88">
        <v>0</v>
      </c>
      <c r="BJ630" s="88">
        <v>0</v>
      </c>
      <c r="BK630" s="88">
        <v>0</v>
      </c>
      <c r="BL630" s="88">
        <v>0</v>
      </c>
      <c r="BM630" s="88">
        <v>0</v>
      </c>
      <c r="BN630" s="590">
        <v>0</v>
      </c>
      <c r="BO630" s="171">
        <v>2023</v>
      </c>
      <c r="BP630" s="171">
        <v>3</v>
      </c>
      <c r="BQ630" s="171">
        <v>9</v>
      </c>
      <c r="BS630" s="76" t="str">
        <f t="shared" si="20"/>
        <v>○</v>
      </c>
    </row>
    <row r="631" spans="1:71" x14ac:dyDescent="0.2">
      <c r="A631" s="210">
        <v>1851</v>
      </c>
      <c r="B631" s="211"/>
      <c r="C631" s="212"/>
      <c r="D631" s="211"/>
      <c r="E631" s="212"/>
      <c r="F631" s="211"/>
      <c r="G631" s="211"/>
      <c r="H631" s="212"/>
      <c r="I631" s="211"/>
      <c r="J631" s="211"/>
      <c r="K631" s="211"/>
      <c r="L631" s="171"/>
      <c r="M631" s="171" t="s">
        <v>441</v>
      </c>
      <c r="N631" s="171" t="s">
        <v>269</v>
      </c>
      <c r="O631" s="171" t="s">
        <v>412</v>
      </c>
      <c r="P631" s="171" t="s">
        <v>916</v>
      </c>
      <c r="Q631" s="171"/>
      <c r="R631" s="213">
        <v>497000</v>
      </c>
      <c r="S631" s="87">
        <v>0</v>
      </c>
      <c r="T631" s="87">
        <v>0</v>
      </c>
      <c r="U631" s="87">
        <v>0</v>
      </c>
      <c r="V631" s="87">
        <v>0</v>
      </c>
      <c r="W631" s="87">
        <v>0</v>
      </c>
      <c r="X631" s="87">
        <v>0</v>
      </c>
      <c r="Y631" s="87">
        <v>0</v>
      </c>
      <c r="Z631" s="87">
        <v>0</v>
      </c>
      <c r="AA631" s="214">
        <v>0</v>
      </c>
      <c r="AB631" s="214">
        <v>0</v>
      </c>
      <c r="AC631" s="214">
        <v>0</v>
      </c>
      <c r="AD631" s="214">
        <v>0</v>
      </c>
      <c r="AE631" s="214">
        <v>0</v>
      </c>
      <c r="AF631" s="214">
        <v>0</v>
      </c>
      <c r="AG631" s="214">
        <v>0</v>
      </c>
      <c r="AH631" s="214">
        <v>0</v>
      </c>
      <c r="AI631" s="87">
        <v>497200</v>
      </c>
      <c r="AJ631" s="87">
        <v>0</v>
      </c>
      <c r="AK631" s="87">
        <v>497200</v>
      </c>
      <c r="AL631" s="87">
        <v>497200</v>
      </c>
      <c r="AM631" s="87">
        <v>4536000</v>
      </c>
      <c r="AN631" s="87">
        <v>497200</v>
      </c>
      <c r="AO631" s="87">
        <v>497200</v>
      </c>
      <c r="AP631" s="87">
        <v>497000</v>
      </c>
      <c r="AQ631" s="88">
        <v>0</v>
      </c>
      <c r="AR631" s="88">
        <v>0</v>
      </c>
      <c r="AS631" s="88">
        <v>0</v>
      </c>
      <c r="AT631" s="88">
        <v>0</v>
      </c>
      <c r="AU631" s="88">
        <v>0</v>
      </c>
      <c r="AV631" s="88">
        <v>0</v>
      </c>
      <c r="AW631" s="88">
        <v>0</v>
      </c>
      <c r="AX631" s="88">
        <v>0</v>
      </c>
      <c r="AY631" s="87">
        <v>0</v>
      </c>
      <c r="AZ631" s="87">
        <v>0</v>
      </c>
      <c r="BA631" s="87">
        <v>0</v>
      </c>
      <c r="BB631" s="87">
        <v>0</v>
      </c>
      <c r="BC631" s="87">
        <v>0</v>
      </c>
      <c r="BD631" s="87">
        <v>0</v>
      </c>
      <c r="BE631" s="87">
        <v>0</v>
      </c>
      <c r="BF631" s="87">
        <v>0</v>
      </c>
      <c r="BG631" s="88">
        <v>0</v>
      </c>
      <c r="BH631" s="88">
        <v>0</v>
      </c>
      <c r="BI631" s="88">
        <v>0</v>
      </c>
      <c r="BJ631" s="88">
        <v>0</v>
      </c>
      <c r="BK631" s="88">
        <v>0</v>
      </c>
      <c r="BL631" s="88">
        <v>0</v>
      </c>
      <c r="BM631" s="88">
        <v>0</v>
      </c>
      <c r="BN631" s="590">
        <v>0</v>
      </c>
      <c r="BO631" s="171">
        <v>2023</v>
      </c>
      <c r="BP631" s="171">
        <v>3</v>
      </c>
      <c r="BQ631" s="171">
        <v>9</v>
      </c>
      <c r="BS631" s="76" t="str">
        <f t="shared" si="20"/>
        <v>○</v>
      </c>
    </row>
    <row r="632" spans="1:71" x14ac:dyDescent="0.2">
      <c r="A632" s="210">
        <v>1852</v>
      </c>
      <c r="B632" s="211"/>
      <c r="C632" s="212"/>
      <c r="D632" s="211"/>
      <c r="E632" s="212"/>
      <c r="F632" s="211"/>
      <c r="G632" s="211"/>
      <c r="H632" s="212"/>
      <c r="I632" s="211"/>
      <c r="J632" s="211"/>
      <c r="K632" s="211"/>
      <c r="L632" s="171"/>
      <c r="M632" s="171" t="s">
        <v>907</v>
      </c>
      <c r="N632" s="171" t="s">
        <v>532</v>
      </c>
      <c r="O632" s="171" t="s">
        <v>326</v>
      </c>
      <c r="P632" s="171" t="s">
        <v>916</v>
      </c>
      <c r="Q632" s="171"/>
      <c r="R632" s="213">
        <v>1328000</v>
      </c>
      <c r="S632" s="87">
        <v>0</v>
      </c>
      <c r="T632" s="87">
        <v>0</v>
      </c>
      <c r="U632" s="87">
        <v>0</v>
      </c>
      <c r="V632" s="87">
        <v>0</v>
      </c>
      <c r="W632" s="87">
        <v>0</v>
      </c>
      <c r="X632" s="87">
        <v>0</v>
      </c>
      <c r="Y632" s="87">
        <v>0</v>
      </c>
      <c r="Z632" s="87">
        <v>0</v>
      </c>
      <c r="AA632" s="214">
        <v>0</v>
      </c>
      <c r="AB632" s="214">
        <v>0</v>
      </c>
      <c r="AC632" s="214">
        <v>0</v>
      </c>
      <c r="AD632" s="214">
        <v>0</v>
      </c>
      <c r="AE632" s="214">
        <v>0</v>
      </c>
      <c r="AF632" s="214">
        <v>0</v>
      </c>
      <c r="AG632" s="214">
        <v>0</v>
      </c>
      <c r="AH632" s="214">
        <v>0</v>
      </c>
      <c r="AI632" s="87">
        <v>1328128</v>
      </c>
      <c r="AJ632" s="87">
        <v>0</v>
      </c>
      <c r="AK632" s="87">
        <v>1328128</v>
      </c>
      <c r="AL632" s="87">
        <v>1328128</v>
      </c>
      <c r="AM632" s="87">
        <v>2574000</v>
      </c>
      <c r="AN632" s="87">
        <v>1328128</v>
      </c>
      <c r="AO632" s="87">
        <v>1328128</v>
      </c>
      <c r="AP632" s="87">
        <v>1328000</v>
      </c>
      <c r="AQ632" s="88">
        <v>0</v>
      </c>
      <c r="AR632" s="88">
        <v>0</v>
      </c>
      <c r="AS632" s="88">
        <v>0</v>
      </c>
      <c r="AT632" s="88">
        <v>0</v>
      </c>
      <c r="AU632" s="88">
        <v>0</v>
      </c>
      <c r="AV632" s="88">
        <v>0</v>
      </c>
      <c r="AW632" s="88">
        <v>0</v>
      </c>
      <c r="AX632" s="88">
        <v>0</v>
      </c>
      <c r="AY632" s="87">
        <v>0</v>
      </c>
      <c r="AZ632" s="87">
        <v>0</v>
      </c>
      <c r="BA632" s="87">
        <v>0</v>
      </c>
      <c r="BB632" s="87">
        <v>0</v>
      </c>
      <c r="BC632" s="87">
        <v>0</v>
      </c>
      <c r="BD632" s="87">
        <v>0</v>
      </c>
      <c r="BE632" s="87">
        <v>0</v>
      </c>
      <c r="BF632" s="87">
        <v>0</v>
      </c>
      <c r="BG632" s="88">
        <v>0</v>
      </c>
      <c r="BH632" s="88">
        <v>0</v>
      </c>
      <c r="BI632" s="88">
        <v>0</v>
      </c>
      <c r="BJ632" s="88">
        <v>0</v>
      </c>
      <c r="BK632" s="88">
        <v>0</v>
      </c>
      <c r="BL632" s="88">
        <v>0</v>
      </c>
      <c r="BM632" s="88">
        <v>0</v>
      </c>
      <c r="BN632" s="590">
        <v>0</v>
      </c>
      <c r="BO632" s="171">
        <v>2023</v>
      </c>
      <c r="BP632" s="171">
        <v>3</v>
      </c>
      <c r="BQ632" s="171">
        <v>9</v>
      </c>
      <c r="BS632" s="76" t="str">
        <f t="shared" si="20"/>
        <v>○</v>
      </c>
    </row>
    <row r="633" spans="1:71" x14ac:dyDescent="0.2">
      <c r="A633" s="210">
        <v>1853</v>
      </c>
      <c r="B633" s="211"/>
      <c r="C633" s="212"/>
      <c r="D633" s="211"/>
      <c r="E633" s="212"/>
      <c r="F633" s="211"/>
      <c r="G633" s="211"/>
      <c r="H633" s="212"/>
      <c r="I633" s="211"/>
      <c r="J633" s="211"/>
      <c r="K633" s="211"/>
      <c r="L633" s="171"/>
      <c r="M633" s="171" t="s">
        <v>908</v>
      </c>
      <c r="N633" s="171" t="s">
        <v>532</v>
      </c>
      <c r="O633" s="171" t="s">
        <v>909</v>
      </c>
      <c r="P633" s="171" t="s">
        <v>916</v>
      </c>
      <c r="Q633" s="171"/>
      <c r="R633" s="213">
        <v>581000</v>
      </c>
      <c r="S633" s="87">
        <v>0</v>
      </c>
      <c r="T633" s="87">
        <v>0</v>
      </c>
      <c r="U633" s="87">
        <v>0</v>
      </c>
      <c r="V633" s="87">
        <v>0</v>
      </c>
      <c r="W633" s="87">
        <v>0</v>
      </c>
      <c r="X633" s="87">
        <v>0</v>
      </c>
      <c r="Y633" s="87">
        <v>0</v>
      </c>
      <c r="Z633" s="87">
        <v>0</v>
      </c>
      <c r="AA633" s="214">
        <v>0</v>
      </c>
      <c r="AB633" s="214">
        <v>0</v>
      </c>
      <c r="AC633" s="214">
        <v>0</v>
      </c>
      <c r="AD633" s="214">
        <v>0</v>
      </c>
      <c r="AE633" s="214">
        <v>0</v>
      </c>
      <c r="AF633" s="214">
        <v>0</v>
      </c>
      <c r="AG633" s="214">
        <v>0</v>
      </c>
      <c r="AH633" s="214">
        <v>0</v>
      </c>
      <c r="AI633" s="87">
        <v>581696</v>
      </c>
      <c r="AJ633" s="87">
        <v>0</v>
      </c>
      <c r="AK633" s="87">
        <v>581696</v>
      </c>
      <c r="AL633" s="87">
        <v>581696</v>
      </c>
      <c r="AM633" s="87">
        <v>3074400</v>
      </c>
      <c r="AN633" s="87">
        <v>581696</v>
      </c>
      <c r="AO633" s="87">
        <v>581696</v>
      </c>
      <c r="AP633" s="87">
        <v>581000</v>
      </c>
      <c r="AQ633" s="88">
        <v>0</v>
      </c>
      <c r="AR633" s="88">
        <v>0</v>
      </c>
      <c r="AS633" s="88">
        <v>0</v>
      </c>
      <c r="AT633" s="88">
        <v>0</v>
      </c>
      <c r="AU633" s="88">
        <v>0</v>
      </c>
      <c r="AV633" s="88">
        <v>0</v>
      </c>
      <c r="AW633" s="88">
        <v>0</v>
      </c>
      <c r="AX633" s="88">
        <v>0</v>
      </c>
      <c r="AY633" s="87">
        <v>0</v>
      </c>
      <c r="AZ633" s="87">
        <v>0</v>
      </c>
      <c r="BA633" s="87">
        <v>0</v>
      </c>
      <c r="BB633" s="87">
        <v>0</v>
      </c>
      <c r="BC633" s="87">
        <v>0</v>
      </c>
      <c r="BD633" s="87">
        <v>0</v>
      </c>
      <c r="BE633" s="87">
        <v>0</v>
      </c>
      <c r="BF633" s="87">
        <v>0</v>
      </c>
      <c r="BG633" s="88">
        <v>0</v>
      </c>
      <c r="BH633" s="88">
        <v>0</v>
      </c>
      <c r="BI633" s="88">
        <v>0</v>
      </c>
      <c r="BJ633" s="88">
        <v>0</v>
      </c>
      <c r="BK633" s="88">
        <v>0</v>
      </c>
      <c r="BL633" s="88">
        <v>0</v>
      </c>
      <c r="BM633" s="88">
        <v>0</v>
      </c>
      <c r="BN633" s="590">
        <v>0</v>
      </c>
      <c r="BO633" s="171">
        <v>2023</v>
      </c>
      <c r="BP633" s="171">
        <v>3</v>
      </c>
      <c r="BQ633" s="171">
        <v>9</v>
      </c>
      <c r="BS633" s="76" t="str">
        <f t="shared" si="20"/>
        <v>○</v>
      </c>
    </row>
    <row r="634" spans="1:71" x14ac:dyDescent="0.2">
      <c r="A634" s="210">
        <v>1854</v>
      </c>
      <c r="B634" s="211"/>
      <c r="C634" s="212"/>
      <c r="D634" s="211"/>
      <c r="E634" s="212"/>
      <c r="F634" s="211"/>
      <c r="G634" s="211"/>
      <c r="H634" s="212"/>
      <c r="I634" s="211"/>
      <c r="J634" s="211"/>
      <c r="K634" s="211"/>
      <c r="L634" s="171"/>
      <c r="M634" s="171" t="s">
        <v>910</v>
      </c>
      <c r="N634" s="171" t="s">
        <v>281</v>
      </c>
      <c r="O634" s="171" t="s">
        <v>638</v>
      </c>
      <c r="P634" s="171" t="s">
        <v>916</v>
      </c>
      <c r="Q634" s="171"/>
      <c r="R634" s="213">
        <v>1307000</v>
      </c>
      <c r="S634" s="87">
        <v>0</v>
      </c>
      <c r="T634" s="87">
        <v>0</v>
      </c>
      <c r="U634" s="87">
        <v>0</v>
      </c>
      <c r="V634" s="87">
        <v>0</v>
      </c>
      <c r="W634" s="87">
        <v>0</v>
      </c>
      <c r="X634" s="87">
        <v>0</v>
      </c>
      <c r="Y634" s="87">
        <v>0</v>
      </c>
      <c r="Z634" s="87">
        <v>0</v>
      </c>
      <c r="AA634" s="214">
        <v>0</v>
      </c>
      <c r="AB634" s="214">
        <v>0</v>
      </c>
      <c r="AC634" s="214">
        <v>0</v>
      </c>
      <c r="AD634" s="214">
        <v>0</v>
      </c>
      <c r="AE634" s="214">
        <v>0</v>
      </c>
      <c r="AF634" s="214">
        <v>0</v>
      </c>
      <c r="AG634" s="214">
        <v>0</v>
      </c>
      <c r="AH634" s="214">
        <v>0</v>
      </c>
      <c r="AI634" s="87">
        <v>1307315</v>
      </c>
      <c r="AJ634" s="87">
        <v>0</v>
      </c>
      <c r="AK634" s="87">
        <v>1307315</v>
      </c>
      <c r="AL634" s="87">
        <v>1307315</v>
      </c>
      <c r="AM634" s="87">
        <v>2102400</v>
      </c>
      <c r="AN634" s="87">
        <v>1307315</v>
      </c>
      <c r="AO634" s="87">
        <v>1307315</v>
      </c>
      <c r="AP634" s="87">
        <v>1307000</v>
      </c>
      <c r="AQ634" s="88">
        <v>0</v>
      </c>
      <c r="AR634" s="88">
        <v>0</v>
      </c>
      <c r="AS634" s="88">
        <v>0</v>
      </c>
      <c r="AT634" s="88">
        <v>0</v>
      </c>
      <c r="AU634" s="88">
        <v>0</v>
      </c>
      <c r="AV634" s="88">
        <v>0</v>
      </c>
      <c r="AW634" s="88">
        <v>0</v>
      </c>
      <c r="AX634" s="88">
        <v>0</v>
      </c>
      <c r="AY634" s="87">
        <v>0</v>
      </c>
      <c r="AZ634" s="87">
        <v>0</v>
      </c>
      <c r="BA634" s="87">
        <v>0</v>
      </c>
      <c r="BB634" s="87">
        <v>0</v>
      </c>
      <c r="BC634" s="87">
        <v>0</v>
      </c>
      <c r="BD634" s="87">
        <v>0</v>
      </c>
      <c r="BE634" s="87">
        <v>0</v>
      </c>
      <c r="BF634" s="87">
        <v>0</v>
      </c>
      <c r="BG634" s="88">
        <v>0</v>
      </c>
      <c r="BH634" s="88">
        <v>0</v>
      </c>
      <c r="BI634" s="88">
        <v>0</v>
      </c>
      <c r="BJ634" s="88">
        <v>0</v>
      </c>
      <c r="BK634" s="88">
        <v>0</v>
      </c>
      <c r="BL634" s="88">
        <v>0</v>
      </c>
      <c r="BM634" s="88">
        <v>0</v>
      </c>
      <c r="BN634" s="590">
        <v>0</v>
      </c>
      <c r="BO634" s="171">
        <v>2023</v>
      </c>
      <c r="BP634" s="171">
        <v>3</v>
      </c>
      <c r="BQ634" s="171">
        <v>9</v>
      </c>
      <c r="BS634" s="76" t="str">
        <f t="shared" si="20"/>
        <v>○</v>
      </c>
    </row>
    <row r="635" spans="1:71" x14ac:dyDescent="0.2">
      <c r="A635" s="210">
        <v>1856</v>
      </c>
      <c r="B635" s="211"/>
      <c r="C635" s="212"/>
      <c r="D635" s="211"/>
      <c r="E635" s="212"/>
      <c r="F635" s="211"/>
      <c r="G635" s="211"/>
      <c r="H635" s="212"/>
      <c r="I635" s="211"/>
      <c r="J635" s="211"/>
      <c r="K635" s="211"/>
      <c r="L635" s="171"/>
      <c r="M635" s="171" t="s">
        <v>742</v>
      </c>
      <c r="N635" s="171" t="s">
        <v>269</v>
      </c>
      <c r="O635" s="171" t="s">
        <v>545</v>
      </c>
      <c r="P635" s="171" t="s">
        <v>916</v>
      </c>
      <c r="Q635" s="171"/>
      <c r="R635" s="213">
        <v>829000</v>
      </c>
      <c r="S635" s="87">
        <v>0</v>
      </c>
      <c r="T635" s="87">
        <v>0</v>
      </c>
      <c r="U635" s="87">
        <v>0</v>
      </c>
      <c r="V635" s="87">
        <v>0</v>
      </c>
      <c r="W635" s="87">
        <v>0</v>
      </c>
      <c r="X635" s="87">
        <v>0</v>
      </c>
      <c r="Y635" s="87">
        <v>0</v>
      </c>
      <c r="Z635" s="87">
        <v>0</v>
      </c>
      <c r="AA635" s="214">
        <v>0</v>
      </c>
      <c r="AB635" s="214">
        <v>0</v>
      </c>
      <c r="AC635" s="214">
        <v>0</v>
      </c>
      <c r="AD635" s="214">
        <v>0</v>
      </c>
      <c r="AE635" s="214">
        <v>0</v>
      </c>
      <c r="AF635" s="214">
        <v>0</v>
      </c>
      <c r="AG635" s="214">
        <v>0</v>
      </c>
      <c r="AH635" s="214">
        <v>0</v>
      </c>
      <c r="AI635" s="87">
        <v>829250</v>
      </c>
      <c r="AJ635" s="87">
        <v>0</v>
      </c>
      <c r="AK635" s="87">
        <v>829250</v>
      </c>
      <c r="AL635" s="87">
        <v>829250</v>
      </c>
      <c r="AM635" s="87">
        <v>6264000</v>
      </c>
      <c r="AN635" s="87">
        <v>829250</v>
      </c>
      <c r="AO635" s="87">
        <v>829250</v>
      </c>
      <c r="AP635" s="87">
        <v>829000</v>
      </c>
      <c r="AQ635" s="88">
        <v>0</v>
      </c>
      <c r="AR635" s="88">
        <v>0</v>
      </c>
      <c r="AS635" s="88">
        <v>0</v>
      </c>
      <c r="AT635" s="88">
        <v>0</v>
      </c>
      <c r="AU635" s="88">
        <v>0</v>
      </c>
      <c r="AV635" s="88">
        <v>0</v>
      </c>
      <c r="AW635" s="88">
        <v>0</v>
      </c>
      <c r="AX635" s="88">
        <v>0</v>
      </c>
      <c r="AY635" s="87">
        <v>0</v>
      </c>
      <c r="AZ635" s="87">
        <v>0</v>
      </c>
      <c r="BA635" s="87">
        <v>0</v>
      </c>
      <c r="BB635" s="87">
        <v>0</v>
      </c>
      <c r="BC635" s="87">
        <v>0</v>
      </c>
      <c r="BD635" s="87">
        <v>0</v>
      </c>
      <c r="BE635" s="87">
        <v>0</v>
      </c>
      <c r="BF635" s="87">
        <v>0</v>
      </c>
      <c r="BG635" s="88">
        <v>0</v>
      </c>
      <c r="BH635" s="88">
        <v>0</v>
      </c>
      <c r="BI635" s="88">
        <v>0</v>
      </c>
      <c r="BJ635" s="88">
        <v>0</v>
      </c>
      <c r="BK635" s="88">
        <v>0</v>
      </c>
      <c r="BL635" s="88">
        <v>0</v>
      </c>
      <c r="BM635" s="88">
        <v>0</v>
      </c>
      <c r="BN635" s="590">
        <v>0</v>
      </c>
      <c r="BO635" s="171">
        <v>2023</v>
      </c>
      <c r="BP635" s="171">
        <v>3</v>
      </c>
      <c r="BQ635" s="171">
        <v>9</v>
      </c>
      <c r="BS635" s="76" t="str">
        <f t="shared" si="20"/>
        <v>○</v>
      </c>
    </row>
    <row r="636" spans="1:71" x14ac:dyDescent="0.2">
      <c r="A636" s="210">
        <v>1857</v>
      </c>
      <c r="B636" s="211"/>
      <c r="C636" s="212"/>
      <c r="D636" s="211"/>
      <c r="E636" s="212"/>
      <c r="F636" s="211"/>
      <c r="G636" s="211"/>
      <c r="H636" s="212"/>
      <c r="I636" s="211"/>
      <c r="J636" s="211"/>
      <c r="K636" s="211"/>
      <c r="L636" s="171"/>
      <c r="M636" s="171" t="s">
        <v>911</v>
      </c>
      <c r="N636" s="171" t="s">
        <v>920</v>
      </c>
      <c r="O636" s="171" t="s">
        <v>912</v>
      </c>
      <c r="P636" s="171" t="s">
        <v>916</v>
      </c>
      <c r="Q636" s="171"/>
      <c r="R636" s="213">
        <v>595000</v>
      </c>
      <c r="S636" s="87">
        <v>0</v>
      </c>
      <c r="T636" s="87">
        <v>0</v>
      </c>
      <c r="U636" s="87">
        <v>0</v>
      </c>
      <c r="V636" s="87">
        <v>0</v>
      </c>
      <c r="W636" s="87">
        <v>0</v>
      </c>
      <c r="X636" s="87">
        <v>0</v>
      </c>
      <c r="Y636" s="87">
        <v>0</v>
      </c>
      <c r="Z636" s="87">
        <v>0</v>
      </c>
      <c r="AA636" s="214">
        <v>0</v>
      </c>
      <c r="AB636" s="214">
        <v>0</v>
      </c>
      <c r="AC636" s="214">
        <v>0</v>
      </c>
      <c r="AD636" s="214">
        <v>0</v>
      </c>
      <c r="AE636" s="214">
        <v>0</v>
      </c>
      <c r="AF636" s="214">
        <v>0</v>
      </c>
      <c r="AG636" s="214">
        <v>0</v>
      </c>
      <c r="AH636" s="214">
        <v>0</v>
      </c>
      <c r="AI636" s="87">
        <v>595100</v>
      </c>
      <c r="AJ636" s="87">
        <v>0</v>
      </c>
      <c r="AK636" s="87">
        <v>595100</v>
      </c>
      <c r="AL636" s="87">
        <v>595100</v>
      </c>
      <c r="AM636" s="87">
        <v>5220000</v>
      </c>
      <c r="AN636" s="87">
        <v>595100</v>
      </c>
      <c r="AO636" s="87">
        <v>595000</v>
      </c>
      <c r="AP636" s="87">
        <v>595000</v>
      </c>
      <c r="AQ636" s="88">
        <v>0</v>
      </c>
      <c r="AR636" s="88">
        <v>0</v>
      </c>
      <c r="AS636" s="88">
        <v>0</v>
      </c>
      <c r="AT636" s="88">
        <v>0</v>
      </c>
      <c r="AU636" s="88">
        <v>0</v>
      </c>
      <c r="AV636" s="88">
        <v>0</v>
      </c>
      <c r="AW636" s="88">
        <v>0</v>
      </c>
      <c r="AX636" s="88">
        <v>0</v>
      </c>
      <c r="AY636" s="87">
        <v>0</v>
      </c>
      <c r="AZ636" s="87">
        <v>0</v>
      </c>
      <c r="BA636" s="87">
        <v>0</v>
      </c>
      <c r="BB636" s="87">
        <v>0</v>
      </c>
      <c r="BC636" s="87">
        <v>0</v>
      </c>
      <c r="BD636" s="87">
        <v>0</v>
      </c>
      <c r="BE636" s="87">
        <v>0</v>
      </c>
      <c r="BF636" s="87">
        <v>0</v>
      </c>
      <c r="BG636" s="88">
        <v>0</v>
      </c>
      <c r="BH636" s="88">
        <v>0</v>
      </c>
      <c r="BI636" s="88">
        <v>0</v>
      </c>
      <c r="BJ636" s="88">
        <v>0</v>
      </c>
      <c r="BK636" s="88">
        <v>0</v>
      </c>
      <c r="BL636" s="88">
        <v>0</v>
      </c>
      <c r="BM636" s="88">
        <v>0</v>
      </c>
      <c r="BN636" s="590">
        <v>0</v>
      </c>
      <c r="BO636" s="171">
        <v>2023</v>
      </c>
      <c r="BP636" s="171">
        <v>3</v>
      </c>
      <c r="BQ636" s="171">
        <v>9</v>
      </c>
      <c r="BS636" s="76" t="str">
        <f t="shared" si="20"/>
        <v>○</v>
      </c>
    </row>
    <row r="637" spans="1:71" x14ac:dyDescent="0.2">
      <c r="A637" s="210">
        <v>1859</v>
      </c>
      <c r="B637" s="211"/>
      <c r="C637" s="212"/>
      <c r="D637" s="211"/>
      <c r="E637" s="212"/>
      <c r="F637" s="211"/>
      <c r="G637" s="211"/>
      <c r="H637" s="212"/>
      <c r="I637" s="211"/>
      <c r="J637" s="211"/>
      <c r="K637" s="211"/>
      <c r="L637" s="171"/>
      <c r="M637" s="171" t="s">
        <v>905</v>
      </c>
      <c r="N637" s="171" t="s">
        <v>373</v>
      </c>
      <c r="O637" s="171" t="s">
        <v>906</v>
      </c>
      <c r="P637" s="171" t="s">
        <v>916</v>
      </c>
      <c r="Q637" s="171"/>
      <c r="R637" s="213">
        <v>1000000</v>
      </c>
      <c r="S637" s="87">
        <v>0</v>
      </c>
      <c r="T637" s="87">
        <v>0</v>
      </c>
      <c r="U637" s="87">
        <v>0</v>
      </c>
      <c r="V637" s="87">
        <v>0</v>
      </c>
      <c r="W637" s="87">
        <v>0</v>
      </c>
      <c r="X637" s="87">
        <v>0</v>
      </c>
      <c r="Y637" s="87">
        <v>0</v>
      </c>
      <c r="Z637" s="87">
        <v>0</v>
      </c>
      <c r="AA637" s="214">
        <v>0</v>
      </c>
      <c r="AB637" s="214">
        <v>0</v>
      </c>
      <c r="AC637" s="214">
        <v>0</v>
      </c>
      <c r="AD637" s="214">
        <v>0</v>
      </c>
      <c r="AE637" s="214">
        <v>0</v>
      </c>
      <c r="AF637" s="214">
        <v>0</v>
      </c>
      <c r="AG637" s="214">
        <v>0</v>
      </c>
      <c r="AH637" s="214">
        <v>0</v>
      </c>
      <c r="AI637" s="87">
        <v>1000340</v>
      </c>
      <c r="AJ637" s="87">
        <v>0</v>
      </c>
      <c r="AK637" s="87">
        <v>1000340</v>
      </c>
      <c r="AL637" s="87">
        <v>1000340</v>
      </c>
      <c r="AM637" s="87">
        <v>3427200</v>
      </c>
      <c r="AN637" s="87">
        <v>1000340</v>
      </c>
      <c r="AO637" s="87">
        <v>1000000</v>
      </c>
      <c r="AP637" s="87">
        <v>1000000</v>
      </c>
      <c r="AQ637" s="88">
        <v>0</v>
      </c>
      <c r="AR637" s="88">
        <v>0</v>
      </c>
      <c r="AS637" s="88">
        <v>0</v>
      </c>
      <c r="AT637" s="88">
        <v>0</v>
      </c>
      <c r="AU637" s="88">
        <v>0</v>
      </c>
      <c r="AV637" s="88">
        <v>0</v>
      </c>
      <c r="AW637" s="88">
        <v>0</v>
      </c>
      <c r="AX637" s="88">
        <v>0</v>
      </c>
      <c r="AY637" s="87">
        <v>0</v>
      </c>
      <c r="AZ637" s="87">
        <v>0</v>
      </c>
      <c r="BA637" s="87">
        <v>0</v>
      </c>
      <c r="BB637" s="87">
        <v>0</v>
      </c>
      <c r="BC637" s="87">
        <v>0</v>
      </c>
      <c r="BD637" s="87">
        <v>0</v>
      </c>
      <c r="BE637" s="87">
        <v>0</v>
      </c>
      <c r="BF637" s="87">
        <v>0</v>
      </c>
      <c r="BG637" s="88">
        <v>0</v>
      </c>
      <c r="BH637" s="88">
        <v>0</v>
      </c>
      <c r="BI637" s="88">
        <v>0</v>
      </c>
      <c r="BJ637" s="88">
        <v>0</v>
      </c>
      <c r="BK637" s="88">
        <v>0</v>
      </c>
      <c r="BL637" s="88">
        <v>0</v>
      </c>
      <c r="BM637" s="88">
        <v>0</v>
      </c>
      <c r="BN637" s="590">
        <v>0</v>
      </c>
      <c r="BO637" s="171">
        <v>2023</v>
      </c>
      <c r="BP637" s="171">
        <v>3</v>
      </c>
      <c r="BQ637" s="171">
        <v>9</v>
      </c>
      <c r="BS637" s="76" t="str">
        <f t="shared" si="20"/>
        <v>○</v>
      </c>
    </row>
    <row r="638" spans="1:71" x14ac:dyDescent="0.2">
      <c r="A638" s="210">
        <v>1861</v>
      </c>
      <c r="B638" s="211"/>
      <c r="C638" s="212"/>
      <c r="D638" s="211"/>
      <c r="E638" s="212"/>
      <c r="F638" s="211"/>
      <c r="G638" s="211"/>
      <c r="H638" s="212"/>
      <c r="I638" s="211"/>
      <c r="J638" s="211"/>
      <c r="K638" s="211"/>
      <c r="L638" s="171"/>
      <c r="M638" s="171" t="s">
        <v>534</v>
      </c>
      <c r="N638" s="171" t="s">
        <v>275</v>
      </c>
      <c r="O638" s="171" t="s">
        <v>396</v>
      </c>
      <c r="P638" s="171" t="s">
        <v>916</v>
      </c>
      <c r="Q638" s="171"/>
      <c r="R638" s="213">
        <v>169000</v>
      </c>
      <c r="S638" s="87">
        <v>0</v>
      </c>
      <c r="T638" s="87">
        <v>0</v>
      </c>
      <c r="U638" s="87">
        <v>0</v>
      </c>
      <c r="V638" s="87">
        <v>0</v>
      </c>
      <c r="W638" s="87">
        <v>0</v>
      </c>
      <c r="X638" s="87">
        <v>0</v>
      </c>
      <c r="Y638" s="87">
        <v>0</v>
      </c>
      <c r="Z638" s="87">
        <v>0</v>
      </c>
      <c r="AA638" s="214">
        <v>0</v>
      </c>
      <c r="AB638" s="214">
        <v>0</v>
      </c>
      <c r="AC638" s="214">
        <v>0</v>
      </c>
      <c r="AD638" s="214">
        <v>0</v>
      </c>
      <c r="AE638" s="214">
        <v>0</v>
      </c>
      <c r="AF638" s="214">
        <v>0</v>
      </c>
      <c r="AG638" s="214">
        <v>0</v>
      </c>
      <c r="AH638" s="214">
        <v>0</v>
      </c>
      <c r="AI638" s="87">
        <v>169565</v>
      </c>
      <c r="AJ638" s="87">
        <v>0</v>
      </c>
      <c r="AK638" s="87">
        <v>169565</v>
      </c>
      <c r="AL638" s="87">
        <v>169565</v>
      </c>
      <c r="AM638" s="87">
        <v>2592000</v>
      </c>
      <c r="AN638" s="87">
        <v>169565</v>
      </c>
      <c r="AO638" s="87">
        <v>169565</v>
      </c>
      <c r="AP638" s="87">
        <v>169000</v>
      </c>
      <c r="AQ638" s="88">
        <v>0</v>
      </c>
      <c r="AR638" s="88">
        <v>0</v>
      </c>
      <c r="AS638" s="88">
        <v>0</v>
      </c>
      <c r="AT638" s="88">
        <v>0</v>
      </c>
      <c r="AU638" s="88">
        <v>0</v>
      </c>
      <c r="AV638" s="88">
        <v>0</v>
      </c>
      <c r="AW638" s="88">
        <v>0</v>
      </c>
      <c r="AX638" s="88">
        <v>0</v>
      </c>
      <c r="AY638" s="87">
        <v>0</v>
      </c>
      <c r="AZ638" s="87">
        <v>0</v>
      </c>
      <c r="BA638" s="87">
        <v>0</v>
      </c>
      <c r="BB638" s="87">
        <v>0</v>
      </c>
      <c r="BC638" s="87">
        <v>0</v>
      </c>
      <c r="BD638" s="87">
        <v>0</v>
      </c>
      <c r="BE638" s="87">
        <v>0</v>
      </c>
      <c r="BF638" s="87">
        <v>0</v>
      </c>
      <c r="BG638" s="88">
        <v>0</v>
      </c>
      <c r="BH638" s="88">
        <v>0</v>
      </c>
      <c r="BI638" s="88">
        <v>0</v>
      </c>
      <c r="BJ638" s="88">
        <v>0</v>
      </c>
      <c r="BK638" s="88">
        <v>0</v>
      </c>
      <c r="BL638" s="88">
        <v>0</v>
      </c>
      <c r="BM638" s="88">
        <v>0</v>
      </c>
      <c r="BN638" s="590">
        <v>0</v>
      </c>
      <c r="BO638" s="171">
        <v>2023</v>
      </c>
      <c r="BP638" s="171">
        <v>3</v>
      </c>
      <c r="BQ638" s="171">
        <v>9</v>
      </c>
      <c r="BS638" s="76" t="str">
        <f t="shared" si="20"/>
        <v>○</v>
      </c>
    </row>
    <row r="639" spans="1:71" x14ac:dyDescent="0.2">
      <c r="A639" s="210">
        <v>1862</v>
      </c>
      <c r="B639" s="211"/>
      <c r="C639" s="212"/>
      <c r="D639" s="211"/>
      <c r="E639" s="212"/>
      <c r="F639" s="211"/>
      <c r="G639" s="211"/>
      <c r="H639" s="212"/>
      <c r="I639" s="211"/>
      <c r="J639" s="211"/>
      <c r="K639" s="211"/>
      <c r="L639" s="171"/>
      <c r="M639" s="171" t="s">
        <v>921</v>
      </c>
      <c r="N639" s="171" t="s">
        <v>922</v>
      </c>
      <c r="O639" s="171" t="s">
        <v>647</v>
      </c>
      <c r="P639" s="171" t="s">
        <v>916</v>
      </c>
      <c r="Q639" s="171"/>
      <c r="R639" s="213">
        <v>3098000</v>
      </c>
      <c r="S639" s="87">
        <v>0</v>
      </c>
      <c r="T639" s="87">
        <v>0</v>
      </c>
      <c r="U639" s="87">
        <v>0</v>
      </c>
      <c r="V639" s="87">
        <v>0</v>
      </c>
      <c r="W639" s="87">
        <v>0</v>
      </c>
      <c r="X639" s="87">
        <v>0</v>
      </c>
      <c r="Y639" s="87">
        <v>0</v>
      </c>
      <c r="Z639" s="87">
        <v>0</v>
      </c>
      <c r="AA639" s="214">
        <v>0</v>
      </c>
      <c r="AB639" s="214">
        <v>0</v>
      </c>
      <c r="AC639" s="214">
        <v>0</v>
      </c>
      <c r="AD639" s="214">
        <v>0</v>
      </c>
      <c r="AE639" s="214">
        <v>0</v>
      </c>
      <c r="AF639" s="214">
        <v>0</v>
      </c>
      <c r="AG639" s="214">
        <v>0</v>
      </c>
      <c r="AH639" s="214">
        <v>0</v>
      </c>
      <c r="AI639" s="87">
        <v>3098710</v>
      </c>
      <c r="AJ639" s="87">
        <v>0</v>
      </c>
      <c r="AK639" s="87">
        <v>3098710</v>
      </c>
      <c r="AL639" s="87">
        <v>3098710</v>
      </c>
      <c r="AM639" s="87">
        <v>3098710</v>
      </c>
      <c r="AN639" s="87">
        <v>3098710</v>
      </c>
      <c r="AO639" s="87">
        <v>3098000</v>
      </c>
      <c r="AP639" s="87">
        <v>3098000</v>
      </c>
      <c r="AQ639" s="88">
        <v>0</v>
      </c>
      <c r="AR639" s="88">
        <v>0</v>
      </c>
      <c r="AS639" s="88">
        <v>0</v>
      </c>
      <c r="AT639" s="88">
        <v>0</v>
      </c>
      <c r="AU639" s="88">
        <v>0</v>
      </c>
      <c r="AV639" s="88">
        <v>0</v>
      </c>
      <c r="AW639" s="88">
        <v>0</v>
      </c>
      <c r="AX639" s="88">
        <v>0</v>
      </c>
      <c r="AY639" s="87">
        <v>0</v>
      </c>
      <c r="AZ639" s="87">
        <v>0</v>
      </c>
      <c r="BA639" s="87">
        <v>0</v>
      </c>
      <c r="BB639" s="87">
        <v>0</v>
      </c>
      <c r="BC639" s="87">
        <v>0</v>
      </c>
      <c r="BD639" s="87">
        <v>0</v>
      </c>
      <c r="BE639" s="87">
        <v>0</v>
      </c>
      <c r="BF639" s="87">
        <v>0</v>
      </c>
      <c r="BG639" s="88">
        <v>0</v>
      </c>
      <c r="BH639" s="88">
        <v>0</v>
      </c>
      <c r="BI639" s="88">
        <v>0</v>
      </c>
      <c r="BJ639" s="88">
        <v>0</v>
      </c>
      <c r="BK639" s="88">
        <v>0</v>
      </c>
      <c r="BL639" s="88">
        <v>0</v>
      </c>
      <c r="BM639" s="88">
        <v>0</v>
      </c>
      <c r="BN639" s="590">
        <v>0</v>
      </c>
      <c r="BO639" s="171">
        <v>2023</v>
      </c>
      <c r="BP639" s="171">
        <v>3</v>
      </c>
      <c r="BQ639" s="171">
        <v>9</v>
      </c>
      <c r="BS639" s="76" t="str">
        <f t="shared" si="20"/>
        <v>○</v>
      </c>
    </row>
    <row r="640" spans="1:71" x14ac:dyDescent="0.2">
      <c r="A640" s="210">
        <v>1863</v>
      </c>
      <c r="B640" s="211"/>
      <c r="C640" s="212"/>
      <c r="D640" s="211"/>
      <c r="E640" s="212"/>
      <c r="F640" s="211"/>
      <c r="G640" s="211"/>
      <c r="H640" s="212"/>
      <c r="I640" s="211"/>
      <c r="J640" s="211"/>
      <c r="K640" s="211"/>
      <c r="L640" s="171"/>
      <c r="M640" s="171" t="s">
        <v>923</v>
      </c>
      <c r="N640" s="171" t="s">
        <v>919</v>
      </c>
      <c r="O640" s="171" t="s">
        <v>924</v>
      </c>
      <c r="P640" s="171" t="s">
        <v>916</v>
      </c>
      <c r="Q640" s="171"/>
      <c r="R640" s="213">
        <v>100000</v>
      </c>
      <c r="S640" s="87">
        <v>0</v>
      </c>
      <c r="T640" s="87">
        <v>0</v>
      </c>
      <c r="U640" s="87">
        <v>0</v>
      </c>
      <c r="V640" s="87">
        <v>0</v>
      </c>
      <c r="W640" s="87">
        <v>0</v>
      </c>
      <c r="X640" s="87">
        <v>0</v>
      </c>
      <c r="Y640" s="87">
        <v>0</v>
      </c>
      <c r="Z640" s="87">
        <v>0</v>
      </c>
      <c r="AA640" s="214">
        <v>0</v>
      </c>
      <c r="AB640" s="214">
        <v>0</v>
      </c>
      <c r="AC640" s="214">
        <v>0</v>
      </c>
      <c r="AD640" s="214">
        <v>0</v>
      </c>
      <c r="AE640" s="214">
        <v>0</v>
      </c>
      <c r="AF640" s="214">
        <v>0</v>
      </c>
      <c r="AG640" s="214">
        <v>0</v>
      </c>
      <c r="AH640" s="214">
        <v>0</v>
      </c>
      <c r="AI640" s="87">
        <v>100980</v>
      </c>
      <c r="AJ640" s="87">
        <v>0</v>
      </c>
      <c r="AK640" s="87">
        <v>100980</v>
      </c>
      <c r="AL640" s="87">
        <v>100980</v>
      </c>
      <c r="AM640" s="87">
        <v>2520000</v>
      </c>
      <c r="AN640" s="87">
        <v>100980</v>
      </c>
      <c r="AO640" s="87">
        <v>100000</v>
      </c>
      <c r="AP640" s="87">
        <v>100000</v>
      </c>
      <c r="AQ640" s="88">
        <v>0</v>
      </c>
      <c r="AR640" s="88">
        <v>0</v>
      </c>
      <c r="AS640" s="88">
        <v>0</v>
      </c>
      <c r="AT640" s="88">
        <v>0</v>
      </c>
      <c r="AU640" s="88">
        <v>0</v>
      </c>
      <c r="AV640" s="88">
        <v>0</v>
      </c>
      <c r="AW640" s="88">
        <v>0</v>
      </c>
      <c r="AX640" s="88">
        <v>0</v>
      </c>
      <c r="AY640" s="87">
        <v>0</v>
      </c>
      <c r="AZ640" s="87">
        <v>0</v>
      </c>
      <c r="BA640" s="87">
        <v>0</v>
      </c>
      <c r="BB640" s="87">
        <v>0</v>
      </c>
      <c r="BC640" s="87">
        <v>0</v>
      </c>
      <c r="BD640" s="87">
        <v>0</v>
      </c>
      <c r="BE640" s="87">
        <v>0</v>
      </c>
      <c r="BF640" s="87">
        <v>0</v>
      </c>
      <c r="BG640" s="88">
        <v>0</v>
      </c>
      <c r="BH640" s="88">
        <v>0</v>
      </c>
      <c r="BI640" s="88">
        <v>0</v>
      </c>
      <c r="BJ640" s="88">
        <v>0</v>
      </c>
      <c r="BK640" s="88">
        <v>0</v>
      </c>
      <c r="BL640" s="88">
        <v>0</v>
      </c>
      <c r="BM640" s="88">
        <v>0</v>
      </c>
      <c r="BN640" s="590">
        <v>0</v>
      </c>
      <c r="BO640" s="171">
        <v>2023</v>
      </c>
      <c r="BP640" s="171">
        <v>3</v>
      </c>
      <c r="BQ640" s="171">
        <v>9</v>
      </c>
      <c r="BS640" s="76" t="str">
        <f t="shared" si="20"/>
        <v>○</v>
      </c>
    </row>
    <row r="641" spans="1:71" x14ac:dyDescent="0.2">
      <c r="A641" s="210">
        <v>1865</v>
      </c>
      <c r="B641" s="211"/>
      <c r="C641" s="212"/>
      <c r="D641" s="211"/>
      <c r="E641" s="212"/>
      <c r="F641" s="211"/>
      <c r="G641" s="211"/>
      <c r="H641" s="212"/>
      <c r="I641" s="211"/>
      <c r="J641" s="211"/>
      <c r="K641" s="211"/>
      <c r="L641" s="171"/>
      <c r="M641" s="171" t="s">
        <v>351</v>
      </c>
      <c r="N641" s="171" t="s">
        <v>286</v>
      </c>
      <c r="O641" s="171" t="s">
        <v>352</v>
      </c>
      <c r="P641" s="171" t="s">
        <v>916</v>
      </c>
      <c r="Q641" s="171"/>
      <c r="R641" s="213">
        <v>45000</v>
      </c>
      <c r="S641" s="87">
        <v>0</v>
      </c>
      <c r="T641" s="87">
        <v>0</v>
      </c>
      <c r="U641" s="87">
        <v>0</v>
      </c>
      <c r="V641" s="87">
        <v>0</v>
      </c>
      <c r="W641" s="87">
        <v>0</v>
      </c>
      <c r="X641" s="87">
        <v>0</v>
      </c>
      <c r="Y641" s="87">
        <v>0</v>
      </c>
      <c r="Z641" s="87">
        <v>0</v>
      </c>
      <c r="AA641" s="214">
        <v>0</v>
      </c>
      <c r="AB641" s="214">
        <v>0</v>
      </c>
      <c r="AC641" s="214">
        <v>0</v>
      </c>
      <c r="AD641" s="214">
        <v>0</v>
      </c>
      <c r="AE641" s="214">
        <v>0</v>
      </c>
      <c r="AF641" s="214">
        <v>0</v>
      </c>
      <c r="AG641" s="214">
        <v>0</v>
      </c>
      <c r="AH641" s="214">
        <v>0</v>
      </c>
      <c r="AI641" s="87">
        <v>45276</v>
      </c>
      <c r="AJ641" s="87">
        <v>0</v>
      </c>
      <c r="AK641" s="87">
        <v>45276</v>
      </c>
      <c r="AL641" s="87">
        <v>45276</v>
      </c>
      <c r="AM641" s="87">
        <v>1425600</v>
      </c>
      <c r="AN641" s="87">
        <v>45276</v>
      </c>
      <c r="AO641" s="87">
        <v>45000</v>
      </c>
      <c r="AP641" s="87">
        <v>45000</v>
      </c>
      <c r="AQ641" s="88">
        <v>0</v>
      </c>
      <c r="AR641" s="88">
        <v>0</v>
      </c>
      <c r="AS641" s="88">
        <v>0</v>
      </c>
      <c r="AT641" s="88">
        <v>0</v>
      </c>
      <c r="AU641" s="88">
        <v>0</v>
      </c>
      <c r="AV641" s="88">
        <v>0</v>
      </c>
      <c r="AW641" s="88">
        <v>0</v>
      </c>
      <c r="AX641" s="88">
        <v>0</v>
      </c>
      <c r="AY641" s="87">
        <v>0</v>
      </c>
      <c r="AZ641" s="87">
        <v>0</v>
      </c>
      <c r="BA641" s="87">
        <v>0</v>
      </c>
      <c r="BB641" s="87">
        <v>0</v>
      </c>
      <c r="BC641" s="87">
        <v>0</v>
      </c>
      <c r="BD641" s="87">
        <v>0</v>
      </c>
      <c r="BE641" s="87">
        <v>0</v>
      </c>
      <c r="BF641" s="87">
        <v>0</v>
      </c>
      <c r="BG641" s="88">
        <v>0</v>
      </c>
      <c r="BH641" s="88">
        <v>0</v>
      </c>
      <c r="BI641" s="88">
        <v>0</v>
      </c>
      <c r="BJ641" s="88">
        <v>0</v>
      </c>
      <c r="BK641" s="88">
        <v>0</v>
      </c>
      <c r="BL641" s="88">
        <v>0</v>
      </c>
      <c r="BM641" s="88">
        <v>0</v>
      </c>
      <c r="BN641" s="592">
        <v>0</v>
      </c>
      <c r="BO641" s="171">
        <v>2023</v>
      </c>
      <c r="BP641" s="171">
        <v>3</v>
      </c>
      <c r="BQ641" s="171">
        <v>9</v>
      </c>
      <c r="BS641" s="76" t="str">
        <f t="shared" si="20"/>
        <v>○</v>
      </c>
    </row>
    <row r="642" spans="1:71" x14ac:dyDescent="0.2">
      <c r="A642" s="210">
        <v>1866</v>
      </c>
      <c r="B642" s="211"/>
      <c r="C642" s="212"/>
      <c r="D642" s="211"/>
      <c r="E642" s="212"/>
      <c r="F642" s="211"/>
      <c r="G642" s="211"/>
      <c r="H642" s="212"/>
      <c r="I642" s="211"/>
      <c r="J642" s="211"/>
      <c r="K642" s="211"/>
      <c r="L642" s="171"/>
      <c r="M642" s="171" t="s">
        <v>653</v>
      </c>
      <c r="N642" s="171" t="s">
        <v>919</v>
      </c>
      <c r="O642" s="171" t="s">
        <v>448</v>
      </c>
      <c r="P642" s="171" t="s">
        <v>916</v>
      </c>
      <c r="R642" s="213">
        <v>2000</v>
      </c>
      <c r="S642" s="87">
        <v>0</v>
      </c>
      <c r="T642" s="87">
        <v>0</v>
      </c>
      <c r="U642" s="87">
        <v>0</v>
      </c>
      <c r="V642" s="87">
        <v>0</v>
      </c>
      <c r="W642" s="87">
        <v>0</v>
      </c>
      <c r="X642" s="87">
        <v>0</v>
      </c>
      <c r="Y642" s="87">
        <v>0</v>
      </c>
      <c r="Z642" s="87">
        <v>0</v>
      </c>
      <c r="AA642" s="214">
        <v>0</v>
      </c>
      <c r="AB642" s="214">
        <v>0</v>
      </c>
      <c r="AC642" s="214">
        <v>0</v>
      </c>
      <c r="AD642" s="214">
        <v>0</v>
      </c>
      <c r="AE642" s="214">
        <v>0</v>
      </c>
      <c r="AF642" s="214">
        <v>0</v>
      </c>
      <c r="AG642" s="214">
        <v>0</v>
      </c>
      <c r="AH642" s="214">
        <v>0</v>
      </c>
      <c r="AI642" s="87">
        <v>2672</v>
      </c>
      <c r="AJ642" s="87">
        <v>0</v>
      </c>
      <c r="AK642" s="87">
        <v>2672</v>
      </c>
      <c r="AL642" s="87">
        <v>2672</v>
      </c>
      <c r="AM642" s="87">
        <v>864000</v>
      </c>
      <c r="AN642" s="87">
        <v>2672</v>
      </c>
      <c r="AO642" s="87">
        <v>2000</v>
      </c>
      <c r="AP642" s="87">
        <v>2000</v>
      </c>
      <c r="AQ642" s="88">
        <v>0</v>
      </c>
      <c r="AR642" s="88">
        <v>0</v>
      </c>
      <c r="AS642" s="88">
        <v>0</v>
      </c>
      <c r="AT642" s="88">
        <v>0</v>
      </c>
      <c r="AU642" s="88">
        <v>0</v>
      </c>
      <c r="AV642" s="88">
        <v>0</v>
      </c>
      <c r="AW642" s="88">
        <v>0</v>
      </c>
      <c r="AX642" s="88">
        <v>0</v>
      </c>
      <c r="AY642" s="87">
        <v>0</v>
      </c>
      <c r="AZ642" s="87">
        <v>0</v>
      </c>
      <c r="BA642" s="87">
        <v>0</v>
      </c>
      <c r="BB642" s="87">
        <v>0</v>
      </c>
      <c r="BC642" s="87">
        <v>0</v>
      </c>
      <c r="BD642" s="87">
        <v>0</v>
      </c>
      <c r="BE642" s="87">
        <v>0</v>
      </c>
      <c r="BF642" s="87">
        <v>0</v>
      </c>
      <c r="BG642" s="88">
        <v>0</v>
      </c>
      <c r="BH642" s="88">
        <v>0</v>
      </c>
      <c r="BI642" s="88">
        <v>0</v>
      </c>
      <c r="BJ642" s="88">
        <v>0</v>
      </c>
      <c r="BK642" s="88">
        <v>0</v>
      </c>
      <c r="BL642" s="88">
        <v>0</v>
      </c>
      <c r="BM642" s="88">
        <v>0</v>
      </c>
      <c r="BN642" s="88">
        <v>0</v>
      </c>
      <c r="BO642" s="171">
        <v>2023</v>
      </c>
      <c r="BP642" s="171">
        <v>3</v>
      </c>
      <c r="BQ642" s="171">
        <v>9</v>
      </c>
      <c r="BS642" s="76" t="str">
        <f t="shared" si="20"/>
        <v>○</v>
      </c>
    </row>
    <row r="643" spans="1:71" x14ac:dyDescent="0.2">
      <c r="A643" s="210">
        <v>1867</v>
      </c>
      <c r="B643" s="211"/>
      <c r="C643" s="212"/>
      <c r="D643" s="211"/>
      <c r="E643" s="212"/>
      <c r="F643" s="211"/>
      <c r="G643" s="211"/>
      <c r="H643" s="212"/>
      <c r="I643" s="211"/>
      <c r="J643" s="211"/>
      <c r="K643" s="211"/>
      <c r="L643" s="171"/>
      <c r="M643" s="171" t="s">
        <v>925</v>
      </c>
      <c r="N643" s="171" t="s">
        <v>393</v>
      </c>
      <c r="O643" s="171" t="s">
        <v>482</v>
      </c>
      <c r="P643" s="171" t="s">
        <v>916</v>
      </c>
      <c r="R643" s="213">
        <v>294000</v>
      </c>
      <c r="S643" s="87">
        <v>0</v>
      </c>
      <c r="T643" s="87">
        <v>0</v>
      </c>
      <c r="U643" s="87">
        <v>0</v>
      </c>
      <c r="V643" s="87">
        <v>0</v>
      </c>
      <c r="W643" s="87">
        <v>0</v>
      </c>
      <c r="X643" s="87">
        <v>0</v>
      </c>
      <c r="Y643" s="87">
        <v>0</v>
      </c>
      <c r="Z643" s="87">
        <v>0</v>
      </c>
      <c r="AA643" s="214">
        <v>0</v>
      </c>
      <c r="AB643" s="214">
        <v>0</v>
      </c>
      <c r="AC643" s="214">
        <v>0</v>
      </c>
      <c r="AD643" s="214">
        <v>0</v>
      </c>
      <c r="AE643" s="214">
        <v>0</v>
      </c>
      <c r="AF643" s="214">
        <v>0</v>
      </c>
      <c r="AG643" s="214">
        <v>0</v>
      </c>
      <c r="AH643" s="214">
        <v>0</v>
      </c>
      <c r="AI643" s="87">
        <v>294250</v>
      </c>
      <c r="AJ643" s="87">
        <v>0</v>
      </c>
      <c r="AK643" s="87">
        <v>294250</v>
      </c>
      <c r="AL643" s="87">
        <v>294250</v>
      </c>
      <c r="AM643" s="87">
        <v>842400</v>
      </c>
      <c r="AN643" s="87">
        <v>294250</v>
      </c>
      <c r="AO643" s="87">
        <v>294000</v>
      </c>
      <c r="AP643" s="87">
        <v>294000</v>
      </c>
      <c r="AQ643" s="88">
        <v>0</v>
      </c>
      <c r="AR643" s="88">
        <v>0</v>
      </c>
      <c r="AS643" s="88">
        <v>0</v>
      </c>
      <c r="AT643" s="88">
        <v>0</v>
      </c>
      <c r="AU643" s="88">
        <v>0</v>
      </c>
      <c r="AV643" s="88">
        <v>0</v>
      </c>
      <c r="AW643" s="88">
        <v>0</v>
      </c>
      <c r="AX643" s="88">
        <v>0</v>
      </c>
      <c r="AY643" s="87">
        <v>0</v>
      </c>
      <c r="AZ643" s="87">
        <v>0</v>
      </c>
      <c r="BA643" s="87">
        <v>0</v>
      </c>
      <c r="BB643" s="87">
        <v>0</v>
      </c>
      <c r="BC643" s="87">
        <v>0</v>
      </c>
      <c r="BD643" s="87">
        <v>0</v>
      </c>
      <c r="BE643" s="87">
        <v>0</v>
      </c>
      <c r="BF643" s="87">
        <v>0</v>
      </c>
      <c r="BG643" s="88">
        <v>0</v>
      </c>
      <c r="BH643" s="88">
        <v>0</v>
      </c>
      <c r="BI643" s="88">
        <v>0</v>
      </c>
      <c r="BJ643" s="88">
        <v>0</v>
      </c>
      <c r="BK643" s="88">
        <v>0</v>
      </c>
      <c r="BL643" s="88">
        <v>0</v>
      </c>
      <c r="BM643" s="88">
        <v>0</v>
      </c>
      <c r="BN643" s="88">
        <v>0</v>
      </c>
      <c r="BO643" s="171">
        <v>2023</v>
      </c>
      <c r="BP643" s="171">
        <v>3</v>
      </c>
      <c r="BQ643" s="171">
        <v>9</v>
      </c>
      <c r="BS643" s="76" t="str">
        <f t="shared" si="20"/>
        <v>○</v>
      </c>
    </row>
    <row r="644" spans="1:71" x14ac:dyDescent="0.2">
      <c r="A644" s="210">
        <v>1868</v>
      </c>
      <c r="B644" s="211"/>
      <c r="C644" s="212"/>
      <c r="D644" s="211"/>
      <c r="E644" s="212"/>
      <c r="F644" s="211"/>
      <c r="G644" s="211"/>
      <c r="H644" s="212"/>
      <c r="I644" s="211"/>
      <c r="J644" s="211"/>
      <c r="K644" s="211"/>
      <c r="L644" s="171"/>
      <c r="M644" s="171" t="s">
        <v>291</v>
      </c>
      <c r="N644" s="171" t="s">
        <v>919</v>
      </c>
      <c r="O644" s="171" t="s">
        <v>292</v>
      </c>
      <c r="P644" s="171" t="s">
        <v>916</v>
      </c>
      <c r="R644" s="213">
        <v>539000</v>
      </c>
      <c r="S644" s="87">
        <v>0</v>
      </c>
      <c r="T644" s="87">
        <v>0</v>
      </c>
      <c r="U644" s="87">
        <v>0</v>
      </c>
      <c r="V644" s="87">
        <v>0</v>
      </c>
      <c r="W644" s="87">
        <v>0</v>
      </c>
      <c r="X644" s="87">
        <v>0</v>
      </c>
      <c r="Y644" s="87">
        <v>0</v>
      </c>
      <c r="Z644" s="87">
        <v>0</v>
      </c>
      <c r="AA644" s="214">
        <v>0</v>
      </c>
      <c r="AB644" s="214">
        <v>0</v>
      </c>
      <c r="AC644" s="214">
        <v>0</v>
      </c>
      <c r="AD644" s="214">
        <v>0</v>
      </c>
      <c r="AE644" s="214">
        <v>0</v>
      </c>
      <c r="AF644" s="214">
        <v>0</v>
      </c>
      <c r="AG644" s="214">
        <v>0</v>
      </c>
      <c r="AH644" s="214">
        <v>0</v>
      </c>
      <c r="AI644" s="87">
        <v>539660</v>
      </c>
      <c r="AJ644" s="87">
        <v>0</v>
      </c>
      <c r="AK644" s="87">
        <v>539660</v>
      </c>
      <c r="AL644" s="87">
        <v>539660</v>
      </c>
      <c r="AM644" s="87">
        <v>1620000</v>
      </c>
      <c r="AN644" s="87">
        <v>539660</v>
      </c>
      <c r="AO644" s="87">
        <v>539000</v>
      </c>
      <c r="AP644" s="87">
        <v>539000</v>
      </c>
      <c r="AQ644" s="88">
        <v>0</v>
      </c>
      <c r="AR644" s="88">
        <v>0</v>
      </c>
      <c r="AS644" s="88">
        <v>0</v>
      </c>
      <c r="AT644" s="88">
        <v>0</v>
      </c>
      <c r="AU644" s="88">
        <v>0</v>
      </c>
      <c r="AV644" s="88">
        <v>0</v>
      </c>
      <c r="AW644" s="88">
        <v>0</v>
      </c>
      <c r="AX644" s="88">
        <v>0</v>
      </c>
      <c r="AY644" s="87">
        <v>0</v>
      </c>
      <c r="AZ644" s="87">
        <v>0</v>
      </c>
      <c r="BA644" s="87">
        <v>0</v>
      </c>
      <c r="BB644" s="87">
        <v>0</v>
      </c>
      <c r="BC644" s="87">
        <v>0</v>
      </c>
      <c r="BD644" s="87">
        <v>0</v>
      </c>
      <c r="BE644" s="87">
        <v>0</v>
      </c>
      <c r="BF644" s="87">
        <v>0</v>
      </c>
      <c r="BG644" s="88">
        <v>0</v>
      </c>
      <c r="BH644" s="88">
        <v>0</v>
      </c>
      <c r="BI644" s="88">
        <v>0</v>
      </c>
      <c r="BJ644" s="88">
        <v>0</v>
      </c>
      <c r="BK644" s="88">
        <v>0</v>
      </c>
      <c r="BL644" s="88">
        <v>0</v>
      </c>
      <c r="BM644" s="88">
        <v>0</v>
      </c>
      <c r="BN644" s="88">
        <v>0</v>
      </c>
      <c r="BO644" s="171">
        <v>2023</v>
      </c>
      <c r="BP644" s="171">
        <v>3</v>
      </c>
      <c r="BQ644" s="171">
        <v>9</v>
      </c>
      <c r="BS644" s="76" t="str">
        <f t="shared" si="20"/>
        <v>○</v>
      </c>
    </row>
    <row r="645" spans="1:71" x14ac:dyDescent="0.2">
      <c r="A645" s="210">
        <v>1869</v>
      </c>
      <c r="B645" s="211"/>
      <c r="C645" s="212"/>
      <c r="D645" s="211"/>
      <c r="E645" s="212"/>
      <c r="F645" s="211"/>
      <c r="G645" s="211"/>
      <c r="H645" s="212"/>
      <c r="I645" s="211"/>
      <c r="J645" s="211"/>
      <c r="K645" s="211"/>
      <c r="L645" s="171"/>
      <c r="M645" s="171" t="s">
        <v>361</v>
      </c>
      <c r="N645" s="171" t="s">
        <v>275</v>
      </c>
      <c r="O645" s="171" t="s">
        <v>362</v>
      </c>
      <c r="P645" s="171" t="s">
        <v>916</v>
      </c>
      <c r="R645" s="213">
        <v>1331000</v>
      </c>
      <c r="S645" s="87">
        <v>0</v>
      </c>
      <c r="T645" s="87">
        <v>0</v>
      </c>
      <c r="U645" s="87">
        <v>0</v>
      </c>
      <c r="V645" s="87">
        <v>0</v>
      </c>
      <c r="W645" s="87">
        <v>0</v>
      </c>
      <c r="X645" s="87">
        <v>0</v>
      </c>
      <c r="Y645" s="87">
        <v>0</v>
      </c>
      <c r="Z645" s="87">
        <v>0</v>
      </c>
      <c r="AA645" s="214">
        <v>0</v>
      </c>
      <c r="AB645" s="214">
        <v>0</v>
      </c>
      <c r="AC645" s="214">
        <v>0</v>
      </c>
      <c r="AD645" s="214">
        <v>0</v>
      </c>
      <c r="AE645" s="214">
        <v>0</v>
      </c>
      <c r="AF645" s="214">
        <v>0</v>
      </c>
      <c r="AG645" s="214">
        <v>0</v>
      </c>
      <c r="AH645" s="214">
        <v>0</v>
      </c>
      <c r="AI645" s="87">
        <v>0</v>
      </c>
      <c r="AJ645" s="87">
        <v>0</v>
      </c>
      <c r="AK645" s="87">
        <v>0</v>
      </c>
      <c r="AL645" s="87">
        <v>0</v>
      </c>
      <c r="AM645" s="87">
        <v>0</v>
      </c>
      <c r="AN645" s="87">
        <v>0</v>
      </c>
      <c r="AO645" s="87">
        <v>0</v>
      </c>
      <c r="AP645" s="87">
        <v>0</v>
      </c>
      <c r="AQ645" s="88">
        <v>0</v>
      </c>
      <c r="AR645" s="88">
        <v>0</v>
      </c>
      <c r="AS645" s="88">
        <v>0</v>
      </c>
      <c r="AT645" s="88">
        <v>0</v>
      </c>
      <c r="AU645" s="88">
        <v>0</v>
      </c>
      <c r="AV645" s="88">
        <v>0</v>
      </c>
      <c r="AW645" s="88">
        <v>0</v>
      </c>
      <c r="AX645" s="88">
        <v>0</v>
      </c>
      <c r="AY645" s="87">
        <v>0</v>
      </c>
      <c r="AZ645" s="87">
        <v>0</v>
      </c>
      <c r="BA645" s="87">
        <v>0</v>
      </c>
      <c r="BB645" s="87">
        <v>0</v>
      </c>
      <c r="BC645" s="87">
        <v>0</v>
      </c>
      <c r="BD645" s="87">
        <v>0</v>
      </c>
      <c r="BE645" s="87">
        <v>0</v>
      </c>
      <c r="BF645" s="87">
        <v>0</v>
      </c>
      <c r="BG645" s="88">
        <v>1331000</v>
      </c>
      <c r="BH645" s="88">
        <v>0</v>
      </c>
      <c r="BI645" s="88">
        <v>1331000</v>
      </c>
      <c r="BJ645" s="88">
        <v>1331000</v>
      </c>
      <c r="BK645" s="88">
        <v>1331000</v>
      </c>
      <c r="BL645" s="88">
        <v>1331000</v>
      </c>
      <c r="BM645" s="88">
        <v>1331000</v>
      </c>
      <c r="BN645" s="88">
        <v>1331000</v>
      </c>
      <c r="BO645" s="171">
        <v>2023</v>
      </c>
      <c r="BP645" s="171">
        <v>3</v>
      </c>
      <c r="BQ645" s="171">
        <v>9</v>
      </c>
      <c r="BS645" s="76" t="str">
        <f t="shared" si="20"/>
        <v>○</v>
      </c>
    </row>
    <row r="646" spans="1:71" x14ac:dyDescent="0.2">
      <c r="A646" s="175">
        <v>1871</v>
      </c>
      <c r="K646" s="183"/>
      <c r="L646" s="100"/>
      <c r="M646" s="100" t="s">
        <v>347</v>
      </c>
      <c r="N646" s="100" t="s">
        <v>348</v>
      </c>
      <c r="O646" s="100" t="s">
        <v>279</v>
      </c>
      <c r="P646" s="100" t="s">
        <v>916</v>
      </c>
      <c r="R646" s="86">
        <v>261000</v>
      </c>
      <c r="S646" s="87">
        <v>0</v>
      </c>
      <c r="T646" s="87">
        <v>0</v>
      </c>
      <c r="U646" s="87">
        <v>0</v>
      </c>
      <c r="V646" s="87">
        <v>0</v>
      </c>
      <c r="W646" s="87">
        <v>0</v>
      </c>
      <c r="X646" s="87">
        <v>0</v>
      </c>
      <c r="Y646" s="87">
        <v>0</v>
      </c>
      <c r="Z646" s="87">
        <v>0</v>
      </c>
      <c r="AA646" s="88">
        <v>0</v>
      </c>
      <c r="AB646" s="88">
        <v>0</v>
      </c>
      <c r="AC646" s="88">
        <v>0</v>
      </c>
      <c r="AD646" s="88">
        <v>0</v>
      </c>
      <c r="AE646" s="88">
        <v>0</v>
      </c>
      <c r="AF646" s="88">
        <v>0</v>
      </c>
      <c r="AG646" s="88">
        <v>0</v>
      </c>
      <c r="AH646" s="88">
        <v>0</v>
      </c>
      <c r="AI646" s="87">
        <v>261278</v>
      </c>
      <c r="AJ646" s="87">
        <v>0</v>
      </c>
      <c r="AK646" s="87">
        <v>261278</v>
      </c>
      <c r="AL646" s="87">
        <v>1998000</v>
      </c>
      <c r="AM646" s="87">
        <v>261278</v>
      </c>
      <c r="AN646" s="87">
        <v>261278</v>
      </c>
      <c r="AO646" s="87">
        <v>261000</v>
      </c>
      <c r="AP646" s="87">
        <v>261000</v>
      </c>
      <c r="AQ646" s="88">
        <v>0</v>
      </c>
      <c r="AR646" s="88">
        <v>0</v>
      </c>
      <c r="AS646" s="88">
        <v>0</v>
      </c>
      <c r="AT646" s="88">
        <v>0</v>
      </c>
      <c r="AU646" s="88">
        <v>0</v>
      </c>
      <c r="AV646" s="88">
        <v>0</v>
      </c>
      <c r="AW646" s="88">
        <v>0</v>
      </c>
      <c r="AX646" s="88">
        <v>0</v>
      </c>
      <c r="AY646" s="87">
        <v>0</v>
      </c>
      <c r="AZ646" s="87">
        <v>0</v>
      </c>
      <c r="BA646" s="87">
        <v>0</v>
      </c>
      <c r="BB646" s="87">
        <v>0</v>
      </c>
      <c r="BC646" s="87">
        <v>0</v>
      </c>
      <c r="BD646" s="87">
        <v>0</v>
      </c>
      <c r="BE646" s="87">
        <v>0</v>
      </c>
      <c r="BF646" s="87">
        <v>0</v>
      </c>
      <c r="BG646" s="88">
        <v>0</v>
      </c>
      <c r="BH646" s="88">
        <v>0</v>
      </c>
      <c r="BI646" s="88">
        <v>0</v>
      </c>
      <c r="BJ646" s="88">
        <v>0</v>
      </c>
      <c r="BK646" s="88">
        <v>0</v>
      </c>
      <c r="BL646" s="88">
        <v>0</v>
      </c>
      <c r="BM646" s="88">
        <v>0</v>
      </c>
      <c r="BN646" s="88">
        <v>0</v>
      </c>
      <c r="BO646" s="209">
        <v>2023</v>
      </c>
      <c r="BP646" s="208">
        <v>3</v>
      </c>
      <c r="BQ646" s="208">
        <v>23</v>
      </c>
      <c r="BS646" s="76" t="str">
        <f t="shared" si="20"/>
        <v>○</v>
      </c>
    </row>
    <row r="647" spans="1:71" x14ac:dyDescent="0.2">
      <c r="A647" s="175">
        <v>1872</v>
      </c>
      <c r="K647" s="183"/>
      <c r="L647" s="100"/>
      <c r="M647" s="100" t="s">
        <v>268</v>
      </c>
      <c r="N647" s="100" t="s">
        <v>269</v>
      </c>
      <c r="O647" s="100" t="s">
        <v>270</v>
      </c>
      <c r="P647" s="100" t="s">
        <v>916</v>
      </c>
      <c r="R647" s="86">
        <v>52000</v>
      </c>
      <c r="S647" s="87">
        <v>0</v>
      </c>
      <c r="T647" s="87">
        <v>0</v>
      </c>
      <c r="U647" s="87">
        <v>0</v>
      </c>
      <c r="V647" s="87">
        <v>0</v>
      </c>
      <c r="W647" s="87">
        <v>0</v>
      </c>
      <c r="X647" s="87">
        <v>0</v>
      </c>
      <c r="Y647" s="87">
        <v>0</v>
      </c>
      <c r="Z647" s="87">
        <v>0</v>
      </c>
      <c r="AA647" s="88">
        <v>0</v>
      </c>
      <c r="AB647" s="88">
        <v>0</v>
      </c>
      <c r="AC647" s="88">
        <v>0</v>
      </c>
      <c r="AD647" s="88">
        <v>0</v>
      </c>
      <c r="AE647" s="88">
        <v>0</v>
      </c>
      <c r="AF647" s="88">
        <v>0</v>
      </c>
      <c r="AG647" s="88">
        <v>0</v>
      </c>
      <c r="AH647" s="88">
        <v>0</v>
      </c>
      <c r="AI647" s="87">
        <v>44888</v>
      </c>
      <c r="AJ647" s="87">
        <v>0</v>
      </c>
      <c r="AK647" s="87">
        <v>44888</v>
      </c>
      <c r="AL647" s="87">
        <v>1328400</v>
      </c>
      <c r="AM647" s="87">
        <v>44888</v>
      </c>
      <c r="AN647" s="87">
        <v>44888</v>
      </c>
      <c r="AO647" s="87">
        <v>44000</v>
      </c>
      <c r="AP647" s="87">
        <v>44000</v>
      </c>
      <c r="AQ647" s="88">
        <v>0</v>
      </c>
      <c r="AR647" s="88">
        <v>0</v>
      </c>
      <c r="AS647" s="88">
        <v>0</v>
      </c>
      <c r="AT647" s="88">
        <v>0</v>
      </c>
      <c r="AU647" s="88">
        <v>0</v>
      </c>
      <c r="AV647" s="88">
        <v>0</v>
      </c>
      <c r="AW647" s="88">
        <v>0</v>
      </c>
      <c r="AX647" s="88">
        <v>0</v>
      </c>
      <c r="AY647" s="87">
        <v>0</v>
      </c>
      <c r="AZ647" s="87">
        <v>0</v>
      </c>
      <c r="BA647" s="87">
        <v>0</v>
      </c>
      <c r="BB647" s="87">
        <v>0</v>
      </c>
      <c r="BC647" s="87">
        <v>0</v>
      </c>
      <c r="BD647" s="87">
        <v>0</v>
      </c>
      <c r="BE647" s="87">
        <v>0</v>
      </c>
      <c r="BF647" s="87">
        <v>0</v>
      </c>
      <c r="BG647" s="88">
        <v>8838</v>
      </c>
      <c r="BH647" s="88">
        <v>0</v>
      </c>
      <c r="BI647" s="88">
        <v>8838</v>
      </c>
      <c r="BJ647" s="88">
        <v>8838</v>
      </c>
      <c r="BK647" s="88">
        <v>8838</v>
      </c>
      <c r="BL647" s="88">
        <v>8838</v>
      </c>
      <c r="BM647" s="88">
        <v>8000</v>
      </c>
      <c r="BN647" s="88">
        <v>8000</v>
      </c>
      <c r="BO647" s="209">
        <v>2023</v>
      </c>
      <c r="BP647" s="208">
        <v>3</v>
      </c>
      <c r="BQ647" s="208">
        <v>23</v>
      </c>
      <c r="BS647" s="76" t="str">
        <f t="shared" si="20"/>
        <v>○</v>
      </c>
    </row>
    <row r="648" spans="1:71" x14ac:dyDescent="0.2">
      <c r="A648" s="175">
        <v>1874</v>
      </c>
      <c r="K648" s="183"/>
      <c r="L648" s="100"/>
      <c r="M648" s="100" t="s">
        <v>913</v>
      </c>
      <c r="N648" s="100" t="s">
        <v>330</v>
      </c>
      <c r="O648" s="100" t="s">
        <v>914</v>
      </c>
      <c r="P648" s="100" t="s">
        <v>916</v>
      </c>
      <c r="R648" s="86">
        <v>4427000</v>
      </c>
      <c r="S648" s="87">
        <v>0</v>
      </c>
      <c r="T648" s="87">
        <v>0</v>
      </c>
      <c r="U648" s="87">
        <v>0</v>
      </c>
      <c r="V648" s="87">
        <v>0</v>
      </c>
      <c r="W648" s="87">
        <v>0</v>
      </c>
      <c r="X648" s="87">
        <v>0</v>
      </c>
      <c r="Y648" s="87">
        <v>0</v>
      </c>
      <c r="Z648" s="87">
        <v>0</v>
      </c>
      <c r="AA648" s="88">
        <v>0</v>
      </c>
      <c r="AB648" s="88">
        <v>0</v>
      </c>
      <c r="AC648" s="88">
        <v>0</v>
      </c>
      <c r="AD648" s="88">
        <v>0</v>
      </c>
      <c r="AE648" s="88">
        <v>0</v>
      </c>
      <c r="AF648" s="88">
        <v>0</v>
      </c>
      <c r="AG648" s="88">
        <v>0</v>
      </c>
      <c r="AH648" s="88">
        <v>0</v>
      </c>
      <c r="AI648" s="87">
        <v>4427140</v>
      </c>
      <c r="AJ648" s="87">
        <v>0</v>
      </c>
      <c r="AK648" s="87">
        <v>4427140</v>
      </c>
      <c r="AL648" s="87">
        <v>26208000</v>
      </c>
      <c r="AM648" s="87">
        <v>4427140</v>
      </c>
      <c r="AN648" s="87">
        <v>4427140</v>
      </c>
      <c r="AO648" s="87">
        <v>4427000</v>
      </c>
      <c r="AP648" s="87">
        <v>4427000</v>
      </c>
      <c r="AQ648" s="88">
        <v>0</v>
      </c>
      <c r="AR648" s="88">
        <v>0</v>
      </c>
      <c r="AS648" s="88">
        <v>0</v>
      </c>
      <c r="AT648" s="88">
        <v>0</v>
      </c>
      <c r="AU648" s="88">
        <v>0</v>
      </c>
      <c r="AV648" s="88">
        <v>0</v>
      </c>
      <c r="AW648" s="88">
        <v>0</v>
      </c>
      <c r="AX648" s="88">
        <v>0</v>
      </c>
      <c r="AY648" s="87">
        <v>0</v>
      </c>
      <c r="AZ648" s="87">
        <v>0</v>
      </c>
      <c r="BA648" s="87">
        <v>0</v>
      </c>
      <c r="BB648" s="87">
        <v>0</v>
      </c>
      <c r="BC648" s="87">
        <v>0</v>
      </c>
      <c r="BD648" s="87">
        <v>0</v>
      </c>
      <c r="BE648" s="87">
        <v>0</v>
      </c>
      <c r="BF648" s="87">
        <v>0</v>
      </c>
      <c r="BG648" s="88">
        <v>0</v>
      </c>
      <c r="BH648" s="88">
        <v>0</v>
      </c>
      <c r="BI648" s="88">
        <v>0</v>
      </c>
      <c r="BJ648" s="88">
        <v>0</v>
      </c>
      <c r="BK648" s="88">
        <v>0</v>
      </c>
      <c r="BL648" s="88">
        <v>0</v>
      </c>
      <c r="BM648" s="88">
        <v>0</v>
      </c>
      <c r="BN648" s="88">
        <v>0</v>
      </c>
      <c r="BO648" s="209">
        <v>2023</v>
      </c>
      <c r="BP648" s="208">
        <v>3</v>
      </c>
      <c r="BQ648" s="208">
        <v>23</v>
      </c>
      <c r="BS648" s="76" t="str">
        <f t="shared" si="20"/>
        <v>○</v>
      </c>
    </row>
    <row r="649" spans="1:71" x14ac:dyDescent="0.2">
      <c r="A649" s="175">
        <v>1875</v>
      </c>
      <c r="K649" s="183"/>
      <c r="L649" s="100"/>
      <c r="M649" s="100" t="s">
        <v>268</v>
      </c>
      <c r="N649" s="100" t="s">
        <v>269</v>
      </c>
      <c r="O649" s="100" t="s">
        <v>270</v>
      </c>
      <c r="P649" s="100" t="s">
        <v>916</v>
      </c>
      <c r="R649" s="86">
        <v>2269000</v>
      </c>
      <c r="S649" s="87">
        <v>0</v>
      </c>
      <c r="T649" s="87">
        <v>0</v>
      </c>
      <c r="U649" s="87">
        <v>0</v>
      </c>
      <c r="V649" s="87">
        <v>0</v>
      </c>
      <c r="W649" s="87">
        <v>0</v>
      </c>
      <c r="X649" s="87">
        <v>0</v>
      </c>
      <c r="Y649" s="87">
        <v>0</v>
      </c>
      <c r="Z649" s="87">
        <v>0</v>
      </c>
      <c r="AA649" s="88">
        <v>295020</v>
      </c>
      <c r="AB649" s="88">
        <v>0</v>
      </c>
      <c r="AC649" s="88">
        <v>295020</v>
      </c>
      <c r="AD649" s="88">
        <v>205000</v>
      </c>
      <c r="AE649" s="88">
        <v>205000</v>
      </c>
      <c r="AF649" s="88">
        <v>205000</v>
      </c>
      <c r="AG649" s="88">
        <v>205000</v>
      </c>
      <c r="AH649" s="88">
        <v>205000</v>
      </c>
      <c r="AI649" s="87">
        <v>2064924</v>
      </c>
      <c r="AJ649" s="87">
        <v>0</v>
      </c>
      <c r="AK649" s="87">
        <v>2064924</v>
      </c>
      <c r="AL649" s="87">
        <v>3240000</v>
      </c>
      <c r="AM649" s="87">
        <v>2064924</v>
      </c>
      <c r="AN649" s="87">
        <v>2064924</v>
      </c>
      <c r="AO649" s="87">
        <v>2064000</v>
      </c>
      <c r="AP649" s="87">
        <v>2064000</v>
      </c>
      <c r="AQ649" s="88">
        <v>0</v>
      </c>
      <c r="AR649" s="88">
        <v>0</v>
      </c>
      <c r="AS649" s="88">
        <v>0</v>
      </c>
      <c r="AT649" s="88">
        <v>0</v>
      </c>
      <c r="AU649" s="88">
        <v>0</v>
      </c>
      <c r="AV649" s="88">
        <v>0</v>
      </c>
      <c r="AW649" s="88">
        <v>0</v>
      </c>
      <c r="AX649" s="88">
        <v>0</v>
      </c>
      <c r="AY649" s="87">
        <v>0</v>
      </c>
      <c r="AZ649" s="87">
        <v>0</v>
      </c>
      <c r="BA649" s="87">
        <v>0</v>
      </c>
      <c r="BB649" s="87">
        <v>0</v>
      </c>
      <c r="BC649" s="87">
        <v>0</v>
      </c>
      <c r="BD649" s="87">
        <v>0</v>
      </c>
      <c r="BE649" s="87">
        <v>0</v>
      </c>
      <c r="BF649" s="87">
        <v>0</v>
      </c>
      <c r="BG649" s="88">
        <v>0</v>
      </c>
      <c r="BH649" s="88">
        <v>0</v>
      </c>
      <c r="BI649" s="88">
        <v>0</v>
      </c>
      <c r="BJ649" s="88">
        <v>0</v>
      </c>
      <c r="BK649" s="88">
        <v>0</v>
      </c>
      <c r="BL649" s="88">
        <v>0</v>
      </c>
      <c r="BM649" s="88">
        <v>0</v>
      </c>
      <c r="BN649" s="88">
        <v>0</v>
      </c>
      <c r="BO649" s="209">
        <v>2023</v>
      </c>
      <c r="BP649" s="208">
        <v>3</v>
      </c>
      <c r="BQ649" s="208">
        <v>23</v>
      </c>
      <c r="BS649" s="76" t="str">
        <f t="shared" si="20"/>
        <v>○</v>
      </c>
    </row>
    <row r="650" spans="1:71" x14ac:dyDescent="0.2">
      <c r="A650" s="175">
        <v>1876</v>
      </c>
      <c r="K650" s="183"/>
      <c r="L650" s="100"/>
      <c r="M650" s="100" t="s">
        <v>454</v>
      </c>
      <c r="N650" s="100" t="s">
        <v>275</v>
      </c>
      <c r="O650" s="100" t="s">
        <v>328</v>
      </c>
      <c r="P650" s="100" t="s">
        <v>916</v>
      </c>
      <c r="R650" s="86">
        <v>1598000</v>
      </c>
      <c r="S650" s="87">
        <v>0</v>
      </c>
      <c r="T650" s="87">
        <v>0</v>
      </c>
      <c r="U650" s="87">
        <v>0</v>
      </c>
      <c r="V650" s="87">
        <v>0</v>
      </c>
      <c r="W650" s="87">
        <v>0</v>
      </c>
      <c r="X650" s="87">
        <v>0</v>
      </c>
      <c r="Y650" s="87">
        <v>0</v>
      </c>
      <c r="Z650" s="87">
        <v>0</v>
      </c>
      <c r="AA650" s="88">
        <v>0</v>
      </c>
      <c r="AB650" s="88">
        <v>0</v>
      </c>
      <c r="AC650" s="88">
        <v>0</v>
      </c>
      <c r="AD650" s="88">
        <v>0</v>
      </c>
      <c r="AE650" s="88">
        <v>0</v>
      </c>
      <c r="AF650" s="88">
        <v>0</v>
      </c>
      <c r="AG650" s="88">
        <v>0</v>
      </c>
      <c r="AH650" s="88">
        <v>0</v>
      </c>
      <c r="AI650" s="87">
        <v>993300</v>
      </c>
      <c r="AJ650" s="87">
        <v>0</v>
      </c>
      <c r="AK650" s="87">
        <v>993300</v>
      </c>
      <c r="AL650" s="87">
        <v>2073600</v>
      </c>
      <c r="AM650" s="87">
        <v>993300</v>
      </c>
      <c r="AN650" s="87">
        <v>993300</v>
      </c>
      <c r="AO650" s="87">
        <v>993000</v>
      </c>
      <c r="AP650" s="87">
        <v>993000</v>
      </c>
      <c r="AQ650" s="88">
        <v>0</v>
      </c>
      <c r="AR650" s="88">
        <v>0</v>
      </c>
      <c r="AS650" s="88">
        <v>0</v>
      </c>
      <c r="AT650" s="88">
        <v>0</v>
      </c>
      <c r="AU650" s="88">
        <v>0</v>
      </c>
      <c r="AV650" s="88">
        <v>0</v>
      </c>
      <c r="AW650" s="88">
        <v>0</v>
      </c>
      <c r="AX650" s="88">
        <v>0</v>
      </c>
      <c r="AY650" s="87">
        <v>0</v>
      </c>
      <c r="AZ650" s="87">
        <v>0</v>
      </c>
      <c r="BA650" s="87">
        <v>0</v>
      </c>
      <c r="BB650" s="87">
        <v>0</v>
      </c>
      <c r="BC650" s="87">
        <v>0</v>
      </c>
      <c r="BD650" s="87">
        <v>0</v>
      </c>
      <c r="BE650" s="87">
        <v>0</v>
      </c>
      <c r="BF650" s="87">
        <v>0</v>
      </c>
      <c r="BG650" s="88">
        <v>605000</v>
      </c>
      <c r="BH650" s="88">
        <v>0</v>
      </c>
      <c r="BI650" s="88">
        <v>605000</v>
      </c>
      <c r="BJ650" s="88">
        <v>605000</v>
      </c>
      <c r="BK650" s="88">
        <v>605000</v>
      </c>
      <c r="BL650" s="88">
        <v>605000</v>
      </c>
      <c r="BM650" s="88">
        <v>605000</v>
      </c>
      <c r="BN650" s="88">
        <v>605000</v>
      </c>
      <c r="BO650" s="209">
        <v>2023</v>
      </c>
      <c r="BP650" s="208">
        <v>3</v>
      </c>
      <c r="BQ650" s="208">
        <v>23</v>
      </c>
      <c r="BS650" s="76" t="str">
        <f t="shared" si="20"/>
        <v>○</v>
      </c>
    </row>
    <row r="651" spans="1:71" x14ac:dyDescent="0.2">
      <c r="A651" s="175">
        <v>1877</v>
      </c>
      <c r="K651" s="183"/>
      <c r="L651" s="100"/>
      <c r="M651" s="100" t="s">
        <v>462</v>
      </c>
      <c r="N651" s="100" t="s">
        <v>275</v>
      </c>
      <c r="O651" s="100" t="s">
        <v>463</v>
      </c>
      <c r="P651" s="100" t="s">
        <v>916</v>
      </c>
      <c r="R651" s="86">
        <v>138000</v>
      </c>
      <c r="S651" s="87">
        <v>0</v>
      </c>
      <c r="T651" s="87">
        <v>0</v>
      </c>
      <c r="U651" s="87">
        <v>0</v>
      </c>
      <c r="V651" s="87">
        <v>0</v>
      </c>
      <c r="W651" s="87">
        <v>0</v>
      </c>
      <c r="X651" s="87">
        <v>0</v>
      </c>
      <c r="Y651" s="87">
        <v>0</v>
      </c>
      <c r="Z651" s="87">
        <v>0</v>
      </c>
      <c r="AA651" s="88">
        <v>0</v>
      </c>
      <c r="AB651" s="88">
        <v>0</v>
      </c>
      <c r="AC651" s="88">
        <v>0</v>
      </c>
      <c r="AD651" s="88">
        <v>0</v>
      </c>
      <c r="AE651" s="88">
        <v>0</v>
      </c>
      <c r="AF651" s="88">
        <v>0</v>
      </c>
      <c r="AG651" s="88">
        <v>0</v>
      </c>
      <c r="AH651" s="88">
        <v>0</v>
      </c>
      <c r="AI651" s="87">
        <v>138600</v>
      </c>
      <c r="AJ651" s="87">
        <v>0</v>
      </c>
      <c r="AK651" s="87">
        <v>138600</v>
      </c>
      <c r="AL651" s="87">
        <v>1713600</v>
      </c>
      <c r="AM651" s="87">
        <v>138600</v>
      </c>
      <c r="AN651" s="87">
        <v>138600</v>
      </c>
      <c r="AO651" s="87">
        <v>138000</v>
      </c>
      <c r="AP651" s="87">
        <v>138000</v>
      </c>
      <c r="AQ651" s="88">
        <v>0</v>
      </c>
      <c r="AR651" s="88">
        <v>0</v>
      </c>
      <c r="AS651" s="88">
        <v>0</v>
      </c>
      <c r="AT651" s="88">
        <v>0</v>
      </c>
      <c r="AU651" s="88">
        <v>0</v>
      </c>
      <c r="AV651" s="88">
        <v>0</v>
      </c>
      <c r="AW651" s="88">
        <v>0</v>
      </c>
      <c r="AX651" s="88">
        <v>0</v>
      </c>
      <c r="AY651" s="87">
        <v>0</v>
      </c>
      <c r="AZ651" s="87">
        <v>0</v>
      </c>
      <c r="BA651" s="87">
        <v>0</v>
      </c>
      <c r="BB651" s="87">
        <v>0</v>
      </c>
      <c r="BC651" s="87">
        <v>0</v>
      </c>
      <c r="BD651" s="87">
        <v>0</v>
      </c>
      <c r="BE651" s="87">
        <v>0</v>
      </c>
      <c r="BF651" s="87">
        <v>0</v>
      </c>
      <c r="BG651" s="88">
        <v>0</v>
      </c>
      <c r="BH651" s="88">
        <v>0</v>
      </c>
      <c r="BI651" s="88">
        <v>0</v>
      </c>
      <c r="BJ651" s="88">
        <v>0</v>
      </c>
      <c r="BK651" s="88">
        <v>0</v>
      </c>
      <c r="BL651" s="88">
        <v>0</v>
      </c>
      <c r="BM651" s="88">
        <v>0</v>
      </c>
      <c r="BN651" s="88">
        <v>0</v>
      </c>
      <c r="BO651" s="209">
        <v>2023</v>
      </c>
      <c r="BP651" s="208">
        <v>3</v>
      </c>
      <c r="BQ651" s="208">
        <v>23</v>
      </c>
      <c r="BS651" s="76" t="str">
        <f t="shared" si="20"/>
        <v>○</v>
      </c>
    </row>
    <row r="652" spans="1:71" x14ac:dyDescent="0.2">
      <c r="A652" s="175">
        <v>1878</v>
      </c>
      <c r="K652" s="183"/>
      <c r="L652" s="100"/>
      <c r="M652" s="100" t="s">
        <v>361</v>
      </c>
      <c r="N652" s="100" t="s">
        <v>275</v>
      </c>
      <c r="O652" s="100" t="s">
        <v>362</v>
      </c>
      <c r="P652" s="100" t="s">
        <v>916</v>
      </c>
      <c r="R652" s="86">
        <v>703000</v>
      </c>
      <c r="S652" s="87">
        <v>0</v>
      </c>
      <c r="T652" s="87">
        <v>0</v>
      </c>
      <c r="U652" s="87">
        <v>0</v>
      </c>
      <c r="V652" s="87">
        <v>0</v>
      </c>
      <c r="W652" s="87">
        <v>0</v>
      </c>
      <c r="X652" s="87">
        <v>0</v>
      </c>
      <c r="Y652" s="87">
        <v>0</v>
      </c>
      <c r="Z652" s="87">
        <v>0</v>
      </c>
      <c r="AA652" s="88">
        <v>0</v>
      </c>
      <c r="AB652" s="88">
        <v>0</v>
      </c>
      <c r="AC652" s="88">
        <v>0</v>
      </c>
      <c r="AD652" s="88">
        <v>0</v>
      </c>
      <c r="AE652" s="88">
        <v>0</v>
      </c>
      <c r="AF652" s="88">
        <v>0</v>
      </c>
      <c r="AG652" s="88">
        <v>0</v>
      </c>
      <c r="AH652" s="88">
        <v>0</v>
      </c>
      <c r="AI652" s="87">
        <v>424600</v>
      </c>
      <c r="AJ652" s="87">
        <v>0</v>
      </c>
      <c r="AK652" s="87">
        <v>424600</v>
      </c>
      <c r="AL652" s="87">
        <v>1044000</v>
      </c>
      <c r="AM652" s="87">
        <v>424600</v>
      </c>
      <c r="AN652" s="87">
        <v>424600</v>
      </c>
      <c r="AO652" s="87">
        <v>424000</v>
      </c>
      <c r="AP652" s="87">
        <v>424000</v>
      </c>
      <c r="AQ652" s="88">
        <v>0</v>
      </c>
      <c r="AR652" s="88">
        <v>0</v>
      </c>
      <c r="AS652" s="88">
        <v>0</v>
      </c>
      <c r="AT652" s="88">
        <v>0</v>
      </c>
      <c r="AU652" s="88">
        <v>0</v>
      </c>
      <c r="AV652" s="88">
        <v>0</v>
      </c>
      <c r="AW652" s="88">
        <v>0</v>
      </c>
      <c r="AX652" s="88">
        <v>0</v>
      </c>
      <c r="AY652" s="87">
        <v>0</v>
      </c>
      <c r="AZ652" s="87">
        <v>0</v>
      </c>
      <c r="BA652" s="87">
        <v>0</v>
      </c>
      <c r="BB652" s="87">
        <v>0</v>
      </c>
      <c r="BC652" s="87">
        <v>0</v>
      </c>
      <c r="BD652" s="87">
        <v>0</v>
      </c>
      <c r="BE652" s="87">
        <v>0</v>
      </c>
      <c r="BF652" s="87">
        <v>0</v>
      </c>
      <c r="BG652" s="88">
        <v>279241</v>
      </c>
      <c r="BH652" s="88">
        <v>0</v>
      </c>
      <c r="BI652" s="88">
        <v>279241</v>
      </c>
      <c r="BJ652" s="88">
        <v>279241</v>
      </c>
      <c r="BK652" s="88">
        <v>279241</v>
      </c>
      <c r="BL652" s="88">
        <v>279241</v>
      </c>
      <c r="BM652" s="88">
        <v>279000</v>
      </c>
      <c r="BN652" s="88">
        <v>279000</v>
      </c>
      <c r="BO652" s="209">
        <v>2023</v>
      </c>
      <c r="BP652" s="208">
        <v>3</v>
      </c>
      <c r="BQ652" s="208">
        <v>23</v>
      </c>
      <c r="BS652" s="76" t="str">
        <f t="shared" si="20"/>
        <v>○</v>
      </c>
    </row>
    <row r="653" spans="1:71" x14ac:dyDescent="0.2">
      <c r="A653" s="175">
        <v>1879</v>
      </c>
      <c r="K653" s="183"/>
      <c r="L653" s="100"/>
      <c r="M653" s="100" t="s">
        <v>472</v>
      </c>
      <c r="N653" s="100" t="s">
        <v>275</v>
      </c>
      <c r="O653" s="100" t="s">
        <v>452</v>
      </c>
      <c r="P653" s="100" t="s">
        <v>916</v>
      </c>
      <c r="R653" s="86">
        <v>586000</v>
      </c>
      <c r="S653" s="87">
        <v>0</v>
      </c>
      <c r="T653" s="87">
        <v>0</v>
      </c>
      <c r="U653" s="87">
        <v>0</v>
      </c>
      <c r="V653" s="87">
        <v>0</v>
      </c>
      <c r="W653" s="87">
        <v>0</v>
      </c>
      <c r="X653" s="87">
        <v>0</v>
      </c>
      <c r="Y653" s="87">
        <v>0</v>
      </c>
      <c r="Z653" s="87">
        <v>0</v>
      </c>
      <c r="AA653" s="88">
        <v>0</v>
      </c>
      <c r="AB653" s="88">
        <v>0</v>
      </c>
      <c r="AC653" s="88">
        <v>0</v>
      </c>
      <c r="AD653" s="88">
        <v>0</v>
      </c>
      <c r="AE653" s="88">
        <v>0</v>
      </c>
      <c r="AF653" s="88">
        <v>0</v>
      </c>
      <c r="AG653" s="88">
        <v>0</v>
      </c>
      <c r="AH653" s="88">
        <v>0</v>
      </c>
      <c r="AI653" s="87">
        <v>356566</v>
      </c>
      <c r="AJ653" s="87">
        <v>0</v>
      </c>
      <c r="AK653" s="87">
        <v>356566</v>
      </c>
      <c r="AL653" s="87">
        <v>2160000</v>
      </c>
      <c r="AM653" s="87">
        <v>356566</v>
      </c>
      <c r="AN653" s="87">
        <v>356566</v>
      </c>
      <c r="AO653" s="87">
        <v>356000</v>
      </c>
      <c r="AP653" s="87">
        <v>356000</v>
      </c>
      <c r="AQ653" s="88">
        <v>0</v>
      </c>
      <c r="AR653" s="88">
        <v>0</v>
      </c>
      <c r="AS653" s="88">
        <v>0</v>
      </c>
      <c r="AT653" s="88">
        <v>0</v>
      </c>
      <c r="AU653" s="88">
        <v>0</v>
      </c>
      <c r="AV653" s="88">
        <v>0</v>
      </c>
      <c r="AW653" s="88">
        <v>0</v>
      </c>
      <c r="AX653" s="88">
        <v>0</v>
      </c>
      <c r="AY653" s="87">
        <v>0</v>
      </c>
      <c r="AZ653" s="87">
        <v>0</v>
      </c>
      <c r="BA653" s="87">
        <v>0</v>
      </c>
      <c r="BB653" s="87">
        <v>0</v>
      </c>
      <c r="BC653" s="87">
        <v>0</v>
      </c>
      <c r="BD653" s="87">
        <v>0</v>
      </c>
      <c r="BE653" s="87">
        <v>0</v>
      </c>
      <c r="BF653" s="87">
        <v>0</v>
      </c>
      <c r="BG653" s="88">
        <v>230230</v>
      </c>
      <c r="BH653" s="88">
        <v>0</v>
      </c>
      <c r="BI653" s="88">
        <v>230230</v>
      </c>
      <c r="BJ653" s="88">
        <v>230230</v>
      </c>
      <c r="BK653" s="88">
        <v>230230</v>
      </c>
      <c r="BL653" s="88">
        <v>230230</v>
      </c>
      <c r="BM653" s="88">
        <v>230000</v>
      </c>
      <c r="BN653" s="88">
        <v>230000</v>
      </c>
      <c r="BO653" s="209">
        <v>2023</v>
      </c>
      <c r="BP653" s="208">
        <v>3</v>
      </c>
      <c r="BQ653" s="208">
        <v>23</v>
      </c>
      <c r="BS653" s="76" t="str">
        <f t="shared" si="20"/>
        <v>○</v>
      </c>
    </row>
    <row r="654" spans="1:71" x14ac:dyDescent="0.2">
      <c r="A654" s="175">
        <v>1880</v>
      </c>
      <c r="K654" s="183"/>
      <c r="L654" s="100"/>
      <c r="M654" s="100" t="s">
        <v>477</v>
      </c>
      <c r="N654" s="100" t="s">
        <v>269</v>
      </c>
      <c r="O654" s="100" t="s">
        <v>478</v>
      </c>
      <c r="P654" s="100" t="s">
        <v>916</v>
      </c>
      <c r="R654" s="86">
        <v>905000</v>
      </c>
      <c r="S654" s="87">
        <v>1328800</v>
      </c>
      <c r="T654" s="87">
        <v>0</v>
      </c>
      <c r="U654" s="87">
        <v>1328800</v>
      </c>
      <c r="V654" s="87">
        <v>1328800</v>
      </c>
      <c r="W654" s="87">
        <v>905000</v>
      </c>
      <c r="X654" s="87">
        <v>905000</v>
      </c>
      <c r="Y654" s="87">
        <v>905000</v>
      </c>
      <c r="Z654" s="87">
        <v>905000</v>
      </c>
      <c r="AA654" s="88">
        <v>0</v>
      </c>
      <c r="AB654" s="88">
        <v>0</v>
      </c>
      <c r="AC654" s="88">
        <v>0</v>
      </c>
      <c r="AD654" s="88">
        <v>0</v>
      </c>
      <c r="AE654" s="88">
        <v>0</v>
      </c>
      <c r="AF654" s="88">
        <v>0</v>
      </c>
      <c r="AG654" s="88">
        <v>0</v>
      </c>
      <c r="AH654" s="88">
        <v>0</v>
      </c>
      <c r="AI654" s="87">
        <v>0</v>
      </c>
      <c r="AJ654" s="87">
        <v>0</v>
      </c>
      <c r="AK654" s="87">
        <v>0</v>
      </c>
      <c r="AL654" s="87">
        <v>0</v>
      </c>
      <c r="AM654" s="87">
        <v>0</v>
      </c>
      <c r="AN654" s="87">
        <v>0</v>
      </c>
      <c r="AO654" s="87">
        <v>0</v>
      </c>
      <c r="AP654" s="87">
        <v>0</v>
      </c>
      <c r="AQ654" s="88">
        <v>1328800</v>
      </c>
      <c r="AR654" s="88">
        <v>0</v>
      </c>
      <c r="AS654" s="88">
        <v>1328800</v>
      </c>
      <c r="AT654" s="88">
        <v>1328800</v>
      </c>
      <c r="AU654" s="88">
        <v>905000</v>
      </c>
      <c r="AV654" s="88">
        <v>905000</v>
      </c>
      <c r="AW654" s="88">
        <v>905000</v>
      </c>
      <c r="AX654" s="88">
        <v>905000</v>
      </c>
      <c r="AY654" s="87">
        <v>0</v>
      </c>
      <c r="AZ654" s="87">
        <v>0</v>
      </c>
      <c r="BA654" s="87">
        <v>0</v>
      </c>
      <c r="BB654" s="87">
        <v>0</v>
      </c>
      <c r="BC654" s="87">
        <v>0</v>
      </c>
      <c r="BD654" s="87">
        <v>0</v>
      </c>
      <c r="BE654" s="87">
        <v>0</v>
      </c>
      <c r="BF654" s="87">
        <v>0</v>
      </c>
      <c r="BG654" s="88">
        <v>0</v>
      </c>
      <c r="BH654" s="88">
        <v>0</v>
      </c>
      <c r="BI654" s="88">
        <v>0</v>
      </c>
      <c r="BJ654" s="88">
        <v>0</v>
      </c>
      <c r="BK654" s="88">
        <v>0</v>
      </c>
      <c r="BL654" s="88">
        <v>0</v>
      </c>
      <c r="BM654" s="88">
        <v>0</v>
      </c>
      <c r="BN654" s="88">
        <v>0</v>
      </c>
      <c r="BO654" s="209">
        <v>2023</v>
      </c>
      <c r="BP654" s="208">
        <v>3</v>
      </c>
      <c r="BQ654" s="208">
        <v>23</v>
      </c>
      <c r="BS654" s="76" t="str">
        <f t="shared" si="20"/>
        <v>○</v>
      </c>
    </row>
    <row r="655" spans="1:71" x14ac:dyDescent="0.2">
      <c r="A655" s="175">
        <v>1881</v>
      </c>
      <c r="K655" s="183"/>
      <c r="L655" s="100"/>
      <c r="M655" s="100" t="s">
        <v>411</v>
      </c>
      <c r="N655" s="100" t="s">
        <v>289</v>
      </c>
      <c r="O655" s="100" t="s">
        <v>412</v>
      </c>
      <c r="P655" s="100" t="s">
        <v>916</v>
      </c>
      <c r="R655" s="86">
        <v>2629000</v>
      </c>
      <c r="S655" s="87">
        <v>0</v>
      </c>
      <c r="T655" s="87">
        <v>0</v>
      </c>
      <c r="U655" s="87">
        <v>0</v>
      </c>
      <c r="V655" s="87">
        <v>0</v>
      </c>
      <c r="W655" s="87">
        <v>0</v>
      </c>
      <c r="X655" s="87">
        <v>0</v>
      </c>
      <c r="Y655" s="87">
        <v>0</v>
      </c>
      <c r="Z655" s="87">
        <v>0</v>
      </c>
      <c r="AA655" s="88">
        <v>694320</v>
      </c>
      <c r="AB655" s="88">
        <v>0</v>
      </c>
      <c r="AC655" s="88">
        <v>694320</v>
      </c>
      <c r="AD655" s="88">
        <v>820000</v>
      </c>
      <c r="AE655" s="88">
        <v>694320</v>
      </c>
      <c r="AF655" s="88">
        <v>694320</v>
      </c>
      <c r="AG655" s="88">
        <v>694000</v>
      </c>
      <c r="AH655" s="88">
        <v>694000</v>
      </c>
      <c r="AI655" s="87">
        <v>1935318</v>
      </c>
      <c r="AJ655" s="87">
        <v>0</v>
      </c>
      <c r="AK655" s="87">
        <v>1935318</v>
      </c>
      <c r="AL655" s="87">
        <v>5400000</v>
      </c>
      <c r="AM655" s="87">
        <v>1935318</v>
      </c>
      <c r="AN655" s="87">
        <v>1935318</v>
      </c>
      <c r="AO655" s="87">
        <v>1935000</v>
      </c>
      <c r="AP655" s="87">
        <v>1935000</v>
      </c>
      <c r="AQ655" s="88">
        <v>0</v>
      </c>
      <c r="AR655" s="88">
        <v>0</v>
      </c>
      <c r="AS655" s="88">
        <v>0</v>
      </c>
      <c r="AT655" s="88">
        <v>0</v>
      </c>
      <c r="AU655" s="88">
        <v>0</v>
      </c>
      <c r="AV655" s="88">
        <v>0</v>
      </c>
      <c r="AW655" s="88">
        <v>0</v>
      </c>
      <c r="AX655" s="88">
        <v>0</v>
      </c>
      <c r="AY655" s="87">
        <v>0</v>
      </c>
      <c r="AZ655" s="87">
        <v>0</v>
      </c>
      <c r="BA655" s="87">
        <v>0</v>
      </c>
      <c r="BB655" s="87">
        <v>0</v>
      </c>
      <c r="BC655" s="87">
        <v>0</v>
      </c>
      <c r="BD655" s="87">
        <v>0</v>
      </c>
      <c r="BE655" s="87">
        <v>0</v>
      </c>
      <c r="BF655" s="87">
        <v>0</v>
      </c>
      <c r="BG655" s="88">
        <v>0</v>
      </c>
      <c r="BH655" s="88">
        <v>0</v>
      </c>
      <c r="BI655" s="88">
        <v>0</v>
      </c>
      <c r="BJ655" s="88">
        <v>0</v>
      </c>
      <c r="BK655" s="88">
        <v>0</v>
      </c>
      <c r="BL655" s="88">
        <v>0</v>
      </c>
      <c r="BM655" s="88">
        <v>0</v>
      </c>
      <c r="BN655" s="88">
        <v>0</v>
      </c>
      <c r="BO655" s="209">
        <v>2023</v>
      </c>
      <c r="BP655" s="208">
        <v>3</v>
      </c>
      <c r="BQ655" s="208">
        <v>23</v>
      </c>
      <c r="BS655" s="76" t="str">
        <f t="shared" si="20"/>
        <v>○</v>
      </c>
    </row>
    <row r="656" spans="1:71" s="81" customFormat="1" x14ac:dyDescent="0.2">
      <c r="A656" s="175">
        <v>1882</v>
      </c>
      <c r="B656" s="183"/>
      <c r="C656" s="184"/>
      <c r="D656" s="183"/>
      <c r="E656" s="184"/>
      <c r="F656" s="183"/>
      <c r="G656" s="183"/>
      <c r="H656" s="184"/>
      <c r="I656" s="183"/>
      <c r="J656" s="183"/>
      <c r="K656" s="183"/>
      <c r="L656" s="100"/>
      <c r="M656" s="100" t="s">
        <v>473</v>
      </c>
      <c r="N656" s="100" t="s">
        <v>919</v>
      </c>
      <c r="O656" s="100" t="s">
        <v>474</v>
      </c>
      <c r="P656" s="100" t="s">
        <v>916</v>
      </c>
      <c r="Q656" s="171"/>
      <c r="R656" s="86">
        <v>1651000</v>
      </c>
      <c r="S656" s="87">
        <v>1002200</v>
      </c>
      <c r="T656" s="87">
        <v>0</v>
      </c>
      <c r="U656" s="87">
        <v>1002200</v>
      </c>
      <c r="V656" s="87">
        <v>1002200</v>
      </c>
      <c r="W656" s="87">
        <v>905000</v>
      </c>
      <c r="X656" s="87">
        <v>905000</v>
      </c>
      <c r="Y656" s="87">
        <v>905000</v>
      </c>
      <c r="Z656" s="87">
        <v>905000</v>
      </c>
      <c r="AA656" s="88">
        <v>0</v>
      </c>
      <c r="AB656" s="88">
        <v>0</v>
      </c>
      <c r="AC656" s="88">
        <v>0</v>
      </c>
      <c r="AD656" s="88">
        <v>0</v>
      </c>
      <c r="AE656" s="88">
        <v>0</v>
      </c>
      <c r="AF656" s="88">
        <v>0</v>
      </c>
      <c r="AG656" s="88">
        <v>0</v>
      </c>
      <c r="AH656" s="88">
        <v>0</v>
      </c>
      <c r="AI656" s="87">
        <v>647574</v>
      </c>
      <c r="AJ656" s="87">
        <v>0</v>
      </c>
      <c r="AK656" s="87">
        <v>647574</v>
      </c>
      <c r="AL656" s="87">
        <v>3088800</v>
      </c>
      <c r="AM656" s="87">
        <v>647574</v>
      </c>
      <c r="AN656" s="87">
        <v>647574</v>
      </c>
      <c r="AO656" s="87">
        <v>647000</v>
      </c>
      <c r="AP656" s="87">
        <v>647000</v>
      </c>
      <c r="AQ656" s="88">
        <v>1002200</v>
      </c>
      <c r="AR656" s="88">
        <v>0</v>
      </c>
      <c r="AS656" s="88">
        <v>1002200</v>
      </c>
      <c r="AT656" s="88">
        <v>1002200</v>
      </c>
      <c r="AU656" s="88">
        <v>905000</v>
      </c>
      <c r="AV656" s="88">
        <v>905000</v>
      </c>
      <c r="AW656" s="88">
        <v>905000</v>
      </c>
      <c r="AX656" s="88">
        <v>905000</v>
      </c>
      <c r="AY656" s="87">
        <v>0</v>
      </c>
      <c r="AZ656" s="87">
        <v>0</v>
      </c>
      <c r="BA656" s="87">
        <v>0</v>
      </c>
      <c r="BB656" s="87">
        <v>0</v>
      </c>
      <c r="BC656" s="87">
        <v>0</v>
      </c>
      <c r="BD656" s="87">
        <v>0</v>
      </c>
      <c r="BE656" s="87">
        <v>0</v>
      </c>
      <c r="BF656" s="87">
        <v>0</v>
      </c>
      <c r="BG656" s="88">
        <v>99000</v>
      </c>
      <c r="BH656" s="88">
        <v>0</v>
      </c>
      <c r="BI656" s="88">
        <v>99000</v>
      </c>
      <c r="BJ656" s="88">
        <v>99000</v>
      </c>
      <c r="BK656" s="88">
        <v>99000</v>
      </c>
      <c r="BL656" s="88">
        <v>99000</v>
      </c>
      <c r="BM656" s="88">
        <v>99000</v>
      </c>
      <c r="BN656" s="88">
        <v>99000</v>
      </c>
      <c r="BO656" s="209">
        <v>2023</v>
      </c>
      <c r="BP656" s="208">
        <v>3</v>
      </c>
      <c r="BQ656" s="208">
        <v>23</v>
      </c>
      <c r="BR656" s="77"/>
      <c r="BS656" s="76" t="str">
        <f t="shared" si="20"/>
        <v>○</v>
      </c>
    </row>
    <row r="657" spans="1:71" x14ac:dyDescent="0.2">
      <c r="A657" s="175">
        <v>1883</v>
      </c>
      <c r="K657" s="183"/>
      <c r="L657" s="100"/>
      <c r="M657" s="100" t="s">
        <v>442</v>
      </c>
      <c r="N657" s="100" t="s">
        <v>919</v>
      </c>
      <c r="O657" s="100" t="s">
        <v>337</v>
      </c>
      <c r="P657" s="100" t="s">
        <v>916</v>
      </c>
      <c r="R657" s="86">
        <v>1526000</v>
      </c>
      <c r="S657" s="87">
        <v>0</v>
      </c>
      <c r="T657" s="87">
        <v>0</v>
      </c>
      <c r="U657" s="87">
        <v>0</v>
      </c>
      <c r="V657" s="87">
        <v>0</v>
      </c>
      <c r="W657" s="87">
        <v>0</v>
      </c>
      <c r="X657" s="87">
        <v>0</v>
      </c>
      <c r="Y657" s="87">
        <v>0</v>
      </c>
      <c r="Z657" s="87">
        <v>0</v>
      </c>
      <c r="AA657" s="88">
        <v>225500</v>
      </c>
      <c r="AB657" s="88">
        <v>0</v>
      </c>
      <c r="AC657" s="88">
        <v>225500</v>
      </c>
      <c r="AD657" s="88">
        <v>205000</v>
      </c>
      <c r="AE657" s="88">
        <v>205000</v>
      </c>
      <c r="AF657" s="88">
        <v>205000</v>
      </c>
      <c r="AG657" s="88">
        <v>205000</v>
      </c>
      <c r="AH657" s="88">
        <v>205000</v>
      </c>
      <c r="AI657" s="87">
        <v>0</v>
      </c>
      <c r="AJ657" s="87">
        <v>0</v>
      </c>
      <c r="AK657" s="87">
        <v>0</v>
      </c>
      <c r="AL657" s="87">
        <v>0</v>
      </c>
      <c r="AM657" s="87">
        <v>0</v>
      </c>
      <c r="AN657" s="87">
        <v>0</v>
      </c>
      <c r="AO657" s="87">
        <v>0</v>
      </c>
      <c r="AP657" s="87">
        <v>0</v>
      </c>
      <c r="AQ657" s="88">
        <v>0</v>
      </c>
      <c r="AR657" s="88">
        <v>0</v>
      </c>
      <c r="AS657" s="88">
        <v>0</v>
      </c>
      <c r="AT657" s="88">
        <v>0</v>
      </c>
      <c r="AU657" s="88">
        <v>0</v>
      </c>
      <c r="AV657" s="88">
        <v>0</v>
      </c>
      <c r="AW657" s="88">
        <v>0</v>
      </c>
      <c r="AX657" s="88">
        <v>0</v>
      </c>
      <c r="AY657" s="87">
        <v>56540</v>
      </c>
      <c r="AZ657" s="87">
        <v>0</v>
      </c>
      <c r="BA657" s="87">
        <v>56540</v>
      </c>
      <c r="BB657" s="87">
        <v>51400</v>
      </c>
      <c r="BC657" s="87">
        <v>51400</v>
      </c>
      <c r="BD657" s="87">
        <v>51400</v>
      </c>
      <c r="BE657" s="87">
        <v>51000</v>
      </c>
      <c r="BF657" s="87">
        <v>51000</v>
      </c>
      <c r="BG657" s="88">
        <v>1270500</v>
      </c>
      <c r="BH657" s="88">
        <v>0</v>
      </c>
      <c r="BI657" s="88">
        <v>1270500</v>
      </c>
      <c r="BJ657" s="88">
        <v>1270500</v>
      </c>
      <c r="BK657" s="88">
        <v>1270500</v>
      </c>
      <c r="BL657" s="88">
        <v>1270500</v>
      </c>
      <c r="BM657" s="88">
        <v>1270000</v>
      </c>
      <c r="BN657" s="88">
        <v>1270000</v>
      </c>
      <c r="BO657" s="209">
        <v>2023</v>
      </c>
      <c r="BP657" s="208">
        <v>3</v>
      </c>
      <c r="BQ657" s="208">
        <v>23</v>
      </c>
      <c r="BS657" s="76" t="str">
        <f t="shared" si="20"/>
        <v>○</v>
      </c>
    </row>
    <row r="658" spans="1:71" s="81" customFormat="1" x14ac:dyDescent="0.2">
      <c r="A658" s="175"/>
      <c r="B658" s="183"/>
      <c r="C658" s="184"/>
      <c r="D658" s="183"/>
      <c r="E658" s="184"/>
      <c r="F658" s="183"/>
      <c r="G658" s="183"/>
      <c r="H658" s="184"/>
      <c r="I658" s="183"/>
      <c r="J658" s="183"/>
      <c r="K658" s="183"/>
      <c r="L658" s="100"/>
      <c r="M658" s="100"/>
      <c r="N658" s="100"/>
      <c r="O658" s="100"/>
      <c r="P658" s="100"/>
      <c r="Q658" s="75"/>
      <c r="R658" s="86"/>
      <c r="S658" s="87"/>
      <c r="T658" s="87"/>
      <c r="U658" s="87"/>
      <c r="V658" s="87"/>
      <c r="W658" s="87"/>
      <c r="X658" s="87"/>
      <c r="Y658" s="87"/>
      <c r="Z658" s="87"/>
      <c r="AA658" s="88"/>
      <c r="AB658" s="88"/>
      <c r="AC658" s="88"/>
      <c r="AD658" s="88"/>
      <c r="AE658" s="88"/>
      <c r="AF658" s="88"/>
      <c r="AG658" s="88"/>
      <c r="AH658" s="88"/>
      <c r="AI658" s="87"/>
      <c r="AJ658" s="87"/>
      <c r="AK658" s="87"/>
      <c r="AL658" s="87"/>
      <c r="AM658" s="87"/>
      <c r="AN658" s="87"/>
      <c r="AO658" s="87"/>
      <c r="AP658" s="87"/>
      <c r="AQ658" s="88"/>
      <c r="AR658" s="88"/>
      <c r="AS658" s="88"/>
      <c r="AT658" s="88"/>
      <c r="AU658" s="88"/>
      <c r="AV658" s="88"/>
      <c r="AW658" s="88"/>
      <c r="AX658" s="88"/>
      <c r="AY658" s="87"/>
      <c r="AZ658" s="87"/>
      <c r="BA658" s="87"/>
      <c r="BB658" s="87"/>
      <c r="BC658" s="87"/>
      <c r="BD658" s="87"/>
      <c r="BE658" s="87"/>
      <c r="BF658" s="87"/>
      <c r="BG658" s="88"/>
      <c r="BH658" s="88"/>
      <c r="BI658" s="88"/>
      <c r="BJ658" s="88"/>
      <c r="BK658" s="88"/>
      <c r="BL658" s="88"/>
      <c r="BM658" s="88"/>
      <c r="BN658" s="88"/>
      <c r="BO658" s="209"/>
      <c r="BP658" s="208"/>
      <c r="BQ658" s="208"/>
    </row>
    <row r="659" spans="1:71" s="81" customFormat="1" x14ac:dyDescent="0.2">
      <c r="A659" s="175"/>
      <c r="B659" s="183"/>
      <c r="C659" s="184"/>
      <c r="D659" s="183"/>
      <c r="E659" s="184"/>
      <c r="F659" s="183"/>
      <c r="G659" s="183"/>
      <c r="H659" s="184"/>
      <c r="I659" s="183"/>
      <c r="J659" s="183"/>
      <c r="K659" s="183"/>
      <c r="L659" s="100"/>
      <c r="M659" s="100"/>
      <c r="N659" s="100"/>
      <c r="O659" s="100"/>
      <c r="P659" s="100"/>
      <c r="Q659" s="75"/>
      <c r="R659" s="86"/>
      <c r="S659" s="87"/>
      <c r="T659" s="87"/>
      <c r="U659" s="87"/>
      <c r="V659" s="87"/>
      <c r="W659" s="87"/>
      <c r="X659" s="87"/>
      <c r="Y659" s="87"/>
      <c r="Z659" s="87"/>
      <c r="AA659" s="88"/>
      <c r="AB659" s="88"/>
      <c r="AC659" s="88"/>
      <c r="AD659" s="88"/>
      <c r="AE659" s="88"/>
      <c r="AF659" s="88"/>
      <c r="AG659" s="88"/>
      <c r="AH659" s="88"/>
      <c r="AI659" s="87"/>
      <c r="AJ659" s="87"/>
      <c r="AK659" s="87"/>
      <c r="AL659" s="87"/>
      <c r="AM659" s="87"/>
      <c r="AN659" s="87"/>
      <c r="AO659" s="87"/>
      <c r="AP659" s="87"/>
      <c r="AQ659" s="88"/>
      <c r="AR659" s="88"/>
      <c r="AS659" s="88"/>
      <c r="AT659" s="88"/>
      <c r="AU659" s="88"/>
      <c r="AV659" s="88"/>
      <c r="AW659" s="88"/>
      <c r="AX659" s="88"/>
      <c r="AY659" s="87"/>
      <c r="AZ659" s="87"/>
      <c r="BA659" s="87"/>
      <c r="BB659" s="87"/>
      <c r="BC659" s="87"/>
      <c r="BD659" s="87"/>
      <c r="BE659" s="87"/>
      <c r="BF659" s="87"/>
      <c r="BG659" s="88"/>
      <c r="BH659" s="88"/>
      <c r="BI659" s="88"/>
      <c r="BJ659" s="88"/>
      <c r="BK659" s="88"/>
      <c r="BL659" s="88"/>
      <c r="BM659" s="88"/>
      <c r="BN659" s="88"/>
      <c r="BO659" s="209"/>
      <c r="BP659" s="208"/>
      <c r="BQ659" s="208"/>
    </row>
    <row r="660" spans="1:71" s="81" customFormat="1" x14ac:dyDescent="0.2">
      <c r="A660" s="175"/>
      <c r="B660" s="183"/>
      <c r="C660" s="184"/>
      <c r="D660" s="183"/>
      <c r="E660" s="184"/>
      <c r="F660" s="183"/>
      <c r="G660" s="183"/>
      <c r="H660" s="184"/>
      <c r="I660" s="183"/>
      <c r="J660" s="183"/>
      <c r="K660" s="183"/>
      <c r="L660" s="100"/>
      <c r="M660" s="100"/>
      <c r="N660" s="100"/>
      <c r="O660" s="100"/>
      <c r="P660" s="100"/>
      <c r="Q660" s="75"/>
      <c r="R660" s="86"/>
      <c r="S660" s="87"/>
      <c r="T660" s="87"/>
      <c r="U660" s="87"/>
      <c r="V660" s="87"/>
      <c r="W660" s="87"/>
      <c r="X660" s="87"/>
      <c r="Y660" s="87"/>
      <c r="Z660" s="87"/>
      <c r="AA660" s="88"/>
      <c r="AB660" s="88"/>
      <c r="AC660" s="88"/>
      <c r="AD660" s="88"/>
      <c r="AE660" s="88"/>
      <c r="AF660" s="88"/>
      <c r="AG660" s="88"/>
      <c r="AH660" s="88"/>
      <c r="AI660" s="87"/>
      <c r="AJ660" s="87"/>
      <c r="AK660" s="87"/>
      <c r="AL660" s="87"/>
      <c r="AM660" s="87"/>
      <c r="AN660" s="87"/>
      <c r="AO660" s="87"/>
      <c r="AP660" s="87"/>
      <c r="AQ660" s="88"/>
      <c r="AR660" s="88"/>
      <c r="AS660" s="88"/>
      <c r="AT660" s="88"/>
      <c r="AU660" s="88"/>
      <c r="AV660" s="88"/>
      <c r="AW660" s="88"/>
      <c r="AX660" s="88"/>
      <c r="AY660" s="87"/>
      <c r="AZ660" s="87"/>
      <c r="BA660" s="87"/>
      <c r="BB660" s="87"/>
      <c r="BC660" s="87"/>
      <c r="BD660" s="87"/>
      <c r="BE660" s="87"/>
      <c r="BF660" s="87"/>
      <c r="BG660" s="88"/>
      <c r="BH660" s="88"/>
      <c r="BI660" s="88"/>
      <c r="BJ660" s="88"/>
      <c r="BK660" s="88"/>
      <c r="BL660" s="88"/>
      <c r="BM660" s="88"/>
      <c r="BN660" s="88"/>
      <c r="BO660" s="209"/>
      <c r="BP660" s="208"/>
      <c r="BQ660" s="208"/>
    </row>
    <row r="661" spans="1:71" s="81" customFormat="1" x14ac:dyDescent="0.2">
      <c r="A661" s="175"/>
      <c r="B661" s="183"/>
      <c r="C661" s="184"/>
      <c r="D661" s="183"/>
      <c r="E661" s="184"/>
      <c r="F661" s="183"/>
      <c r="G661" s="183"/>
      <c r="H661" s="184"/>
      <c r="I661" s="183"/>
      <c r="J661" s="183"/>
      <c r="K661" s="183"/>
      <c r="L661" s="100"/>
      <c r="M661" s="100"/>
      <c r="N661" s="100"/>
      <c r="O661" s="100"/>
      <c r="P661" s="100"/>
      <c r="Q661" s="75"/>
      <c r="R661" s="86"/>
      <c r="S661" s="87"/>
      <c r="T661" s="87"/>
      <c r="U661" s="87"/>
      <c r="V661" s="87"/>
      <c r="W661" s="87"/>
      <c r="X661" s="87"/>
      <c r="Y661" s="87"/>
      <c r="Z661" s="87"/>
      <c r="AA661" s="88"/>
      <c r="AB661" s="88"/>
      <c r="AC661" s="88"/>
      <c r="AD661" s="88"/>
      <c r="AE661" s="88"/>
      <c r="AF661" s="88"/>
      <c r="AG661" s="88"/>
      <c r="AH661" s="88"/>
      <c r="AI661" s="87"/>
      <c r="AJ661" s="87"/>
      <c r="AK661" s="87"/>
      <c r="AL661" s="87"/>
      <c r="AM661" s="87"/>
      <c r="AN661" s="87"/>
      <c r="AO661" s="87"/>
      <c r="AP661" s="87"/>
      <c r="AQ661" s="88"/>
      <c r="AR661" s="88"/>
      <c r="AS661" s="88"/>
      <c r="AT661" s="88"/>
      <c r="AU661" s="88"/>
      <c r="AV661" s="88"/>
      <c r="AW661" s="88"/>
      <c r="AX661" s="88"/>
      <c r="AY661" s="87"/>
      <c r="AZ661" s="87"/>
      <c r="BA661" s="87"/>
      <c r="BB661" s="87"/>
      <c r="BC661" s="87"/>
      <c r="BD661" s="87"/>
      <c r="BE661" s="87"/>
      <c r="BF661" s="87"/>
      <c r="BG661" s="88"/>
      <c r="BH661" s="88"/>
      <c r="BI661" s="88"/>
      <c r="BJ661" s="88"/>
      <c r="BK661" s="88"/>
      <c r="BL661" s="88"/>
      <c r="BM661" s="88"/>
      <c r="BN661" s="88"/>
      <c r="BO661" s="209"/>
      <c r="BP661" s="208"/>
      <c r="BQ661" s="208"/>
    </row>
    <row r="662" spans="1:71" x14ac:dyDescent="0.2">
      <c r="K662" s="183"/>
      <c r="L662" s="100"/>
      <c r="R662" s="86"/>
      <c r="S662" s="87"/>
      <c r="T662" s="87"/>
      <c r="U662" s="87"/>
      <c r="V662" s="87"/>
      <c r="W662" s="87"/>
      <c r="X662" s="87"/>
      <c r="Y662" s="87"/>
      <c r="Z662" s="87"/>
      <c r="AA662" s="88"/>
      <c r="AB662" s="88"/>
      <c r="AC662" s="88"/>
      <c r="AD662" s="88"/>
      <c r="AE662" s="88"/>
      <c r="AF662" s="88"/>
      <c r="AG662" s="88"/>
      <c r="AH662" s="88"/>
      <c r="AI662" s="87"/>
      <c r="AJ662" s="87"/>
      <c r="AK662" s="87"/>
      <c r="AL662" s="87"/>
      <c r="AM662" s="87"/>
      <c r="AN662" s="87"/>
      <c r="AO662" s="87"/>
      <c r="AP662" s="87"/>
      <c r="AQ662" s="88"/>
      <c r="AR662" s="88"/>
      <c r="AS662" s="88"/>
      <c r="AT662" s="88"/>
      <c r="AU662" s="88"/>
      <c r="AV662" s="88"/>
      <c r="AW662" s="88"/>
      <c r="AX662" s="88"/>
      <c r="AY662" s="87"/>
      <c r="AZ662" s="87"/>
      <c r="BA662" s="87"/>
      <c r="BB662" s="87"/>
      <c r="BC662" s="87"/>
      <c r="BD662" s="87"/>
      <c r="BE662" s="87"/>
      <c r="BF662" s="87"/>
      <c r="BG662" s="88"/>
      <c r="BH662" s="88"/>
      <c r="BI662" s="88"/>
      <c r="BJ662" s="88"/>
      <c r="BK662" s="88"/>
      <c r="BL662" s="88"/>
      <c r="BM662" s="88"/>
      <c r="BN662" s="88"/>
      <c r="BO662" s="209"/>
      <c r="BP662" s="208"/>
      <c r="BQ662" s="208"/>
    </row>
    <row r="663" spans="1:71" x14ac:dyDescent="0.2">
      <c r="K663" s="183"/>
      <c r="L663" s="100"/>
      <c r="R663" s="86"/>
      <c r="S663" s="87"/>
      <c r="T663" s="87"/>
      <c r="U663" s="87"/>
      <c r="V663" s="87"/>
      <c r="W663" s="87"/>
      <c r="X663" s="87"/>
      <c r="Y663" s="87"/>
      <c r="Z663" s="87"/>
      <c r="AA663" s="88"/>
      <c r="AB663" s="88"/>
      <c r="AC663" s="88"/>
      <c r="AD663" s="88"/>
      <c r="AE663" s="88"/>
      <c r="AF663" s="88"/>
      <c r="AG663" s="88"/>
      <c r="AH663" s="88"/>
      <c r="AI663" s="87"/>
      <c r="AJ663" s="87"/>
      <c r="AK663" s="87"/>
      <c r="AL663" s="87"/>
      <c r="AM663" s="87"/>
      <c r="AN663" s="87"/>
      <c r="AO663" s="87"/>
      <c r="AP663" s="87"/>
      <c r="AQ663" s="88"/>
      <c r="AR663" s="88"/>
      <c r="AS663" s="88"/>
      <c r="AT663" s="88"/>
      <c r="AU663" s="88"/>
      <c r="AV663" s="88"/>
      <c r="AW663" s="88"/>
      <c r="AX663" s="88"/>
      <c r="AY663" s="87"/>
      <c r="AZ663" s="87"/>
      <c r="BA663" s="87"/>
      <c r="BB663" s="87"/>
      <c r="BC663" s="87"/>
      <c r="BD663" s="87"/>
      <c r="BE663" s="87"/>
      <c r="BF663" s="87"/>
      <c r="BG663" s="88"/>
      <c r="BH663" s="88"/>
      <c r="BI663" s="88"/>
      <c r="BJ663" s="88"/>
      <c r="BK663" s="88"/>
      <c r="BL663" s="88"/>
      <c r="BM663" s="88"/>
      <c r="BN663" s="88"/>
      <c r="BO663" s="209"/>
      <c r="BP663" s="208"/>
      <c r="BQ663" s="208"/>
    </row>
    <row r="664" spans="1:71" x14ac:dyDescent="0.2">
      <c r="K664" s="183"/>
      <c r="L664" s="100"/>
      <c r="R664" s="86"/>
      <c r="S664" s="87"/>
      <c r="T664" s="87"/>
      <c r="U664" s="87"/>
      <c r="V664" s="87"/>
      <c r="W664" s="87"/>
      <c r="X664" s="87"/>
      <c r="Y664" s="87"/>
      <c r="Z664" s="87"/>
      <c r="AA664" s="88"/>
      <c r="AB664" s="88"/>
      <c r="AC664" s="88"/>
      <c r="AD664" s="88"/>
      <c r="AE664" s="88"/>
      <c r="AF664" s="88"/>
      <c r="AG664" s="88"/>
      <c r="AH664" s="88"/>
      <c r="AI664" s="87"/>
      <c r="AJ664" s="87"/>
      <c r="AK664" s="87"/>
      <c r="AL664" s="87"/>
      <c r="AM664" s="87"/>
      <c r="AN664" s="87"/>
      <c r="AO664" s="87"/>
      <c r="AP664" s="87"/>
      <c r="AQ664" s="88"/>
      <c r="AR664" s="88"/>
      <c r="AS664" s="88"/>
      <c r="AT664" s="88"/>
      <c r="AU664" s="88"/>
      <c r="AV664" s="88"/>
      <c r="AW664" s="88"/>
      <c r="AX664" s="88"/>
      <c r="AY664" s="87"/>
      <c r="AZ664" s="87"/>
      <c r="BA664" s="87"/>
      <c r="BB664" s="87"/>
      <c r="BC664" s="87"/>
      <c r="BD664" s="87"/>
      <c r="BE664" s="87"/>
      <c r="BF664" s="87"/>
      <c r="BG664" s="88"/>
      <c r="BH664" s="88"/>
      <c r="BI664" s="88"/>
      <c r="BJ664" s="88"/>
      <c r="BK664" s="88"/>
      <c r="BL664" s="88"/>
      <c r="BM664" s="88"/>
      <c r="BN664" s="88"/>
      <c r="BO664" s="209"/>
      <c r="BP664" s="208"/>
      <c r="BQ664" s="208"/>
    </row>
    <row r="665" spans="1:71" x14ac:dyDescent="0.2">
      <c r="K665" s="183"/>
      <c r="L665" s="100"/>
      <c r="R665" s="86"/>
      <c r="S665" s="87"/>
      <c r="T665" s="87"/>
      <c r="U665" s="87"/>
      <c r="V665" s="87"/>
      <c r="W665" s="87"/>
      <c r="X665" s="87"/>
      <c r="Y665" s="87"/>
      <c r="Z665" s="87"/>
      <c r="AA665" s="88"/>
      <c r="AB665" s="88"/>
      <c r="AC665" s="88"/>
      <c r="AD665" s="88"/>
      <c r="AE665" s="88"/>
      <c r="AF665" s="88"/>
      <c r="AG665" s="88"/>
      <c r="AH665" s="88"/>
      <c r="AI665" s="87"/>
      <c r="AJ665" s="87"/>
      <c r="AK665" s="87"/>
      <c r="AL665" s="87"/>
      <c r="AM665" s="87"/>
      <c r="AN665" s="87"/>
      <c r="AO665" s="87"/>
      <c r="AP665" s="87"/>
      <c r="AQ665" s="88"/>
      <c r="AR665" s="88"/>
      <c r="AS665" s="88"/>
      <c r="AT665" s="88"/>
      <c r="AU665" s="88"/>
      <c r="AV665" s="88"/>
      <c r="AW665" s="88"/>
      <c r="AX665" s="88"/>
      <c r="AY665" s="87"/>
      <c r="AZ665" s="87"/>
      <c r="BA665" s="87"/>
      <c r="BB665" s="87"/>
      <c r="BC665" s="87"/>
      <c r="BD665" s="87"/>
      <c r="BE665" s="87"/>
      <c r="BF665" s="87"/>
      <c r="BG665" s="88"/>
      <c r="BH665" s="88"/>
      <c r="BI665" s="88"/>
      <c r="BJ665" s="88"/>
      <c r="BK665" s="88"/>
      <c r="BL665" s="88"/>
      <c r="BM665" s="88"/>
      <c r="BN665" s="88"/>
      <c r="BO665" s="209"/>
      <c r="BP665" s="208"/>
      <c r="BQ665" s="208"/>
    </row>
    <row r="666" spans="1:71" x14ac:dyDescent="0.2">
      <c r="K666" s="183"/>
      <c r="L666" s="100"/>
      <c r="R666" s="86"/>
      <c r="S666" s="87"/>
      <c r="T666" s="87"/>
      <c r="U666" s="87"/>
      <c r="V666" s="87"/>
      <c r="W666" s="87"/>
      <c r="X666" s="87"/>
      <c r="Y666" s="87"/>
      <c r="Z666" s="87"/>
      <c r="AA666" s="88"/>
      <c r="AB666" s="88"/>
      <c r="AC666" s="88"/>
      <c r="AD666" s="88"/>
      <c r="AE666" s="88"/>
      <c r="AF666" s="88"/>
      <c r="AG666" s="88"/>
      <c r="AH666" s="88"/>
      <c r="AI666" s="87"/>
      <c r="AJ666" s="87"/>
      <c r="AK666" s="87"/>
      <c r="AL666" s="87"/>
      <c r="AM666" s="87"/>
      <c r="AN666" s="87"/>
      <c r="AO666" s="87"/>
      <c r="AP666" s="87"/>
      <c r="AQ666" s="88"/>
      <c r="AR666" s="88"/>
      <c r="AS666" s="88"/>
      <c r="AT666" s="88"/>
      <c r="AU666" s="88"/>
      <c r="AV666" s="88"/>
      <c r="AW666" s="88"/>
      <c r="AX666" s="88"/>
      <c r="AY666" s="87"/>
      <c r="AZ666" s="87"/>
      <c r="BA666" s="87"/>
      <c r="BB666" s="87"/>
      <c r="BC666" s="87"/>
      <c r="BD666" s="87"/>
      <c r="BE666" s="87"/>
      <c r="BF666" s="87"/>
      <c r="BG666" s="88"/>
      <c r="BH666" s="88"/>
      <c r="BI666" s="88"/>
      <c r="BJ666" s="88"/>
      <c r="BK666" s="88"/>
      <c r="BL666" s="88"/>
      <c r="BM666" s="88"/>
      <c r="BN666" s="88"/>
      <c r="BO666" s="209"/>
      <c r="BP666" s="208"/>
      <c r="BQ666" s="208"/>
    </row>
    <row r="667" spans="1:71" x14ac:dyDescent="0.2">
      <c r="K667" s="183"/>
      <c r="L667" s="100"/>
      <c r="R667" s="86"/>
      <c r="S667" s="87"/>
      <c r="T667" s="87"/>
      <c r="U667" s="87"/>
      <c r="V667" s="87"/>
      <c r="W667" s="87"/>
      <c r="X667" s="87"/>
      <c r="Y667" s="87"/>
      <c r="Z667" s="87"/>
      <c r="AA667" s="88"/>
      <c r="AB667" s="88"/>
      <c r="AC667" s="88"/>
      <c r="AD667" s="88"/>
      <c r="AE667" s="88"/>
      <c r="AF667" s="88"/>
      <c r="AG667" s="88"/>
      <c r="AH667" s="88"/>
      <c r="AI667" s="87"/>
      <c r="AJ667" s="87"/>
      <c r="AK667" s="87"/>
      <c r="AL667" s="87"/>
      <c r="AM667" s="87"/>
      <c r="AN667" s="87"/>
      <c r="AO667" s="87"/>
      <c r="AP667" s="87"/>
      <c r="AQ667" s="88"/>
      <c r="AR667" s="88"/>
      <c r="AS667" s="88"/>
      <c r="AT667" s="88"/>
      <c r="AU667" s="88"/>
      <c r="AV667" s="88"/>
      <c r="AW667" s="88"/>
      <c r="AX667" s="88"/>
      <c r="AY667" s="87"/>
      <c r="AZ667" s="87"/>
      <c r="BA667" s="87"/>
      <c r="BB667" s="87"/>
      <c r="BC667" s="87"/>
      <c r="BD667" s="87"/>
      <c r="BE667" s="87"/>
      <c r="BF667" s="87"/>
      <c r="BG667" s="88"/>
      <c r="BH667" s="88"/>
      <c r="BI667" s="88"/>
      <c r="BJ667" s="88"/>
      <c r="BK667" s="88"/>
      <c r="BL667" s="88"/>
      <c r="BM667" s="88"/>
      <c r="BN667" s="88"/>
      <c r="BO667" s="209"/>
      <c r="BP667" s="208"/>
      <c r="BQ667" s="208"/>
    </row>
    <row r="668" spans="1:71" x14ac:dyDescent="0.2">
      <c r="K668" s="183"/>
      <c r="L668" s="100"/>
      <c r="R668" s="86"/>
      <c r="S668" s="87"/>
      <c r="T668" s="87"/>
      <c r="U668" s="87"/>
      <c r="V668" s="87"/>
      <c r="W668" s="87"/>
      <c r="X668" s="87"/>
      <c r="Y668" s="87"/>
      <c r="Z668" s="87"/>
      <c r="AA668" s="88"/>
      <c r="AB668" s="88"/>
      <c r="AC668" s="88"/>
      <c r="AD668" s="88"/>
      <c r="AE668" s="88"/>
      <c r="AF668" s="88"/>
      <c r="AG668" s="88"/>
      <c r="AH668" s="88"/>
      <c r="AI668" s="87"/>
      <c r="AJ668" s="87"/>
      <c r="AK668" s="87"/>
      <c r="AL668" s="87"/>
      <c r="AM668" s="87"/>
      <c r="AN668" s="87"/>
      <c r="AO668" s="87"/>
      <c r="AP668" s="87"/>
      <c r="AQ668" s="88"/>
      <c r="AR668" s="88"/>
      <c r="AS668" s="88"/>
      <c r="AT668" s="88"/>
      <c r="AU668" s="88"/>
      <c r="AV668" s="88"/>
      <c r="AW668" s="88"/>
      <c r="AX668" s="88"/>
      <c r="AY668" s="87"/>
      <c r="AZ668" s="87"/>
      <c r="BA668" s="87"/>
      <c r="BB668" s="87"/>
      <c r="BC668" s="87"/>
      <c r="BD668" s="87"/>
      <c r="BE668" s="87"/>
      <c r="BF668" s="87"/>
      <c r="BG668" s="88"/>
      <c r="BH668" s="88"/>
      <c r="BI668" s="88"/>
      <c r="BJ668" s="88"/>
      <c r="BK668" s="88"/>
      <c r="BL668" s="88"/>
      <c r="BM668" s="88"/>
      <c r="BN668" s="88"/>
      <c r="BO668" s="209"/>
      <c r="BP668" s="208"/>
      <c r="BQ668" s="208"/>
    </row>
    <row r="669" spans="1:71" x14ac:dyDescent="0.2">
      <c r="K669" s="183"/>
      <c r="L669" s="100"/>
      <c r="R669" s="86"/>
      <c r="S669" s="87"/>
      <c r="T669" s="87"/>
      <c r="U669" s="87"/>
      <c r="V669" s="87"/>
      <c r="W669" s="87"/>
      <c r="X669" s="87"/>
      <c r="Y669" s="87"/>
      <c r="Z669" s="87"/>
      <c r="AA669" s="88"/>
      <c r="AB669" s="88"/>
      <c r="AC669" s="88"/>
      <c r="AD669" s="88"/>
      <c r="AE669" s="88"/>
      <c r="AF669" s="88"/>
      <c r="AG669" s="88"/>
      <c r="AH669" s="88"/>
      <c r="AI669" s="87"/>
      <c r="AJ669" s="87"/>
      <c r="AK669" s="87"/>
      <c r="AL669" s="87"/>
      <c r="AM669" s="87"/>
      <c r="AN669" s="87"/>
      <c r="AO669" s="87"/>
      <c r="AP669" s="87"/>
      <c r="AQ669" s="88"/>
      <c r="AR669" s="88"/>
      <c r="AS669" s="88"/>
      <c r="AT669" s="88"/>
      <c r="AU669" s="88"/>
      <c r="AV669" s="88"/>
      <c r="AW669" s="88"/>
      <c r="AX669" s="88"/>
      <c r="AY669" s="87"/>
      <c r="AZ669" s="87"/>
      <c r="BA669" s="87"/>
      <c r="BB669" s="87"/>
      <c r="BC669" s="87"/>
      <c r="BD669" s="87"/>
      <c r="BE669" s="87"/>
      <c r="BF669" s="87"/>
      <c r="BG669" s="88"/>
      <c r="BH669" s="88"/>
      <c r="BI669" s="88"/>
      <c r="BJ669" s="88"/>
      <c r="BK669" s="88"/>
      <c r="BL669" s="88"/>
      <c r="BM669" s="88"/>
      <c r="BN669" s="88"/>
      <c r="BO669" s="209"/>
      <c r="BP669" s="208"/>
      <c r="BQ669" s="208"/>
    </row>
    <row r="670" spans="1:71" s="81" customFormat="1" x14ac:dyDescent="0.2">
      <c r="A670" s="175"/>
      <c r="B670" s="183"/>
      <c r="C670" s="184"/>
      <c r="D670" s="183"/>
      <c r="E670" s="184"/>
      <c r="F670" s="183"/>
      <c r="G670" s="183"/>
      <c r="H670" s="184"/>
      <c r="I670" s="183"/>
      <c r="J670" s="183"/>
      <c r="K670" s="183"/>
      <c r="L670" s="100"/>
      <c r="M670" s="100"/>
      <c r="N670" s="100"/>
      <c r="O670" s="100"/>
      <c r="P670" s="100"/>
      <c r="Q670" s="75"/>
      <c r="R670" s="86"/>
      <c r="S670" s="87"/>
      <c r="T670" s="87"/>
      <c r="U670" s="87"/>
      <c r="V670" s="87"/>
      <c r="W670" s="87"/>
      <c r="X670" s="87"/>
      <c r="Y670" s="87"/>
      <c r="Z670" s="87"/>
      <c r="AA670" s="88"/>
      <c r="AB670" s="88"/>
      <c r="AC670" s="88"/>
      <c r="AD670" s="88"/>
      <c r="AE670" s="88"/>
      <c r="AF670" s="88"/>
      <c r="AG670" s="88"/>
      <c r="AH670" s="88"/>
      <c r="AI670" s="87"/>
      <c r="AJ670" s="87"/>
      <c r="AK670" s="87"/>
      <c r="AL670" s="87"/>
      <c r="AM670" s="87"/>
      <c r="AN670" s="87"/>
      <c r="AO670" s="87"/>
      <c r="AP670" s="87"/>
      <c r="AQ670" s="88"/>
      <c r="AR670" s="88"/>
      <c r="AS670" s="88"/>
      <c r="AT670" s="88"/>
      <c r="AU670" s="88"/>
      <c r="AV670" s="88"/>
      <c r="AW670" s="88"/>
      <c r="AX670" s="88"/>
      <c r="AY670" s="87"/>
      <c r="AZ670" s="87"/>
      <c r="BA670" s="87"/>
      <c r="BB670" s="87"/>
      <c r="BC670" s="87"/>
      <c r="BD670" s="87"/>
      <c r="BE670" s="87"/>
      <c r="BF670" s="87"/>
      <c r="BG670" s="88"/>
      <c r="BH670" s="88"/>
      <c r="BI670" s="88"/>
      <c r="BJ670" s="88"/>
      <c r="BK670" s="88"/>
      <c r="BL670" s="88"/>
      <c r="BM670" s="88"/>
      <c r="BN670" s="88"/>
      <c r="BO670" s="209"/>
      <c r="BP670" s="208"/>
      <c r="BQ670" s="208"/>
    </row>
    <row r="671" spans="1:71" s="81" customFormat="1" x14ac:dyDescent="0.2">
      <c r="A671" s="175"/>
      <c r="B671" s="183"/>
      <c r="C671" s="184"/>
      <c r="D671" s="183"/>
      <c r="E671" s="184"/>
      <c r="F671" s="183"/>
      <c r="G671" s="183"/>
      <c r="H671" s="184"/>
      <c r="I671" s="183"/>
      <c r="J671" s="183"/>
      <c r="K671" s="183"/>
      <c r="L671" s="100"/>
      <c r="M671" s="100"/>
      <c r="N671" s="100"/>
      <c r="O671" s="100"/>
      <c r="P671" s="100"/>
      <c r="Q671" s="75"/>
      <c r="R671" s="86"/>
      <c r="S671" s="87"/>
      <c r="T671" s="87"/>
      <c r="U671" s="87"/>
      <c r="V671" s="87"/>
      <c r="W671" s="87"/>
      <c r="X671" s="87"/>
      <c r="Y671" s="87"/>
      <c r="Z671" s="87"/>
      <c r="AA671" s="88"/>
      <c r="AB671" s="88"/>
      <c r="AC671" s="88"/>
      <c r="AD671" s="88"/>
      <c r="AE671" s="88"/>
      <c r="AF671" s="88"/>
      <c r="AG671" s="88"/>
      <c r="AH671" s="88"/>
      <c r="AI671" s="87"/>
      <c r="AJ671" s="87"/>
      <c r="AK671" s="87"/>
      <c r="AL671" s="87"/>
      <c r="AM671" s="87"/>
      <c r="AN671" s="87"/>
      <c r="AO671" s="87"/>
      <c r="AP671" s="87"/>
      <c r="AQ671" s="88"/>
      <c r="AR671" s="88"/>
      <c r="AS671" s="88"/>
      <c r="AT671" s="88"/>
      <c r="AU671" s="88"/>
      <c r="AV671" s="88"/>
      <c r="AW671" s="88"/>
      <c r="AX671" s="88"/>
      <c r="AY671" s="87"/>
      <c r="AZ671" s="87"/>
      <c r="BA671" s="87"/>
      <c r="BB671" s="87"/>
      <c r="BC671" s="87"/>
      <c r="BD671" s="87"/>
      <c r="BE671" s="87"/>
      <c r="BF671" s="87"/>
      <c r="BG671" s="88"/>
      <c r="BH671" s="88"/>
      <c r="BI671" s="88"/>
      <c r="BJ671" s="88"/>
      <c r="BK671" s="88"/>
      <c r="BL671" s="88"/>
      <c r="BM671" s="88"/>
      <c r="BN671" s="88"/>
      <c r="BO671" s="209"/>
      <c r="BP671" s="208"/>
      <c r="BQ671" s="208"/>
    </row>
    <row r="672" spans="1:71" x14ac:dyDescent="0.2">
      <c r="K672" s="183"/>
      <c r="L672" s="100"/>
      <c r="R672" s="86"/>
      <c r="S672" s="87"/>
      <c r="T672" s="87"/>
      <c r="U672" s="87"/>
      <c r="V672" s="87"/>
      <c r="W672" s="87"/>
      <c r="X672" s="87"/>
      <c r="Y672" s="87"/>
      <c r="Z672" s="87"/>
      <c r="AA672" s="88"/>
      <c r="AB672" s="88"/>
      <c r="AC672" s="88"/>
      <c r="AD672" s="88"/>
      <c r="AE672" s="88"/>
      <c r="AF672" s="88"/>
      <c r="AG672" s="88"/>
      <c r="AH672" s="88"/>
      <c r="AI672" s="87"/>
      <c r="AJ672" s="87"/>
      <c r="AK672" s="87"/>
      <c r="AL672" s="87"/>
      <c r="AM672" s="87"/>
      <c r="AN672" s="87"/>
      <c r="AO672" s="87"/>
      <c r="AP672" s="87"/>
      <c r="AQ672" s="88"/>
      <c r="AR672" s="88"/>
      <c r="AS672" s="88"/>
      <c r="AT672" s="88"/>
      <c r="AU672" s="88"/>
      <c r="AV672" s="88"/>
      <c r="AW672" s="88"/>
      <c r="AX672" s="88"/>
      <c r="AY672" s="87"/>
      <c r="AZ672" s="87"/>
      <c r="BA672" s="87"/>
      <c r="BB672" s="87"/>
      <c r="BC672" s="87"/>
      <c r="BD672" s="87"/>
      <c r="BE672" s="87"/>
      <c r="BF672" s="87"/>
      <c r="BG672" s="88"/>
      <c r="BH672" s="88"/>
      <c r="BI672" s="88"/>
      <c r="BJ672" s="88"/>
      <c r="BK672" s="88"/>
      <c r="BL672" s="88"/>
      <c r="BM672" s="88"/>
      <c r="BN672" s="88"/>
      <c r="BO672" s="209"/>
      <c r="BP672" s="208"/>
      <c r="BQ672" s="208"/>
    </row>
    <row r="673" spans="1:69" s="81" customFormat="1" x14ac:dyDescent="0.2">
      <c r="A673" s="175"/>
      <c r="B673" s="183"/>
      <c r="C673" s="184"/>
      <c r="D673" s="183"/>
      <c r="E673" s="184"/>
      <c r="F673" s="183"/>
      <c r="G673" s="183"/>
      <c r="H673" s="184"/>
      <c r="I673" s="183"/>
      <c r="J673" s="183"/>
      <c r="K673" s="183"/>
      <c r="L673" s="100"/>
      <c r="M673" s="100"/>
      <c r="N673" s="100"/>
      <c r="O673" s="100"/>
      <c r="P673" s="100"/>
      <c r="Q673" s="75"/>
      <c r="R673" s="86"/>
      <c r="S673" s="87"/>
      <c r="T673" s="87"/>
      <c r="U673" s="87"/>
      <c r="V673" s="87"/>
      <c r="W673" s="87"/>
      <c r="X673" s="87"/>
      <c r="Y673" s="87"/>
      <c r="Z673" s="87"/>
      <c r="AA673" s="88"/>
      <c r="AB673" s="88"/>
      <c r="AC673" s="88"/>
      <c r="AD673" s="88"/>
      <c r="AE673" s="88"/>
      <c r="AF673" s="88"/>
      <c r="AG673" s="88"/>
      <c r="AH673" s="88"/>
      <c r="AI673" s="87"/>
      <c r="AJ673" s="87"/>
      <c r="AK673" s="87"/>
      <c r="AL673" s="87"/>
      <c r="AM673" s="87"/>
      <c r="AN673" s="87"/>
      <c r="AO673" s="87"/>
      <c r="AP673" s="87"/>
      <c r="AQ673" s="88"/>
      <c r="AR673" s="88"/>
      <c r="AS673" s="88"/>
      <c r="AT673" s="88"/>
      <c r="AU673" s="88"/>
      <c r="AV673" s="88"/>
      <c r="AW673" s="88"/>
      <c r="AX673" s="88"/>
      <c r="AY673" s="87"/>
      <c r="AZ673" s="87"/>
      <c r="BA673" s="87"/>
      <c r="BB673" s="87"/>
      <c r="BC673" s="87"/>
      <c r="BD673" s="87"/>
      <c r="BE673" s="87"/>
      <c r="BF673" s="87"/>
      <c r="BG673" s="88"/>
      <c r="BH673" s="88"/>
      <c r="BI673" s="88"/>
      <c r="BJ673" s="88"/>
      <c r="BK673" s="88"/>
      <c r="BL673" s="88"/>
      <c r="BM673" s="88"/>
      <c r="BN673" s="88"/>
      <c r="BO673" s="209"/>
      <c r="BP673" s="208"/>
      <c r="BQ673" s="208"/>
    </row>
    <row r="674" spans="1:69" s="81" customFormat="1" x14ac:dyDescent="0.2">
      <c r="A674" s="175"/>
      <c r="B674" s="183"/>
      <c r="C674" s="184"/>
      <c r="D674" s="183"/>
      <c r="E674" s="184"/>
      <c r="F674" s="183"/>
      <c r="G674" s="183"/>
      <c r="H674" s="184"/>
      <c r="I674" s="183"/>
      <c r="J674" s="183"/>
      <c r="K674" s="183"/>
      <c r="L674" s="100"/>
      <c r="M674" s="100"/>
      <c r="N674" s="100"/>
      <c r="O674" s="100"/>
      <c r="P674" s="100"/>
      <c r="Q674" s="75"/>
      <c r="R674" s="86"/>
      <c r="S674" s="87"/>
      <c r="T674" s="87"/>
      <c r="U674" s="87"/>
      <c r="V674" s="87"/>
      <c r="W674" s="87"/>
      <c r="X674" s="87"/>
      <c r="Y674" s="87"/>
      <c r="Z674" s="87"/>
      <c r="AA674" s="88"/>
      <c r="AB674" s="88"/>
      <c r="AC674" s="88"/>
      <c r="AD674" s="88"/>
      <c r="AE674" s="88"/>
      <c r="AF674" s="88"/>
      <c r="AG674" s="88"/>
      <c r="AH674" s="88"/>
      <c r="AI674" s="87"/>
      <c r="AJ674" s="87"/>
      <c r="AK674" s="87"/>
      <c r="AL674" s="87"/>
      <c r="AM674" s="87"/>
      <c r="AN674" s="87"/>
      <c r="AO674" s="87"/>
      <c r="AP674" s="87"/>
      <c r="AQ674" s="88"/>
      <c r="AR674" s="88"/>
      <c r="AS674" s="88"/>
      <c r="AT674" s="88"/>
      <c r="AU674" s="88"/>
      <c r="AV674" s="88"/>
      <c r="AW674" s="88"/>
      <c r="AX674" s="88"/>
      <c r="AY674" s="87"/>
      <c r="AZ674" s="87"/>
      <c r="BA674" s="87"/>
      <c r="BB674" s="87"/>
      <c r="BC674" s="87"/>
      <c r="BD674" s="87"/>
      <c r="BE674" s="87"/>
      <c r="BF674" s="87"/>
      <c r="BG674" s="88"/>
      <c r="BH674" s="88"/>
      <c r="BI674" s="88"/>
      <c r="BJ674" s="88"/>
      <c r="BK674" s="88"/>
      <c r="BL674" s="88"/>
      <c r="BM674" s="88"/>
      <c r="BN674" s="88"/>
      <c r="BO674" s="209"/>
      <c r="BP674" s="208"/>
      <c r="BQ674" s="208"/>
    </row>
    <row r="675" spans="1:69" s="81" customFormat="1" x14ac:dyDescent="0.2">
      <c r="A675" s="175"/>
      <c r="B675" s="183"/>
      <c r="C675" s="184"/>
      <c r="D675" s="183"/>
      <c r="E675" s="184"/>
      <c r="F675" s="183"/>
      <c r="G675" s="183"/>
      <c r="H675" s="184"/>
      <c r="I675" s="183"/>
      <c r="J675" s="183"/>
      <c r="K675" s="183"/>
      <c r="L675" s="100"/>
      <c r="M675" s="100"/>
      <c r="N675" s="100"/>
      <c r="O675" s="100"/>
      <c r="P675" s="100"/>
      <c r="Q675" s="75"/>
      <c r="R675" s="86"/>
      <c r="S675" s="87"/>
      <c r="T675" s="87"/>
      <c r="U675" s="87"/>
      <c r="V675" s="87"/>
      <c r="W675" s="87"/>
      <c r="X675" s="87"/>
      <c r="Y675" s="87"/>
      <c r="Z675" s="87"/>
      <c r="AA675" s="88"/>
      <c r="AB675" s="88"/>
      <c r="AC675" s="88"/>
      <c r="AD675" s="88"/>
      <c r="AE675" s="88"/>
      <c r="AF675" s="88"/>
      <c r="AG675" s="88"/>
      <c r="AH675" s="88"/>
      <c r="AI675" s="87"/>
      <c r="AJ675" s="87"/>
      <c r="AK675" s="87"/>
      <c r="AL675" s="87"/>
      <c r="AM675" s="87"/>
      <c r="AN675" s="87"/>
      <c r="AO675" s="87"/>
      <c r="AP675" s="87"/>
      <c r="AQ675" s="88"/>
      <c r="AR675" s="88"/>
      <c r="AS675" s="88"/>
      <c r="AT675" s="88"/>
      <c r="AU675" s="88"/>
      <c r="AV675" s="88"/>
      <c r="AW675" s="88"/>
      <c r="AX675" s="88"/>
      <c r="AY675" s="87"/>
      <c r="AZ675" s="87"/>
      <c r="BA675" s="87"/>
      <c r="BB675" s="87"/>
      <c r="BC675" s="87"/>
      <c r="BD675" s="87"/>
      <c r="BE675" s="87"/>
      <c r="BF675" s="87"/>
      <c r="BG675" s="88"/>
      <c r="BH675" s="88"/>
      <c r="BI675" s="88"/>
      <c r="BJ675" s="88"/>
      <c r="BK675" s="88"/>
      <c r="BL675" s="88"/>
      <c r="BM675" s="88"/>
      <c r="BN675" s="88"/>
      <c r="BO675" s="209"/>
      <c r="BP675" s="208"/>
      <c r="BQ675" s="208"/>
    </row>
    <row r="676" spans="1:69" x14ac:dyDescent="0.2">
      <c r="K676" s="183"/>
      <c r="L676" s="100"/>
      <c r="R676" s="86"/>
      <c r="S676" s="87"/>
      <c r="T676" s="87"/>
      <c r="U676" s="87"/>
      <c r="V676" s="87"/>
      <c r="W676" s="87"/>
      <c r="X676" s="87"/>
      <c r="Y676" s="87"/>
      <c r="Z676" s="87"/>
      <c r="AA676" s="88"/>
      <c r="AB676" s="88"/>
      <c r="AC676" s="88"/>
      <c r="AD676" s="88"/>
      <c r="AE676" s="88"/>
      <c r="AF676" s="88"/>
      <c r="AG676" s="88"/>
      <c r="AH676" s="88"/>
      <c r="AI676" s="87"/>
      <c r="AJ676" s="87"/>
      <c r="AK676" s="87"/>
      <c r="AL676" s="87"/>
      <c r="AM676" s="87"/>
      <c r="AN676" s="87"/>
      <c r="AO676" s="87"/>
      <c r="AP676" s="87"/>
      <c r="AQ676" s="88"/>
      <c r="AR676" s="88"/>
      <c r="AS676" s="88"/>
      <c r="AT676" s="88"/>
      <c r="AU676" s="88"/>
      <c r="AV676" s="88"/>
      <c r="AW676" s="88"/>
      <c r="AX676" s="88"/>
      <c r="AY676" s="87"/>
      <c r="AZ676" s="87"/>
      <c r="BA676" s="87"/>
      <c r="BB676" s="87"/>
      <c r="BC676" s="87"/>
      <c r="BD676" s="87"/>
      <c r="BE676" s="87"/>
      <c r="BF676" s="87"/>
      <c r="BG676" s="88"/>
      <c r="BH676" s="88"/>
      <c r="BI676" s="88"/>
      <c r="BJ676" s="88"/>
      <c r="BK676" s="88"/>
      <c r="BL676" s="88"/>
      <c r="BM676" s="88"/>
      <c r="BN676" s="88"/>
      <c r="BO676" s="209"/>
      <c r="BP676" s="208"/>
      <c r="BQ676" s="208"/>
    </row>
    <row r="677" spans="1:69" x14ac:dyDescent="0.2">
      <c r="K677" s="183"/>
      <c r="L677" s="100"/>
      <c r="R677" s="86"/>
      <c r="S677" s="87"/>
      <c r="T677" s="87"/>
      <c r="U677" s="87"/>
      <c r="V677" s="87"/>
      <c r="W677" s="87"/>
      <c r="X677" s="87"/>
      <c r="Y677" s="87"/>
      <c r="Z677" s="87"/>
      <c r="AA677" s="88"/>
      <c r="AB677" s="88"/>
      <c r="AC677" s="88"/>
      <c r="AD677" s="88"/>
      <c r="AE677" s="88"/>
      <c r="AF677" s="88"/>
      <c r="AG677" s="88"/>
      <c r="AH677" s="88"/>
      <c r="AI677" s="87"/>
      <c r="AJ677" s="87"/>
      <c r="AK677" s="87"/>
      <c r="AL677" s="87"/>
      <c r="AM677" s="87"/>
      <c r="AN677" s="87"/>
      <c r="AO677" s="87"/>
      <c r="AP677" s="87"/>
      <c r="AQ677" s="88"/>
      <c r="AR677" s="88"/>
      <c r="AS677" s="88"/>
      <c r="AT677" s="88"/>
      <c r="AU677" s="88"/>
      <c r="AV677" s="88"/>
      <c r="AW677" s="88"/>
      <c r="AX677" s="88"/>
      <c r="AY677" s="87"/>
      <c r="AZ677" s="87"/>
      <c r="BA677" s="87"/>
      <c r="BB677" s="87"/>
      <c r="BC677" s="87"/>
      <c r="BD677" s="87"/>
      <c r="BE677" s="87"/>
      <c r="BF677" s="87"/>
      <c r="BG677" s="88"/>
      <c r="BH677" s="88"/>
      <c r="BI677" s="88"/>
      <c r="BJ677" s="88"/>
      <c r="BK677" s="88"/>
      <c r="BL677" s="88"/>
      <c r="BM677" s="88"/>
      <c r="BN677" s="88"/>
      <c r="BO677" s="209"/>
      <c r="BP677" s="208"/>
      <c r="BQ677" s="208"/>
    </row>
    <row r="678" spans="1:69" x14ac:dyDescent="0.2">
      <c r="K678" s="183"/>
      <c r="L678" s="100"/>
      <c r="R678" s="86"/>
      <c r="S678" s="87"/>
      <c r="T678" s="87"/>
      <c r="U678" s="87"/>
      <c r="V678" s="87"/>
      <c r="W678" s="87"/>
      <c r="X678" s="87"/>
      <c r="Y678" s="87"/>
      <c r="Z678" s="87"/>
      <c r="AA678" s="88"/>
      <c r="AB678" s="88"/>
      <c r="AC678" s="88"/>
      <c r="AD678" s="88"/>
      <c r="AE678" s="88"/>
      <c r="AF678" s="88"/>
      <c r="AG678" s="88"/>
      <c r="AH678" s="88"/>
      <c r="AI678" s="87"/>
      <c r="AJ678" s="87"/>
      <c r="AK678" s="87"/>
      <c r="AL678" s="87"/>
      <c r="AM678" s="87"/>
      <c r="AN678" s="87"/>
      <c r="AO678" s="87"/>
      <c r="AP678" s="87"/>
      <c r="AQ678" s="88"/>
      <c r="AR678" s="88"/>
      <c r="AS678" s="88"/>
      <c r="AT678" s="88"/>
      <c r="AU678" s="88"/>
      <c r="AV678" s="88"/>
      <c r="AW678" s="88"/>
      <c r="AX678" s="88"/>
      <c r="AY678" s="87"/>
      <c r="AZ678" s="87"/>
      <c r="BA678" s="87"/>
      <c r="BB678" s="87"/>
      <c r="BC678" s="87"/>
      <c r="BD678" s="87"/>
      <c r="BE678" s="87"/>
      <c r="BF678" s="87"/>
      <c r="BG678" s="88"/>
      <c r="BH678" s="88"/>
      <c r="BI678" s="88"/>
      <c r="BJ678" s="88"/>
      <c r="BK678" s="88"/>
      <c r="BL678" s="88"/>
      <c r="BM678" s="88"/>
      <c r="BN678" s="88"/>
      <c r="BO678" s="209"/>
      <c r="BP678" s="208"/>
      <c r="BQ678" s="208"/>
    </row>
    <row r="679" spans="1:69" x14ac:dyDescent="0.2">
      <c r="K679" s="183"/>
      <c r="L679" s="100"/>
      <c r="R679" s="86"/>
      <c r="S679" s="87"/>
      <c r="T679" s="87"/>
      <c r="U679" s="87"/>
      <c r="V679" s="87"/>
      <c r="W679" s="87"/>
      <c r="X679" s="87"/>
      <c r="Y679" s="87"/>
      <c r="Z679" s="87"/>
      <c r="AA679" s="88"/>
      <c r="AB679" s="88"/>
      <c r="AC679" s="88"/>
      <c r="AD679" s="88"/>
      <c r="AE679" s="88"/>
      <c r="AF679" s="88"/>
      <c r="AG679" s="88"/>
      <c r="AH679" s="88"/>
      <c r="AI679" s="87"/>
      <c r="AJ679" s="87"/>
      <c r="AK679" s="87"/>
      <c r="AL679" s="87"/>
      <c r="AM679" s="87"/>
      <c r="AN679" s="87"/>
      <c r="AO679" s="87"/>
      <c r="AP679" s="87"/>
      <c r="AQ679" s="88"/>
      <c r="AR679" s="88"/>
      <c r="AS679" s="88"/>
      <c r="AT679" s="88"/>
      <c r="AU679" s="88"/>
      <c r="AV679" s="88"/>
      <c r="AW679" s="88"/>
      <c r="AX679" s="88"/>
      <c r="AY679" s="87"/>
      <c r="AZ679" s="87"/>
      <c r="BA679" s="87"/>
      <c r="BB679" s="87"/>
      <c r="BC679" s="87"/>
      <c r="BD679" s="87"/>
      <c r="BE679" s="87"/>
      <c r="BF679" s="87"/>
      <c r="BG679" s="88"/>
      <c r="BH679" s="88"/>
      <c r="BI679" s="88"/>
      <c r="BJ679" s="88"/>
      <c r="BK679" s="88"/>
      <c r="BL679" s="88"/>
      <c r="BM679" s="88"/>
      <c r="BN679" s="88"/>
      <c r="BO679" s="209"/>
      <c r="BP679" s="208"/>
      <c r="BQ679" s="208"/>
    </row>
    <row r="680" spans="1:69" x14ac:dyDescent="0.2">
      <c r="K680" s="183"/>
      <c r="L680" s="100"/>
      <c r="R680" s="86"/>
      <c r="S680" s="87"/>
      <c r="T680" s="87"/>
      <c r="U680" s="87"/>
      <c r="V680" s="87"/>
      <c r="W680" s="87"/>
      <c r="X680" s="87"/>
      <c r="Y680" s="87"/>
      <c r="Z680" s="87"/>
      <c r="AA680" s="88"/>
      <c r="AB680" s="88"/>
      <c r="AC680" s="88"/>
      <c r="AD680" s="88"/>
      <c r="AE680" s="88"/>
      <c r="AF680" s="88"/>
      <c r="AG680" s="88"/>
      <c r="AH680" s="88"/>
      <c r="AI680" s="87"/>
      <c r="AJ680" s="87"/>
      <c r="AK680" s="87"/>
      <c r="AL680" s="87"/>
      <c r="AM680" s="87"/>
      <c r="AN680" s="87"/>
      <c r="AO680" s="87"/>
      <c r="AP680" s="87"/>
      <c r="AQ680" s="88"/>
      <c r="AR680" s="88"/>
      <c r="AS680" s="88"/>
      <c r="AT680" s="88"/>
      <c r="AU680" s="88"/>
      <c r="AV680" s="88"/>
      <c r="AW680" s="88"/>
      <c r="AX680" s="88"/>
      <c r="AY680" s="87"/>
      <c r="AZ680" s="87"/>
      <c r="BA680" s="87"/>
      <c r="BB680" s="87"/>
      <c r="BC680" s="87"/>
      <c r="BD680" s="87"/>
      <c r="BE680" s="87"/>
      <c r="BF680" s="87"/>
      <c r="BG680" s="88"/>
      <c r="BH680" s="88"/>
      <c r="BI680" s="88"/>
      <c r="BJ680" s="88"/>
      <c r="BK680" s="88"/>
      <c r="BL680" s="88"/>
      <c r="BM680" s="88"/>
      <c r="BN680" s="88"/>
      <c r="BO680" s="209"/>
      <c r="BP680" s="208"/>
      <c r="BQ680" s="208"/>
    </row>
    <row r="681" spans="1:69" x14ac:dyDescent="0.2">
      <c r="K681" s="183"/>
      <c r="L681" s="100"/>
      <c r="R681" s="86"/>
      <c r="S681" s="87"/>
      <c r="T681" s="87"/>
      <c r="U681" s="87"/>
      <c r="V681" s="87"/>
      <c r="W681" s="87"/>
      <c r="X681" s="87"/>
      <c r="Y681" s="87"/>
      <c r="Z681" s="87"/>
      <c r="AA681" s="88"/>
      <c r="AB681" s="88"/>
      <c r="AC681" s="88"/>
      <c r="AD681" s="88"/>
      <c r="AE681" s="88"/>
      <c r="AF681" s="88"/>
      <c r="AG681" s="88"/>
      <c r="AH681" s="88"/>
      <c r="AI681" s="87"/>
      <c r="AJ681" s="87"/>
      <c r="AK681" s="87"/>
      <c r="AL681" s="87"/>
      <c r="AM681" s="87"/>
      <c r="AN681" s="87"/>
      <c r="AO681" s="87"/>
      <c r="AP681" s="87"/>
      <c r="AQ681" s="88"/>
      <c r="AR681" s="88"/>
      <c r="AS681" s="88"/>
      <c r="AT681" s="88"/>
      <c r="AU681" s="88"/>
      <c r="AV681" s="88"/>
      <c r="AW681" s="88"/>
      <c r="AX681" s="88"/>
      <c r="AY681" s="87"/>
      <c r="AZ681" s="87"/>
      <c r="BA681" s="87"/>
      <c r="BB681" s="87"/>
      <c r="BC681" s="87"/>
      <c r="BD681" s="87"/>
      <c r="BE681" s="87"/>
      <c r="BF681" s="87"/>
      <c r="BG681" s="88"/>
      <c r="BH681" s="88"/>
      <c r="BI681" s="88"/>
      <c r="BJ681" s="88"/>
      <c r="BK681" s="88"/>
      <c r="BL681" s="88"/>
      <c r="BM681" s="88"/>
      <c r="BN681" s="88"/>
      <c r="BO681" s="209"/>
      <c r="BP681" s="208"/>
      <c r="BQ681" s="208"/>
    </row>
    <row r="682" spans="1:69" x14ac:dyDescent="0.2">
      <c r="K682" s="183"/>
      <c r="L682" s="100"/>
      <c r="R682" s="86"/>
      <c r="S682" s="87"/>
      <c r="T682" s="87"/>
      <c r="U682" s="87"/>
      <c r="V682" s="87"/>
      <c r="W682" s="87"/>
      <c r="X682" s="87"/>
      <c r="Y682" s="87"/>
      <c r="Z682" s="87"/>
      <c r="AA682" s="88"/>
      <c r="AB682" s="88"/>
      <c r="AC682" s="88"/>
      <c r="AD682" s="88"/>
      <c r="AE682" s="88"/>
      <c r="AF682" s="88"/>
      <c r="AG682" s="88"/>
      <c r="AH682" s="88"/>
      <c r="AI682" s="87"/>
      <c r="AJ682" s="87"/>
      <c r="AK682" s="87"/>
      <c r="AL682" s="87"/>
      <c r="AM682" s="87"/>
      <c r="AN682" s="87"/>
      <c r="AO682" s="87"/>
      <c r="AP682" s="87"/>
      <c r="AQ682" s="88"/>
      <c r="AR682" s="88"/>
      <c r="AS682" s="88"/>
      <c r="AT682" s="88"/>
      <c r="AU682" s="88"/>
      <c r="AV682" s="88"/>
      <c r="AW682" s="88"/>
      <c r="AX682" s="88"/>
      <c r="AY682" s="87"/>
      <c r="AZ682" s="87"/>
      <c r="BA682" s="87"/>
      <c r="BB682" s="87"/>
      <c r="BC682" s="87"/>
      <c r="BD682" s="87"/>
      <c r="BE682" s="87"/>
      <c r="BF682" s="87"/>
      <c r="BG682" s="88"/>
      <c r="BH682" s="88"/>
      <c r="BI682" s="88"/>
      <c r="BJ682" s="88"/>
      <c r="BK682" s="88"/>
      <c r="BL682" s="88"/>
      <c r="BM682" s="88"/>
      <c r="BN682" s="88"/>
      <c r="BO682" s="209"/>
      <c r="BP682" s="208"/>
      <c r="BQ682" s="208"/>
    </row>
    <row r="683" spans="1:69" x14ac:dyDescent="0.2">
      <c r="K683" s="183"/>
      <c r="L683" s="100"/>
      <c r="R683" s="86"/>
      <c r="S683" s="87"/>
      <c r="T683" s="87"/>
      <c r="U683" s="87"/>
      <c r="V683" s="87"/>
      <c r="W683" s="87"/>
      <c r="X683" s="87"/>
      <c r="Y683" s="87"/>
      <c r="Z683" s="87"/>
      <c r="AA683" s="88"/>
      <c r="AB683" s="88"/>
      <c r="AC683" s="88"/>
      <c r="AD683" s="88"/>
      <c r="AE683" s="88"/>
      <c r="AF683" s="88"/>
      <c r="AG683" s="88"/>
      <c r="AH683" s="88"/>
      <c r="AI683" s="87"/>
      <c r="AJ683" s="87"/>
      <c r="AK683" s="87"/>
      <c r="AL683" s="87"/>
      <c r="AM683" s="87"/>
      <c r="AN683" s="87"/>
      <c r="AO683" s="87"/>
      <c r="AP683" s="87"/>
      <c r="AQ683" s="88"/>
      <c r="AR683" s="88"/>
      <c r="AS683" s="88"/>
      <c r="AT683" s="88"/>
      <c r="AU683" s="88"/>
      <c r="AV683" s="88"/>
      <c r="AW683" s="88"/>
      <c r="AX683" s="88"/>
      <c r="AY683" s="87"/>
      <c r="AZ683" s="87"/>
      <c r="BA683" s="87"/>
      <c r="BB683" s="87"/>
      <c r="BC683" s="87"/>
      <c r="BD683" s="87"/>
      <c r="BE683" s="87"/>
      <c r="BF683" s="87"/>
      <c r="BG683" s="88"/>
      <c r="BH683" s="88"/>
      <c r="BI683" s="88"/>
      <c r="BJ683" s="88"/>
      <c r="BK683" s="88"/>
      <c r="BL683" s="88"/>
      <c r="BM683" s="88"/>
      <c r="BN683" s="88"/>
      <c r="BO683" s="209"/>
      <c r="BP683" s="208"/>
      <c r="BQ683" s="208"/>
    </row>
    <row r="684" spans="1:69" x14ac:dyDescent="0.2">
      <c r="K684" s="183"/>
      <c r="L684" s="100"/>
      <c r="R684" s="86"/>
      <c r="S684" s="87"/>
      <c r="T684" s="87"/>
      <c r="U684" s="87"/>
      <c r="V684" s="87"/>
      <c r="W684" s="87"/>
      <c r="X684" s="87"/>
      <c r="Y684" s="87"/>
      <c r="Z684" s="87"/>
      <c r="AA684" s="88"/>
      <c r="AB684" s="88"/>
      <c r="AC684" s="88"/>
      <c r="AD684" s="88"/>
      <c r="AE684" s="88"/>
      <c r="AF684" s="88"/>
      <c r="AG684" s="88"/>
      <c r="AH684" s="88"/>
      <c r="AI684" s="87"/>
      <c r="AJ684" s="87"/>
      <c r="AK684" s="87"/>
      <c r="AL684" s="87"/>
      <c r="AM684" s="87"/>
      <c r="AN684" s="87"/>
      <c r="AO684" s="87"/>
      <c r="AP684" s="87"/>
      <c r="AQ684" s="88"/>
      <c r="AR684" s="88"/>
      <c r="AS684" s="88"/>
      <c r="AT684" s="88"/>
      <c r="AU684" s="88"/>
      <c r="AV684" s="88"/>
      <c r="AW684" s="88"/>
      <c r="AX684" s="88"/>
      <c r="AY684" s="87"/>
      <c r="AZ684" s="87"/>
      <c r="BA684" s="87"/>
      <c r="BB684" s="87"/>
      <c r="BC684" s="87"/>
      <c r="BD684" s="87"/>
      <c r="BE684" s="87"/>
      <c r="BF684" s="87"/>
      <c r="BG684" s="88"/>
      <c r="BH684" s="88"/>
      <c r="BI684" s="88"/>
      <c r="BJ684" s="88"/>
      <c r="BK684" s="88"/>
      <c r="BL684" s="88"/>
      <c r="BM684" s="88"/>
      <c r="BN684" s="88"/>
      <c r="BO684" s="209"/>
      <c r="BP684" s="208"/>
      <c r="BQ684" s="208"/>
    </row>
    <row r="685" spans="1:69" s="81" customFormat="1" x14ac:dyDescent="0.2">
      <c r="A685" s="175"/>
      <c r="B685" s="183"/>
      <c r="C685" s="184"/>
      <c r="D685" s="183"/>
      <c r="E685" s="184"/>
      <c r="F685" s="183"/>
      <c r="G685" s="183"/>
      <c r="H685" s="184"/>
      <c r="I685" s="183"/>
      <c r="J685" s="183"/>
      <c r="K685" s="183"/>
      <c r="L685" s="100"/>
      <c r="M685" s="100"/>
      <c r="N685" s="100"/>
      <c r="O685" s="100"/>
      <c r="P685" s="100"/>
      <c r="Q685" s="75"/>
      <c r="R685" s="86"/>
      <c r="S685" s="87"/>
      <c r="T685" s="87"/>
      <c r="U685" s="87"/>
      <c r="V685" s="87"/>
      <c r="W685" s="87"/>
      <c r="X685" s="87"/>
      <c r="Y685" s="87"/>
      <c r="Z685" s="87"/>
      <c r="AA685" s="88"/>
      <c r="AB685" s="88"/>
      <c r="AC685" s="88"/>
      <c r="AD685" s="88"/>
      <c r="AE685" s="88"/>
      <c r="AF685" s="88"/>
      <c r="AG685" s="88"/>
      <c r="AH685" s="88"/>
      <c r="AI685" s="87"/>
      <c r="AJ685" s="87"/>
      <c r="AK685" s="87"/>
      <c r="AL685" s="87"/>
      <c r="AM685" s="87"/>
      <c r="AN685" s="87"/>
      <c r="AO685" s="87"/>
      <c r="AP685" s="87"/>
      <c r="AQ685" s="88"/>
      <c r="AR685" s="88"/>
      <c r="AS685" s="88"/>
      <c r="AT685" s="88"/>
      <c r="AU685" s="88"/>
      <c r="AV685" s="88"/>
      <c r="AW685" s="88"/>
      <c r="AX685" s="88"/>
      <c r="AY685" s="87"/>
      <c r="AZ685" s="87"/>
      <c r="BA685" s="87"/>
      <c r="BB685" s="87"/>
      <c r="BC685" s="87"/>
      <c r="BD685" s="87"/>
      <c r="BE685" s="87"/>
      <c r="BF685" s="87"/>
      <c r="BG685" s="88"/>
      <c r="BH685" s="88"/>
      <c r="BI685" s="88"/>
      <c r="BJ685" s="88"/>
      <c r="BK685" s="88"/>
      <c r="BL685" s="88"/>
      <c r="BM685" s="88"/>
      <c r="BN685" s="88"/>
      <c r="BO685" s="209"/>
      <c r="BP685" s="208"/>
      <c r="BQ685" s="208"/>
    </row>
    <row r="686" spans="1:69" x14ac:dyDescent="0.2">
      <c r="K686" s="183"/>
      <c r="L686" s="100"/>
      <c r="R686" s="86"/>
      <c r="S686" s="87"/>
      <c r="T686" s="87"/>
      <c r="U686" s="87"/>
      <c r="V686" s="87"/>
      <c r="W686" s="87"/>
      <c r="X686" s="87"/>
      <c r="Y686" s="87"/>
      <c r="Z686" s="87"/>
      <c r="AA686" s="88"/>
      <c r="AB686" s="88"/>
      <c r="AC686" s="88"/>
      <c r="AD686" s="88"/>
      <c r="AE686" s="88"/>
      <c r="AF686" s="88"/>
      <c r="AG686" s="88"/>
      <c r="AH686" s="88"/>
      <c r="AI686" s="87"/>
      <c r="AJ686" s="87"/>
      <c r="AK686" s="87"/>
      <c r="AL686" s="87"/>
      <c r="AM686" s="87"/>
      <c r="AN686" s="87"/>
      <c r="AO686" s="87"/>
      <c r="AP686" s="87"/>
      <c r="AQ686" s="88"/>
      <c r="AR686" s="88"/>
      <c r="AS686" s="88"/>
      <c r="AT686" s="88"/>
      <c r="AU686" s="88"/>
      <c r="AV686" s="88"/>
      <c r="AW686" s="88"/>
      <c r="AX686" s="88"/>
      <c r="AY686" s="87"/>
      <c r="AZ686" s="87"/>
      <c r="BA686" s="87"/>
      <c r="BB686" s="87"/>
      <c r="BC686" s="87"/>
      <c r="BD686" s="87"/>
      <c r="BE686" s="87"/>
      <c r="BF686" s="87"/>
      <c r="BG686" s="88"/>
      <c r="BH686" s="88"/>
      <c r="BI686" s="88"/>
      <c r="BJ686" s="88"/>
      <c r="BK686" s="88"/>
      <c r="BL686" s="88"/>
      <c r="BM686" s="88"/>
      <c r="BN686" s="88"/>
      <c r="BO686" s="209"/>
      <c r="BP686" s="208"/>
      <c r="BQ686" s="208"/>
    </row>
    <row r="687" spans="1:69" x14ac:dyDescent="0.2">
      <c r="K687" s="183"/>
      <c r="L687" s="100"/>
      <c r="R687" s="86"/>
      <c r="S687" s="87"/>
      <c r="T687" s="87"/>
      <c r="U687" s="87"/>
      <c r="V687" s="87"/>
      <c r="W687" s="87"/>
      <c r="X687" s="87"/>
      <c r="Y687" s="87"/>
      <c r="Z687" s="87"/>
      <c r="AA687" s="88"/>
      <c r="AB687" s="88"/>
      <c r="AC687" s="88"/>
      <c r="AD687" s="88"/>
      <c r="AE687" s="88"/>
      <c r="AF687" s="88"/>
      <c r="AG687" s="88"/>
      <c r="AH687" s="88"/>
      <c r="AI687" s="87"/>
      <c r="AJ687" s="87"/>
      <c r="AK687" s="87"/>
      <c r="AL687" s="87"/>
      <c r="AM687" s="87"/>
      <c r="AN687" s="87"/>
      <c r="AO687" s="87"/>
      <c r="AP687" s="87"/>
      <c r="AQ687" s="88"/>
      <c r="AR687" s="88"/>
      <c r="AS687" s="88"/>
      <c r="AT687" s="88"/>
      <c r="AU687" s="88"/>
      <c r="AV687" s="88"/>
      <c r="AW687" s="88"/>
      <c r="AX687" s="88"/>
      <c r="AY687" s="87"/>
      <c r="AZ687" s="87"/>
      <c r="BA687" s="87"/>
      <c r="BB687" s="87"/>
      <c r="BC687" s="87"/>
      <c r="BD687" s="87"/>
      <c r="BE687" s="87"/>
      <c r="BF687" s="87"/>
      <c r="BG687" s="88"/>
      <c r="BH687" s="88"/>
      <c r="BI687" s="88"/>
      <c r="BJ687" s="88"/>
      <c r="BK687" s="88"/>
      <c r="BL687" s="88"/>
      <c r="BM687" s="88"/>
      <c r="BN687" s="88"/>
      <c r="BO687" s="209"/>
      <c r="BP687" s="208"/>
      <c r="BQ687" s="208"/>
    </row>
    <row r="688" spans="1:69" x14ac:dyDescent="0.2">
      <c r="K688" s="183"/>
      <c r="L688" s="100"/>
      <c r="R688" s="86"/>
      <c r="S688" s="87"/>
      <c r="T688" s="87"/>
      <c r="U688" s="87"/>
      <c r="V688" s="87"/>
      <c r="W688" s="87"/>
      <c r="X688" s="87"/>
      <c r="Y688" s="87"/>
      <c r="Z688" s="87"/>
      <c r="AA688" s="88"/>
      <c r="AB688" s="88"/>
      <c r="AC688" s="88"/>
      <c r="AD688" s="88"/>
      <c r="AE688" s="88"/>
      <c r="AF688" s="88"/>
      <c r="AG688" s="88"/>
      <c r="AH688" s="88"/>
      <c r="AI688" s="87"/>
      <c r="AJ688" s="87"/>
      <c r="AK688" s="87"/>
      <c r="AL688" s="87"/>
      <c r="AM688" s="87"/>
      <c r="AN688" s="87"/>
      <c r="AO688" s="87"/>
      <c r="AP688" s="87"/>
      <c r="AQ688" s="88"/>
      <c r="AR688" s="88"/>
      <c r="AS688" s="88"/>
      <c r="AT688" s="88"/>
      <c r="AU688" s="88"/>
      <c r="AV688" s="88"/>
      <c r="AW688" s="88"/>
      <c r="AX688" s="88"/>
      <c r="AY688" s="87"/>
      <c r="AZ688" s="87"/>
      <c r="BA688" s="87"/>
      <c r="BB688" s="87"/>
      <c r="BC688" s="87"/>
      <c r="BD688" s="87"/>
      <c r="BE688" s="87"/>
      <c r="BF688" s="87"/>
      <c r="BG688" s="88"/>
      <c r="BH688" s="88"/>
      <c r="BI688" s="88"/>
      <c r="BJ688" s="88"/>
      <c r="BK688" s="88"/>
      <c r="BL688" s="88"/>
      <c r="BM688" s="88"/>
      <c r="BN688" s="88"/>
      <c r="BO688" s="209"/>
      <c r="BP688" s="208"/>
      <c r="BQ688" s="208"/>
    </row>
    <row r="689" spans="1:69" x14ac:dyDescent="0.2">
      <c r="K689" s="183"/>
      <c r="L689" s="100"/>
      <c r="R689" s="86"/>
      <c r="S689" s="87"/>
      <c r="T689" s="87"/>
      <c r="U689" s="87"/>
      <c r="V689" s="87"/>
      <c r="W689" s="87"/>
      <c r="X689" s="87"/>
      <c r="Y689" s="87"/>
      <c r="Z689" s="87"/>
      <c r="AA689" s="88"/>
      <c r="AB689" s="88"/>
      <c r="AC689" s="88"/>
      <c r="AD689" s="88"/>
      <c r="AE689" s="88"/>
      <c r="AF689" s="88"/>
      <c r="AG689" s="88"/>
      <c r="AH689" s="88"/>
      <c r="AI689" s="87"/>
      <c r="AJ689" s="87"/>
      <c r="AK689" s="87"/>
      <c r="AL689" s="87"/>
      <c r="AM689" s="87"/>
      <c r="AN689" s="87"/>
      <c r="AO689" s="87"/>
      <c r="AP689" s="87"/>
      <c r="AQ689" s="88"/>
      <c r="AR689" s="88"/>
      <c r="AS689" s="88"/>
      <c r="AT689" s="88"/>
      <c r="AU689" s="88"/>
      <c r="AV689" s="88"/>
      <c r="AW689" s="88"/>
      <c r="AX689" s="88"/>
      <c r="AY689" s="87"/>
      <c r="AZ689" s="87"/>
      <c r="BA689" s="87"/>
      <c r="BB689" s="87"/>
      <c r="BC689" s="87"/>
      <c r="BD689" s="87"/>
      <c r="BE689" s="87"/>
      <c r="BF689" s="87"/>
      <c r="BG689" s="88"/>
      <c r="BH689" s="88"/>
      <c r="BI689" s="88"/>
      <c r="BJ689" s="88"/>
      <c r="BK689" s="88"/>
      <c r="BL689" s="88"/>
      <c r="BM689" s="88"/>
      <c r="BN689" s="88"/>
      <c r="BO689" s="209"/>
      <c r="BP689" s="208"/>
      <c r="BQ689" s="208"/>
    </row>
    <row r="690" spans="1:69" x14ac:dyDescent="0.2">
      <c r="K690" s="183"/>
      <c r="L690" s="100"/>
      <c r="R690" s="86"/>
      <c r="S690" s="87"/>
      <c r="T690" s="87"/>
      <c r="U690" s="87"/>
      <c r="V690" s="87"/>
      <c r="W690" s="87"/>
      <c r="X690" s="87"/>
      <c r="Y690" s="87"/>
      <c r="Z690" s="87"/>
      <c r="AA690" s="88"/>
      <c r="AB690" s="88"/>
      <c r="AC690" s="88"/>
      <c r="AD690" s="88"/>
      <c r="AE690" s="88"/>
      <c r="AF690" s="88"/>
      <c r="AG690" s="88"/>
      <c r="AH690" s="88"/>
      <c r="AI690" s="87"/>
      <c r="AJ690" s="87"/>
      <c r="AK690" s="87"/>
      <c r="AL690" s="87"/>
      <c r="AM690" s="87"/>
      <c r="AN690" s="87"/>
      <c r="AO690" s="87"/>
      <c r="AP690" s="87"/>
      <c r="AQ690" s="88"/>
      <c r="AR690" s="88"/>
      <c r="AS690" s="88"/>
      <c r="AT690" s="88"/>
      <c r="AU690" s="88"/>
      <c r="AV690" s="88"/>
      <c r="AW690" s="88"/>
      <c r="AX690" s="88"/>
      <c r="AY690" s="87"/>
      <c r="AZ690" s="87"/>
      <c r="BA690" s="87"/>
      <c r="BB690" s="87"/>
      <c r="BC690" s="87"/>
      <c r="BD690" s="87"/>
      <c r="BE690" s="87"/>
      <c r="BF690" s="87"/>
      <c r="BG690" s="88"/>
      <c r="BH690" s="88"/>
      <c r="BI690" s="88"/>
      <c r="BJ690" s="88"/>
      <c r="BK690" s="88"/>
      <c r="BL690" s="88"/>
      <c r="BM690" s="88"/>
      <c r="BN690" s="88"/>
      <c r="BO690" s="209"/>
      <c r="BP690" s="208"/>
      <c r="BQ690" s="208"/>
    </row>
    <row r="691" spans="1:69" x14ac:dyDescent="0.2">
      <c r="K691" s="183"/>
      <c r="L691" s="100"/>
      <c r="R691" s="86"/>
      <c r="S691" s="87"/>
      <c r="T691" s="87"/>
      <c r="U691" s="87"/>
      <c r="V691" s="87"/>
      <c r="W691" s="87"/>
      <c r="X691" s="87"/>
      <c r="Y691" s="87"/>
      <c r="Z691" s="87"/>
      <c r="AA691" s="88"/>
      <c r="AB691" s="88"/>
      <c r="AC691" s="88"/>
      <c r="AD691" s="88"/>
      <c r="AE691" s="88"/>
      <c r="AF691" s="88"/>
      <c r="AG691" s="88"/>
      <c r="AH691" s="88"/>
      <c r="AI691" s="87"/>
      <c r="AJ691" s="87"/>
      <c r="AK691" s="87"/>
      <c r="AL691" s="87"/>
      <c r="AM691" s="87"/>
      <c r="AN691" s="87"/>
      <c r="AO691" s="87"/>
      <c r="AP691" s="87"/>
      <c r="AQ691" s="88"/>
      <c r="AR691" s="88"/>
      <c r="AS691" s="88"/>
      <c r="AT691" s="88"/>
      <c r="AU691" s="88"/>
      <c r="AV691" s="88"/>
      <c r="AW691" s="88"/>
      <c r="AX691" s="88"/>
      <c r="AY691" s="87"/>
      <c r="AZ691" s="87"/>
      <c r="BA691" s="87"/>
      <c r="BB691" s="87"/>
      <c r="BC691" s="87"/>
      <c r="BD691" s="87"/>
      <c r="BE691" s="87"/>
      <c r="BF691" s="87"/>
      <c r="BG691" s="88"/>
      <c r="BH691" s="88"/>
      <c r="BI691" s="88"/>
      <c r="BJ691" s="88"/>
      <c r="BK691" s="88"/>
      <c r="BL691" s="88"/>
      <c r="BM691" s="88"/>
      <c r="BN691" s="88"/>
      <c r="BO691" s="209"/>
      <c r="BP691" s="208"/>
      <c r="BQ691" s="208"/>
    </row>
    <row r="692" spans="1:69" x14ac:dyDescent="0.2">
      <c r="K692" s="183"/>
      <c r="L692" s="100"/>
      <c r="R692" s="86"/>
      <c r="S692" s="87"/>
      <c r="T692" s="87"/>
      <c r="U692" s="87"/>
      <c r="V692" s="87"/>
      <c r="W692" s="87"/>
      <c r="X692" s="87"/>
      <c r="Y692" s="87"/>
      <c r="Z692" s="87"/>
      <c r="AA692" s="88"/>
      <c r="AB692" s="88"/>
      <c r="AC692" s="88"/>
      <c r="AD692" s="88"/>
      <c r="AE692" s="88"/>
      <c r="AF692" s="88"/>
      <c r="AG692" s="88"/>
      <c r="AH692" s="88"/>
      <c r="AI692" s="87"/>
      <c r="AJ692" s="87"/>
      <c r="AK692" s="87"/>
      <c r="AL692" s="87"/>
      <c r="AM692" s="87"/>
      <c r="AN692" s="87"/>
      <c r="AO692" s="87"/>
      <c r="AP692" s="87"/>
      <c r="AQ692" s="88"/>
      <c r="AR692" s="88"/>
      <c r="AS692" s="88"/>
      <c r="AT692" s="88"/>
      <c r="AU692" s="88"/>
      <c r="AV692" s="88"/>
      <c r="AW692" s="88"/>
      <c r="AX692" s="88"/>
      <c r="AY692" s="87"/>
      <c r="AZ692" s="87"/>
      <c r="BA692" s="87"/>
      <c r="BB692" s="87"/>
      <c r="BC692" s="87"/>
      <c r="BD692" s="87"/>
      <c r="BE692" s="87"/>
      <c r="BF692" s="87"/>
      <c r="BG692" s="88"/>
      <c r="BH692" s="88"/>
      <c r="BI692" s="88"/>
      <c r="BJ692" s="88"/>
      <c r="BK692" s="88"/>
      <c r="BL692" s="88"/>
      <c r="BM692" s="88"/>
      <c r="BN692" s="88"/>
      <c r="BO692" s="209"/>
      <c r="BP692" s="208"/>
      <c r="BQ692" s="208"/>
    </row>
    <row r="693" spans="1:69" x14ac:dyDescent="0.2">
      <c r="K693" s="183"/>
      <c r="L693" s="100"/>
      <c r="R693" s="86"/>
      <c r="S693" s="87"/>
      <c r="T693" s="87"/>
      <c r="U693" s="87"/>
      <c r="V693" s="87"/>
      <c r="W693" s="87"/>
      <c r="X693" s="87"/>
      <c r="Y693" s="87"/>
      <c r="Z693" s="87"/>
      <c r="AA693" s="88"/>
      <c r="AB693" s="88"/>
      <c r="AC693" s="88"/>
      <c r="AD693" s="88"/>
      <c r="AE693" s="88"/>
      <c r="AF693" s="88"/>
      <c r="AG693" s="88"/>
      <c r="AH693" s="88"/>
      <c r="AI693" s="87"/>
      <c r="AJ693" s="87"/>
      <c r="AK693" s="87"/>
      <c r="AL693" s="87"/>
      <c r="AM693" s="87"/>
      <c r="AN693" s="87"/>
      <c r="AO693" s="87"/>
      <c r="AP693" s="87"/>
      <c r="AQ693" s="88"/>
      <c r="AR693" s="88"/>
      <c r="AS693" s="88"/>
      <c r="AT693" s="88"/>
      <c r="AU693" s="88"/>
      <c r="AV693" s="88"/>
      <c r="AW693" s="88"/>
      <c r="AX693" s="88"/>
      <c r="AY693" s="87"/>
      <c r="AZ693" s="87"/>
      <c r="BA693" s="87"/>
      <c r="BB693" s="87"/>
      <c r="BC693" s="87"/>
      <c r="BD693" s="87"/>
      <c r="BE693" s="87"/>
      <c r="BF693" s="87"/>
      <c r="BG693" s="88"/>
      <c r="BH693" s="88"/>
      <c r="BI693" s="88"/>
      <c r="BJ693" s="88"/>
      <c r="BK693" s="88"/>
      <c r="BL693" s="88"/>
      <c r="BM693" s="88"/>
      <c r="BN693" s="88"/>
      <c r="BO693" s="209"/>
      <c r="BP693" s="208"/>
      <c r="BQ693" s="208"/>
    </row>
    <row r="694" spans="1:69" x14ac:dyDescent="0.2">
      <c r="K694" s="183"/>
      <c r="L694" s="100"/>
      <c r="R694" s="86"/>
      <c r="S694" s="87"/>
      <c r="T694" s="87"/>
      <c r="U694" s="87"/>
      <c r="V694" s="87"/>
      <c r="W694" s="87"/>
      <c r="X694" s="87"/>
      <c r="Y694" s="87"/>
      <c r="Z694" s="87"/>
      <c r="AA694" s="88"/>
      <c r="AB694" s="88"/>
      <c r="AC694" s="88"/>
      <c r="AD694" s="88"/>
      <c r="AE694" s="88"/>
      <c r="AF694" s="88"/>
      <c r="AG694" s="88"/>
      <c r="AH694" s="88"/>
      <c r="AI694" s="87"/>
      <c r="AJ694" s="87"/>
      <c r="AK694" s="87"/>
      <c r="AL694" s="87"/>
      <c r="AM694" s="87"/>
      <c r="AN694" s="87"/>
      <c r="AO694" s="87"/>
      <c r="AP694" s="87"/>
      <c r="AQ694" s="88"/>
      <c r="AR694" s="88"/>
      <c r="AS694" s="88"/>
      <c r="AT694" s="88"/>
      <c r="AU694" s="88"/>
      <c r="AV694" s="88"/>
      <c r="AW694" s="88"/>
      <c r="AX694" s="88"/>
      <c r="AY694" s="87"/>
      <c r="AZ694" s="87"/>
      <c r="BA694" s="87"/>
      <c r="BB694" s="87"/>
      <c r="BC694" s="87"/>
      <c r="BD694" s="87"/>
      <c r="BE694" s="87"/>
      <c r="BF694" s="87"/>
      <c r="BG694" s="88"/>
      <c r="BH694" s="88"/>
      <c r="BI694" s="88"/>
      <c r="BJ694" s="88"/>
      <c r="BK694" s="88"/>
      <c r="BL694" s="88"/>
      <c r="BM694" s="88"/>
      <c r="BN694" s="88"/>
      <c r="BO694" s="209"/>
      <c r="BP694" s="208"/>
      <c r="BQ694" s="208"/>
    </row>
    <row r="695" spans="1:69" x14ac:dyDescent="0.2">
      <c r="K695" s="183"/>
      <c r="L695" s="100"/>
      <c r="R695" s="86"/>
      <c r="S695" s="87"/>
      <c r="T695" s="87"/>
      <c r="U695" s="87"/>
      <c r="V695" s="87"/>
      <c r="W695" s="87"/>
      <c r="X695" s="87"/>
      <c r="Y695" s="87"/>
      <c r="Z695" s="87"/>
      <c r="AA695" s="88"/>
      <c r="AB695" s="88"/>
      <c r="AC695" s="88"/>
      <c r="AD695" s="88"/>
      <c r="AE695" s="88"/>
      <c r="AF695" s="88"/>
      <c r="AG695" s="88"/>
      <c r="AH695" s="88"/>
      <c r="AI695" s="87"/>
      <c r="AJ695" s="87"/>
      <c r="AK695" s="87"/>
      <c r="AL695" s="87"/>
      <c r="AM695" s="87"/>
      <c r="AN695" s="87"/>
      <c r="AO695" s="87"/>
      <c r="AP695" s="87"/>
      <c r="AQ695" s="88"/>
      <c r="AR695" s="88"/>
      <c r="AS695" s="88"/>
      <c r="AT695" s="88"/>
      <c r="AU695" s="88"/>
      <c r="AV695" s="88"/>
      <c r="AW695" s="88"/>
      <c r="AX695" s="88"/>
      <c r="AY695" s="87"/>
      <c r="AZ695" s="87"/>
      <c r="BA695" s="87"/>
      <c r="BB695" s="87"/>
      <c r="BC695" s="87"/>
      <c r="BD695" s="87"/>
      <c r="BE695" s="87"/>
      <c r="BF695" s="87"/>
      <c r="BG695" s="88"/>
      <c r="BH695" s="88"/>
      <c r="BI695" s="88"/>
      <c r="BJ695" s="88"/>
      <c r="BK695" s="88"/>
      <c r="BL695" s="88"/>
      <c r="BM695" s="88"/>
      <c r="BN695" s="88"/>
      <c r="BO695" s="209"/>
      <c r="BP695" s="208"/>
      <c r="BQ695" s="208"/>
    </row>
    <row r="696" spans="1:69" x14ac:dyDescent="0.2">
      <c r="K696" s="183"/>
      <c r="L696" s="100"/>
      <c r="R696" s="86"/>
      <c r="S696" s="87"/>
      <c r="T696" s="87"/>
      <c r="U696" s="87"/>
      <c r="V696" s="87"/>
      <c r="W696" s="87"/>
      <c r="X696" s="87"/>
      <c r="Y696" s="87"/>
      <c r="Z696" s="87"/>
      <c r="AA696" s="88"/>
      <c r="AB696" s="88"/>
      <c r="AC696" s="88"/>
      <c r="AD696" s="88"/>
      <c r="AE696" s="88"/>
      <c r="AF696" s="88"/>
      <c r="AG696" s="88"/>
      <c r="AH696" s="88"/>
      <c r="AI696" s="87"/>
      <c r="AJ696" s="87"/>
      <c r="AK696" s="87"/>
      <c r="AL696" s="87"/>
      <c r="AM696" s="87"/>
      <c r="AN696" s="87"/>
      <c r="AO696" s="87"/>
      <c r="AP696" s="87"/>
      <c r="AQ696" s="88"/>
      <c r="AR696" s="88"/>
      <c r="AS696" s="88"/>
      <c r="AT696" s="88"/>
      <c r="AU696" s="88"/>
      <c r="AV696" s="88"/>
      <c r="AW696" s="88"/>
      <c r="AX696" s="88"/>
      <c r="AY696" s="87"/>
      <c r="AZ696" s="87"/>
      <c r="BA696" s="87"/>
      <c r="BB696" s="87"/>
      <c r="BC696" s="87"/>
      <c r="BD696" s="87"/>
      <c r="BE696" s="87"/>
      <c r="BF696" s="87"/>
      <c r="BG696" s="88"/>
      <c r="BH696" s="88"/>
      <c r="BI696" s="88"/>
      <c r="BJ696" s="88"/>
      <c r="BK696" s="88"/>
      <c r="BL696" s="88"/>
      <c r="BM696" s="88"/>
      <c r="BN696" s="88"/>
      <c r="BO696" s="209"/>
      <c r="BP696" s="208"/>
      <c r="BQ696" s="208"/>
    </row>
    <row r="697" spans="1:69" x14ac:dyDescent="0.2">
      <c r="K697" s="183"/>
      <c r="L697" s="100"/>
      <c r="R697" s="86"/>
      <c r="S697" s="87"/>
      <c r="T697" s="87"/>
      <c r="U697" s="87"/>
      <c r="V697" s="87"/>
      <c r="W697" s="87"/>
      <c r="X697" s="87"/>
      <c r="Y697" s="87"/>
      <c r="Z697" s="87"/>
      <c r="AA697" s="88"/>
      <c r="AB697" s="88"/>
      <c r="AC697" s="88"/>
      <c r="AD697" s="88"/>
      <c r="AE697" s="88"/>
      <c r="AF697" s="88"/>
      <c r="AG697" s="88"/>
      <c r="AH697" s="88"/>
      <c r="AI697" s="87"/>
      <c r="AJ697" s="87"/>
      <c r="AK697" s="87"/>
      <c r="AL697" s="87"/>
      <c r="AM697" s="87"/>
      <c r="AN697" s="87"/>
      <c r="AO697" s="87"/>
      <c r="AP697" s="87"/>
      <c r="AQ697" s="88"/>
      <c r="AR697" s="88"/>
      <c r="AS697" s="88"/>
      <c r="AT697" s="88"/>
      <c r="AU697" s="88"/>
      <c r="AV697" s="88"/>
      <c r="AW697" s="88"/>
      <c r="AX697" s="88"/>
      <c r="AY697" s="87"/>
      <c r="AZ697" s="87"/>
      <c r="BA697" s="87"/>
      <c r="BB697" s="87"/>
      <c r="BC697" s="87"/>
      <c r="BD697" s="87"/>
      <c r="BE697" s="87"/>
      <c r="BF697" s="87"/>
      <c r="BG697" s="88"/>
      <c r="BH697" s="88"/>
      <c r="BI697" s="88"/>
      <c r="BJ697" s="88"/>
      <c r="BK697" s="88"/>
      <c r="BL697" s="88"/>
      <c r="BM697" s="88"/>
      <c r="BN697" s="88"/>
      <c r="BO697" s="209"/>
      <c r="BP697" s="208"/>
      <c r="BQ697" s="208"/>
    </row>
    <row r="698" spans="1:69" x14ac:dyDescent="0.2">
      <c r="K698" s="183"/>
      <c r="L698" s="100"/>
      <c r="R698" s="86"/>
      <c r="S698" s="87"/>
      <c r="T698" s="87"/>
      <c r="U698" s="87"/>
      <c r="V698" s="87"/>
      <c r="W698" s="87"/>
      <c r="X698" s="87"/>
      <c r="Y698" s="87"/>
      <c r="Z698" s="87"/>
      <c r="AA698" s="88"/>
      <c r="AB698" s="88"/>
      <c r="AC698" s="88"/>
      <c r="AD698" s="88"/>
      <c r="AE698" s="88"/>
      <c r="AF698" s="88"/>
      <c r="AG698" s="88"/>
      <c r="AH698" s="88"/>
      <c r="AI698" s="87"/>
      <c r="AJ698" s="87"/>
      <c r="AK698" s="87"/>
      <c r="AL698" s="87"/>
      <c r="AM698" s="87"/>
      <c r="AN698" s="87"/>
      <c r="AO698" s="87"/>
      <c r="AP698" s="87"/>
      <c r="AQ698" s="88"/>
      <c r="AR698" s="88"/>
      <c r="AS698" s="88"/>
      <c r="AT698" s="88"/>
      <c r="AU698" s="88"/>
      <c r="AV698" s="88"/>
      <c r="AW698" s="88"/>
      <c r="AX698" s="88"/>
      <c r="AY698" s="87"/>
      <c r="AZ698" s="87"/>
      <c r="BA698" s="87"/>
      <c r="BB698" s="87"/>
      <c r="BC698" s="87"/>
      <c r="BD698" s="87"/>
      <c r="BE698" s="87"/>
      <c r="BF698" s="87"/>
      <c r="BG698" s="88"/>
      <c r="BH698" s="88"/>
      <c r="BI698" s="88"/>
      <c r="BJ698" s="88"/>
      <c r="BK698" s="88"/>
      <c r="BL698" s="88"/>
      <c r="BM698" s="88"/>
      <c r="BN698" s="88"/>
      <c r="BO698" s="209"/>
      <c r="BP698" s="208"/>
      <c r="BQ698" s="208"/>
    </row>
    <row r="699" spans="1:69" x14ac:dyDescent="0.2">
      <c r="K699" s="183"/>
      <c r="L699" s="100"/>
      <c r="R699" s="86"/>
      <c r="S699" s="87"/>
      <c r="T699" s="87"/>
      <c r="U699" s="87"/>
      <c r="V699" s="87"/>
      <c r="W699" s="87"/>
      <c r="X699" s="87"/>
      <c r="Y699" s="87"/>
      <c r="Z699" s="87"/>
      <c r="AA699" s="88"/>
      <c r="AB699" s="88"/>
      <c r="AC699" s="88"/>
      <c r="AD699" s="88"/>
      <c r="AE699" s="88"/>
      <c r="AF699" s="88"/>
      <c r="AG699" s="88"/>
      <c r="AH699" s="88"/>
      <c r="AI699" s="87"/>
      <c r="AJ699" s="87"/>
      <c r="AK699" s="87"/>
      <c r="AL699" s="87"/>
      <c r="AM699" s="87"/>
      <c r="AN699" s="87"/>
      <c r="AO699" s="87"/>
      <c r="AP699" s="87"/>
      <c r="AQ699" s="88"/>
      <c r="AR699" s="88"/>
      <c r="AS699" s="88"/>
      <c r="AT699" s="88"/>
      <c r="AU699" s="88"/>
      <c r="AV699" s="88"/>
      <c r="AW699" s="88"/>
      <c r="AX699" s="88"/>
      <c r="AY699" s="87"/>
      <c r="AZ699" s="87"/>
      <c r="BA699" s="87"/>
      <c r="BB699" s="87"/>
      <c r="BC699" s="87"/>
      <c r="BD699" s="87"/>
      <c r="BE699" s="87"/>
      <c r="BF699" s="87"/>
      <c r="BG699" s="88"/>
      <c r="BH699" s="88"/>
      <c r="BI699" s="88"/>
      <c r="BJ699" s="88"/>
      <c r="BK699" s="88"/>
      <c r="BL699" s="88"/>
      <c r="BM699" s="88"/>
      <c r="BN699" s="88"/>
      <c r="BO699" s="209"/>
      <c r="BP699" s="208"/>
      <c r="BQ699" s="208"/>
    </row>
    <row r="700" spans="1:69" x14ac:dyDescent="0.2">
      <c r="K700" s="183"/>
      <c r="L700" s="100"/>
      <c r="R700" s="86"/>
      <c r="S700" s="87"/>
      <c r="T700" s="87"/>
      <c r="U700" s="87"/>
      <c r="V700" s="87"/>
      <c r="W700" s="87"/>
      <c r="X700" s="87"/>
      <c r="Y700" s="87"/>
      <c r="Z700" s="87"/>
      <c r="AA700" s="88"/>
      <c r="AB700" s="88"/>
      <c r="AC700" s="88"/>
      <c r="AD700" s="88"/>
      <c r="AE700" s="88"/>
      <c r="AF700" s="88"/>
      <c r="AG700" s="88"/>
      <c r="AH700" s="88"/>
      <c r="AI700" s="87"/>
      <c r="AJ700" s="87"/>
      <c r="AK700" s="87"/>
      <c r="AL700" s="87"/>
      <c r="AM700" s="87"/>
      <c r="AN700" s="87"/>
      <c r="AO700" s="87"/>
      <c r="AP700" s="87"/>
      <c r="AQ700" s="88"/>
      <c r="AR700" s="88"/>
      <c r="AS700" s="88"/>
      <c r="AT700" s="88"/>
      <c r="AU700" s="88"/>
      <c r="AV700" s="88"/>
      <c r="AW700" s="88"/>
      <c r="AX700" s="88"/>
      <c r="AY700" s="87"/>
      <c r="AZ700" s="87"/>
      <c r="BA700" s="87"/>
      <c r="BB700" s="87"/>
      <c r="BC700" s="87"/>
      <c r="BD700" s="87"/>
      <c r="BE700" s="87"/>
      <c r="BF700" s="87"/>
      <c r="BG700" s="88"/>
      <c r="BH700" s="88"/>
      <c r="BI700" s="88"/>
      <c r="BJ700" s="88"/>
      <c r="BK700" s="88"/>
      <c r="BL700" s="88"/>
      <c r="BM700" s="88"/>
      <c r="BN700" s="88"/>
      <c r="BO700" s="209"/>
      <c r="BP700" s="208"/>
      <c r="BQ700" s="208"/>
    </row>
    <row r="701" spans="1:69" x14ac:dyDescent="0.2">
      <c r="K701" s="183"/>
      <c r="L701" s="100"/>
      <c r="R701" s="86"/>
      <c r="S701" s="87"/>
      <c r="T701" s="87"/>
      <c r="U701" s="87"/>
      <c r="V701" s="87"/>
      <c r="W701" s="87"/>
      <c r="X701" s="87"/>
      <c r="Y701" s="87"/>
      <c r="Z701" s="87"/>
      <c r="AA701" s="88"/>
      <c r="AB701" s="88"/>
      <c r="AC701" s="88"/>
      <c r="AD701" s="88"/>
      <c r="AE701" s="88"/>
      <c r="AF701" s="88"/>
      <c r="AG701" s="88"/>
      <c r="AH701" s="88"/>
      <c r="AI701" s="87"/>
      <c r="AJ701" s="87"/>
      <c r="AK701" s="87"/>
      <c r="AL701" s="87"/>
      <c r="AM701" s="87"/>
      <c r="AN701" s="87"/>
      <c r="AO701" s="87"/>
      <c r="AP701" s="87"/>
      <c r="AQ701" s="88"/>
      <c r="AR701" s="88"/>
      <c r="AS701" s="88"/>
      <c r="AT701" s="88"/>
      <c r="AU701" s="88"/>
      <c r="AV701" s="88"/>
      <c r="AW701" s="88"/>
      <c r="AX701" s="88"/>
      <c r="AY701" s="87"/>
      <c r="AZ701" s="87"/>
      <c r="BA701" s="87"/>
      <c r="BB701" s="87"/>
      <c r="BC701" s="87"/>
      <c r="BD701" s="87"/>
      <c r="BE701" s="87"/>
      <c r="BF701" s="87"/>
      <c r="BG701" s="88"/>
      <c r="BH701" s="88"/>
      <c r="BI701" s="88"/>
      <c r="BJ701" s="88"/>
      <c r="BK701" s="88"/>
      <c r="BL701" s="88"/>
      <c r="BM701" s="88"/>
      <c r="BN701" s="88"/>
      <c r="BO701" s="209"/>
      <c r="BP701" s="208"/>
      <c r="BQ701" s="208"/>
    </row>
    <row r="702" spans="1:69" x14ac:dyDescent="0.2">
      <c r="K702" s="183"/>
      <c r="L702" s="100"/>
      <c r="R702" s="86"/>
      <c r="S702" s="87"/>
      <c r="T702" s="87"/>
      <c r="U702" s="87"/>
      <c r="V702" s="87"/>
      <c r="W702" s="87"/>
      <c r="X702" s="87"/>
      <c r="Y702" s="87"/>
      <c r="Z702" s="87"/>
      <c r="AA702" s="88"/>
      <c r="AB702" s="88"/>
      <c r="AC702" s="88"/>
      <c r="AD702" s="88"/>
      <c r="AE702" s="88"/>
      <c r="AF702" s="88"/>
      <c r="AG702" s="88"/>
      <c r="AH702" s="88"/>
      <c r="AI702" s="87"/>
      <c r="AJ702" s="87"/>
      <c r="AK702" s="87"/>
      <c r="AL702" s="87"/>
      <c r="AM702" s="87"/>
      <c r="AN702" s="87"/>
      <c r="AO702" s="87"/>
      <c r="AP702" s="87"/>
      <c r="AQ702" s="88"/>
      <c r="AR702" s="88"/>
      <c r="AS702" s="88"/>
      <c r="AT702" s="88"/>
      <c r="AU702" s="88"/>
      <c r="AV702" s="88"/>
      <c r="AW702" s="88"/>
      <c r="AX702" s="88"/>
      <c r="AY702" s="87"/>
      <c r="AZ702" s="87"/>
      <c r="BA702" s="87"/>
      <c r="BB702" s="87"/>
      <c r="BC702" s="87"/>
      <c r="BD702" s="87"/>
      <c r="BE702" s="87"/>
      <c r="BF702" s="87"/>
      <c r="BG702" s="88"/>
      <c r="BH702" s="88"/>
      <c r="BI702" s="88"/>
      <c r="BJ702" s="88"/>
      <c r="BK702" s="88"/>
      <c r="BL702" s="88"/>
      <c r="BM702" s="88"/>
      <c r="BN702" s="88"/>
      <c r="BO702" s="209"/>
      <c r="BP702" s="208"/>
      <c r="BQ702" s="208"/>
    </row>
    <row r="703" spans="1:69" s="81" customFormat="1" x14ac:dyDescent="0.2">
      <c r="A703" s="175"/>
      <c r="B703" s="183"/>
      <c r="C703" s="184"/>
      <c r="D703" s="183"/>
      <c r="E703" s="184"/>
      <c r="F703" s="183"/>
      <c r="G703" s="183"/>
      <c r="H703" s="184"/>
      <c r="I703" s="183"/>
      <c r="J703" s="183"/>
      <c r="K703" s="183"/>
      <c r="L703" s="100"/>
      <c r="M703" s="100"/>
      <c r="N703" s="100"/>
      <c r="O703" s="100"/>
      <c r="P703" s="100"/>
      <c r="Q703" s="75"/>
      <c r="R703" s="86"/>
      <c r="S703" s="87"/>
      <c r="T703" s="87"/>
      <c r="U703" s="87"/>
      <c r="V703" s="87"/>
      <c r="W703" s="87"/>
      <c r="X703" s="87"/>
      <c r="Y703" s="87"/>
      <c r="Z703" s="87"/>
      <c r="AA703" s="88"/>
      <c r="AB703" s="88"/>
      <c r="AC703" s="88"/>
      <c r="AD703" s="88"/>
      <c r="AE703" s="88"/>
      <c r="AF703" s="88"/>
      <c r="AG703" s="88"/>
      <c r="AH703" s="88"/>
      <c r="AI703" s="87"/>
      <c r="AJ703" s="87"/>
      <c r="AK703" s="87"/>
      <c r="AL703" s="87"/>
      <c r="AM703" s="87"/>
      <c r="AN703" s="87"/>
      <c r="AO703" s="87"/>
      <c r="AP703" s="87"/>
      <c r="AQ703" s="88"/>
      <c r="AR703" s="88"/>
      <c r="AS703" s="88"/>
      <c r="AT703" s="88"/>
      <c r="AU703" s="88"/>
      <c r="AV703" s="88"/>
      <c r="AW703" s="88"/>
      <c r="AX703" s="88"/>
      <c r="AY703" s="87"/>
      <c r="AZ703" s="87"/>
      <c r="BA703" s="87"/>
      <c r="BB703" s="87"/>
      <c r="BC703" s="87"/>
      <c r="BD703" s="87"/>
      <c r="BE703" s="87"/>
      <c r="BF703" s="87"/>
      <c r="BG703" s="88"/>
      <c r="BH703" s="88"/>
      <c r="BI703" s="88"/>
      <c r="BJ703" s="88"/>
      <c r="BK703" s="88"/>
      <c r="BL703" s="88"/>
      <c r="BM703" s="88"/>
      <c r="BN703" s="88"/>
      <c r="BO703" s="209"/>
      <c r="BP703" s="208"/>
      <c r="BQ703" s="208"/>
    </row>
    <row r="704" spans="1:69" x14ac:dyDescent="0.2">
      <c r="K704" s="183"/>
      <c r="L704" s="100"/>
      <c r="R704" s="86"/>
      <c r="S704" s="87"/>
      <c r="T704" s="87"/>
      <c r="U704" s="87"/>
      <c r="V704" s="87"/>
      <c r="W704" s="87"/>
      <c r="X704" s="87"/>
      <c r="Y704" s="87"/>
      <c r="Z704" s="87"/>
      <c r="AA704" s="88"/>
      <c r="AB704" s="88"/>
      <c r="AC704" s="88"/>
      <c r="AD704" s="88"/>
      <c r="AE704" s="88"/>
      <c r="AF704" s="88"/>
      <c r="AG704" s="88"/>
      <c r="AH704" s="88"/>
      <c r="AI704" s="87"/>
      <c r="AJ704" s="87"/>
      <c r="AK704" s="87"/>
      <c r="AL704" s="87"/>
      <c r="AM704" s="87"/>
      <c r="AN704" s="87"/>
      <c r="AO704" s="87"/>
      <c r="AP704" s="87"/>
      <c r="AQ704" s="88"/>
      <c r="AR704" s="88"/>
      <c r="AS704" s="88"/>
      <c r="AT704" s="88"/>
      <c r="AU704" s="88"/>
      <c r="AV704" s="88"/>
      <c r="AW704" s="88"/>
      <c r="AX704" s="88"/>
      <c r="AY704" s="87"/>
      <c r="AZ704" s="87"/>
      <c r="BA704" s="87"/>
      <c r="BB704" s="87"/>
      <c r="BC704" s="87"/>
      <c r="BD704" s="87"/>
      <c r="BE704" s="87"/>
      <c r="BF704" s="87"/>
      <c r="BG704" s="88"/>
      <c r="BH704" s="88"/>
      <c r="BI704" s="88"/>
      <c r="BJ704" s="88"/>
      <c r="BK704" s="88"/>
      <c r="BL704" s="88"/>
      <c r="BM704" s="88"/>
      <c r="BN704" s="88"/>
      <c r="BO704" s="209"/>
      <c r="BP704" s="208"/>
      <c r="BQ704" s="208"/>
    </row>
    <row r="705" spans="1:69" x14ac:dyDescent="0.2">
      <c r="K705" s="183"/>
      <c r="L705" s="100"/>
      <c r="R705" s="86"/>
      <c r="S705" s="87"/>
      <c r="T705" s="87"/>
      <c r="U705" s="87"/>
      <c r="V705" s="87"/>
      <c r="W705" s="87"/>
      <c r="X705" s="87"/>
      <c r="Y705" s="87"/>
      <c r="Z705" s="87"/>
      <c r="AA705" s="88"/>
      <c r="AB705" s="88"/>
      <c r="AC705" s="88"/>
      <c r="AD705" s="88"/>
      <c r="AE705" s="88"/>
      <c r="AF705" s="88"/>
      <c r="AG705" s="88"/>
      <c r="AH705" s="88"/>
      <c r="AI705" s="87"/>
      <c r="AJ705" s="87"/>
      <c r="AK705" s="87"/>
      <c r="AL705" s="87"/>
      <c r="AM705" s="87"/>
      <c r="AN705" s="87"/>
      <c r="AO705" s="87"/>
      <c r="AP705" s="87"/>
      <c r="AQ705" s="88"/>
      <c r="AR705" s="88"/>
      <c r="AS705" s="88"/>
      <c r="AT705" s="88"/>
      <c r="AU705" s="88"/>
      <c r="AV705" s="88"/>
      <c r="AW705" s="88"/>
      <c r="AX705" s="88"/>
      <c r="AY705" s="87"/>
      <c r="AZ705" s="87"/>
      <c r="BA705" s="87"/>
      <c r="BB705" s="87"/>
      <c r="BC705" s="87"/>
      <c r="BD705" s="87"/>
      <c r="BE705" s="87"/>
      <c r="BF705" s="87"/>
      <c r="BG705" s="88"/>
      <c r="BH705" s="88"/>
      <c r="BI705" s="88"/>
      <c r="BJ705" s="88"/>
      <c r="BK705" s="88"/>
      <c r="BL705" s="88"/>
      <c r="BM705" s="88"/>
      <c r="BN705" s="88"/>
      <c r="BO705" s="209"/>
      <c r="BP705" s="208"/>
      <c r="BQ705" s="208"/>
    </row>
    <row r="706" spans="1:69" s="81" customFormat="1" x14ac:dyDescent="0.2">
      <c r="A706" s="175"/>
      <c r="B706" s="183"/>
      <c r="C706" s="184"/>
      <c r="D706" s="183"/>
      <c r="E706" s="184"/>
      <c r="F706" s="183"/>
      <c r="G706" s="183"/>
      <c r="H706" s="184"/>
      <c r="I706" s="183"/>
      <c r="J706" s="183"/>
      <c r="K706" s="183"/>
      <c r="L706" s="100"/>
      <c r="M706" s="100"/>
      <c r="N706" s="100"/>
      <c r="O706" s="100"/>
      <c r="P706" s="100"/>
      <c r="Q706" s="75"/>
      <c r="R706" s="86"/>
      <c r="S706" s="87"/>
      <c r="T706" s="87"/>
      <c r="U706" s="87"/>
      <c r="V706" s="87"/>
      <c r="W706" s="87"/>
      <c r="X706" s="87"/>
      <c r="Y706" s="87"/>
      <c r="Z706" s="87"/>
      <c r="AA706" s="88"/>
      <c r="AB706" s="88"/>
      <c r="AC706" s="88"/>
      <c r="AD706" s="88"/>
      <c r="AE706" s="88"/>
      <c r="AF706" s="88"/>
      <c r="AG706" s="88"/>
      <c r="AH706" s="88"/>
      <c r="AI706" s="87"/>
      <c r="AJ706" s="87"/>
      <c r="AK706" s="87"/>
      <c r="AL706" s="87"/>
      <c r="AM706" s="87"/>
      <c r="AN706" s="87"/>
      <c r="AO706" s="87"/>
      <c r="AP706" s="87"/>
      <c r="AQ706" s="88"/>
      <c r="AR706" s="88"/>
      <c r="AS706" s="88"/>
      <c r="AT706" s="88"/>
      <c r="AU706" s="88"/>
      <c r="AV706" s="88"/>
      <c r="AW706" s="88"/>
      <c r="AX706" s="88"/>
      <c r="AY706" s="87"/>
      <c r="AZ706" s="87"/>
      <c r="BA706" s="87"/>
      <c r="BB706" s="87"/>
      <c r="BC706" s="87"/>
      <c r="BD706" s="87"/>
      <c r="BE706" s="87"/>
      <c r="BF706" s="87"/>
      <c r="BG706" s="88"/>
      <c r="BH706" s="88"/>
      <c r="BI706" s="88"/>
      <c r="BJ706" s="88"/>
      <c r="BK706" s="88"/>
      <c r="BL706" s="88"/>
      <c r="BM706" s="88"/>
      <c r="BN706" s="88"/>
      <c r="BO706" s="209"/>
      <c r="BP706" s="208"/>
      <c r="BQ706" s="208"/>
    </row>
    <row r="707" spans="1:69" x14ac:dyDescent="0.2">
      <c r="K707" s="183"/>
      <c r="L707" s="100"/>
      <c r="R707" s="86"/>
      <c r="S707" s="87"/>
      <c r="T707" s="87"/>
      <c r="U707" s="87"/>
      <c r="V707" s="87"/>
      <c r="W707" s="87"/>
      <c r="X707" s="87"/>
      <c r="Y707" s="87"/>
      <c r="Z707" s="87"/>
      <c r="AA707" s="88"/>
      <c r="AB707" s="88"/>
      <c r="AC707" s="88"/>
      <c r="AD707" s="88"/>
      <c r="AE707" s="88"/>
      <c r="AF707" s="88"/>
      <c r="AG707" s="88"/>
      <c r="AH707" s="88"/>
      <c r="AI707" s="87"/>
      <c r="AJ707" s="87"/>
      <c r="AK707" s="87"/>
      <c r="AL707" s="87"/>
      <c r="AM707" s="87"/>
      <c r="AN707" s="87"/>
      <c r="AO707" s="87"/>
      <c r="AP707" s="87"/>
      <c r="AQ707" s="88"/>
      <c r="AR707" s="88"/>
      <c r="AS707" s="88"/>
      <c r="AT707" s="88"/>
      <c r="AU707" s="88"/>
      <c r="AV707" s="88"/>
      <c r="AW707" s="88"/>
      <c r="AX707" s="88"/>
      <c r="AY707" s="87"/>
      <c r="AZ707" s="87"/>
      <c r="BA707" s="87"/>
      <c r="BB707" s="87"/>
      <c r="BC707" s="87"/>
      <c r="BD707" s="87"/>
      <c r="BE707" s="87"/>
      <c r="BF707" s="87"/>
      <c r="BG707" s="88"/>
      <c r="BH707" s="88"/>
      <c r="BI707" s="88"/>
      <c r="BJ707" s="88"/>
      <c r="BK707" s="88"/>
      <c r="BL707" s="88"/>
      <c r="BM707" s="88"/>
      <c r="BN707" s="88"/>
      <c r="BO707" s="209"/>
      <c r="BP707" s="208"/>
      <c r="BQ707" s="208"/>
    </row>
    <row r="708" spans="1:69" x14ac:dyDescent="0.2">
      <c r="K708" s="183"/>
      <c r="L708" s="100"/>
      <c r="R708" s="86"/>
      <c r="S708" s="87"/>
      <c r="T708" s="87"/>
      <c r="U708" s="87"/>
      <c r="V708" s="87"/>
      <c r="W708" s="87"/>
      <c r="X708" s="87"/>
      <c r="Y708" s="87"/>
      <c r="Z708" s="87"/>
      <c r="AA708" s="88"/>
      <c r="AB708" s="88"/>
      <c r="AC708" s="88"/>
      <c r="AD708" s="88"/>
      <c r="AE708" s="88"/>
      <c r="AF708" s="88"/>
      <c r="AG708" s="88"/>
      <c r="AH708" s="88"/>
      <c r="AI708" s="87"/>
      <c r="AJ708" s="87"/>
      <c r="AK708" s="87"/>
      <c r="AL708" s="87"/>
      <c r="AM708" s="87"/>
      <c r="AN708" s="87"/>
      <c r="AO708" s="87"/>
      <c r="AP708" s="87"/>
      <c r="AQ708" s="88"/>
      <c r="AR708" s="88"/>
      <c r="AS708" s="88"/>
      <c r="AT708" s="88"/>
      <c r="AU708" s="88"/>
      <c r="AV708" s="88"/>
      <c r="AW708" s="88"/>
      <c r="AX708" s="88"/>
      <c r="AY708" s="87"/>
      <c r="AZ708" s="87"/>
      <c r="BA708" s="87"/>
      <c r="BB708" s="87"/>
      <c r="BC708" s="87"/>
      <c r="BD708" s="87"/>
      <c r="BE708" s="87"/>
      <c r="BF708" s="87"/>
      <c r="BG708" s="88"/>
      <c r="BH708" s="88"/>
      <c r="BI708" s="88"/>
      <c r="BJ708" s="88"/>
      <c r="BK708" s="88"/>
      <c r="BL708" s="88"/>
      <c r="BM708" s="88"/>
      <c r="BN708" s="88"/>
      <c r="BO708" s="209"/>
      <c r="BP708" s="208"/>
      <c r="BQ708" s="208"/>
    </row>
    <row r="709" spans="1:69" x14ac:dyDescent="0.2">
      <c r="K709" s="183"/>
      <c r="L709" s="100"/>
      <c r="R709" s="86"/>
      <c r="S709" s="87"/>
      <c r="T709" s="87"/>
      <c r="U709" s="87"/>
      <c r="V709" s="87"/>
      <c r="W709" s="87"/>
      <c r="X709" s="87"/>
      <c r="Y709" s="87"/>
      <c r="Z709" s="87"/>
      <c r="AA709" s="88"/>
      <c r="AB709" s="88"/>
      <c r="AC709" s="88"/>
      <c r="AD709" s="88"/>
      <c r="AE709" s="88"/>
      <c r="AF709" s="88"/>
      <c r="AG709" s="88"/>
      <c r="AH709" s="88"/>
      <c r="AI709" s="87"/>
      <c r="AJ709" s="87"/>
      <c r="AK709" s="87"/>
      <c r="AL709" s="87"/>
      <c r="AM709" s="87"/>
      <c r="AN709" s="87"/>
      <c r="AO709" s="87"/>
      <c r="AP709" s="87"/>
      <c r="AQ709" s="88"/>
      <c r="AR709" s="88"/>
      <c r="AS709" s="88"/>
      <c r="AT709" s="88"/>
      <c r="AU709" s="88"/>
      <c r="AV709" s="88"/>
      <c r="AW709" s="88"/>
      <c r="AX709" s="88"/>
      <c r="AY709" s="87"/>
      <c r="AZ709" s="87"/>
      <c r="BA709" s="87"/>
      <c r="BB709" s="87"/>
      <c r="BC709" s="87"/>
      <c r="BD709" s="87"/>
      <c r="BE709" s="87"/>
      <c r="BF709" s="87"/>
      <c r="BG709" s="88"/>
      <c r="BH709" s="88"/>
      <c r="BI709" s="88"/>
      <c r="BJ709" s="88"/>
      <c r="BK709" s="88"/>
      <c r="BL709" s="88"/>
      <c r="BM709" s="88"/>
      <c r="BN709" s="88"/>
      <c r="BO709" s="209"/>
      <c r="BP709" s="208"/>
      <c r="BQ709" s="208"/>
    </row>
    <row r="710" spans="1:69" x14ac:dyDescent="0.2">
      <c r="K710" s="183"/>
      <c r="L710" s="100"/>
      <c r="R710" s="86"/>
      <c r="S710" s="87"/>
      <c r="T710" s="87"/>
      <c r="U710" s="87"/>
      <c r="V710" s="87"/>
      <c r="W710" s="87"/>
      <c r="X710" s="87"/>
      <c r="Y710" s="87"/>
      <c r="Z710" s="87"/>
      <c r="AA710" s="88"/>
      <c r="AB710" s="88"/>
      <c r="AC710" s="88"/>
      <c r="AD710" s="88"/>
      <c r="AE710" s="88"/>
      <c r="AF710" s="88"/>
      <c r="AG710" s="88"/>
      <c r="AH710" s="88"/>
      <c r="AI710" s="87"/>
      <c r="AJ710" s="87"/>
      <c r="AK710" s="87"/>
      <c r="AL710" s="87"/>
      <c r="AM710" s="87"/>
      <c r="AN710" s="87"/>
      <c r="AO710" s="87"/>
      <c r="AP710" s="87"/>
      <c r="AQ710" s="88"/>
      <c r="AR710" s="88"/>
      <c r="AS710" s="88"/>
      <c r="AT710" s="88"/>
      <c r="AU710" s="88"/>
      <c r="AV710" s="88"/>
      <c r="AW710" s="88"/>
      <c r="AX710" s="88"/>
      <c r="AY710" s="87"/>
      <c r="AZ710" s="87"/>
      <c r="BA710" s="87"/>
      <c r="BB710" s="87"/>
      <c r="BC710" s="87"/>
      <c r="BD710" s="87"/>
      <c r="BE710" s="87"/>
      <c r="BF710" s="87"/>
      <c r="BG710" s="88"/>
      <c r="BH710" s="88"/>
      <c r="BI710" s="88"/>
      <c r="BJ710" s="88"/>
      <c r="BK710" s="88"/>
      <c r="BL710" s="88"/>
      <c r="BM710" s="88"/>
      <c r="BN710" s="88"/>
      <c r="BO710" s="209"/>
      <c r="BP710" s="208"/>
      <c r="BQ710" s="208"/>
    </row>
    <row r="711" spans="1:69" x14ac:dyDescent="0.2">
      <c r="K711" s="183"/>
      <c r="L711" s="100"/>
      <c r="R711" s="86"/>
      <c r="S711" s="87"/>
      <c r="T711" s="87"/>
      <c r="U711" s="87"/>
      <c r="V711" s="87"/>
      <c r="W711" s="87"/>
      <c r="X711" s="87"/>
      <c r="Y711" s="87"/>
      <c r="Z711" s="87"/>
      <c r="AA711" s="88"/>
      <c r="AB711" s="88"/>
      <c r="AC711" s="88"/>
      <c r="AD711" s="88"/>
      <c r="AE711" s="88"/>
      <c r="AF711" s="88"/>
      <c r="AG711" s="88"/>
      <c r="AH711" s="88"/>
      <c r="AI711" s="87"/>
      <c r="AJ711" s="87"/>
      <c r="AK711" s="87"/>
      <c r="AL711" s="87"/>
      <c r="AM711" s="87"/>
      <c r="AN711" s="87"/>
      <c r="AO711" s="87"/>
      <c r="AP711" s="87"/>
      <c r="AQ711" s="88"/>
      <c r="AR711" s="88"/>
      <c r="AS711" s="88"/>
      <c r="AT711" s="88"/>
      <c r="AU711" s="88"/>
      <c r="AV711" s="88"/>
      <c r="AW711" s="88"/>
      <c r="AX711" s="88"/>
      <c r="AY711" s="87"/>
      <c r="AZ711" s="87"/>
      <c r="BA711" s="87"/>
      <c r="BB711" s="87"/>
      <c r="BC711" s="87"/>
      <c r="BD711" s="87"/>
      <c r="BE711" s="87"/>
      <c r="BF711" s="87"/>
      <c r="BG711" s="88"/>
      <c r="BH711" s="88"/>
      <c r="BI711" s="88"/>
      <c r="BJ711" s="88"/>
      <c r="BK711" s="88"/>
      <c r="BL711" s="88"/>
      <c r="BM711" s="88"/>
      <c r="BN711" s="88"/>
      <c r="BO711" s="209"/>
      <c r="BP711" s="208"/>
      <c r="BQ711" s="208"/>
    </row>
    <row r="712" spans="1:69" s="81" customFormat="1" x14ac:dyDescent="0.2">
      <c r="A712" s="175"/>
      <c r="B712" s="183"/>
      <c r="C712" s="184"/>
      <c r="D712" s="183"/>
      <c r="E712" s="184"/>
      <c r="F712" s="183"/>
      <c r="G712" s="183"/>
      <c r="H712" s="184"/>
      <c r="I712" s="183"/>
      <c r="J712" s="183"/>
      <c r="K712" s="183"/>
      <c r="L712" s="100"/>
      <c r="M712" s="100"/>
      <c r="N712" s="100"/>
      <c r="O712" s="100"/>
      <c r="P712" s="100"/>
      <c r="Q712" s="75"/>
      <c r="R712" s="86"/>
      <c r="S712" s="87"/>
      <c r="T712" s="87"/>
      <c r="U712" s="87"/>
      <c r="V712" s="87"/>
      <c r="W712" s="87"/>
      <c r="X712" s="87"/>
      <c r="Y712" s="87"/>
      <c r="Z712" s="87"/>
      <c r="AA712" s="88"/>
      <c r="AB712" s="88"/>
      <c r="AC712" s="88"/>
      <c r="AD712" s="88"/>
      <c r="AE712" s="88"/>
      <c r="AF712" s="88"/>
      <c r="AG712" s="88"/>
      <c r="AH712" s="88"/>
      <c r="AI712" s="87"/>
      <c r="AJ712" s="87"/>
      <c r="AK712" s="87"/>
      <c r="AL712" s="87"/>
      <c r="AM712" s="87"/>
      <c r="AN712" s="87"/>
      <c r="AO712" s="87"/>
      <c r="AP712" s="87"/>
      <c r="AQ712" s="88"/>
      <c r="AR712" s="88"/>
      <c r="AS712" s="88"/>
      <c r="AT712" s="88"/>
      <c r="AU712" s="88"/>
      <c r="AV712" s="88"/>
      <c r="AW712" s="88"/>
      <c r="AX712" s="88"/>
      <c r="AY712" s="87"/>
      <c r="AZ712" s="87"/>
      <c r="BA712" s="87"/>
      <c r="BB712" s="87"/>
      <c r="BC712" s="87"/>
      <c r="BD712" s="87"/>
      <c r="BE712" s="87"/>
      <c r="BF712" s="87"/>
      <c r="BG712" s="88"/>
      <c r="BH712" s="88"/>
      <c r="BI712" s="88"/>
      <c r="BJ712" s="88"/>
      <c r="BK712" s="88"/>
      <c r="BL712" s="88"/>
      <c r="BM712" s="88"/>
      <c r="BN712" s="88"/>
      <c r="BO712" s="209"/>
      <c r="BP712" s="208"/>
      <c r="BQ712" s="208"/>
    </row>
    <row r="713" spans="1:69" x14ac:dyDescent="0.2">
      <c r="K713" s="183"/>
      <c r="L713" s="100"/>
      <c r="R713" s="86"/>
      <c r="S713" s="87"/>
      <c r="T713" s="87"/>
      <c r="U713" s="87"/>
      <c r="V713" s="87"/>
      <c r="W713" s="87"/>
      <c r="X713" s="87"/>
      <c r="Y713" s="87"/>
      <c r="Z713" s="87"/>
      <c r="AA713" s="88"/>
      <c r="AB713" s="88"/>
      <c r="AC713" s="88"/>
      <c r="AD713" s="88"/>
      <c r="AE713" s="88"/>
      <c r="AF713" s="88"/>
      <c r="AG713" s="88"/>
      <c r="AH713" s="88"/>
      <c r="AI713" s="87"/>
      <c r="AJ713" s="87"/>
      <c r="AK713" s="87"/>
      <c r="AL713" s="87"/>
      <c r="AM713" s="87"/>
      <c r="AN713" s="87"/>
      <c r="AO713" s="87"/>
      <c r="AP713" s="87"/>
      <c r="AQ713" s="88"/>
      <c r="AR713" s="88"/>
      <c r="AS713" s="88"/>
      <c r="AT713" s="88"/>
      <c r="AU713" s="88"/>
      <c r="AV713" s="88"/>
      <c r="AW713" s="88"/>
      <c r="AX713" s="88"/>
      <c r="AY713" s="87"/>
      <c r="AZ713" s="87"/>
      <c r="BA713" s="87"/>
      <c r="BB713" s="87"/>
      <c r="BC713" s="87"/>
      <c r="BD713" s="87"/>
      <c r="BE713" s="87"/>
      <c r="BF713" s="87"/>
      <c r="BG713" s="88"/>
      <c r="BH713" s="88"/>
      <c r="BI713" s="88"/>
      <c r="BJ713" s="88"/>
      <c r="BK713" s="88"/>
      <c r="BL713" s="88"/>
      <c r="BM713" s="88"/>
      <c r="BN713" s="88"/>
      <c r="BO713" s="209"/>
      <c r="BP713" s="208"/>
      <c r="BQ713" s="208"/>
    </row>
    <row r="714" spans="1:69" x14ac:dyDescent="0.2">
      <c r="K714" s="183"/>
      <c r="L714" s="100"/>
      <c r="R714" s="86"/>
      <c r="S714" s="87"/>
      <c r="T714" s="87"/>
      <c r="U714" s="87"/>
      <c r="V714" s="87"/>
      <c r="W714" s="87"/>
      <c r="X714" s="87"/>
      <c r="Y714" s="87"/>
      <c r="Z714" s="87"/>
      <c r="AA714" s="88"/>
      <c r="AB714" s="88"/>
      <c r="AC714" s="88"/>
      <c r="AD714" s="88"/>
      <c r="AE714" s="88"/>
      <c r="AF714" s="88"/>
      <c r="AG714" s="88"/>
      <c r="AH714" s="88"/>
      <c r="AI714" s="87"/>
      <c r="AJ714" s="87"/>
      <c r="AK714" s="87"/>
      <c r="AL714" s="87"/>
      <c r="AM714" s="87"/>
      <c r="AN714" s="87"/>
      <c r="AO714" s="87"/>
      <c r="AP714" s="87"/>
      <c r="AQ714" s="88"/>
      <c r="AR714" s="88"/>
      <c r="AS714" s="88"/>
      <c r="AT714" s="88"/>
      <c r="AU714" s="88"/>
      <c r="AV714" s="88"/>
      <c r="AW714" s="88"/>
      <c r="AX714" s="88"/>
      <c r="AY714" s="87"/>
      <c r="AZ714" s="87"/>
      <c r="BA714" s="87"/>
      <c r="BB714" s="87"/>
      <c r="BC714" s="87"/>
      <c r="BD714" s="87"/>
      <c r="BE714" s="87"/>
      <c r="BF714" s="87"/>
      <c r="BG714" s="88"/>
      <c r="BH714" s="88"/>
      <c r="BI714" s="88"/>
      <c r="BJ714" s="88"/>
      <c r="BK714" s="88"/>
      <c r="BL714" s="88"/>
      <c r="BM714" s="88"/>
      <c r="BN714" s="88"/>
      <c r="BO714" s="209"/>
      <c r="BP714" s="208"/>
      <c r="BQ714" s="208"/>
    </row>
    <row r="715" spans="1:69" x14ac:dyDescent="0.2">
      <c r="K715" s="183"/>
      <c r="L715" s="100"/>
      <c r="R715" s="86"/>
      <c r="S715" s="87"/>
      <c r="T715" s="87"/>
      <c r="U715" s="87"/>
      <c r="V715" s="87"/>
      <c r="W715" s="87"/>
      <c r="X715" s="87"/>
      <c r="Y715" s="87"/>
      <c r="Z715" s="87"/>
      <c r="AA715" s="88"/>
      <c r="AB715" s="88"/>
      <c r="AC715" s="88"/>
      <c r="AD715" s="88"/>
      <c r="AE715" s="88"/>
      <c r="AF715" s="88"/>
      <c r="AG715" s="88"/>
      <c r="AH715" s="88"/>
      <c r="AI715" s="87"/>
      <c r="AJ715" s="87"/>
      <c r="AK715" s="87"/>
      <c r="AL715" s="87"/>
      <c r="AM715" s="87"/>
      <c r="AN715" s="87"/>
      <c r="AO715" s="87"/>
      <c r="AP715" s="87"/>
      <c r="AQ715" s="88"/>
      <c r="AR715" s="88"/>
      <c r="AS715" s="88"/>
      <c r="AT715" s="88"/>
      <c r="AU715" s="88"/>
      <c r="AV715" s="88"/>
      <c r="AW715" s="88"/>
      <c r="AX715" s="88"/>
      <c r="AY715" s="87"/>
      <c r="AZ715" s="87"/>
      <c r="BA715" s="87"/>
      <c r="BB715" s="87"/>
      <c r="BC715" s="87"/>
      <c r="BD715" s="87"/>
      <c r="BE715" s="87"/>
      <c r="BF715" s="87"/>
      <c r="BG715" s="88"/>
      <c r="BH715" s="88"/>
      <c r="BI715" s="88"/>
      <c r="BJ715" s="88"/>
      <c r="BK715" s="88"/>
      <c r="BL715" s="88"/>
      <c r="BM715" s="88"/>
      <c r="BN715" s="88"/>
      <c r="BO715" s="209"/>
      <c r="BP715" s="208"/>
      <c r="BQ715" s="208"/>
    </row>
    <row r="716" spans="1:69" s="81" customFormat="1" x14ac:dyDescent="0.2">
      <c r="A716" s="175"/>
      <c r="B716" s="183"/>
      <c r="C716" s="184"/>
      <c r="D716" s="183"/>
      <c r="E716" s="184"/>
      <c r="F716" s="183"/>
      <c r="G716" s="183"/>
      <c r="H716" s="184"/>
      <c r="I716" s="183"/>
      <c r="J716" s="183"/>
      <c r="K716" s="183"/>
      <c r="L716" s="100"/>
      <c r="M716" s="100"/>
      <c r="N716" s="100"/>
      <c r="O716" s="100"/>
      <c r="P716" s="100"/>
      <c r="Q716" s="75"/>
      <c r="R716" s="86"/>
      <c r="S716" s="87"/>
      <c r="T716" s="87"/>
      <c r="U716" s="87"/>
      <c r="V716" s="87"/>
      <c r="W716" s="87"/>
      <c r="X716" s="87"/>
      <c r="Y716" s="87"/>
      <c r="Z716" s="87"/>
      <c r="AA716" s="88"/>
      <c r="AB716" s="88"/>
      <c r="AC716" s="88"/>
      <c r="AD716" s="88"/>
      <c r="AE716" s="88"/>
      <c r="AF716" s="88"/>
      <c r="AG716" s="88"/>
      <c r="AH716" s="88"/>
      <c r="AI716" s="87"/>
      <c r="AJ716" s="87"/>
      <c r="AK716" s="87"/>
      <c r="AL716" s="87"/>
      <c r="AM716" s="87"/>
      <c r="AN716" s="87"/>
      <c r="AO716" s="87"/>
      <c r="AP716" s="87"/>
      <c r="AQ716" s="88"/>
      <c r="AR716" s="88"/>
      <c r="AS716" s="88"/>
      <c r="AT716" s="88"/>
      <c r="AU716" s="88"/>
      <c r="AV716" s="88"/>
      <c r="AW716" s="88"/>
      <c r="AX716" s="88"/>
      <c r="AY716" s="87"/>
      <c r="AZ716" s="87"/>
      <c r="BA716" s="87"/>
      <c r="BB716" s="87"/>
      <c r="BC716" s="87"/>
      <c r="BD716" s="87"/>
      <c r="BE716" s="87"/>
      <c r="BF716" s="87"/>
      <c r="BG716" s="88"/>
      <c r="BH716" s="88"/>
      <c r="BI716" s="88"/>
      <c r="BJ716" s="88"/>
      <c r="BK716" s="88"/>
      <c r="BL716" s="88"/>
      <c r="BM716" s="88"/>
      <c r="BN716" s="88"/>
      <c r="BO716" s="209"/>
      <c r="BP716" s="208"/>
      <c r="BQ716" s="208"/>
    </row>
    <row r="717" spans="1:69" x14ac:dyDescent="0.2">
      <c r="K717" s="183"/>
      <c r="L717" s="100"/>
      <c r="R717" s="86"/>
      <c r="S717" s="87"/>
      <c r="T717" s="87"/>
      <c r="U717" s="87"/>
      <c r="V717" s="87"/>
      <c r="W717" s="87"/>
      <c r="X717" s="87"/>
      <c r="Y717" s="87"/>
      <c r="Z717" s="87"/>
      <c r="AA717" s="88"/>
      <c r="AB717" s="88"/>
      <c r="AC717" s="88"/>
      <c r="AD717" s="88"/>
      <c r="AE717" s="88"/>
      <c r="AF717" s="88"/>
      <c r="AG717" s="88"/>
      <c r="AH717" s="88"/>
      <c r="AI717" s="87"/>
      <c r="AJ717" s="87"/>
      <c r="AK717" s="87"/>
      <c r="AL717" s="87"/>
      <c r="AM717" s="87"/>
      <c r="AN717" s="87"/>
      <c r="AO717" s="87"/>
      <c r="AP717" s="87"/>
      <c r="AQ717" s="88"/>
      <c r="AR717" s="88"/>
      <c r="AS717" s="88"/>
      <c r="AT717" s="88"/>
      <c r="AU717" s="88"/>
      <c r="AV717" s="88"/>
      <c r="AW717" s="88"/>
      <c r="AX717" s="88"/>
      <c r="AY717" s="87"/>
      <c r="AZ717" s="87"/>
      <c r="BA717" s="87"/>
      <c r="BB717" s="87"/>
      <c r="BC717" s="87"/>
      <c r="BD717" s="87"/>
      <c r="BE717" s="87"/>
      <c r="BF717" s="87"/>
      <c r="BG717" s="88"/>
      <c r="BH717" s="88"/>
      <c r="BI717" s="88"/>
      <c r="BJ717" s="88"/>
      <c r="BK717" s="88"/>
      <c r="BL717" s="88"/>
      <c r="BM717" s="88"/>
      <c r="BN717" s="88"/>
      <c r="BO717" s="209"/>
      <c r="BP717" s="208"/>
      <c r="BQ717" s="208"/>
    </row>
    <row r="718" spans="1:69" x14ac:dyDescent="0.2">
      <c r="K718" s="183"/>
      <c r="L718" s="100"/>
      <c r="R718" s="86"/>
      <c r="S718" s="87"/>
      <c r="T718" s="87"/>
      <c r="U718" s="87"/>
      <c r="V718" s="87"/>
      <c r="W718" s="87"/>
      <c r="X718" s="87"/>
      <c r="Y718" s="87"/>
      <c r="Z718" s="87"/>
      <c r="AA718" s="88"/>
      <c r="AB718" s="88"/>
      <c r="AC718" s="88"/>
      <c r="AD718" s="88"/>
      <c r="AE718" s="88"/>
      <c r="AF718" s="88"/>
      <c r="AG718" s="88"/>
      <c r="AH718" s="88"/>
      <c r="AI718" s="87"/>
      <c r="AJ718" s="87"/>
      <c r="AK718" s="87"/>
      <c r="AL718" s="87"/>
      <c r="AM718" s="87"/>
      <c r="AN718" s="87"/>
      <c r="AO718" s="87"/>
      <c r="AP718" s="87"/>
      <c r="AQ718" s="88"/>
      <c r="AR718" s="88"/>
      <c r="AS718" s="88"/>
      <c r="AT718" s="88"/>
      <c r="AU718" s="88"/>
      <c r="AV718" s="88"/>
      <c r="AW718" s="88"/>
      <c r="AX718" s="88"/>
      <c r="AY718" s="87"/>
      <c r="AZ718" s="87"/>
      <c r="BA718" s="87"/>
      <c r="BB718" s="87"/>
      <c r="BC718" s="87"/>
      <c r="BD718" s="87"/>
      <c r="BE718" s="87"/>
      <c r="BF718" s="87"/>
      <c r="BG718" s="88"/>
      <c r="BH718" s="88"/>
      <c r="BI718" s="88"/>
      <c r="BJ718" s="88"/>
      <c r="BK718" s="88"/>
      <c r="BL718" s="88"/>
      <c r="BM718" s="88"/>
      <c r="BN718" s="88"/>
      <c r="BO718" s="209"/>
      <c r="BP718" s="208"/>
      <c r="BQ718" s="208"/>
    </row>
    <row r="719" spans="1:69" x14ac:dyDescent="0.2">
      <c r="K719" s="183"/>
      <c r="L719" s="100"/>
      <c r="R719" s="86"/>
      <c r="S719" s="87"/>
      <c r="T719" s="87"/>
      <c r="U719" s="87"/>
      <c r="V719" s="87"/>
      <c r="W719" s="87"/>
      <c r="X719" s="87"/>
      <c r="Y719" s="87"/>
      <c r="Z719" s="87"/>
      <c r="AA719" s="88"/>
      <c r="AB719" s="88"/>
      <c r="AC719" s="88"/>
      <c r="AD719" s="88"/>
      <c r="AE719" s="88"/>
      <c r="AF719" s="88"/>
      <c r="AG719" s="88"/>
      <c r="AH719" s="88"/>
      <c r="AI719" s="87"/>
      <c r="AJ719" s="87"/>
      <c r="AK719" s="87"/>
      <c r="AL719" s="87"/>
      <c r="AM719" s="87"/>
      <c r="AN719" s="87"/>
      <c r="AO719" s="87"/>
      <c r="AP719" s="87"/>
      <c r="AQ719" s="88"/>
      <c r="AR719" s="88"/>
      <c r="AS719" s="88"/>
      <c r="AT719" s="88"/>
      <c r="AU719" s="88"/>
      <c r="AV719" s="88"/>
      <c r="AW719" s="88"/>
      <c r="AX719" s="88"/>
      <c r="AY719" s="87"/>
      <c r="AZ719" s="87"/>
      <c r="BA719" s="87"/>
      <c r="BB719" s="87"/>
      <c r="BC719" s="87"/>
      <c r="BD719" s="87"/>
      <c r="BE719" s="87"/>
      <c r="BF719" s="87"/>
      <c r="BG719" s="88"/>
      <c r="BH719" s="88"/>
      <c r="BI719" s="88"/>
      <c r="BJ719" s="88"/>
      <c r="BK719" s="88"/>
      <c r="BL719" s="88"/>
      <c r="BM719" s="88"/>
      <c r="BN719" s="88"/>
      <c r="BO719" s="209"/>
      <c r="BP719" s="208"/>
      <c r="BQ719" s="208"/>
    </row>
    <row r="720" spans="1:69" x14ac:dyDescent="0.2">
      <c r="K720" s="183"/>
      <c r="L720" s="100"/>
      <c r="R720" s="86"/>
      <c r="S720" s="87"/>
      <c r="T720" s="87"/>
      <c r="U720" s="87"/>
      <c r="V720" s="87"/>
      <c r="W720" s="87"/>
      <c r="X720" s="87"/>
      <c r="Y720" s="87"/>
      <c r="Z720" s="87"/>
      <c r="AA720" s="88"/>
      <c r="AB720" s="88"/>
      <c r="AC720" s="88"/>
      <c r="AD720" s="88"/>
      <c r="AE720" s="88"/>
      <c r="AF720" s="88"/>
      <c r="AG720" s="88"/>
      <c r="AH720" s="88"/>
      <c r="AI720" s="87"/>
      <c r="AJ720" s="87"/>
      <c r="AK720" s="87"/>
      <c r="AL720" s="87"/>
      <c r="AM720" s="87"/>
      <c r="AN720" s="87"/>
      <c r="AO720" s="87"/>
      <c r="AP720" s="87"/>
      <c r="AQ720" s="88"/>
      <c r="AR720" s="88"/>
      <c r="AS720" s="88"/>
      <c r="AT720" s="88"/>
      <c r="AU720" s="88"/>
      <c r="AV720" s="88"/>
      <c r="AW720" s="88"/>
      <c r="AX720" s="88"/>
      <c r="AY720" s="87"/>
      <c r="AZ720" s="87"/>
      <c r="BA720" s="87"/>
      <c r="BB720" s="87"/>
      <c r="BC720" s="87"/>
      <c r="BD720" s="87"/>
      <c r="BE720" s="87"/>
      <c r="BF720" s="87"/>
      <c r="BG720" s="88"/>
      <c r="BH720" s="88"/>
      <c r="BI720" s="88"/>
      <c r="BJ720" s="88"/>
      <c r="BK720" s="88"/>
      <c r="BL720" s="88"/>
      <c r="BM720" s="88"/>
      <c r="BN720" s="88"/>
      <c r="BO720" s="209"/>
      <c r="BP720" s="208"/>
      <c r="BQ720" s="208"/>
    </row>
    <row r="721" spans="1:69" x14ac:dyDescent="0.2">
      <c r="K721" s="183"/>
      <c r="L721" s="100"/>
      <c r="R721" s="86"/>
      <c r="S721" s="87"/>
      <c r="T721" s="87"/>
      <c r="U721" s="87"/>
      <c r="V721" s="87"/>
      <c r="W721" s="87"/>
      <c r="X721" s="87"/>
      <c r="Y721" s="87"/>
      <c r="Z721" s="87"/>
      <c r="AA721" s="88"/>
      <c r="AB721" s="88"/>
      <c r="AC721" s="88"/>
      <c r="AD721" s="88"/>
      <c r="AE721" s="88"/>
      <c r="AF721" s="88"/>
      <c r="AG721" s="88"/>
      <c r="AH721" s="88"/>
      <c r="AI721" s="87"/>
      <c r="AJ721" s="87"/>
      <c r="AK721" s="87"/>
      <c r="AL721" s="87"/>
      <c r="AM721" s="87"/>
      <c r="AN721" s="87"/>
      <c r="AO721" s="87"/>
      <c r="AP721" s="87"/>
      <c r="AQ721" s="88"/>
      <c r="AR721" s="88"/>
      <c r="AS721" s="88"/>
      <c r="AT721" s="88"/>
      <c r="AU721" s="88"/>
      <c r="AV721" s="88"/>
      <c r="AW721" s="88"/>
      <c r="AX721" s="88"/>
      <c r="AY721" s="87"/>
      <c r="AZ721" s="87"/>
      <c r="BA721" s="87"/>
      <c r="BB721" s="87"/>
      <c r="BC721" s="87"/>
      <c r="BD721" s="87"/>
      <c r="BE721" s="87"/>
      <c r="BF721" s="87"/>
      <c r="BG721" s="88"/>
      <c r="BH721" s="88"/>
      <c r="BI721" s="88"/>
      <c r="BJ721" s="88"/>
      <c r="BK721" s="88"/>
      <c r="BL721" s="88"/>
      <c r="BM721" s="88"/>
      <c r="BN721" s="88"/>
      <c r="BO721" s="209"/>
      <c r="BP721" s="208"/>
      <c r="BQ721" s="208"/>
    </row>
    <row r="722" spans="1:69" x14ac:dyDescent="0.2">
      <c r="K722" s="183"/>
      <c r="L722" s="100"/>
      <c r="R722" s="86"/>
      <c r="S722" s="87"/>
      <c r="T722" s="87"/>
      <c r="U722" s="87"/>
      <c r="V722" s="87"/>
      <c r="W722" s="87"/>
      <c r="X722" s="87"/>
      <c r="Y722" s="87"/>
      <c r="Z722" s="87"/>
      <c r="AA722" s="88"/>
      <c r="AB722" s="88"/>
      <c r="AC722" s="88"/>
      <c r="AD722" s="88"/>
      <c r="AE722" s="88"/>
      <c r="AF722" s="88"/>
      <c r="AG722" s="88"/>
      <c r="AH722" s="88"/>
      <c r="AI722" s="87"/>
      <c r="AJ722" s="87"/>
      <c r="AK722" s="87"/>
      <c r="AL722" s="87"/>
      <c r="AM722" s="87"/>
      <c r="AN722" s="87"/>
      <c r="AO722" s="87"/>
      <c r="AP722" s="87"/>
      <c r="AQ722" s="88"/>
      <c r="AR722" s="88"/>
      <c r="AS722" s="88"/>
      <c r="AT722" s="88"/>
      <c r="AU722" s="88"/>
      <c r="AV722" s="88"/>
      <c r="AW722" s="88"/>
      <c r="AX722" s="88"/>
      <c r="AY722" s="87"/>
      <c r="AZ722" s="87"/>
      <c r="BA722" s="87"/>
      <c r="BB722" s="87"/>
      <c r="BC722" s="87"/>
      <c r="BD722" s="87"/>
      <c r="BE722" s="87"/>
      <c r="BF722" s="87"/>
      <c r="BG722" s="88"/>
      <c r="BH722" s="88"/>
      <c r="BI722" s="88"/>
      <c r="BJ722" s="88"/>
      <c r="BK722" s="88"/>
      <c r="BL722" s="88"/>
      <c r="BM722" s="88"/>
      <c r="BN722" s="88"/>
      <c r="BO722" s="209"/>
      <c r="BP722" s="208"/>
      <c r="BQ722" s="208"/>
    </row>
    <row r="723" spans="1:69" x14ac:dyDescent="0.2">
      <c r="K723" s="183"/>
      <c r="L723" s="100"/>
      <c r="R723" s="86"/>
      <c r="S723" s="87"/>
      <c r="T723" s="87"/>
      <c r="U723" s="87"/>
      <c r="V723" s="87"/>
      <c r="W723" s="87"/>
      <c r="X723" s="87"/>
      <c r="Y723" s="87"/>
      <c r="Z723" s="87"/>
      <c r="AA723" s="88"/>
      <c r="AB723" s="88"/>
      <c r="AC723" s="88"/>
      <c r="AD723" s="88"/>
      <c r="AE723" s="88"/>
      <c r="AF723" s="88"/>
      <c r="AG723" s="88"/>
      <c r="AH723" s="88"/>
      <c r="AI723" s="87"/>
      <c r="AJ723" s="87"/>
      <c r="AK723" s="87"/>
      <c r="AL723" s="87"/>
      <c r="AM723" s="87"/>
      <c r="AN723" s="87"/>
      <c r="AO723" s="87"/>
      <c r="AP723" s="87"/>
      <c r="AQ723" s="88"/>
      <c r="AR723" s="88"/>
      <c r="AS723" s="88"/>
      <c r="AT723" s="88"/>
      <c r="AU723" s="88"/>
      <c r="AV723" s="88"/>
      <c r="AW723" s="88"/>
      <c r="AX723" s="88"/>
      <c r="AY723" s="87"/>
      <c r="AZ723" s="87"/>
      <c r="BA723" s="87"/>
      <c r="BB723" s="87"/>
      <c r="BC723" s="87"/>
      <c r="BD723" s="87"/>
      <c r="BE723" s="87"/>
      <c r="BF723" s="87"/>
      <c r="BG723" s="88"/>
      <c r="BH723" s="88"/>
      <c r="BI723" s="88"/>
      <c r="BJ723" s="88"/>
      <c r="BK723" s="88"/>
      <c r="BL723" s="88"/>
      <c r="BM723" s="88"/>
      <c r="BN723" s="88"/>
      <c r="BO723" s="209"/>
      <c r="BP723" s="208"/>
      <c r="BQ723" s="208"/>
    </row>
    <row r="724" spans="1:69" x14ac:dyDescent="0.2">
      <c r="K724" s="183"/>
      <c r="L724" s="100"/>
      <c r="R724" s="86"/>
      <c r="S724" s="87"/>
      <c r="T724" s="87"/>
      <c r="U724" s="87"/>
      <c r="V724" s="87"/>
      <c r="W724" s="87"/>
      <c r="X724" s="87"/>
      <c r="Y724" s="87"/>
      <c r="Z724" s="87"/>
      <c r="AA724" s="88"/>
      <c r="AB724" s="88"/>
      <c r="AC724" s="88"/>
      <c r="AD724" s="88"/>
      <c r="AE724" s="88"/>
      <c r="AF724" s="88"/>
      <c r="AG724" s="88"/>
      <c r="AH724" s="88"/>
      <c r="AI724" s="87"/>
      <c r="AJ724" s="87"/>
      <c r="AK724" s="87"/>
      <c r="AL724" s="87"/>
      <c r="AM724" s="87"/>
      <c r="AN724" s="87"/>
      <c r="AO724" s="87"/>
      <c r="AP724" s="87"/>
      <c r="AQ724" s="88"/>
      <c r="AR724" s="88"/>
      <c r="AS724" s="88"/>
      <c r="AT724" s="88"/>
      <c r="AU724" s="88"/>
      <c r="AV724" s="88"/>
      <c r="AW724" s="88"/>
      <c r="AX724" s="88"/>
      <c r="AY724" s="87"/>
      <c r="AZ724" s="87"/>
      <c r="BA724" s="87"/>
      <c r="BB724" s="87"/>
      <c r="BC724" s="87"/>
      <c r="BD724" s="87"/>
      <c r="BE724" s="87"/>
      <c r="BF724" s="87"/>
      <c r="BG724" s="88"/>
      <c r="BH724" s="88"/>
      <c r="BI724" s="88"/>
      <c r="BJ724" s="88"/>
      <c r="BK724" s="88"/>
      <c r="BL724" s="88"/>
      <c r="BM724" s="88"/>
      <c r="BN724" s="88"/>
      <c r="BO724" s="209"/>
      <c r="BP724" s="208"/>
      <c r="BQ724" s="208"/>
    </row>
    <row r="725" spans="1:69" x14ac:dyDescent="0.2">
      <c r="K725" s="183"/>
      <c r="L725" s="100"/>
      <c r="R725" s="86"/>
      <c r="S725" s="87"/>
      <c r="T725" s="87"/>
      <c r="U725" s="87"/>
      <c r="V725" s="87"/>
      <c r="W725" s="87"/>
      <c r="X725" s="87"/>
      <c r="Y725" s="87"/>
      <c r="Z725" s="87"/>
      <c r="AA725" s="88"/>
      <c r="AB725" s="88"/>
      <c r="AC725" s="88"/>
      <c r="AD725" s="88"/>
      <c r="AE725" s="88"/>
      <c r="AF725" s="88"/>
      <c r="AG725" s="88"/>
      <c r="AH725" s="88"/>
      <c r="AI725" s="87"/>
      <c r="AJ725" s="87"/>
      <c r="AK725" s="87"/>
      <c r="AL725" s="87"/>
      <c r="AM725" s="87"/>
      <c r="AN725" s="87"/>
      <c r="AO725" s="87"/>
      <c r="AP725" s="87"/>
      <c r="AQ725" s="88"/>
      <c r="AR725" s="88"/>
      <c r="AS725" s="88"/>
      <c r="AT725" s="88"/>
      <c r="AU725" s="88"/>
      <c r="AV725" s="88"/>
      <c r="AW725" s="88"/>
      <c r="AX725" s="88"/>
      <c r="AY725" s="87"/>
      <c r="AZ725" s="87"/>
      <c r="BA725" s="87"/>
      <c r="BB725" s="87"/>
      <c r="BC725" s="87"/>
      <c r="BD725" s="87"/>
      <c r="BE725" s="87"/>
      <c r="BF725" s="87"/>
      <c r="BG725" s="88"/>
      <c r="BH725" s="88"/>
      <c r="BI725" s="88"/>
      <c r="BJ725" s="88"/>
      <c r="BK725" s="88"/>
      <c r="BL725" s="88"/>
      <c r="BM725" s="88"/>
      <c r="BN725" s="88"/>
      <c r="BO725" s="209"/>
      <c r="BP725" s="208"/>
      <c r="BQ725" s="208"/>
    </row>
    <row r="726" spans="1:69" x14ac:dyDescent="0.2">
      <c r="K726" s="183"/>
      <c r="L726" s="100"/>
      <c r="R726" s="86"/>
      <c r="S726" s="87"/>
      <c r="T726" s="87"/>
      <c r="U726" s="87"/>
      <c r="V726" s="87"/>
      <c r="W726" s="87"/>
      <c r="X726" s="87"/>
      <c r="Y726" s="87"/>
      <c r="Z726" s="87"/>
      <c r="AA726" s="88"/>
      <c r="AB726" s="88"/>
      <c r="AC726" s="88"/>
      <c r="AD726" s="88"/>
      <c r="AE726" s="88"/>
      <c r="AF726" s="88"/>
      <c r="AG726" s="88"/>
      <c r="AH726" s="88"/>
      <c r="AI726" s="87"/>
      <c r="AJ726" s="87"/>
      <c r="AK726" s="87"/>
      <c r="AL726" s="87"/>
      <c r="AM726" s="87"/>
      <c r="AN726" s="87"/>
      <c r="AO726" s="87"/>
      <c r="AP726" s="87"/>
      <c r="AQ726" s="88"/>
      <c r="AR726" s="88"/>
      <c r="AS726" s="88"/>
      <c r="AT726" s="88"/>
      <c r="AU726" s="88"/>
      <c r="AV726" s="88"/>
      <c r="AW726" s="88"/>
      <c r="AX726" s="88"/>
      <c r="AY726" s="87"/>
      <c r="AZ726" s="87"/>
      <c r="BA726" s="87"/>
      <c r="BB726" s="87"/>
      <c r="BC726" s="87"/>
      <c r="BD726" s="87"/>
      <c r="BE726" s="87"/>
      <c r="BF726" s="87"/>
      <c r="BG726" s="88"/>
      <c r="BH726" s="88"/>
      <c r="BI726" s="88"/>
      <c r="BJ726" s="88"/>
      <c r="BK726" s="88"/>
      <c r="BL726" s="88"/>
      <c r="BM726" s="88"/>
      <c r="BN726" s="88"/>
      <c r="BO726" s="209"/>
      <c r="BP726" s="208"/>
      <c r="BQ726" s="208"/>
    </row>
    <row r="727" spans="1:69" x14ac:dyDescent="0.2">
      <c r="K727" s="183"/>
      <c r="L727" s="100"/>
      <c r="R727" s="86"/>
      <c r="S727" s="87"/>
      <c r="T727" s="87"/>
      <c r="U727" s="87"/>
      <c r="V727" s="87"/>
      <c r="W727" s="87"/>
      <c r="X727" s="87"/>
      <c r="Y727" s="87"/>
      <c r="Z727" s="87"/>
      <c r="AA727" s="88"/>
      <c r="AB727" s="88"/>
      <c r="AC727" s="88"/>
      <c r="AD727" s="88"/>
      <c r="AE727" s="88"/>
      <c r="AF727" s="88"/>
      <c r="AG727" s="88"/>
      <c r="AH727" s="88"/>
      <c r="AI727" s="87"/>
      <c r="AJ727" s="87"/>
      <c r="AK727" s="87"/>
      <c r="AL727" s="87"/>
      <c r="AM727" s="87"/>
      <c r="AN727" s="87"/>
      <c r="AO727" s="87"/>
      <c r="AP727" s="87"/>
      <c r="AQ727" s="88"/>
      <c r="AR727" s="88"/>
      <c r="AS727" s="88"/>
      <c r="AT727" s="88"/>
      <c r="AU727" s="88"/>
      <c r="AV727" s="88"/>
      <c r="AW727" s="88"/>
      <c r="AX727" s="88"/>
      <c r="AY727" s="87"/>
      <c r="AZ727" s="87"/>
      <c r="BA727" s="87"/>
      <c r="BB727" s="87"/>
      <c r="BC727" s="87"/>
      <c r="BD727" s="87"/>
      <c r="BE727" s="87"/>
      <c r="BF727" s="87"/>
      <c r="BG727" s="88"/>
      <c r="BH727" s="88"/>
      <c r="BI727" s="88"/>
      <c r="BJ727" s="88"/>
      <c r="BK727" s="88"/>
      <c r="BL727" s="88"/>
      <c r="BM727" s="88"/>
      <c r="BN727" s="88"/>
      <c r="BO727" s="209"/>
      <c r="BP727" s="208"/>
      <c r="BQ727" s="208"/>
    </row>
    <row r="728" spans="1:69" x14ac:dyDescent="0.2">
      <c r="K728" s="183"/>
      <c r="L728" s="100"/>
      <c r="R728" s="86"/>
      <c r="S728" s="87"/>
      <c r="T728" s="87"/>
      <c r="U728" s="87"/>
      <c r="V728" s="87"/>
      <c r="W728" s="87"/>
      <c r="X728" s="87"/>
      <c r="Y728" s="87"/>
      <c r="Z728" s="87"/>
      <c r="AA728" s="88"/>
      <c r="AB728" s="88"/>
      <c r="AC728" s="88"/>
      <c r="AD728" s="88"/>
      <c r="AE728" s="88"/>
      <c r="AF728" s="88"/>
      <c r="AG728" s="88"/>
      <c r="AH728" s="88"/>
      <c r="AI728" s="87"/>
      <c r="AJ728" s="87"/>
      <c r="AK728" s="87"/>
      <c r="AL728" s="87"/>
      <c r="AM728" s="87"/>
      <c r="AN728" s="87"/>
      <c r="AO728" s="87"/>
      <c r="AP728" s="87"/>
      <c r="AQ728" s="88"/>
      <c r="AR728" s="88"/>
      <c r="AS728" s="88"/>
      <c r="AT728" s="88"/>
      <c r="AU728" s="88"/>
      <c r="AV728" s="88"/>
      <c r="AW728" s="88"/>
      <c r="AX728" s="88"/>
      <c r="AY728" s="87"/>
      <c r="AZ728" s="87"/>
      <c r="BA728" s="87"/>
      <c r="BB728" s="87"/>
      <c r="BC728" s="87"/>
      <c r="BD728" s="87"/>
      <c r="BE728" s="87"/>
      <c r="BF728" s="87"/>
      <c r="BG728" s="88"/>
      <c r="BH728" s="88"/>
      <c r="BI728" s="88"/>
      <c r="BJ728" s="88"/>
      <c r="BK728" s="88"/>
      <c r="BL728" s="88"/>
      <c r="BM728" s="88"/>
      <c r="BN728" s="88"/>
      <c r="BO728" s="209"/>
      <c r="BP728" s="208"/>
      <c r="BQ728" s="208"/>
    </row>
    <row r="729" spans="1:69" x14ac:dyDescent="0.2">
      <c r="K729" s="183"/>
      <c r="L729" s="100"/>
      <c r="R729" s="86"/>
      <c r="S729" s="87"/>
      <c r="T729" s="87"/>
      <c r="U729" s="87"/>
      <c r="V729" s="87"/>
      <c r="W729" s="87"/>
      <c r="X729" s="87"/>
      <c r="Y729" s="87"/>
      <c r="Z729" s="87"/>
      <c r="AA729" s="88"/>
      <c r="AB729" s="88"/>
      <c r="AC729" s="88"/>
      <c r="AD729" s="88"/>
      <c r="AE729" s="88"/>
      <c r="AF729" s="88"/>
      <c r="AG729" s="88"/>
      <c r="AH729" s="88"/>
      <c r="AI729" s="87"/>
      <c r="AJ729" s="87"/>
      <c r="AK729" s="87"/>
      <c r="AL729" s="87"/>
      <c r="AM729" s="87"/>
      <c r="AN729" s="87"/>
      <c r="AO729" s="87"/>
      <c r="AP729" s="87"/>
      <c r="AQ729" s="88"/>
      <c r="AR729" s="88"/>
      <c r="AS729" s="88"/>
      <c r="AT729" s="88"/>
      <c r="AU729" s="88"/>
      <c r="AV729" s="88"/>
      <c r="AW729" s="88"/>
      <c r="AX729" s="88"/>
      <c r="AY729" s="87"/>
      <c r="AZ729" s="87"/>
      <c r="BA729" s="87"/>
      <c r="BB729" s="87"/>
      <c r="BC729" s="87"/>
      <c r="BD729" s="87"/>
      <c r="BE729" s="87"/>
      <c r="BF729" s="87"/>
      <c r="BG729" s="88"/>
      <c r="BH729" s="88"/>
      <c r="BI729" s="88"/>
      <c r="BJ729" s="88"/>
      <c r="BK729" s="88"/>
      <c r="BL729" s="88"/>
      <c r="BM729" s="88"/>
      <c r="BN729" s="88"/>
      <c r="BO729" s="209"/>
      <c r="BP729" s="208"/>
      <c r="BQ729" s="208"/>
    </row>
    <row r="730" spans="1:69" x14ac:dyDescent="0.2">
      <c r="K730" s="183"/>
      <c r="L730" s="100"/>
      <c r="R730" s="86"/>
      <c r="S730" s="87"/>
      <c r="T730" s="87"/>
      <c r="U730" s="87"/>
      <c r="V730" s="87"/>
      <c r="W730" s="87"/>
      <c r="X730" s="87"/>
      <c r="Y730" s="87"/>
      <c r="Z730" s="87"/>
      <c r="AA730" s="88"/>
      <c r="AB730" s="88"/>
      <c r="AC730" s="88"/>
      <c r="AD730" s="88"/>
      <c r="AE730" s="88"/>
      <c r="AF730" s="88"/>
      <c r="AG730" s="88"/>
      <c r="AH730" s="88"/>
      <c r="AI730" s="87"/>
      <c r="AJ730" s="87"/>
      <c r="AK730" s="87"/>
      <c r="AL730" s="87"/>
      <c r="AM730" s="87"/>
      <c r="AN730" s="87"/>
      <c r="AO730" s="87"/>
      <c r="AP730" s="87"/>
      <c r="AQ730" s="88"/>
      <c r="AR730" s="88"/>
      <c r="AS730" s="88"/>
      <c r="AT730" s="88"/>
      <c r="AU730" s="88"/>
      <c r="AV730" s="88"/>
      <c r="AW730" s="88"/>
      <c r="AX730" s="88"/>
      <c r="AY730" s="87"/>
      <c r="AZ730" s="87"/>
      <c r="BA730" s="87"/>
      <c r="BB730" s="87"/>
      <c r="BC730" s="87"/>
      <c r="BD730" s="87"/>
      <c r="BE730" s="87"/>
      <c r="BF730" s="87"/>
      <c r="BG730" s="88"/>
      <c r="BH730" s="88"/>
      <c r="BI730" s="88"/>
      <c r="BJ730" s="88"/>
      <c r="BK730" s="88"/>
      <c r="BL730" s="88"/>
      <c r="BM730" s="88"/>
      <c r="BN730" s="88"/>
      <c r="BO730" s="209"/>
      <c r="BP730" s="208"/>
      <c r="BQ730" s="208"/>
    </row>
    <row r="731" spans="1:69" x14ac:dyDescent="0.2">
      <c r="K731" s="183"/>
      <c r="L731" s="100"/>
      <c r="R731" s="86"/>
      <c r="S731" s="87"/>
      <c r="T731" s="87"/>
      <c r="U731" s="87"/>
      <c r="V731" s="87"/>
      <c r="W731" s="87"/>
      <c r="X731" s="87"/>
      <c r="Y731" s="87"/>
      <c r="Z731" s="87"/>
      <c r="AA731" s="88"/>
      <c r="AB731" s="88"/>
      <c r="AC731" s="88"/>
      <c r="AD731" s="88"/>
      <c r="AE731" s="88"/>
      <c r="AF731" s="88"/>
      <c r="AG731" s="88"/>
      <c r="AH731" s="88"/>
      <c r="AI731" s="87"/>
      <c r="AJ731" s="87"/>
      <c r="AK731" s="87"/>
      <c r="AL731" s="87"/>
      <c r="AM731" s="87"/>
      <c r="AN731" s="87"/>
      <c r="AO731" s="87"/>
      <c r="AP731" s="87"/>
      <c r="AQ731" s="88"/>
      <c r="AR731" s="88"/>
      <c r="AS731" s="88"/>
      <c r="AT731" s="88"/>
      <c r="AU731" s="88"/>
      <c r="AV731" s="88"/>
      <c r="AW731" s="88"/>
      <c r="AX731" s="88"/>
      <c r="AY731" s="87"/>
      <c r="AZ731" s="87"/>
      <c r="BA731" s="87"/>
      <c r="BB731" s="87"/>
      <c r="BC731" s="87"/>
      <c r="BD731" s="87"/>
      <c r="BE731" s="87"/>
      <c r="BF731" s="87"/>
      <c r="BG731" s="88"/>
      <c r="BH731" s="88"/>
      <c r="BI731" s="88"/>
      <c r="BJ731" s="88"/>
      <c r="BK731" s="88"/>
      <c r="BL731" s="88"/>
      <c r="BM731" s="88"/>
      <c r="BN731" s="88"/>
      <c r="BO731" s="209"/>
      <c r="BP731" s="208"/>
      <c r="BQ731" s="208"/>
    </row>
    <row r="732" spans="1:69" x14ac:dyDescent="0.2">
      <c r="K732" s="183"/>
      <c r="L732" s="100"/>
      <c r="R732" s="86"/>
      <c r="S732" s="87"/>
      <c r="T732" s="87"/>
      <c r="U732" s="87"/>
      <c r="V732" s="87"/>
      <c r="W732" s="87"/>
      <c r="X732" s="87"/>
      <c r="Y732" s="87"/>
      <c r="Z732" s="87"/>
      <c r="AA732" s="88"/>
      <c r="AB732" s="88"/>
      <c r="AC732" s="88"/>
      <c r="AD732" s="88"/>
      <c r="AE732" s="88"/>
      <c r="AF732" s="88"/>
      <c r="AG732" s="88"/>
      <c r="AH732" s="88"/>
      <c r="AI732" s="87"/>
      <c r="AJ732" s="87"/>
      <c r="AK732" s="87"/>
      <c r="AL732" s="87"/>
      <c r="AM732" s="87"/>
      <c r="AN732" s="87"/>
      <c r="AO732" s="87"/>
      <c r="AP732" s="87"/>
      <c r="AQ732" s="88"/>
      <c r="AR732" s="88"/>
      <c r="AS732" s="88"/>
      <c r="AT732" s="88"/>
      <c r="AU732" s="88"/>
      <c r="AV732" s="88"/>
      <c r="AW732" s="88"/>
      <c r="AX732" s="88"/>
      <c r="AY732" s="87"/>
      <c r="AZ732" s="87"/>
      <c r="BA732" s="87"/>
      <c r="BB732" s="87"/>
      <c r="BC732" s="87"/>
      <c r="BD732" s="87"/>
      <c r="BE732" s="87"/>
      <c r="BF732" s="87"/>
      <c r="BG732" s="88"/>
      <c r="BH732" s="88"/>
      <c r="BI732" s="88"/>
      <c r="BJ732" s="88"/>
      <c r="BK732" s="88"/>
      <c r="BL732" s="88"/>
      <c r="BM732" s="88"/>
      <c r="BN732" s="88"/>
      <c r="BO732" s="209"/>
      <c r="BP732" s="208"/>
      <c r="BQ732" s="208"/>
    </row>
    <row r="733" spans="1:69" s="81" customFormat="1" x14ac:dyDescent="0.2">
      <c r="A733" s="175"/>
      <c r="B733" s="183"/>
      <c r="C733" s="184"/>
      <c r="D733" s="183"/>
      <c r="E733" s="184"/>
      <c r="F733" s="183"/>
      <c r="G733" s="183"/>
      <c r="H733" s="184"/>
      <c r="I733" s="183"/>
      <c r="J733" s="183"/>
      <c r="K733" s="183"/>
      <c r="L733" s="100"/>
      <c r="M733" s="100"/>
      <c r="N733" s="100"/>
      <c r="O733" s="100"/>
      <c r="P733" s="100"/>
      <c r="Q733" s="75"/>
      <c r="R733" s="86"/>
      <c r="S733" s="87"/>
      <c r="T733" s="87"/>
      <c r="U733" s="87"/>
      <c r="V733" s="87"/>
      <c r="W733" s="87"/>
      <c r="X733" s="87"/>
      <c r="Y733" s="87"/>
      <c r="Z733" s="87"/>
      <c r="AA733" s="88"/>
      <c r="AB733" s="88"/>
      <c r="AC733" s="88"/>
      <c r="AD733" s="88"/>
      <c r="AE733" s="88"/>
      <c r="AF733" s="88"/>
      <c r="AG733" s="88"/>
      <c r="AH733" s="88"/>
      <c r="AI733" s="87"/>
      <c r="AJ733" s="87"/>
      <c r="AK733" s="87"/>
      <c r="AL733" s="87"/>
      <c r="AM733" s="87"/>
      <c r="AN733" s="87"/>
      <c r="AO733" s="87"/>
      <c r="AP733" s="87"/>
      <c r="AQ733" s="88"/>
      <c r="AR733" s="88"/>
      <c r="AS733" s="88"/>
      <c r="AT733" s="88"/>
      <c r="AU733" s="88"/>
      <c r="AV733" s="88"/>
      <c r="AW733" s="88"/>
      <c r="AX733" s="88"/>
      <c r="AY733" s="87"/>
      <c r="AZ733" s="87"/>
      <c r="BA733" s="87"/>
      <c r="BB733" s="87"/>
      <c r="BC733" s="87"/>
      <c r="BD733" s="87"/>
      <c r="BE733" s="87"/>
      <c r="BF733" s="87"/>
      <c r="BG733" s="88"/>
      <c r="BH733" s="88"/>
      <c r="BI733" s="88"/>
      <c r="BJ733" s="88"/>
      <c r="BK733" s="88"/>
      <c r="BL733" s="88"/>
      <c r="BM733" s="88"/>
      <c r="BN733" s="88"/>
      <c r="BO733" s="209"/>
      <c r="BP733" s="208"/>
      <c r="BQ733" s="208"/>
    </row>
    <row r="734" spans="1:69" x14ac:dyDescent="0.2">
      <c r="K734" s="183"/>
      <c r="L734" s="100"/>
      <c r="R734" s="86"/>
      <c r="S734" s="87"/>
      <c r="T734" s="87"/>
      <c r="U734" s="87"/>
      <c r="V734" s="87"/>
      <c r="W734" s="87"/>
      <c r="X734" s="87"/>
      <c r="Y734" s="87"/>
      <c r="Z734" s="87"/>
      <c r="AA734" s="88"/>
      <c r="AB734" s="88"/>
      <c r="AC734" s="88"/>
      <c r="AD734" s="88"/>
      <c r="AE734" s="88"/>
      <c r="AF734" s="88"/>
      <c r="AG734" s="88"/>
      <c r="AH734" s="88"/>
      <c r="AI734" s="87"/>
      <c r="AJ734" s="87"/>
      <c r="AK734" s="87"/>
      <c r="AL734" s="87"/>
      <c r="AM734" s="87"/>
      <c r="AN734" s="87"/>
      <c r="AO734" s="87"/>
      <c r="AP734" s="87"/>
      <c r="AQ734" s="88"/>
      <c r="AR734" s="88"/>
      <c r="AS734" s="88"/>
      <c r="AT734" s="88"/>
      <c r="AU734" s="88"/>
      <c r="AV734" s="88"/>
      <c r="AW734" s="88"/>
      <c r="AX734" s="88"/>
      <c r="AY734" s="87"/>
      <c r="AZ734" s="87"/>
      <c r="BA734" s="87"/>
      <c r="BB734" s="87"/>
      <c r="BC734" s="87"/>
      <c r="BD734" s="87"/>
      <c r="BE734" s="87"/>
      <c r="BF734" s="87"/>
      <c r="BG734" s="88"/>
      <c r="BH734" s="88"/>
      <c r="BI734" s="88"/>
      <c r="BJ734" s="88"/>
      <c r="BK734" s="88"/>
      <c r="BL734" s="88"/>
      <c r="BM734" s="88"/>
      <c r="BN734" s="88"/>
      <c r="BO734" s="209"/>
      <c r="BP734" s="208"/>
      <c r="BQ734" s="208"/>
    </row>
    <row r="735" spans="1:69" x14ac:dyDescent="0.2">
      <c r="K735" s="183"/>
      <c r="L735" s="100"/>
      <c r="R735" s="86"/>
      <c r="S735" s="87"/>
      <c r="T735" s="87"/>
      <c r="U735" s="87"/>
      <c r="V735" s="87"/>
      <c r="W735" s="87"/>
      <c r="X735" s="87"/>
      <c r="Y735" s="87"/>
      <c r="Z735" s="87"/>
      <c r="AA735" s="88"/>
      <c r="AB735" s="88"/>
      <c r="AC735" s="88"/>
      <c r="AD735" s="88"/>
      <c r="AE735" s="88"/>
      <c r="AF735" s="88"/>
      <c r="AG735" s="88"/>
      <c r="AH735" s="88"/>
      <c r="AI735" s="87"/>
      <c r="AJ735" s="87"/>
      <c r="AK735" s="87"/>
      <c r="AL735" s="87"/>
      <c r="AM735" s="87"/>
      <c r="AN735" s="87"/>
      <c r="AO735" s="87"/>
      <c r="AP735" s="87"/>
      <c r="AQ735" s="88"/>
      <c r="AR735" s="88"/>
      <c r="AS735" s="88"/>
      <c r="AT735" s="88"/>
      <c r="AU735" s="88"/>
      <c r="AV735" s="88"/>
      <c r="AW735" s="88"/>
      <c r="AX735" s="88"/>
      <c r="AY735" s="87"/>
      <c r="AZ735" s="87"/>
      <c r="BA735" s="87"/>
      <c r="BB735" s="87"/>
      <c r="BC735" s="87"/>
      <c r="BD735" s="87"/>
      <c r="BE735" s="87"/>
      <c r="BF735" s="87"/>
      <c r="BG735" s="88"/>
      <c r="BH735" s="88"/>
      <c r="BI735" s="88"/>
      <c r="BJ735" s="88"/>
      <c r="BK735" s="88"/>
      <c r="BL735" s="88"/>
      <c r="BM735" s="88"/>
      <c r="BN735" s="88"/>
      <c r="BO735" s="209"/>
      <c r="BP735" s="208"/>
      <c r="BQ735" s="208"/>
    </row>
    <row r="736" spans="1:69" x14ac:dyDescent="0.2">
      <c r="K736" s="183"/>
      <c r="L736" s="100"/>
      <c r="R736" s="86"/>
      <c r="S736" s="87"/>
      <c r="T736" s="87"/>
      <c r="U736" s="87"/>
      <c r="V736" s="87"/>
      <c r="W736" s="87"/>
      <c r="X736" s="87"/>
      <c r="Y736" s="87"/>
      <c r="Z736" s="87"/>
      <c r="AA736" s="88"/>
      <c r="AB736" s="88"/>
      <c r="AC736" s="88"/>
      <c r="AD736" s="88"/>
      <c r="AE736" s="88"/>
      <c r="AF736" s="88"/>
      <c r="AG736" s="88"/>
      <c r="AH736" s="88"/>
      <c r="AI736" s="87"/>
      <c r="AJ736" s="87"/>
      <c r="AK736" s="87"/>
      <c r="AL736" s="87"/>
      <c r="AM736" s="87"/>
      <c r="AN736" s="87"/>
      <c r="AO736" s="87"/>
      <c r="AP736" s="87"/>
      <c r="AQ736" s="88"/>
      <c r="AR736" s="88"/>
      <c r="AS736" s="88"/>
      <c r="AT736" s="88"/>
      <c r="AU736" s="88"/>
      <c r="AV736" s="88"/>
      <c r="AW736" s="88"/>
      <c r="AX736" s="88"/>
      <c r="AY736" s="87"/>
      <c r="AZ736" s="87"/>
      <c r="BA736" s="87"/>
      <c r="BB736" s="87"/>
      <c r="BC736" s="87"/>
      <c r="BD736" s="87"/>
      <c r="BE736" s="87"/>
      <c r="BF736" s="87"/>
      <c r="BG736" s="88"/>
      <c r="BH736" s="88"/>
      <c r="BI736" s="88"/>
      <c r="BJ736" s="88"/>
      <c r="BK736" s="88"/>
      <c r="BL736" s="88"/>
      <c r="BM736" s="88"/>
      <c r="BN736" s="88"/>
      <c r="BO736" s="209"/>
      <c r="BP736" s="208"/>
      <c r="BQ736" s="208"/>
    </row>
    <row r="737" spans="1:69" x14ac:dyDescent="0.2">
      <c r="K737" s="183"/>
      <c r="L737" s="100"/>
      <c r="R737" s="86"/>
      <c r="S737" s="87"/>
      <c r="T737" s="87"/>
      <c r="U737" s="87"/>
      <c r="V737" s="87"/>
      <c r="W737" s="87"/>
      <c r="X737" s="87"/>
      <c r="Y737" s="87"/>
      <c r="Z737" s="87"/>
      <c r="AA737" s="88"/>
      <c r="AB737" s="88"/>
      <c r="AC737" s="88"/>
      <c r="AD737" s="88"/>
      <c r="AE737" s="88"/>
      <c r="AF737" s="88"/>
      <c r="AG737" s="88"/>
      <c r="AH737" s="88"/>
      <c r="AI737" s="87"/>
      <c r="AJ737" s="87"/>
      <c r="AK737" s="87"/>
      <c r="AL737" s="87"/>
      <c r="AM737" s="87"/>
      <c r="AN737" s="87"/>
      <c r="AO737" s="87"/>
      <c r="AP737" s="87"/>
      <c r="AQ737" s="88"/>
      <c r="AR737" s="88"/>
      <c r="AS737" s="88"/>
      <c r="AT737" s="88"/>
      <c r="AU737" s="88"/>
      <c r="AV737" s="88"/>
      <c r="AW737" s="88"/>
      <c r="AX737" s="88"/>
      <c r="AY737" s="87"/>
      <c r="AZ737" s="87"/>
      <c r="BA737" s="87"/>
      <c r="BB737" s="87"/>
      <c r="BC737" s="87"/>
      <c r="BD737" s="87"/>
      <c r="BE737" s="87"/>
      <c r="BF737" s="87"/>
      <c r="BG737" s="88"/>
      <c r="BH737" s="88"/>
      <c r="BI737" s="88"/>
      <c r="BJ737" s="88"/>
      <c r="BK737" s="88"/>
      <c r="BL737" s="88"/>
      <c r="BM737" s="88"/>
      <c r="BN737" s="88"/>
      <c r="BO737" s="209"/>
      <c r="BP737" s="208"/>
      <c r="BQ737" s="208"/>
    </row>
    <row r="738" spans="1:69" x14ac:dyDescent="0.2">
      <c r="K738" s="183"/>
      <c r="L738" s="100"/>
      <c r="R738" s="86"/>
      <c r="S738" s="87"/>
      <c r="T738" s="87"/>
      <c r="U738" s="87"/>
      <c r="V738" s="87"/>
      <c r="W738" s="87"/>
      <c r="X738" s="87"/>
      <c r="Y738" s="87"/>
      <c r="Z738" s="87"/>
      <c r="AA738" s="88"/>
      <c r="AB738" s="88"/>
      <c r="AC738" s="88"/>
      <c r="AD738" s="88"/>
      <c r="AE738" s="88"/>
      <c r="AF738" s="88"/>
      <c r="AG738" s="88"/>
      <c r="AH738" s="88"/>
      <c r="AI738" s="87"/>
      <c r="AJ738" s="87"/>
      <c r="AK738" s="87"/>
      <c r="AL738" s="87"/>
      <c r="AM738" s="87"/>
      <c r="AN738" s="87"/>
      <c r="AO738" s="87"/>
      <c r="AP738" s="87"/>
      <c r="AQ738" s="88"/>
      <c r="AR738" s="88"/>
      <c r="AS738" s="88"/>
      <c r="AT738" s="88"/>
      <c r="AU738" s="88"/>
      <c r="AV738" s="88"/>
      <c r="AW738" s="88"/>
      <c r="AX738" s="88"/>
      <c r="AY738" s="87"/>
      <c r="AZ738" s="87"/>
      <c r="BA738" s="87"/>
      <c r="BB738" s="87"/>
      <c r="BC738" s="87"/>
      <c r="BD738" s="87"/>
      <c r="BE738" s="87"/>
      <c r="BF738" s="87"/>
      <c r="BG738" s="88"/>
      <c r="BH738" s="88"/>
      <c r="BI738" s="88"/>
      <c r="BJ738" s="88"/>
      <c r="BK738" s="88"/>
      <c r="BL738" s="88"/>
      <c r="BM738" s="88"/>
      <c r="BN738" s="88"/>
      <c r="BO738" s="209"/>
      <c r="BP738" s="208"/>
      <c r="BQ738" s="208"/>
    </row>
    <row r="739" spans="1:69" s="81" customFormat="1" x14ac:dyDescent="0.2">
      <c r="A739" s="175"/>
      <c r="B739" s="183"/>
      <c r="C739" s="184"/>
      <c r="D739" s="183"/>
      <c r="E739" s="184"/>
      <c r="F739" s="183"/>
      <c r="G739" s="183"/>
      <c r="H739" s="184"/>
      <c r="I739" s="183"/>
      <c r="J739" s="183"/>
      <c r="K739" s="183"/>
      <c r="L739" s="100"/>
      <c r="M739" s="100"/>
      <c r="N739" s="100"/>
      <c r="O739" s="100"/>
      <c r="P739" s="100"/>
      <c r="Q739" s="75"/>
      <c r="R739" s="86"/>
      <c r="S739" s="87"/>
      <c r="T739" s="87"/>
      <c r="U739" s="87"/>
      <c r="V739" s="87"/>
      <c r="W739" s="87"/>
      <c r="X739" s="87"/>
      <c r="Y739" s="87"/>
      <c r="Z739" s="87"/>
      <c r="AA739" s="88"/>
      <c r="AB739" s="88"/>
      <c r="AC739" s="88"/>
      <c r="AD739" s="88"/>
      <c r="AE739" s="88"/>
      <c r="AF739" s="88"/>
      <c r="AG739" s="88"/>
      <c r="AH739" s="88"/>
      <c r="AI739" s="87"/>
      <c r="AJ739" s="87"/>
      <c r="AK739" s="87"/>
      <c r="AL739" s="87"/>
      <c r="AM739" s="87"/>
      <c r="AN739" s="87"/>
      <c r="AO739" s="87"/>
      <c r="AP739" s="87"/>
      <c r="AQ739" s="88"/>
      <c r="AR739" s="88"/>
      <c r="AS739" s="88"/>
      <c r="AT739" s="88"/>
      <c r="AU739" s="88"/>
      <c r="AV739" s="88"/>
      <c r="AW739" s="88"/>
      <c r="AX739" s="88"/>
      <c r="AY739" s="87"/>
      <c r="AZ739" s="87"/>
      <c r="BA739" s="87"/>
      <c r="BB739" s="87"/>
      <c r="BC739" s="87"/>
      <c r="BD739" s="87"/>
      <c r="BE739" s="87"/>
      <c r="BF739" s="87"/>
      <c r="BG739" s="88"/>
      <c r="BH739" s="88"/>
      <c r="BI739" s="88"/>
      <c r="BJ739" s="88"/>
      <c r="BK739" s="88"/>
      <c r="BL739" s="88"/>
      <c r="BM739" s="88"/>
      <c r="BN739" s="88"/>
      <c r="BO739" s="209"/>
      <c r="BP739" s="208"/>
      <c r="BQ739" s="208"/>
    </row>
    <row r="740" spans="1:69" x14ac:dyDescent="0.2">
      <c r="K740" s="183"/>
      <c r="L740" s="100"/>
      <c r="R740" s="86"/>
      <c r="S740" s="87"/>
      <c r="T740" s="87"/>
      <c r="U740" s="87"/>
      <c r="V740" s="87"/>
      <c r="W740" s="87"/>
      <c r="X740" s="87"/>
      <c r="Y740" s="87"/>
      <c r="Z740" s="87"/>
      <c r="AA740" s="88"/>
      <c r="AB740" s="88"/>
      <c r="AC740" s="88"/>
      <c r="AD740" s="88"/>
      <c r="AE740" s="88"/>
      <c r="AF740" s="88"/>
      <c r="AG740" s="88"/>
      <c r="AH740" s="88"/>
      <c r="AI740" s="87"/>
      <c r="AJ740" s="87"/>
      <c r="AK740" s="87"/>
      <c r="AL740" s="87"/>
      <c r="AM740" s="87"/>
      <c r="AN740" s="87"/>
      <c r="AO740" s="87"/>
      <c r="AP740" s="87"/>
      <c r="AQ740" s="88"/>
      <c r="AR740" s="88"/>
      <c r="AS740" s="88"/>
      <c r="AT740" s="88"/>
      <c r="AU740" s="88"/>
      <c r="AV740" s="88"/>
      <c r="AW740" s="88"/>
      <c r="AX740" s="88"/>
      <c r="AY740" s="87"/>
      <c r="AZ740" s="87"/>
      <c r="BA740" s="87"/>
      <c r="BB740" s="87"/>
      <c r="BC740" s="87"/>
      <c r="BD740" s="87"/>
      <c r="BE740" s="87"/>
      <c r="BF740" s="87"/>
      <c r="BG740" s="88"/>
      <c r="BH740" s="88"/>
      <c r="BI740" s="88"/>
      <c r="BJ740" s="88"/>
      <c r="BK740" s="88"/>
      <c r="BL740" s="88"/>
      <c r="BM740" s="88"/>
      <c r="BN740" s="88"/>
      <c r="BO740" s="209"/>
      <c r="BP740" s="208"/>
      <c r="BQ740" s="208"/>
    </row>
    <row r="741" spans="1:69" x14ac:dyDescent="0.2">
      <c r="K741" s="183"/>
      <c r="L741" s="100"/>
      <c r="M741" s="185"/>
      <c r="R741" s="86"/>
      <c r="S741" s="87"/>
      <c r="T741" s="87"/>
      <c r="U741" s="87"/>
      <c r="V741" s="87"/>
      <c r="W741" s="87"/>
      <c r="X741" s="87"/>
      <c r="Y741" s="87"/>
      <c r="Z741" s="87"/>
      <c r="AA741" s="88"/>
      <c r="AB741" s="88"/>
      <c r="AC741" s="88"/>
      <c r="AD741" s="88"/>
      <c r="AE741" s="88"/>
      <c r="AF741" s="88"/>
      <c r="AG741" s="88"/>
      <c r="AH741" s="88"/>
      <c r="AI741" s="87"/>
      <c r="AJ741" s="87"/>
      <c r="AK741" s="87"/>
      <c r="AL741" s="87"/>
      <c r="AM741" s="87"/>
      <c r="AN741" s="87"/>
      <c r="AO741" s="87"/>
      <c r="AP741" s="87"/>
      <c r="AQ741" s="88"/>
      <c r="AR741" s="88"/>
      <c r="AS741" s="88"/>
      <c r="AT741" s="88"/>
      <c r="AU741" s="88"/>
      <c r="AV741" s="88"/>
      <c r="AW741" s="88"/>
      <c r="AX741" s="88"/>
      <c r="AY741" s="87"/>
      <c r="AZ741" s="87"/>
      <c r="BA741" s="87"/>
      <c r="BB741" s="87"/>
      <c r="BC741" s="87"/>
      <c r="BD741" s="87"/>
      <c r="BE741" s="87"/>
      <c r="BF741" s="87"/>
      <c r="BG741" s="88"/>
      <c r="BH741" s="88"/>
      <c r="BI741" s="88"/>
      <c r="BJ741" s="88"/>
      <c r="BK741" s="88"/>
      <c r="BL741" s="88"/>
      <c r="BM741" s="88"/>
      <c r="BN741" s="88"/>
      <c r="BO741" s="209"/>
      <c r="BP741" s="208"/>
      <c r="BQ741" s="208"/>
    </row>
    <row r="742" spans="1:69" x14ac:dyDescent="0.2">
      <c r="K742" s="183"/>
      <c r="L742" s="100"/>
      <c r="R742" s="86"/>
      <c r="S742" s="87"/>
      <c r="T742" s="87"/>
      <c r="U742" s="87"/>
      <c r="V742" s="87"/>
      <c r="W742" s="87"/>
      <c r="X742" s="87"/>
      <c r="Y742" s="87"/>
      <c r="Z742" s="87"/>
      <c r="AA742" s="88"/>
      <c r="AB742" s="88"/>
      <c r="AC742" s="88"/>
      <c r="AD742" s="88"/>
      <c r="AE742" s="88"/>
      <c r="AF742" s="88"/>
      <c r="AG742" s="88"/>
      <c r="AH742" s="88"/>
      <c r="AI742" s="87"/>
      <c r="AJ742" s="87"/>
      <c r="AK742" s="87"/>
      <c r="AL742" s="87"/>
      <c r="AM742" s="87"/>
      <c r="AN742" s="87"/>
      <c r="AO742" s="87"/>
      <c r="AP742" s="87"/>
      <c r="AQ742" s="88"/>
      <c r="AR742" s="88"/>
      <c r="AS742" s="88"/>
      <c r="AT742" s="88"/>
      <c r="AU742" s="88"/>
      <c r="AV742" s="88"/>
      <c r="AW742" s="88"/>
      <c r="AX742" s="88"/>
      <c r="AY742" s="87"/>
      <c r="AZ742" s="87"/>
      <c r="BA742" s="87"/>
      <c r="BB742" s="87"/>
      <c r="BC742" s="87"/>
      <c r="BD742" s="87"/>
      <c r="BE742" s="87"/>
      <c r="BF742" s="87"/>
      <c r="BG742" s="88"/>
      <c r="BH742" s="88"/>
      <c r="BI742" s="88"/>
      <c r="BJ742" s="88"/>
      <c r="BK742" s="88"/>
      <c r="BL742" s="88"/>
      <c r="BM742" s="88"/>
      <c r="BN742" s="88"/>
      <c r="BO742" s="209"/>
      <c r="BP742" s="208"/>
      <c r="BQ742" s="208"/>
    </row>
    <row r="743" spans="1:69" x14ac:dyDescent="0.2">
      <c r="K743" s="183"/>
      <c r="L743" s="100"/>
      <c r="R743" s="86"/>
      <c r="S743" s="87"/>
      <c r="T743" s="87"/>
      <c r="U743" s="87"/>
      <c r="V743" s="87"/>
      <c r="W743" s="87"/>
      <c r="X743" s="87"/>
      <c r="Y743" s="87"/>
      <c r="Z743" s="87"/>
      <c r="AA743" s="88"/>
      <c r="AB743" s="88"/>
      <c r="AC743" s="88"/>
      <c r="AD743" s="88"/>
      <c r="AE743" s="88"/>
      <c r="AF743" s="88"/>
      <c r="AG743" s="88"/>
      <c r="AH743" s="88"/>
      <c r="AI743" s="87"/>
      <c r="AJ743" s="87"/>
      <c r="AK743" s="87"/>
      <c r="AL743" s="87"/>
      <c r="AM743" s="87"/>
      <c r="AN743" s="87"/>
      <c r="AO743" s="87"/>
      <c r="AP743" s="87"/>
      <c r="AQ743" s="88"/>
      <c r="AR743" s="88"/>
      <c r="AS743" s="88"/>
      <c r="AT743" s="88"/>
      <c r="AU743" s="88"/>
      <c r="AV743" s="88"/>
      <c r="AW743" s="88"/>
      <c r="AX743" s="88"/>
      <c r="AY743" s="87"/>
      <c r="AZ743" s="87"/>
      <c r="BA743" s="87"/>
      <c r="BB743" s="87"/>
      <c r="BC743" s="87"/>
      <c r="BD743" s="87"/>
      <c r="BE743" s="87"/>
      <c r="BF743" s="87"/>
      <c r="BG743" s="88"/>
      <c r="BH743" s="88"/>
      <c r="BI743" s="88"/>
      <c r="BJ743" s="88"/>
      <c r="BK743" s="88"/>
      <c r="BL743" s="88"/>
      <c r="BM743" s="88"/>
      <c r="BN743" s="88"/>
      <c r="BO743" s="209"/>
      <c r="BP743" s="208"/>
      <c r="BQ743" s="208"/>
    </row>
    <row r="744" spans="1:69" x14ac:dyDescent="0.2">
      <c r="K744" s="183"/>
      <c r="L744" s="100"/>
      <c r="R744" s="86"/>
      <c r="S744" s="87"/>
      <c r="T744" s="87"/>
      <c r="U744" s="87"/>
      <c r="V744" s="87"/>
      <c r="W744" s="87"/>
      <c r="X744" s="87"/>
      <c r="Y744" s="87"/>
      <c r="Z744" s="87"/>
      <c r="AA744" s="88"/>
      <c r="AB744" s="88"/>
      <c r="AC744" s="88"/>
      <c r="AD744" s="88"/>
      <c r="AE744" s="88"/>
      <c r="AF744" s="88"/>
      <c r="AG744" s="88"/>
      <c r="AH744" s="88"/>
      <c r="AI744" s="87"/>
      <c r="AJ744" s="87"/>
      <c r="AK744" s="87"/>
      <c r="AL744" s="87"/>
      <c r="AM744" s="87"/>
      <c r="AN744" s="87"/>
      <c r="AO744" s="87"/>
      <c r="AP744" s="87"/>
      <c r="AQ744" s="88"/>
      <c r="AR744" s="88"/>
      <c r="AS744" s="88"/>
      <c r="AT744" s="88"/>
      <c r="AU744" s="88"/>
      <c r="AV744" s="88"/>
      <c r="AW744" s="88"/>
      <c r="AX744" s="88"/>
      <c r="AY744" s="87"/>
      <c r="AZ744" s="87"/>
      <c r="BA744" s="87"/>
      <c r="BB744" s="87"/>
      <c r="BC744" s="87"/>
      <c r="BD744" s="87"/>
      <c r="BE744" s="87"/>
      <c r="BF744" s="87"/>
      <c r="BG744" s="88"/>
      <c r="BH744" s="88"/>
      <c r="BI744" s="88"/>
      <c r="BJ744" s="88"/>
      <c r="BK744" s="88"/>
      <c r="BL744" s="88"/>
      <c r="BM744" s="88"/>
      <c r="BN744" s="88"/>
      <c r="BO744" s="209"/>
      <c r="BP744" s="208"/>
      <c r="BQ744" s="208"/>
    </row>
    <row r="745" spans="1:69" x14ac:dyDescent="0.2">
      <c r="K745" s="183"/>
      <c r="L745" s="100"/>
      <c r="Q745" s="171"/>
      <c r="R745" s="86"/>
      <c r="S745" s="176"/>
      <c r="T745" s="87"/>
      <c r="U745" s="87"/>
      <c r="V745" s="87"/>
      <c r="W745" s="87"/>
      <c r="X745" s="87"/>
      <c r="Y745" s="87"/>
      <c r="Z745" s="87"/>
      <c r="AA745" s="88"/>
      <c r="AB745" s="88"/>
      <c r="AC745" s="88"/>
      <c r="AD745" s="88"/>
      <c r="AE745" s="88"/>
      <c r="AF745" s="88"/>
      <c r="AG745" s="88"/>
      <c r="AH745" s="88"/>
      <c r="AI745" s="87"/>
      <c r="AJ745" s="87"/>
      <c r="AK745" s="87"/>
      <c r="AL745" s="87"/>
      <c r="AM745" s="87"/>
      <c r="AN745" s="87"/>
      <c r="AO745" s="87"/>
      <c r="AP745" s="87"/>
      <c r="AQ745" s="589"/>
      <c r="AR745" s="88"/>
      <c r="AS745" s="88"/>
      <c r="AT745" s="88"/>
      <c r="AU745" s="88"/>
      <c r="AV745" s="88"/>
      <c r="AW745" s="88"/>
      <c r="AX745" s="88"/>
      <c r="AY745" s="87"/>
      <c r="AZ745" s="87"/>
      <c r="BA745" s="87"/>
      <c r="BB745" s="87"/>
      <c r="BC745" s="87"/>
      <c r="BD745" s="87"/>
      <c r="BE745" s="87"/>
      <c r="BF745" s="87"/>
      <c r="BG745" s="88"/>
      <c r="BH745" s="88"/>
      <c r="BI745" s="88"/>
      <c r="BJ745" s="88"/>
      <c r="BK745" s="88"/>
      <c r="BL745" s="88"/>
      <c r="BM745" s="88"/>
      <c r="BN745" s="88"/>
      <c r="BO745" s="209"/>
      <c r="BP745" s="208"/>
      <c r="BQ745" s="208"/>
    </row>
    <row r="746" spans="1:69" x14ac:dyDescent="0.2">
      <c r="K746" s="183"/>
      <c r="L746" s="100"/>
      <c r="Q746" s="171"/>
      <c r="R746" s="86"/>
      <c r="S746" s="176"/>
      <c r="T746" s="173"/>
      <c r="U746" s="173"/>
      <c r="V746" s="173"/>
      <c r="W746" s="173"/>
      <c r="X746" s="173"/>
      <c r="Y746" s="173"/>
      <c r="Z746" s="173"/>
      <c r="AA746" s="174"/>
      <c r="AB746" s="174"/>
      <c r="AC746" s="174"/>
      <c r="AD746" s="174"/>
      <c r="AE746" s="174"/>
      <c r="AF746" s="174"/>
      <c r="AG746" s="174"/>
      <c r="AH746" s="174"/>
      <c r="AI746" s="173"/>
      <c r="AJ746" s="173"/>
      <c r="AK746" s="173"/>
      <c r="AL746" s="173"/>
      <c r="AM746" s="173"/>
      <c r="AN746" s="173"/>
      <c r="AO746" s="173"/>
      <c r="AP746" s="173"/>
      <c r="AQ746" s="589"/>
      <c r="AR746" s="174"/>
      <c r="AS746" s="174"/>
      <c r="AT746" s="174"/>
      <c r="AU746" s="174"/>
      <c r="AV746" s="174"/>
      <c r="AW746" s="174"/>
      <c r="AX746" s="174"/>
      <c r="AY746" s="173"/>
      <c r="AZ746" s="173"/>
      <c r="BA746" s="173"/>
      <c r="BB746" s="173"/>
      <c r="BC746" s="173"/>
      <c r="BD746" s="173"/>
      <c r="BE746" s="173"/>
      <c r="BF746" s="173"/>
      <c r="BG746" s="174"/>
      <c r="BH746" s="174"/>
      <c r="BI746" s="174"/>
      <c r="BJ746" s="174"/>
      <c r="BK746" s="174"/>
      <c r="BL746" s="174"/>
      <c r="BM746" s="174"/>
      <c r="BN746" s="174"/>
      <c r="BO746" s="209"/>
      <c r="BP746" s="208"/>
      <c r="BQ746" s="208"/>
    </row>
    <row r="747" spans="1:69" x14ac:dyDescent="0.2">
      <c r="K747" s="183"/>
      <c r="L747" s="100"/>
      <c r="Q747" s="171"/>
      <c r="R747" s="86"/>
      <c r="S747" s="176"/>
      <c r="T747" s="173"/>
      <c r="U747" s="173"/>
      <c r="V747" s="173"/>
      <c r="W747" s="173"/>
      <c r="X747" s="173"/>
      <c r="Y747" s="173"/>
      <c r="Z747" s="173"/>
      <c r="AA747" s="174"/>
      <c r="AB747" s="174"/>
      <c r="AC747" s="174"/>
      <c r="AD747" s="174"/>
      <c r="AE747" s="174"/>
      <c r="AF747" s="174"/>
      <c r="AG747" s="174"/>
      <c r="AH747" s="174"/>
      <c r="AI747" s="173"/>
      <c r="AJ747" s="173"/>
      <c r="AK747" s="173"/>
      <c r="AL747" s="173"/>
      <c r="AM747" s="173"/>
      <c r="AN747" s="173"/>
      <c r="AO747" s="173"/>
      <c r="AP747" s="173"/>
      <c r="AQ747" s="589"/>
      <c r="AR747" s="174"/>
      <c r="AS747" s="174"/>
      <c r="AT747" s="174"/>
      <c r="AU747" s="174"/>
      <c r="AV747" s="174"/>
      <c r="AW747" s="174"/>
      <c r="AX747" s="174"/>
      <c r="AY747" s="173"/>
      <c r="AZ747" s="173"/>
      <c r="BA747" s="173"/>
      <c r="BB747" s="173"/>
      <c r="BC747" s="173"/>
      <c r="BD747" s="173"/>
      <c r="BE747" s="173"/>
      <c r="BF747" s="173"/>
      <c r="BG747" s="174"/>
      <c r="BH747" s="174"/>
      <c r="BI747" s="174"/>
      <c r="BJ747" s="174"/>
      <c r="BK747" s="174"/>
      <c r="BL747" s="174"/>
      <c r="BM747" s="174"/>
      <c r="BN747" s="174"/>
      <c r="BO747" s="209"/>
      <c r="BP747" s="208"/>
      <c r="BQ747" s="208"/>
    </row>
    <row r="748" spans="1:69" x14ac:dyDescent="0.2">
      <c r="K748" s="183"/>
      <c r="L748" s="100"/>
      <c r="Q748" s="171"/>
      <c r="R748" s="86"/>
      <c r="S748" s="176"/>
      <c r="T748" s="173"/>
      <c r="U748" s="173"/>
      <c r="V748" s="173"/>
      <c r="W748" s="173"/>
      <c r="X748" s="173"/>
      <c r="Y748" s="173"/>
      <c r="Z748" s="173"/>
      <c r="AA748" s="174"/>
      <c r="AB748" s="174"/>
      <c r="AC748" s="174"/>
      <c r="AD748" s="174"/>
      <c r="AE748" s="174"/>
      <c r="AF748" s="174"/>
      <c r="AG748" s="174"/>
      <c r="AH748" s="174"/>
      <c r="AI748" s="173"/>
      <c r="AJ748" s="173"/>
      <c r="AK748" s="173"/>
      <c r="AL748" s="173"/>
      <c r="AM748" s="173"/>
      <c r="AN748" s="173"/>
      <c r="AO748" s="173"/>
      <c r="AP748" s="173"/>
      <c r="AQ748" s="589"/>
      <c r="AR748" s="174"/>
      <c r="AS748" s="174"/>
      <c r="AT748" s="174"/>
      <c r="AU748" s="174"/>
      <c r="AV748" s="174"/>
      <c r="AW748" s="174"/>
      <c r="AX748" s="174"/>
      <c r="AY748" s="173"/>
      <c r="AZ748" s="173"/>
      <c r="BA748" s="173"/>
      <c r="BB748" s="173"/>
      <c r="BC748" s="173"/>
      <c r="BD748" s="173"/>
      <c r="BE748" s="173"/>
      <c r="BF748" s="173"/>
      <c r="BG748" s="174"/>
      <c r="BH748" s="174"/>
      <c r="BI748" s="174"/>
      <c r="BJ748" s="174"/>
      <c r="BK748" s="174"/>
      <c r="BL748" s="174"/>
      <c r="BM748" s="174"/>
      <c r="BN748" s="174"/>
      <c r="BO748" s="209"/>
      <c r="BP748" s="208"/>
      <c r="BQ748" s="208"/>
    </row>
    <row r="749" spans="1:69" x14ac:dyDescent="0.2">
      <c r="K749" s="183"/>
      <c r="L749" s="100"/>
      <c r="Q749" s="171"/>
      <c r="R749" s="86"/>
      <c r="S749" s="176"/>
      <c r="T749" s="173"/>
      <c r="U749" s="173"/>
      <c r="V749" s="173"/>
      <c r="W749" s="173"/>
      <c r="X749" s="173"/>
      <c r="Y749" s="173"/>
      <c r="Z749" s="173"/>
      <c r="AA749" s="174"/>
      <c r="AB749" s="174"/>
      <c r="AC749" s="174"/>
      <c r="AD749" s="174"/>
      <c r="AE749" s="174"/>
      <c r="AF749" s="174"/>
      <c r="AG749" s="174"/>
      <c r="AH749" s="174"/>
      <c r="AI749" s="173"/>
      <c r="AJ749" s="173"/>
      <c r="AK749" s="173"/>
      <c r="AL749" s="173"/>
      <c r="AM749" s="173"/>
      <c r="AN749" s="173"/>
      <c r="AO749" s="173"/>
      <c r="AP749" s="173"/>
      <c r="AQ749" s="589"/>
      <c r="AR749" s="174"/>
      <c r="AS749" s="174"/>
      <c r="AT749" s="174"/>
      <c r="AU749" s="174"/>
      <c r="AV749" s="174"/>
      <c r="AW749" s="174"/>
      <c r="AX749" s="174"/>
      <c r="AY749" s="173"/>
      <c r="AZ749" s="173"/>
      <c r="BA749" s="173"/>
      <c r="BB749" s="173"/>
      <c r="BC749" s="173"/>
      <c r="BD749" s="173"/>
      <c r="BE749" s="173"/>
      <c r="BF749" s="173"/>
      <c r="BG749" s="174"/>
      <c r="BH749" s="174"/>
      <c r="BI749" s="174"/>
      <c r="BJ749" s="174"/>
      <c r="BK749" s="174"/>
      <c r="BL749" s="174"/>
      <c r="BM749" s="174"/>
      <c r="BN749" s="174"/>
      <c r="BO749" s="209"/>
      <c r="BP749" s="208"/>
      <c r="BQ749" s="208"/>
    </row>
    <row r="750" spans="1:69" x14ac:dyDescent="0.2">
      <c r="K750" s="183"/>
      <c r="L750" s="100"/>
      <c r="Q750" s="171"/>
      <c r="R750" s="86"/>
      <c r="S750" s="176"/>
      <c r="T750" s="173"/>
      <c r="U750" s="173"/>
      <c r="V750" s="173"/>
      <c r="W750" s="173"/>
      <c r="X750" s="173"/>
      <c r="Y750" s="173"/>
      <c r="Z750" s="173"/>
      <c r="AA750" s="174"/>
      <c r="AB750" s="174"/>
      <c r="AC750" s="174"/>
      <c r="AD750" s="174"/>
      <c r="AE750" s="174"/>
      <c r="AF750" s="174"/>
      <c r="AG750" s="174"/>
      <c r="AH750" s="174"/>
      <c r="AI750" s="173"/>
      <c r="AJ750" s="173"/>
      <c r="AK750" s="173"/>
      <c r="AL750" s="173"/>
      <c r="AM750" s="173"/>
      <c r="AN750" s="173"/>
      <c r="AO750" s="173"/>
      <c r="AP750" s="173"/>
      <c r="AQ750" s="589"/>
      <c r="AR750" s="174"/>
      <c r="AS750" s="174"/>
      <c r="AT750" s="174"/>
      <c r="AU750" s="174"/>
      <c r="AV750" s="174"/>
      <c r="AW750" s="174"/>
      <c r="AX750" s="174"/>
      <c r="AY750" s="173"/>
      <c r="AZ750" s="173"/>
      <c r="BA750" s="173"/>
      <c r="BB750" s="173"/>
      <c r="BC750" s="173"/>
      <c r="BD750" s="173"/>
      <c r="BE750" s="173"/>
      <c r="BF750" s="173"/>
      <c r="BG750" s="174"/>
      <c r="BH750" s="174"/>
      <c r="BI750" s="174"/>
      <c r="BJ750" s="174"/>
      <c r="BK750" s="174"/>
      <c r="BL750" s="174"/>
      <c r="BM750" s="174"/>
      <c r="BN750" s="174"/>
      <c r="BO750" s="209"/>
      <c r="BP750" s="208"/>
      <c r="BQ750" s="208"/>
    </row>
    <row r="751" spans="1:69" x14ac:dyDescent="0.2">
      <c r="K751" s="183"/>
      <c r="L751" s="100"/>
      <c r="Q751" s="171"/>
      <c r="R751" s="86"/>
      <c r="S751" s="176"/>
      <c r="T751" s="173"/>
      <c r="U751" s="173"/>
      <c r="V751" s="173"/>
      <c r="W751" s="173"/>
      <c r="X751" s="173"/>
      <c r="Y751" s="173"/>
      <c r="Z751" s="173"/>
      <c r="AA751" s="174"/>
      <c r="AB751" s="174"/>
      <c r="AC751" s="174"/>
      <c r="AD751" s="174"/>
      <c r="AE751" s="174"/>
      <c r="AF751" s="174"/>
      <c r="AG751" s="174"/>
      <c r="AH751" s="174"/>
      <c r="AI751" s="173"/>
      <c r="AJ751" s="173"/>
      <c r="AK751" s="173"/>
      <c r="AL751" s="173"/>
      <c r="AM751" s="173"/>
      <c r="AN751" s="173"/>
      <c r="AO751" s="173"/>
      <c r="AP751" s="173"/>
      <c r="AQ751" s="589"/>
      <c r="AR751" s="174"/>
      <c r="AS751" s="174"/>
      <c r="AT751" s="174"/>
      <c r="AU751" s="174"/>
      <c r="AV751" s="174"/>
      <c r="AW751" s="174"/>
      <c r="AX751" s="174"/>
      <c r="AY751" s="173"/>
      <c r="AZ751" s="173"/>
      <c r="BA751" s="173"/>
      <c r="BB751" s="173"/>
      <c r="BC751" s="173"/>
      <c r="BD751" s="173"/>
      <c r="BE751" s="173"/>
      <c r="BF751" s="173"/>
      <c r="BG751" s="174"/>
      <c r="BH751" s="174"/>
      <c r="BI751" s="174"/>
      <c r="BJ751" s="174"/>
      <c r="BK751" s="174"/>
      <c r="BL751" s="174"/>
      <c r="BM751" s="174"/>
      <c r="BN751" s="174"/>
      <c r="BO751" s="209"/>
      <c r="BP751" s="208"/>
      <c r="BQ751" s="208"/>
    </row>
    <row r="752" spans="1:69" x14ac:dyDescent="0.2">
      <c r="K752" s="183"/>
      <c r="L752" s="100"/>
      <c r="Q752" s="171"/>
      <c r="R752" s="86"/>
      <c r="S752" s="176"/>
      <c r="T752" s="173"/>
      <c r="U752" s="173"/>
      <c r="V752" s="173"/>
      <c r="W752" s="173"/>
      <c r="X752" s="173"/>
      <c r="Y752" s="173"/>
      <c r="Z752" s="173"/>
      <c r="AA752" s="174"/>
      <c r="AB752" s="174"/>
      <c r="AC752" s="174"/>
      <c r="AD752" s="174"/>
      <c r="AE752" s="174"/>
      <c r="AF752" s="174"/>
      <c r="AG752" s="174"/>
      <c r="AH752" s="174"/>
      <c r="AI752" s="173"/>
      <c r="AJ752" s="173"/>
      <c r="AK752" s="173"/>
      <c r="AL752" s="173"/>
      <c r="AM752" s="173"/>
      <c r="AN752" s="173"/>
      <c r="AO752" s="173"/>
      <c r="AP752" s="173"/>
      <c r="AQ752" s="589"/>
      <c r="AR752" s="174"/>
      <c r="AS752" s="174"/>
      <c r="AT752" s="174"/>
      <c r="AU752" s="174"/>
      <c r="AV752" s="174"/>
      <c r="AW752" s="174"/>
      <c r="AX752" s="174"/>
      <c r="AY752" s="173"/>
      <c r="AZ752" s="173"/>
      <c r="BA752" s="173"/>
      <c r="BB752" s="173"/>
      <c r="BC752" s="173"/>
      <c r="BD752" s="173"/>
      <c r="BE752" s="173"/>
      <c r="BF752" s="173"/>
      <c r="BG752" s="174"/>
      <c r="BH752" s="174"/>
      <c r="BI752" s="174"/>
      <c r="BJ752" s="174"/>
      <c r="BK752" s="174"/>
      <c r="BL752" s="174"/>
      <c r="BM752" s="174"/>
      <c r="BN752" s="174"/>
      <c r="BO752" s="209"/>
      <c r="BP752" s="208"/>
      <c r="BQ752" s="208"/>
    </row>
    <row r="753" spans="11:69" x14ac:dyDescent="0.2">
      <c r="K753" s="183"/>
      <c r="L753" s="100"/>
      <c r="Q753" s="171"/>
      <c r="R753" s="86"/>
      <c r="S753" s="176"/>
      <c r="T753" s="173"/>
      <c r="U753" s="173"/>
      <c r="V753" s="173"/>
      <c r="W753" s="173"/>
      <c r="X753" s="173"/>
      <c r="Y753" s="173"/>
      <c r="Z753" s="173"/>
      <c r="AA753" s="174"/>
      <c r="AB753" s="174"/>
      <c r="AC753" s="174"/>
      <c r="AD753" s="174"/>
      <c r="AE753" s="174"/>
      <c r="AF753" s="174"/>
      <c r="AG753" s="174"/>
      <c r="AH753" s="174"/>
      <c r="AI753" s="173"/>
      <c r="AJ753" s="173"/>
      <c r="AK753" s="173"/>
      <c r="AL753" s="173"/>
      <c r="AM753" s="173"/>
      <c r="AN753" s="173"/>
      <c r="AO753" s="173"/>
      <c r="AP753" s="173"/>
      <c r="AQ753" s="589"/>
      <c r="AR753" s="174"/>
      <c r="AS753" s="174"/>
      <c r="AT753" s="174"/>
      <c r="AU753" s="174"/>
      <c r="AV753" s="174"/>
      <c r="AW753" s="174"/>
      <c r="AX753" s="174"/>
      <c r="AY753" s="173"/>
      <c r="AZ753" s="173"/>
      <c r="BA753" s="173"/>
      <c r="BB753" s="173"/>
      <c r="BC753" s="173"/>
      <c r="BD753" s="173"/>
      <c r="BE753" s="173"/>
      <c r="BF753" s="173"/>
      <c r="BG753" s="174"/>
      <c r="BH753" s="174"/>
      <c r="BI753" s="174"/>
      <c r="BJ753" s="174"/>
      <c r="BK753" s="174"/>
      <c r="BL753" s="174"/>
      <c r="BM753" s="174"/>
      <c r="BN753" s="174"/>
      <c r="BO753" s="209"/>
      <c r="BP753" s="208"/>
      <c r="BQ753" s="208"/>
    </row>
    <row r="754" spans="11:69" x14ac:dyDescent="0.2">
      <c r="K754" s="183"/>
      <c r="L754" s="100"/>
      <c r="Q754" s="171"/>
      <c r="R754" s="86"/>
      <c r="S754" s="176"/>
      <c r="T754" s="173"/>
      <c r="U754" s="173"/>
      <c r="V754" s="173"/>
      <c r="W754" s="173"/>
      <c r="X754" s="173"/>
      <c r="Y754" s="173"/>
      <c r="Z754" s="173"/>
      <c r="AA754" s="174"/>
      <c r="AB754" s="174"/>
      <c r="AC754" s="174"/>
      <c r="AD754" s="174"/>
      <c r="AE754" s="174"/>
      <c r="AF754" s="174"/>
      <c r="AG754" s="174"/>
      <c r="AH754" s="174"/>
      <c r="AI754" s="173"/>
      <c r="AJ754" s="173"/>
      <c r="AK754" s="173"/>
      <c r="AL754" s="173"/>
      <c r="AM754" s="173"/>
      <c r="AN754" s="173"/>
      <c r="AO754" s="173"/>
      <c r="AP754" s="173"/>
      <c r="AQ754" s="589"/>
      <c r="AR754" s="174"/>
      <c r="AS754" s="174"/>
      <c r="AT754" s="174"/>
      <c r="AU754" s="174"/>
      <c r="AV754" s="174"/>
      <c r="AW754" s="174"/>
      <c r="AX754" s="174"/>
      <c r="AY754" s="173"/>
      <c r="AZ754" s="173"/>
      <c r="BA754" s="173"/>
      <c r="BB754" s="173"/>
      <c r="BC754" s="173"/>
      <c r="BD754" s="173"/>
      <c r="BE754" s="173"/>
      <c r="BF754" s="173"/>
      <c r="BG754" s="174"/>
      <c r="BH754" s="174"/>
      <c r="BI754" s="174"/>
      <c r="BJ754" s="174"/>
      <c r="BK754" s="174"/>
      <c r="BL754" s="174"/>
      <c r="BM754" s="174"/>
      <c r="BN754" s="174"/>
      <c r="BO754" s="209"/>
      <c r="BP754" s="208"/>
      <c r="BQ754" s="208"/>
    </row>
    <row r="755" spans="11:69" x14ac:dyDescent="0.2">
      <c r="K755" s="183"/>
      <c r="L755" s="100"/>
      <c r="Q755" s="171"/>
      <c r="R755" s="86"/>
      <c r="S755" s="176"/>
      <c r="T755" s="173"/>
      <c r="U755" s="173"/>
      <c r="V755" s="173"/>
      <c r="W755" s="173"/>
      <c r="X755" s="173"/>
      <c r="Y755" s="173"/>
      <c r="Z755" s="173"/>
      <c r="AA755" s="174"/>
      <c r="AB755" s="174"/>
      <c r="AC755" s="174"/>
      <c r="AD755" s="174"/>
      <c r="AE755" s="174"/>
      <c r="AF755" s="174"/>
      <c r="AG755" s="174"/>
      <c r="AH755" s="174"/>
      <c r="AI755" s="173"/>
      <c r="AJ755" s="173"/>
      <c r="AK755" s="173"/>
      <c r="AL755" s="173"/>
      <c r="AM755" s="173"/>
      <c r="AN755" s="173"/>
      <c r="AO755" s="173"/>
      <c r="AP755" s="173"/>
      <c r="AQ755" s="589"/>
      <c r="AR755" s="174"/>
      <c r="AS755" s="174"/>
      <c r="AT755" s="174"/>
      <c r="AU755" s="174"/>
      <c r="AV755" s="174"/>
      <c r="AW755" s="174"/>
      <c r="AX755" s="174"/>
      <c r="AY755" s="173"/>
      <c r="AZ755" s="173"/>
      <c r="BA755" s="173"/>
      <c r="BB755" s="173"/>
      <c r="BC755" s="173"/>
      <c r="BD755" s="173"/>
      <c r="BE755" s="173"/>
      <c r="BF755" s="173"/>
      <c r="BG755" s="174"/>
      <c r="BH755" s="174"/>
      <c r="BI755" s="174"/>
      <c r="BJ755" s="174"/>
      <c r="BK755" s="174"/>
      <c r="BL755" s="174"/>
      <c r="BM755" s="174"/>
      <c r="BN755" s="174"/>
      <c r="BO755" s="209"/>
      <c r="BP755" s="208"/>
      <c r="BQ755" s="208"/>
    </row>
    <row r="756" spans="11:69" x14ac:dyDescent="0.2">
      <c r="K756" s="183"/>
      <c r="L756" s="100"/>
      <c r="Q756" s="171"/>
      <c r="R756" s="86"/>
      <c r="S756" s="176"/>
      <c r="T756" s="173"/>
      <c r="U756" s="173"/>
      <c r="V756" s="173"/>
      <c r="W756" s="173"/>
      <c r="X756" s="173"/>
      <c r="Y756" s="173"/>
      <c r="Z756" s="173"/>
      <c r="AA756" s="174"/>
      <c r="AB756" s="174"/>
      <c r="AC756" s="174"/>
      <c r="AD756" s="174"/>
      <c r="AE756" s="174"/>
      <c r="AF756" s="174"/>
      <c r="AG756" s="174"/>
      <c r="AH756" s="174"/>
      <c r="AI756" s="173"/>
      <c r="AJ756" s="173"/>
      <c r="AK756" s="173"/>
      <c r="AL756" s="173"/>
      <c r="AM756" s="173"/>
      <c r="AN756" s="173"/>
      <c r="AO756" s="173"/>
      <c r="AP756" s="173"/>
      <c r="AQ756" s="589"/>
      <c r="AR756" s="174"/>
      <c r="AS756" s="174"/>
      <c r="AT756" s="174"/>
      <c r="AU756" s="174"/>
      <c r="AV756" s="174"/>
      <c r="AW756" s="174"/>
      <c r="AX756" s="174"/>
      <c r="AY756" s="173"/>
      <c r="AZ756" s="173"/>
      <c r="BA756" s="173"/>
      <c r="BB756" s="173"/>
      <c r="BC756" s="173"/>
      <c r="BD756" s="173"/>
      <c r="BE756" s="173"/>
      <c r="BF756" s="173"/>
      <c r="BG756" s="174"/>
      <c r="BH756" s="174"/>
      <c r="BI756" s="174"/>
      <c r="BJ756" s="174"/>
      <c r="BK756" s="174"/>
      <c r="BL756" s="174"/>
      <c r="BM756" s="174"/>
      <c r="BN756" s="174"/>
      <c r="BO756" s="209"/>
      <c r="BP756" s="208"/>
      <c r="BQ756" s="208"/>
    </row>
    <row r="757" spans="11:69" x14ac:dyDescent="0.2">
      <c r="K757" s="183"/>
      <c r="L757" s="100"/>
      <c r="Q757" s="171"/>
      <c r="R757" s="86"/>
      <c r="S757" s="176"/>
      <c r="T757" s="173"/>
      <c r="U757" s="173"/>
      <c r="V757" s="173"/>
      <c r="W757" s="173"/>
      <c r="X757" s="173"/>
      <c r="Y757" s="173"/>
      <c r="Z757" s="173"/>
      <c r="AA757" s="174"/>
      <c r="AB757" s="174"/>
      <c r="AC757" s="174"/>
      <c r="AD757" s="174"/>
      <c r="AE757" s="174"/>
      <c r="AF757" s="174"/>
      <c r="AG757" s="174"/>
      <c r="AH757" s="174"/>
      <c r="AI757" s="173"/>
      <c r="AJ757" s="173"/>
      <c r="AK757" s="173"/>
      <c r="AL757" s="173"/>
      <c r="AM757" s="173"/>
      <c r="AN757" s="173"/>
      <c r="AO757" s="173"/>
      <c r="AP757" s="173"/>
      <c r="AQ757" s="589"/>
      <c r="AR757" s="174"/>
      <c r="AS757" s="174"/>
      <c r="AT757" s="174"/>
      <c r="AU757" s="174"/>
      <c r="AV757" s="174"/>
      <c r="AW757" s="174"/>
      <c r="AX757" s="174"/>
      <c r="AY757" s="173"/>
      <c r="AZ757" s="173"/>
      <c r="BA757" s="173"/>
      <c r="BB757" s="173"/>
      <c r="BC757" s="173"/>
      <c r="BD757" s="173"/>
      <c r="BE757" s="173"/>
      <c r="BF757" s="173"/>
      <c r="BG757" s="174"/>
      <c r="BH757" s="174"/>
      <c r="BI757" s="174"/>
      <c r="BJ757" s="174"/>
      <c r="BK757" s="174"/>
      <c r="BL757" s="174"/>
      <c r="BM757" s="174"/>
      <c r="BN757" s="174"/>
      <c r="BO757" s="209"/>
      <c r="BP757" s="208"/>
      <c r="BQ757" s="208"/>
    </row>
    <row r="758" spans="11:69" x14ac:dyDescent="0.2">
      <c r="K758" s="183"/>
      <c r="L758" s="100"/>
      <c r="Q758" s="171"/>
      <c r="R758" s="86"/>
      <c r="S758" s="176"/>
      <c r="T758" s="173"/>
      <c r="U758" s="173"/>
      <c r="V758" s="173"/>
      <c r="W758" s="173"/>
      <c r="X758" s="173"/>
      <c r="Y758" s="173"/>
      <c r="Z758" s="173"/>
      <c r="AA758" s="174"/>
      <c r="AB758" s="174"/>
      <c r="AC758" s="174"/>
      <c r="AD758" s="174"/>
      <c r="AE758" s="174"/>
      <c r="AF758" s="174"/>
      <c r="AG758" s="174"/>
      <c r="AH758" s="174"/>
      <c r="AI758" s="173"/>
      <c r="AJ758" s="173"/>
      <c r="AK758" s="173"/>
      <c r="AL758" s="173"/>
      <c r="AM758" s="173"/>
      <c r="AN758" s="173"/>
      <c r="AO758" s="173"/>
      <c r="AP758" s="173"/>
      <c r="AQ758" s="589"/>
      <c r="AR758" s="174"/>
      <c r="AS758" s="174"/>
      <c r="AT758" s="174"/>
      <c r="AU758" s="174"/>
      <c r="AV758" s="174"/>
      <c r="AW758" s="174"/>
      <c r="AX758" s="174"/>
      <c r="AY758" s="173"/>
      <c r="AZ758" s="173"/>
      <c r="BA758" s="173"/>
      <c r="BB758" s="173"/>
      <c r="BC758" s="173"/>
      <c r="BD758" s="173"/>
      <c r="BE758" s="173"/>
      <c r="BF758" s="173"/>
      <c r="BG758" s="174"/>
      <c r="BH758" s="174"/>
      <c r="BI758" s="174"/>
      <c r="BJ758" s="174"/>
      <c r="BK758" s="174"/>
      <c r="BL758" s="174"/>
      <c r="BM758" s="174"/>
      <c r="BN758" s="174"/>
      <c r="BO758" s="209"/>
      <c r="BP758" s="208"/>
      <c r="BQ758" s="208"/>
    </row>
    <row r="759" spans="11:69" x14ac:dyDescent="0.2">
      <c r="K759" s="183"/>
      <c r="L759" s="100"/>
      <c r="Q759" s="171"/>
      <c r="R759" s="86"/>
      <c r="S759" s="176"/>
      <c r="T759" s="173"/>
      <c r="U759" s="173"/>
      <c r="V759" s="173"/>
      <c r="W759" s="173"/>
      <c r="X759" s="173"/>
      <c r="Y759" s="173"/>
      <c r="Z759" s="173"/>
      <c r="AA759" s="174"/>
      <c r="AB759" s="174"/>
      <c r="AC759" s="174"/>
      <c r="AD759" s="174"/>
      <c r="AE759" s="174"/>
      <c r="AF759" s="174"/>
      <c r="AG759" s="174"/>
      <c r="AH759" s="174"/>
      <c r="AI759" s="173"/>
      <c r="AJ759" s="173"/>
      <c r="AK759" s="173"/>
      <c r="AL759" s="173"/>
      <c r="AM759" s="173"/>
      <c r="AN759" s="173"/>
      <c r="AO759" s="173"/>
      <c r="AP759" s="173"/>
      <c r="AQ759" s="589"/>
      <c r="AR759" s="174"/>
      <c r="AS759" s="174"/>
      <c r="AT759" s="174"/>
      <c r="AU759" s="174"/>
      <c r="AV759" s="174"/>
      <c r="AW759" s="174"/>
      <c r="AX759" s="174"/>
      <c r="AY759" s="173"/>
      <c r="AZ759" s="173"/>
      <c r="BA759" s="173"/>
      <c r="BB759" s="173"/>
      <c r="BC759" s="173"/>
      <c r="BD759" s="173"/>
      <c r="BE759" s="173"/>
      <c r="BF759" s="173"/>
      <c r="BG759" s="174"/>
      <c r="BH759" s="174"/>
      <c r="BI759" s="174"/>
      <c r="BJ759" s="174"/>
      <c r="BK759" s="174"/>
      <c r="BL759" s="174"/>
      <c r="BM759" s="174"/>
      <c r="BN759" s="174"/>
      <c r="BO759" s="209"/>
      <c r="BP759" s="208"/>
      <c r="BQ759" s="208"/>
    </row>
    <row r="760" spans="11:69" x14ac:dyDescent="0.2">
      <c r="Q760" s="171"/>
      <c r="R760" s="86"/>
      <c r="S760" s="176"/>
      <c r="T760" s="173"/>
      <c r="U760" s="173"/>
      <c r="V760" s="173"/>
      <c r="W760" s="173"/>
      <c r="X760" s="173"/>
      <c r="Y760" s="173"/>
      <c r="Z760" s="173"/>
      <c r="AA760" s="174"/>
      <c r="AB760" s="174"/>
      <c r="AC760" s="174"/>
      <c r="AD760" s="174"/>
      <c r="AE760" s="174"/>
      <c r="AF760" s="174"/>
      <c r="AG760" s="174"/>
      <c r="AH760" s="174"/>
      <c r="AI760" s="173"/>
      <c r="AJ760" s="173"/>
      <c r="AK760" s="173"/>
      <c r="AL760" s="173"/>
      <c r="AM760" s="173"/>
      <c r="AN760" s="173"/>
      <c r="AO760" s="173"/>
      <c r="AP760" s="173"/>
      <c r="AQ760" s="589"/>
      <c r="AR760" s="174"/>
      <c r="AS760" s="174"/>
      <c r="AT760" s="174"/>
      <c r="AU760" s="174"/>
      <c r="AV760" s="174"/>
      <c r="AW760" s="174"/>
      <c r="AX760" s="174"/>
      <c r="AY760" s="173"/>
      <c r="AZ760" s="173"/>
      <c r="BA760" s="173"/>
      <c r="BB760" s="173"/>
      <c r="BC760" s="173"/>
      <c r="BD760" s="173"/>
      <c r="BE760" s="173"/>
      <c r="BF760" s="173"/>
      <c r="BG760" s="174"/>
      <c r="BH760" s="174"/>
      <c r="BI760" s="174"/>
      <c r="BJ760" s="174"/>
      <c r="BK760" s="174"/>
      <c r="BL760" s="174"/>
      <c r="BM760" s="174"/>
      <c r="BN760" s="174"/>
      <c r="BO760" s="209"/>
      <c r="BP760" s="208"/>
      <c r="BQ760" s="208"/>
    </row>
    <row r="761" spans="11:69" x14ac:dyDescent="0.2">
      <c r="Q761" s="171"/>
      <c r="R761" s="86"/>
      <c r="S761" s="176"/>
      <c r="T761" s="173"/>
      <c r="U761" s="173"/>
      <c r="V761" s="173"/>
      <c r="W761" s="173"/>
      <c r="X761" s="173"/>
      <c r="Y761" s="173"/>
      <c r="Z761" s="173"/>
      <c r="AA761" s="174"/>
      <c r="AB761" s="174"/>
      <c r="AC761" s="174"/>
      <c r="AD761" s="174"/>
      <c r="AE761" s="174"/>
      <c r="AF761" s="174"/>
      <c r="AG761" s="174"/>
      <c r="AH761" s="174"/>
      <c r="AI761" s="173"/>
      <c r="AJ761" s="173"/>
      <c r="AK761" s="173"/>
      <c r="AL761" s="173"/>
      <c r="AM761" s="173"/>
      <c r="AN761" s="173"/>
      <c r="AO761" s="173"/>
      <c r="AP761" s="173"/>
      <c r="AQ761" s="589"/>
      <c r="AR761" s="174"/>
      <c r="AS761" s="174"/>
      <c r="AT761" s="174"/>
      <c r="AU761" s="174"/>
      <c r="AV761" s="174"/>
      <c r="AW761" s="174"/>
      <c r="AX761" s="174"/>
      <c r="AY761" s="173"/>
      <c r="AZ761" s="173"/>
      <c r="BA761" s="173"/>
      <c r="BB761" s="173"/>
      <c r="BC761" s="173"/>
      <c r="BD761" s="173"/>
      <c r="BE761" s="173"/>
      <c r="BF761" s="173"/>
      <c r="BG761" s="174"/>
      <c r="BH761" s="174"/>
      <c r="BI761" s="174"/>
      <c r="BJ761" s="174"/>
      <c r="BK761" s="174"/>
      <c r="BL761" s="174"/>
      <c r="BM761" s="174"/>
      <c r="BN761" s="174"/>
      <c r="BO761" s="209"/>
      <c r="BP761" s="208"/>
      <c r="BQ761" s="208"/>
    </row>
    <row r="762" spans="11:69" x14ac:dyDescent="0.2">
      <c r="Q762" s="171"/>
      <c r="R762" s="86"/>
      <c r="S762" s="176"/>
      <c r="T762" s="173"/>
      <c r="U762" s="173"/>
      <c r="V762" s="173"/>
      <c r="W762" s="173"/>
      <c r="X762" s="173"/>
      <c r="Y762" s="173"/>
      <c r="Z762" s="173"/>
      <c r="AA762" s="174"/>
      <c r="AB762" s="174"/>
      <c r="AC762" s="174"/>
      <c r="AD762" s="174"/>
      <c r="AE762" s="174"/>
      <c r="AF762" s="174"/>
      <c r="AG762" s="174"/>
      <c r="AH762" s="174"/>
      <c r="AI762" s="173"/>
      <c r="AJ762" s="173"/>
      <c r="AK762" s="173"/>
      <c r="AL762" s="173"/>
      <c r="AM762" s="173"/>
      <c r="AN762" s="173"/>
      <c r="AO762" s="173"/>
      <c r="AP762" s="173"/>
      <c r="AQ762" s="589"/>
      <c r="AR762" s="174"/>
      <c r="AS762" s="174"/>
      <c r="AT762" s="174"/>
      <c r="AU762" s="174"/>
      <c r="AV762" s="174"/>
      <c r="AW762" s="174"/>
      <c r="AX762" s="174"/>
      <c r="AY762" s="173"/>
      <c r="AZ762" s="173"/>
      <c r="BA762" s="173"/>
      <c r="BB762" s="173"/>
      <c r="BC762" s="173"/>
      <c r="BD762" s="173"/>
      <c r="BE762" s="173"/>
      <c r="BF762" s="173"/>
      <c r="BG762" s="174"/>
      <c r="BH762" s="174"/>
      <c r="BI762" s="174"/>
      <c r="BJ762" s="174"/>
      <c r="BK762" s="174"/>
      <c r="BL762" s="174"/>
      <c r="BM762" s="174"/>
      <c r="BN762" s="174"/>
      <c r="BO762" s="209"/>
      <c r="BP762" s="208"/>
      <c r="BQ762" s="208"/>
    </row>
    <row r="763" spans="11:69" x14ac:dyDescent="0.2">
      <c r="Q763" s="171"/>
      <c r="R763" s="86"/>
      <c r="S763" s="176"/>
      <c r="T763" s="173"/>
      <c r="U763" s="173"/>
      <c r="V763" s="173"/>
      <c r="W763" s="173"/>
      <c r="X763" s="173"/>
      <c r="Y763" s="173"/>
      <c r="Z763" s="173"/>
      <c r="AA763" s="174"/>
      <c r="AB763" s="174"/>
      <c r="AC763" s="174"/>
      <c r="AD763" s="174"/>
      <c r="AE763" s="174"/>
      <c r="AF763" s="174"/>
      <c r="AG763" s="174"/>
      <c r="AH763" s="174"/>
      <c r="AI763" s="173"/>
      <c r="AJ763" s="173"/>
      <c r="AK763" s="173"/>
      <c r="AL763" s="173"/>
      <c r="AM763" s="173"/>
      <c r="AN763" s="173"/>
      <c r="AO763" s="173"/>
      <c r="AP763" s="173"/>
      <c r="AQ763" s="589"/>
      <c r="AR763" s="174"/>
      <c r="AS763" s="174"/>
      <c r="AT763" s="174"/>
      <c r="AU763" s="174"/>
      <c r="AV763" s="174"/>
      <c r="AW763" s="174"/>
      <c r="AX763" s="174"/>
      <c r="AY763" s="173"/>
      <c r="AZ763" s="173"/>
      <c r="BA763" s="173"/>
      <c r="BB763" s="173"/>
      <c r="BC763" s="173"/>
      <c r="BD763" s="173"/>
      <c r="BE763" s="173"/>
      <c r="BF763" s="173"/>
      <c r="BG763" s="174"/>
      <c r="BH763" s="174"/>
      <c r="BI763" s="174"/>
      <c r="BJ763" s="174"/>
      <c r="BK763" s="174"/>
      <c r="BL763" s="174"/>
      <c r="BM763" s="174"/>
      <c r="BN763" s="174"/>
      <c r="BO763" s="209"/>
      <c r="BP763" s="208"/>
      <c r="BQ763" s="208"/>
    </row>
    <row r="764" spans="11:69" x14ac:dyDescent="0.2">
      <c r="Q764" s="171"/>
      <c r="R764" s="86"/>
      <c r="S764" s="176"/>
      <c r="T764" s="173"/>
      <c r="U764" s="173"/>
      <c r="V764" s="173"/>
      <c r="W764" s="173"/>
      <c r="X764" s="173"/>
      <c r="Y764" s="173"/>
      <c r="Z764" s="173"/>
      <c r="AA764" s="174"/>
      <c r="AB764" s="174"/>
      <c r="AC764" s="174"/>
      <c r="AD764" s="174"/>
      <c r="AE764" s="174"/>
      <c r="AF764" s="174"/>
      <c r="AG764" s="174"/>
      <c r="AH764" s="174"/>
      <c r="AI764" s="173"/>
      <c r="AJ764" s="173"/>
      <c r="AK764" s="173"/>
      <c r="AL764" s="173"/>
      <c r="AM764" s="173"/>
      <c r="AN764" s="173"/>
      <c r="AO764" s="173"/>
      <c r="AP764" s="173"/>
      <c r="AQ764" s="589"/>
      <c r="AR764" s="174"/>
      <c r="AS764" s="174"/>
      <c r="AT764" s="174"/>
      <c r="AU764" s="174"/>
      <c r="AV764" s="174"/>
      <c r="AW764" s="174"/>
      <c r="AX764" s="174"/>
      <c r="AY764" s="173"/>
      <c r="AZ764" s="173"/>
      <c r="BA764" s="173"/>
      <c r="BB764" s="173"/>
      <c r="BC764" s="173"/>
      <c r="BD764" s="173"/>
      <c r="BE764" s="173"/>
      <c r="BF764" s="173"/>
      <c r="BG764" s="174"/>
      <c r="BH764" s="174"/>
      <c r="BI764" s="174"/>
      <c r="BJ764" s="174"/>
      <c r="BK764" s="174"/>
      <c r="BL764" s="174"/>
      <c r="BM764" s="174"/>
      <c r="BN764" s="174"/>
      <c r="BO764" s="209"/>
      <c r="BP764" s="208"/>
      <c r="BQ764" s="208"/>
    </row>
    <row r="765" spans="11:69" x14ac:dyDescent="0.2">
      <c r="Q765" s="171"/>
      <c r="R765" s="86"/>
      <c r="S765" s="176"/>
      <c r="T765" s="173"/>
      <c r="U765" s="173"/>
      <c r="V765" s="173"/>
      <c r="W765" s="173"/>
      <c r="X765" s="173"/>
      <c r="Y765" s="173"/>
      <c r="Z765" s="173"/>
      <c r="AA765" s="174"/>
      <c r="AB765" s="174"/>
      <c r="AC765" s="174"/>
      <c r="AD765" s="174"/>
      <c r="AE765" s="174"/>
      <c r="AF765" s="174"/>
      <c r="AG765" s="174"/>
      <c r="AH765" s="174"/>
      <c r="AI765" s="173"/>
      <c r="AJ765" s="173"/>
      <c r="AK765" s="173"/>
      <c r="AL765" s="173"/>
      <c r="AM765" s="173"/>
      <c r="AN765" s="173"/>
      <c r="AO765" s="173"/>
      <c r="AP765" s="173"/>
      <c r="AQ765" s="589"/>
      <c r="AR765" s="174"/>
      <c r="AS765" s="174"/>
      <c r="AT765" s="174"/>
      <c r="AU765" s="174"/>
      <c r="AV765" s="174"/>
      <c r="AW765" s="174"/>
      <c r="AX765" s="174"/>
      <c r="AY765" s="173"/>
      <c r="AZ765" s="173"/>
      <c r="BA765" s="173"/>
      <c r="BB765" s="173"/>
      <c r="BC765" s="173"/>
      <c r="BD765" s="173"/>
      <c r="BE765" s="173"/>
      <c r="BF765" s="173"/>
      <c r="BG765" s="174"/>
      <c r="BH765" s="174"/>
      <c r="BI765" s="174"/>
      <c r="BJ765" s="174"/>
      <c r="BK765" s="174"/>
      <c r="BL765" s="174"/>
      <c r="BM765" s="174"/>
      <c r="BN765" s="174"/>
      <c r="BO765" s="209"/>
      <c r="BP765" s="208"/>
      <c r="BQ765" s="208"/>
    </row>
    <row r="766" spans="11:69" x14ac:dyDescent="0.2">
      <c r="Q766" s="171"/>
      <c r="R766" s="86"/>
      <c r="S766" s="176"/>
      <c r="T766" s="173"/>
      <c r="U766" s="173"/>
      <c r="V766" s="173"/>
      <c r="W766" s="173"/>
      <c r="X766" s="173"/>
      <c r="Y766" s="173"/>
      <c r="Z766" s="173"/>
      <c r="AA766" s="174"/>
      <c r="AB766" s="174"/>
      <c r="AC766" s="174"/>
      <c r="AD766" s="174"/>
      <c r="AE766" s="174"/>
      <c r="AF766" s="174"/>
      <c r="AG766" s="174"/>
      <c r="AH766" s="174"/>
      <c r="AI766" s="173"/>
      <c r="AJ766" s="173"/>
      <c r="AK766" s="173"/>
      <c r="AL766" s="173"/>
      <c r="AM766" s="173"/>
      <c r="AN766" s="173"/>
      <c r="AO766" s="173"/>
      <c r="AP766" s="173"/>
      <c r="AQ766" s="589"/>
      <c r="AR766" s="174"/>
      <c r="AS766" s="174"/>
      <c r="AT766" s="174"/>
      <c r="AU766" s="174"/>
      <c r="AV766" s="174"/>
      <c r="AW766" s="174"/>
      <c r="AX766" s="174"/>
      <c r="AY766" s="173"/>
      <c r="AZ766" s="173"/>
      <c r="BA766" s="173"/>
      <c r="BB766" s="173"/>
      <c r="BC766" s="173"/>
      <c r="BD766" s="173"/>
      <c r="BE766" s="173"/>
      <c r="BF766" s="173"/>
      <c r="BG766" s="174"/>
      <c r="BH766" s="174"/>
      <c r="BI766" s="174"/>
      <c r="BJ766" s="174"/>
      <c r="BK766" s="174"/>
      <c r="BL766" s="174"/>
      <c r="BM766" s="174"/>
      <c r="BN766" s="174"/>
      <c r="BO766" s="209"/>
      <c r="BP766" s="208"/>
      <c r="BQ766" s="208"/>
    </row>
    <row r="767" spans="11:69" x14ac:dyDescent="0.2">
      <c r="Q767" s="171"/>
      <c r="R767" s="86"/>
      <c r="S767" s="176"/>
      <c r="T767" s="173"/>
      <c r="U767" s="173"/>
      <c r="V767" s="173"/>
      <c r="W767" s="173"/>
      <c r="X767" s="173"/>
      <c r="Y767" s="173"/>
      <c r="Z767" s="173"/>
      <c r="AA767" s="174"/>
      <c r="AB767" s="174"/>
      <c r="AC767" s="174"/>
      <c r="AD767" s="174"/>
      <c r="AE767" s="174"/>
      <c r="AF767" s="174"/>
      <c r="AG767" s="174"/>
      <c r="AH767" s="174"/>
      <c r="AI767" s="173"/>
      <c r="AJ767" s="173"/>
      <c r="AK767" s="173"/>
      <c r="AL767" s="173"/>
      <c r="AM767" s="173"/>
      <c r="AN767" s="173"/>
      <c r="AO767" s="173"/>
      <c r="AP767" s="173"/>
      <c r="AQ767" s="589"/>
      <c r="AR767" s="174"/>
      <c r="AS767" s="174"/>
      <c r="AT767" s="174"/>
      <c r="AU767" s="174"/>
      <c r="AV767" s="174"/>
      <c r="AW767" s="174"/>
      <c r="AX767" s="174"/>
      <c r="AY767" s="173"/>
      <c r="AZ767" s="173"/>
      <c r="BA767" s="173"/>
      <c r="BB767" s="173"/>
      <c r="BC767" s="173"/>
      <c r="BD767" s="173"/>
      <c r="BE767" s="173"/>
      <c r="BF767" s="173"/>
      <c r="BG767" s="174"/>
      <c r="BH767" s="174"/>
      <c r="BI767" s="174"/>
      <c r="BJ767" s="174"/>
      <c r="BK767" s="174"/>
      <c r="BL767" s="174"/>
      <c r="BM767" s="174"/>
      <c r="BN767" s="174"/>
      <c r="BO767" s="209"/>
      <c r="BP767" s="208"/>
      <c r="BQ767" s="208"/>
    </row>
    <row r="768" spans="11:69" x14ac:dyDescent="0.2">
      <c r="Q768" s="171"/>
      <c r="R768" s="86"/>
      <c r="S768" s="176"/>
      <c r="T768" s="173"/>
      <c r="U768" s="173"/>
      <c r="V768" s="173"/>
      <c r="W768" s="173"/>
      <c r="X768" s="173"/>
      <c r="Y768" s="173"/>
      <c r="Z768" s="173"/>
      <c r="AA768" s="174"/>
      <c r="AB768" s="174"/>
      <c r="AC768" s="174"/>
      <c r="AD768" s="174"/>
      <c r="AE768" s="174"/>
      <c r="AF768" s="174"/>
      <c r="AG768" s="174"/>
      <c r="AH768" s="174"/>
      <c r="AI768" s="173"/>
      <c r="AJ768" s="173"/>
      <c r="AK768" s="173"/>
      <c r="AL768" s="173"/>
      <c r="AM768" s="173"/>
      <c r="AN768" s="173"/>
      <c r="AO768" s="173"/>
      <c r="AP768" s="173"/>
      <c r="AQ768" s="589"/>
      <c r="AR768" s="174"/>
      <c r="AS768" s="174"/>
      <c r="AT768" s="174"/>
      <c r="AU768" s="174"/>
      <c r="AV768" s="174"/>
      <c r="AW768" s="174"/>
      <c r="AX768" s="174"/>
      <c r="AY768" s="173"/>
      <c r="AZ768" s="173"/>
      <c r="BA768" s="173"/>
      <c r="BB768" s="173"/>
      <c r="BC768" s="173"/>
      <c r="BD768" s="173"/>
      <c r="BE768" s="173"/>
      <c r="BF768" s="173"/>
      <c r="BG768" s="174"/>
      <c r="BH768" s="174"/>
      <c r="BI768" s="174"/>
      <c r="BJ768" s="174"/>
      <c r="BK768" s="174"/>
      <c r="BL768" s="174"/>
      <c r="BM768" s="174"/>
      <c r="BN768" s="174"/>
      <c r="BO768" s="209"/>
      <c r="BP768" s="208"/>
      <c r="BQ768" s="208"/>
    </row>
    <row r="769" spans="1:69" x14ac:dyDescent="0.2">
      <c r="Q769" s="171"/>
      <c r="R769" s="86"/>
      <c r="S769" s="176"/>
      <c r="T769" s="173"/>
      <c r="U769" s="173"/>
      <c r="V769" s="173"/>
      <c r="W769" s="173"/>
      <c r="X769" s="173"/>
      <c r="Y769" s="173"/>
      <c r="Z769" s="173"/>
      <c r="AA769" s="174"/>
      <c r="AB769" s="174"/>
      <c r="AC769" s="174"/>
      <c r="AD769" s="174"/>
      <c r="AE769" s="174"/>
      <c r="AF769" s="174"/>
      <c r="AG769" s="174"/>
      <c r="AH769" s="174"/>
      <c r="AI769" s="173"/>
      <c r="AJ769" s="173"/>
      <c r="AK769" s="173"/>
      <c r="AL769" s="173"/>
      <c r="AM769" s="173"/>
      <c r="AN769" s="173"/>
      <c r="AO769" s="173"/>
      <c r="AP769" s="173"/>
      <c r="AQ769" s="589"/>
      <c r="AR769" s="174"/>
      <c r="AS769" s="174"/>
      <c r="AT769" s="174"/>
      <c r="AU769" s="174"/>
      <c r="AV769" s="174"/>
      <c r="AW769" s="174"/>
      <c r="AX769" s="174"/>
      <c r="AY769" s="173"/>
      <c r="AZ769" s="173"/>
      <c r="BA769" s="173"/>
      <c r="BB769" s="173"/>
      <c r="BC769" s="173"/>
      <c r="BD769" s="173"/>
      <c r="BE769" s="173"/>
      <c r="BF769" s="173"/>
      <c r="BG769" s="174"/>
      <c r="BH769" s="174"/>
      <c r="BI769" s="174"/>
      <c r="BJ769" s="174"/>
      <c r="BK769" s="174"/>
      <c r="BL769" s="174"/>
      <c r="BM769" s="174"/>
      <c r="BN769" s="174"/>
      <c r="BO769" s="209"/>
      <c r="BP769" s="208"/>
      <c r="BQ769" s="208"/>
    </row>
    <row r="770" spans="1:69" x14ac:dyDescent="0.2">
      <c r="Q770" s="171"/>
      <c r="R770" s="86"/>
      <c r="S770" s="176"/>
      <c r="T770" s="173"/>
      <c r="U770" s="173"/>
      <c r="V770" s="173"/>
      <c r="W770" s="173"/>
      <c r="X770" s="173"/>
      <c r="Y770" s="173"/>
      <c r="Z770" s="173"/>
      <c r="AA770" s="174"/>
      <c r="AB770" s="174"/>
      <c r="AC770" s="174"/>
      <c r="AD770" s="174"/>
      <c r="AE770" s="174"/>
      <c r="AF770" s="174"/>
      <c r="AG770" s="174"/>
      <c r="AH770" s="174"/>
      <c r="AI770" s="173"/>
      <c r="AJ770" s="173"/>
      <c r="AK770" s="173"/>
      <c r="AL770" s="173"/>
      <c r="AM770" s="173"/>
      <c r="AN770" s="173"/>
      <c r="AO770" s="173"/>
      <c r="AP770" s="173"/>
      <c r="AQ770" s="589"/>
      <c r="AR770" s="174"/>
      <c r="AS770" s="174"/>
      <c r="AT770" s="174"/>
      <c r="AU770" s="174"/>
      <c r="AV770" s="174"/>
      <c r="AW770" s="174"/>
      <c r="AX770" s="174"/>
      <c r="AY770" s="173"/>
      <c r="AZ770" s="173"/>
      <c r="BA770" s="173"/>
      <c r="BB770" s="173"/>
      <c r="BC770" s="173"/>
      <c r="BD770" s="173"/>
      <c r="BE770" s="173"/>
      <c r="BF770" s="173"/>
      <c r="BG770" s="174"/>
      <c r="BH770" s="174"/>
      <c r="BI770" s="174"/>
      <c r="BJ770" s="174"/>
      <c r="BK770" s="174"/>
      <c r="BL770" s="174"/>
      <c r="BM770" s="174"/>
      <c r="BN770" s="174"/>
      <c r="BO770" s="209"/>
      <c r="BP770" s="208"/>
      <c r="BQ770" s="208"/>
    </row>
    <row r="771" spans="1:69" x14ac:dyDescent="0.2">
      <c r="Q771" s="171"/>
      <c r="R771" s="86"/>
      <c r="S771" s="177"/>
      <c r="T771" s="173"/>
      <c r="U771" s="173"/>
      <c r="V771" s="173"/>
      <c r="W771" s="173"/>
      <c r="X771" s="173"/>
      <c r="Y771" s="173"/>
      <c r="Z771" s="173"/>
      <c r="AA771" s="174"/>
      <c r="AB771" s="174"/>
      <c r="AC771" s="174"/>
      <c r="AD771" s="174"/>
      <c r="AE771" s="174"/>
      <c r="AF771" s="174"/>
      <c r="AG771" s="174"/>
      <c r="AH771" s="174"/>
      <c r="AI771" s="173"/>
      <c r="AJ771" s="173"/>
      <c r="AK771" s="173"/>
      <c r="AL771" s="173"/>
      <c r="AM771" s="173"/>
      <c r="AN771" s="173"/>
      <c r="AO771" s="173"/>
      <c r="AP771" s="173"/>
      <c r="AQ771" s="589"/>
      <c r="AR771" s="174"/>
      <c r="AS771" s="174"/>
      <c r="AT771" s="174"/>
      <c r="AU771" s="174"/>
      <c r="AV771" s="174"/>
      <c r="AW771" s="174"/>
      <c r="AX771" s="174"/>
      <c r="AY771" s="173"/>
      <c r="AZ771" s="173"/>
      <c r="BA771" s="173"/>
      <c r="BB771" s="173"/>
      <c r="BC771" s="173"/>
      <c r="BD771" s="173"/>
      <c r="BE771" s="173"/>
      <c r="BF771" s="173"/>
      <c r="BG771" s="174"/>
      <c r="BH771" s="174"/>
      <c r="BI771" s="174"/>
      <c r="BJ771" s="174"/>
      <c r="BK771" s="174"/>
      <c r="BL771" s="174"/>
      <c r="BM771" s="174"/>
      <c r="BN771" s="174"/>
      <c r="BO771" s="209"/>
      <c r="BP771" s="208"/>
      <c r="BQ771" s="208"/>
    </row>
    <row r="772" spans="1:69" x14ac:dyDescent="0.2">
      <c r="Q772" s="171"/>
      <c r="R772" s="86"/>
      <c r="S772" s="177"/>
      <c r="T772" s="173"/>
      <c r="U772" s="173"/>
      <c r="V772" s="173"/>
      <c r="W772" s="173"/>
      <c r="X772" s="173"/>
      <c r="Y772" s="173"/>
      <c r="Z772" s="173"/>
      <c r="AA772" s="174"/>
      <c r="AB772" s="174"/>
      <c r="AC772" s="174"/>
      <c r="AD772" s="174"/>
      <c r="AE772" s="174"/>
      <c r="AF772" s="174"/>
      <c r="AG772" s="174"/>
      <c r="AH772" s="174"/>
      <c r="AI772" s="173"/>
      <c r="AJ772" s="173"/>
      <c r="AK772" s="173"/>
      <c r="AL772" s="173"/>
      <c r="AM772" s="173"/>
      <c r="AN772" s="173"/>
      <c r="AO772" s="173"/>
      <c r="AP772" s="173"/>
      <c r="AQ772" s="589"/>
      <c r="AR772" s="174"/>
      <c r="AS772" s="174"/>
      <c r="AT772" s="174"/>
      <c r="AU772" s="174"/>
      <c r="AV772" s="174"/>
      <c r="AW772" s="174"/>
      <c r="AX772" s="174"/>
      <c r="AY772" s="173"/>
      <c r="AZ772" s="173"/>
      <c r="BA772" s="173"/>
      <c r="BB772" s="173"/>
      <c r="BC772" s="173"/>
      <c r="BD772" s="173"/>
      <c r="BE772" s="173"/>
      <c r="BF772" s="173"/>
      <c r="BG772" s="174"/>
      <c r="BH772" s="174"/>
      <c r="BI772" s="174"/>
      <c r="BJ772" s="174"/>
      <c r="BK772" s="174"/>
      <c r="BL772" s="174"/>
      <c r="BM772" s="174"/>
      <c r="BN772" s="174"/>
      <c r="BO772" s="209"/>
      <c r="BP772" s="208"/>
      <c r="BQ772" s="208"/>
    </row>
    <row r="773" spans="1:69" x14ac:dyDescent="0.2">
      <c r="Q773" s="171"/>
      <c r="R773" s="86"/>
      <c r="S773" s="177"/>
      <c r="T773" s="173"/>
      <c r="U773" s="173"/>
      <c r="V773" s="173"/>
      <c r="W773" s="173"/>
      <c r="X773" s="173"/>
      <c r="Y773" s="173"/>
      <c r="Z773" s="173"/>
      <c r="AA773" s="174"/>
      <c r="AB773" s="174"/>
      <c r="AC773" s="174"/>
      <c r="AD773" s="174"/>
      <c r="AE773" s="174"/>
      <c r="AF773" s="174"/>
      <c r="AG773" s="174"/>
      <c r="AH773" s="174"/>
      <c r="AI773" s="173"/>
      <c r="AJ773" s="173"/>
      <c r="AK773" s="173"/>
      <c r="AL773" s="173"/>
      <c r="AM773" s="173"/>
      <c r="AN773" s="173"/>
      <c r="AO773" s="173"/>
      <c r="AP773" s="173"/>
      <c r="AQ773" s="589"/>
      <c r="AR773" s="174"/>
      <c r="AS773" s="174"/>
      <c r="AT773" s="174"/>
      <c r="AU773" s="174"/>
      <c r="AV773" s="174"/>
      <c r="AW773" s="174"/>
      <c r="AX773" s="174"/>
      <c r="AY773" s="173"/>
      <c r="AZ773" s="173"/>
      <c r="BA773" s="173"/>
      <c r="BB773" s="173"/>
      <c r="BC773" s="173"/>
      <c r="BD773" s="173"/>
      <c r="BE773" s="173"/>
      <c r="BF773" s="173"/>
      <c r="BG773" s="174"/>
      <c r="BH773" s="174"/>
      <c r="BI773" s="174"/>
      <c r="BJ773" s="174"/>
      <c r="BK773" s="174"/>
      <c r="BL773" s="174"/>
      <c r="BM773" s="174"/>
      <c r="BN773" s="174"/>
      <c r="BO773" s="209"/>
      <c r="BP773" s="208"/>
      <c r="BQ773" s="208"/>
    </row>
    <row r="774" spans="1:69" x14ac:dyDescent="0.2">
      <c r="Q774" s="171"/>
      <c r="R774" s="86"/>
      <c r="S774" s="177"/>
      <c r="T774" s="173"/>
      <c r="U774" s="173"/>
      <c r="V774" s="173"/>
      <c r="W774" s="173"/>
      <c r="X774" s="173"/>
      <c r="Y774" s="173"/>
      <c r="Z774" s="173"/>
      <c r="AA774" s="174"/>
      <c r="AB774" s="174"/>
      <c r="AC774" s="174"/>
      <c r="AD774" s="174"/>
      <c r="AE774" s="174"/>
      <c r="AF774" s="174"/>
      <c r="AG774" s="174"/>
      <c r="AH774" s="174"/>
      <c r="AI774" s="173"/>
      <c r="AJ774" s="173"/>
      <c r="AK774" s="173"/>
      <c r="AL774" s="173"/>
      <c r="AM774" s="173"/>
      <c r="AN774" s="173"/>
      <c r="AO774" s="173"/>
      <c r="AP774" s="173"/>
      <c r="AQ774" s="589"/>
      <c r="AR774" s="174"/>
      <c r="AS774" s="174"/>
      <c r="AT774" s="174"/>
      <c r="AU774" s="174"/>
      <c r="AV774" s="174"/>
      <c r="AW774" s="174"/>
      <c r="AX774" s="174"/>
      <c r="AY774" s="173"/>
      <c r="AZ774" s="173"/>
      <c r="BA774" s="173"/>
      <c r="BB774" s="173"/>
      <c r="BC774" s="173"/>
      <c r="BD774" s="173"/>
      <c r="BE774" s="173"/>
      <c r="BF774" s="173"/>
      <c r="BG774" s="174"/>
      <c r="BH774" s="174"/>
      <c r="BI774" s="174"/>
      <c r="BJ774" s="174"/>
      <c r="BK774" s="174"/>
      <c r="BL774" s="174"/>
      <c r="BM774" s="174"/>
      <c r="BN774" s="174"/>
      <c r="BO774" s="209"/>
      <c r="BP774" s="208"/>
      <c r="BQ774" s="208"/>
    </row>
    <row r="775" spans="1:69" x14ac:dyDescent="0.2">
      <c r="Q775" s="171"/>
      <c r="R775" s="86"/>
      <c r="S775" s="177"/>
      <c r="T775" s="173"/>
      <c r="U775" s="173"/>
      <c r="V775" s="173"/>
      <c r="W775" s="173"/>
      <c r="X775" s="173"/>
      <c r="Y775" s="173"/>
      <c r="Z775" s="173"/>
      <c r="AA775" s="174"/>
      <c r="AB775" s="174"/>
      <c r="AC775" s="174"/>
      <c r="AD775" s="174"/>
      <c r="AE775" s="174"/>
      <c r="AF775" s="174"/>
      <c r="AG775" s="174"/>
      <c r="AH775" s="174"/>
      <c r="AI775" s="173"/>
      <c r="AJ775" s="173"/>
      <c r="AK775" s="173"/>
      <c r="AL775" s="173"/>
      <c r="AM775" s="173"/>
      <c r="AN775" s="173"/>
      <c r="AO775" s="173"/>
      <c r="AP775" s="173"/>
      <c r="AQ775" s="589"/>
      <c r="AR775" s="174"/>
      <c r="AS775" s="174"/>
      <c r="AT775" s="174"/>
      <c r="AU775" s="174"/>
      <c r="AV775" s="174"/>
      <c r="AW775" s="174"/>
      <c r="AX775" s="174"/>
      <c r="AY775" s="173"/>
      <c r="AZ775" s="173"/>
      <c r="BA775" s="173"/>
      <c r="BB775" s="173"/>
      <c r="BC775" s="173"/>
      <c r="BD775" s="173"/>
      <c r="BE775" s="173"/>
      <c r="BF775" s="173"/>
      <c r="BG775" s="174"/>
      <c r="BH775" s="174"/>
      <c r="BI775" s="174"/>
      <c r="BJ775" s="174"/>
      <c r="BK775" s="174"/>
      <c r="BL775" s="174"/>
      <c r="BM775" s="174"/>
      <c r="BN775" s="174"/>
      <c r="BO775" s="209"/>
      <c r="BP775" s="208"/>
      <c r="BQ775" s="208"/>
    </row>
    <row r="776" spans="1:69" x14ac:dyDescent="0.2">
      <c r="Q776" s="171"/>
      <c r="R776" s="86"/>
      <c r="S776" s="177"/>
      <c r="T776" s="173"/>
      <c r="U776" s="173"/>
      <c r="V776" s="173"/>
      <c r="W776" s="173"/>
      <c r="X776" s="173"/>
      <c r="Y776" s="173"/>
      <c r="Z776" s="173"/>
      <c r="AA776" s="174"/>
      <c r="AB776" s="174"/>
      <c r="AC776" s="174"/>
      <c r="AD776" s="174"/>
      <c r="AE776" s="174"/>
      <c r="AF776" s="174"/>
      <c r="AG776" s="174"/>
      <c r="AH776" s="174"/>
      <c r="AI776" s="173"/>
      <c r="AJ776" s="173"/>
      <c r="AK776" s="173"/>
      <c r="AL776" s="173"/>
      <c r="AM776" s="173"/>
      <c r="AN776" s="173"/>
      <c r="AO776" s="173"/>
      <c r="AP776" s="173"/>
      <c r="AQ776" s="589"/>
      <c r="AR776" s="174"/>
      <c r="AS776" s="174"/>
      <c r="AT776" s="174"/>
      <c r="AU776" s="174"/>
      <c r="AV776" s="174"/>
      <c r="AW776" s="174"/>
      <c r="AX776" s="174"/>
      <c r="AY776" s="173"/>
      <c r="AZ776" s="173"/>
      <c r="BA776" s="173"/>
      <c r="BB776" s="173"/>
      <c r="BC776" s="173"/>
      <c r="BD776" s="173"/>
      <c r="BE776" s="173"/>
      <c r="BF776" s="173"/>
      <c r="BG776" s="174"/>
      <c r="BH776" s="174"/>
      <c r="BI776" s="174"/>
      <c r="BJ776" s="174"/>
      <c r="BK776" s="174"/>
      <c r="BL776" s="174"/>
      <c r="BM776" s="174"/>
      <c r="BN776" s="174"/>
      <c r="BO776" s="209"/>
      <c r="BP776" s="208"/>
      <c r="BQ776" s="208"/>
    </row>
    <row r="777" spans="1:69" x14ac:dyDescent="0.2">
      <c r="Q777" s="171"/>
      <c r="R777" s="86"/>
      <c r="S777" s="177"/>
      <c r="T777" s="173"/>
      <c r="U777" s="173"/>
      <c r="V777" s="173"/>
      <c r="W777" s="173"/>
      <c r="X777" s="173"/>
      <c r="Y777" s="173"/>
      <c r="Z777" s="173"/>
      <c r="AA777" s="174"/>
      <c r="AB777" s="174"/>
      <c r="AC777" s="174"/>
      <c r="AD777" s="174"/>
      <c r="AE777" s="174"/>
      <c r="AF777" s="174"/>
      <c r="AG777" s="174"/>
      <c r="AH777" s="174"/>
      <c r="AI777" s="173"/>
      <c r="AJ777" s="173"/>
      <c r="AK777" s="173"/>
      <c r="AL777" s="173"/>
      <c r="AM777" s="173"/>
      <c r="AN777" s="173"/>
      <c r="AO777" s="173"/>
      <c r="AP777" s="173"/>
      <c r="AQ777" s="589"/>
      <c r="AR777" s="174"/>
      <c r="AS777" s="174"/>
      <c r="AT777" s="174"/>
      <c r="AU777" s="174"/>
      <c r="AV777" s="174"/>
      <c r="AW777" s="174"/>
      <c r="AX777" s="174"/>
      <c r="AY777" s="173"/>
      <c r="AZ777" s="173"/>
      <c r="BA777" s="173"/>
      <c r="BB777" s="173"/>
      <c r="BC777" s="173"/>
      <c r="BD777" s="173"/>
      <c r="BE777" s="173"/>
      <c r="BF777" s="173"/>
      <c r="BG777" s="174"/>
      <c r="BH777" s="174"/>
      <c r="BI777" s="174"/>
      <c r="BJ777" s="174"/>
      <c r="BK777" s="174"/>
      <c r="BL777" s="174"/>
      <c r="BM777" s="174"/>
      <c r="BN777" s="174"/>
      <c r="BO777" s="209"/>
      <c r="BP777" s="208"/>
      <c r="BQ777" s="208"/>
    </row>
    <row r="778" spans="1:69" x14ac:dyDescent="0.2">
      <c r="Q778" s="171"/>
      <c r="R778" s="86"/>
      <c r="S778" s="177"/>
      <c r="T778" s="173"/>
      <c r="U778" s="173"/>
      <c r="V778" s="173"/>
      <c r="W778" s="173"/>
      <c r="X778" s="173"/>
      <c r="Y778" s="173"/>
      <c r="Z778" s="173"/>
      <c r="AA778" s="174"/>
      <c r="AB778" s="174"/>
      <c r="AC778" s="174"/>
      <c r="AD778" s="174"/>
      <c r="AE778" s="174"/>
      <c r="AF778" s="174"/>
      <c r="AG778" s="174"/>
      <c r="AH778" s="174"/>
      <c r="AI778" s="173"/>
      <c r="AJ778" s="173"/>
      <c r="AK778" s="173"/>
      <c r="AL778" s="173"/>
      <c r="AM778" s="173"/>
      <c r="AN778" s="173"/>
      <c r="AO778" s="173"/>
      <c r="AP778" s="173"/>
      <c r="AQ778" s="589"/>
      <c r="AR778" s="174"/>
      <c r="AS778" s="174"/>
      <c r="AT778" s="174"/>
      <c r="AU778" s="174"/>
      <c r="AV778" s="174"/>
      <c r="AW778" s="174"/>
      <c r="AX778" s="174"/>
      <c r="AY778" s="173"/>
      <c r="AZ778" s="173"/>
      <c r="BA778" s="173"/>
      <c r="BB778" s="173"/>
      <c r="BC778" s="173"/>
      <c r="BD778" s="173"/>
      <c r="BE778" s="173"/>
      <c r="BF778" s="173"/>
      <c r="BG778" s="174"/>
      <c r="BH778" s="174"/>
      <c r="BI778" s="174"/>
      <c r="BJ778" s="174"/>
      <c r="BK778" s="174"/>
      <c r="BL778" s="174"/>
      <c r="BM778" s="174"/>
      <c r="BN778" s="174"/>
      <c r="BO778" s="209"/>
      <c r="BP778" s="208"/>
      <c r="BQ778" s="208"/>
    </row>
    <row r="779" spans="1:69" x14ac:dyDescent="0.2">
      <c r="A779" s="186"/>
      <c r="B779" s="187"/>
      <c r="C779" s="188"/>
      <c r="D779" s="187"/>
      <c r="E779" s="188"/>
      <c r="F779" s="187"/>
      <c r="G779" s="187"/>
      <c r="H779" s="188"/>
      <c r="I779" s="187"/>
      <c r="J779" s="187"/>
      <c r="K779" s="186"/>
      <c r="L779" s="186"/>
      <c r="M779" s="189"/>
      <c r="N779" s="189"/>
      <c r="O779" s="189"/>
      <c r="P779" s="189"/>
      <c r="Q779" s="172"/>
    </row>
  </sheetData>
  <autoFilter ref="A2:BS653" xr:uid="{00000000-0001-0000-0B00-000000000000}">
    <sortState xmlns:xlrd2="http://schemas.microsoft.com/office/spreadsheetml/2017/richdata2" ref="A3:BS657">
      <sortCondition ref="A2:A653"/>
    </sortState>
  </autoFilter>
  <mergeCells count="3">
    <mergeCell ref="C1:D1"/>
    <mergeCell ref="E1:F1"/>
    <mergeCell ref="H1:I1"/>
  </mergeCells>
  <phoneticPr fontId="1"/>
  <conditionalFormatting sqref="L1:L1048576">
    <cfRule type="containsText" dxfId="2" priority="5" operator="containsText" text="×">
      <formula>NOT(ISERROR(SEARCH("×",L1)))</formula>
    </cfRule>
  </conditionalFormatting>
  <conditionalFormatting sqref="A1:A1048576">
    <cfRule type="duplicateValues" dxfId="1" priority="1"/>
  </conditionalFormatting>
  <conditionalFormatting sqref="A3:A641">
    <cfRule type="duplicateValues" dxfId="0" priority="69"/>
  </conditionalFormatting>
  <pageMargins left="0.7" right="0.7" top="0.75" bottom="0.75" header="0.3" footer="0.3"/>
  <pageSetup paperSize="8" scale="46"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B1:AN55"/>
  <sheetViews>
    <sheetView showGridLines="0" tabSelected="1" view="pageBreakPreview" zoomScale="60" zoomScaleNormal="100" workbookViewId="0">
      <selection activeCell="H11" sqref="H11:N11"/>
    </sheetView>
  </sheetViews>
  <sheetFormatPr defaultColWidth="9" defaultRowHeight="16.5" x14ac:dyDescent="0.4"/>
  <cols>
    <col min="1" max="2" width="3.625" style="33" customWidth="1"/>
    <col min="3" max="7" width="6.125" style="33" customWidth="1"/>
    <col min="8" max="14" width="6.125" style="691" customWidth="1"/>
    <col min="15" max="15" width="10.625" style="48" customWidth="1"/>
    <col min="16" max="16" width="6.125" style="34" customWidth="1"/>
    <col min="17" max="28" width="6.125" style="33" customWidth="1"/>
    <col min="29" max="30" width="3.625" style="33" customWidth="1"/>
    <col min="31" max="32" width="30.625" style="34" customWidth="1"/>
    <col min="33" max="33" width="10.25" style="48" customWidth="1"/>
    <col min="34" max="34" width="10.25" style="33" bestFit="1" customWidth="1"/>
    <col min="35" max="36" width="10.25" style="33" customWidth="1"/>
    <col min="37" max="37" width="9.125" style="33" bestFit="1" customWidth="1"/>
    <col min="38" max="38" width="15.125" style="33" bestFit="1" customWidth="1"/>
    <col min="39" max="39" width="9" style="33"/>
    <col min="40" max="40" width="9.125" style="33" bestFit="1" customWidth="1"/>
    <col min="41" max="16384" width="9" style="33"/>
  </cols>
  <sheetData>
    <row r="1" spans="2:40" ht="140.1" customHeight="1" x14ac:dyDescent="0.4">
      <c r="B1" s="32"/>
      <c r="C1" s="830" t="s">
        <v>259</v>
      </c>
      <c r="D1" s="831"/>
      <c r="E1" s="831"/>
      <c r="F1" s="831"/>
      <c r="G1" s="831"/>
      <c r="H1" s="832"/>
      <c r="I1" s="832"/>
      <c r="J1" s="832"/>
      <c r="K1" s="832"/>
      <c r="L1" s="832"/>
      <c r="M1" s="832"/>
      <c r="N1" s="832"/>
      <c r="O1" s="832"/>
      <c r="P1" s="832"/>
      <c r="Q1" s="832"/>
      <c r="R1" s="832"/>
      <c r="S1" s="832"/>
      <c r="T1" s="832"/>
      <c r="U1" s="832"/>
      <c r="V1" s="832"/>
      <c r="W1" s="832"/>
      <c r="X1" s="832"/>
      <c r="Y1" s="832"/>
      <c r="Z1" s="832"/>
      <c r="AA1" s="832"/>
      <c r="AB1" s="832"/>
      <c r="AC1" s="32"/>
      <c r="AD1" s="32"/>
      <c r="AF1" s="44"/>
    </row>
    <row r="2" spans="2:40" ht="20.100000000000001" customHeight="1" thickBot="1" x14ac:dyDescent="0.45">
      <c r="B2" s="848" t="s">
        <v>114</v>
      </c>
      <c r="C2" s="860"/>
      <c r="D2" s="860"/>
      <c r="E2" s="860"/>
      <c r="F2" s="860"/>
      <c r="G2" s="861"/>
      <c r="H2" s="848" t="s">
        <v>115</v>
      </c>
      <c r="I2" s="849"/>
      <c r="J2" s="849"/>
      <c r="K2" s="849"/>
      <c r="L2" s="849"/>
      <c r="M2" s="849"/>
      <c r="N2" s="850"/>
      <c r="O2" s="259" t="s">
        <v>113</v>
      </c>
      <c r="P2" s="769" t="s">
        <v>105</v>
      </c>
      <c r="Q2" s="770"/>
      <c r="R2" s="770"/>
      <c r="S2" s="770"/>
      <c r="T2" s="770"/>
      <c r="U2" s="770"/>
      <c r="V2" s="770"/>
      <c r="W2" s="770"/>
      <c r="X2" s="770"/>
      <c r="Y2" s="770"/>
      <c r="Z2" s="770"/>
      <c r="AA2" s="770"/>
      <c r="AB2" s="771"/>
      <c r="AC2" s="32"/>
      <c r="AD2" s="32"/>
      <c r="AE2" s="52" t="s">
        <v>264</v>
      </c>
      <c r="AF2" s="154" t="s">
        <v>261</v>
      </c>
    </row>
    <row r="3" spans="2:40" ht="24.95" customHeight="1" thickTop="1" x14ac:dyDescent="0.4">
      <c r="B3" s="723" t="s">
        <v>189</v>
      </c>
      <c r="C3" s="851" t="s">
        <v>110</v>
      </c>
      <c r="D3" s="852"/>
      <c r="E3" s="852"/>
      <c r="F3" s="852"/>
      <c r="G3" s="853"/>
      <c r="H3" s="775" t="s">
        <v>111</v>
      </c>
      <c r="I3" s="776"/>
      <c r="J3" s="776"/>
      <c r="K3" s="776"/>
      <c r="L3" s="776"/>
      <c r="M3" s="776"/>
      <c r="N3" s="777"/>
      <c r="O3" s="865" t="str">
        <f xml:space="preserve">
IF(AND(AM3="×",AM4="×",AM5="×"),"×",
IF(AND(AM3="×",AM4="×",AM5="○"),"○"&amp;CHAR(10)&amp;"（公立）",
IF(AND(AM3="×",AM4="○",AM5="×"),"○"&amp;CHAR(10)&amp;"（個人）",
IF(AND(AM3="×",AM4="○",AM5="○"),"×",
IF(AND(AM3="○",AM4="×",AM5="×"),"○"&amp;CHAR(10)&amp;"（法人）",
IF(AND(AM3="○",AM4="×",AM5="○"),"×",
IF(AND(AM3="○",AM4="○",AM5="×"),"×",
IF(AND(AM3="○",AM4="○",AM5="○"),"×",
))))))))</f>
        <v>×</v>
      </c>
      <c r="P3" s="835" t="str">
        <f xml:space="preserve">
IF(AND(AM3="×",AM4="×",AM5="×"),"【要修正】いずれかのボックスにチェックしてください。",
IF(AND(AM3="×",AM4="×",AM5="○"),"適切に入力がされました。",
IF(AND(AM3="×",AM4="○",AM5="×"),"適切に入力がされました。",
IF(AND(AM3="×",AM4="○",AM5="○"),"【要修正】複数のボックスにチェックされています。（いずれか１つのみチェックしてください。）",
IF(AND(AM3="○",AM4="×",AM5="×"),"適切に入力がされました。",
IF(AND(AM3="○",AM4="×",AM5="○"),"【要修正】複数のボックスにチェックされています。（いずれか１つのみチェックしてください。）",
IF(AND(AM3="○",AM4="○",AM5="×"),"【要修正】複数のボックスにチェックされています。（いずれか１つのみチェックしてください。）",
IF(AND(AM3="○",AM4="○",AM5="○"),"【要修正】全てのボックスにチェックされています。（いずれか１つのみチェックしてください。）",
))))))))</f>
        <v>【要修正】いずれかのボックスにチェックしてください。</v>
      </c>
      <c r="Q3" s="836"/>
      <c r="R3" s="836"/>
      <c r="S3" s="836"/>
      <c r="T3" s="836"/>
      <c r="U3" s="836"/>
      <c r="V3" s="836"/>
      <c r="W3" s="836"/>
      <c r="X3" s="837"/>
      <c r="Y3" s="837"/>
      <c r="Z3" s="837"/>
      <c r="AA3" s="837"/>
      <c r="AB3" s="838"/>
      <c r="AC3" s="32"/>
      <c r="AD3" s="32"/>
      <c r="AE3" s="700" t="str">
        <f>IF(OR(O3="○"&amp;CHAR(10)&amp;"（法人）",O3="○"&amp;CHAR(10)&amp;"（公立）",O3="○"&amp;CHAR(10)&amp;"（個人）"),"",C3&amp;"/")</f>
        <v>法人・個人事業主の別/</v>
      </c>
      <c r="AF3" s="788" t="s">
        <v>262</v>
      </c>
      <c r="AM3" s="152" t="str">
        <f>IF(AN3=TRUE,"○","×")</f>
        <v>×</v>
      </c>
      <c r="AN3" s="153" t="b">
        <v>0</v>
      </c>
    </row>
    <row r="4" spans="2:40" ht="24.95" customHeight="1" x14ac:dyDescent="0.4">
      <c r="B4" s="755"/>
      <c r="C4" s="854"/>
      <c r="D4" s="855"/>
      <c r="E4" s="855"/>
      <c r="F4" s="855"/>
      <c r="G4" s="856"/>
      <c r="H4" s="862" t="s">
        <v>112</v>
      </c>
      <c r="I4" s="863"/>
      <c r="J4" s="863"/>
      <c r="K4" s="863"/>
      <c r="L4" s="863"/>
      <c r="M4" s="863"/>
      <c r="N4" s="864"/>
      <c r="O4" s="866"/>
      <c r="P4" s="839"/>
      <c r="Q4" s="840"/>
      <c r="R4" s="840"/>
      <c r="S4" s="840"/>
      <c r="T4" s="840"/>
      <c r="U4" s="840"/>
      <c r="V4" s="840"/>
      <c r="W4" s="840"/>
      <c r="X4" s="841"/>
      <c r="Y4" s="841"/>
      <c r="Z4" s="841"/>
      <c r="AA4" s="841"/>
      <c r="AB4" s="842"/>
      <c r="AC4" s="32"/>
      <c r="AD4" s="32"/>
      <c r="AE4" s="701"/>
      <c r="AF4" s="789"/>
      <c r="AM4" s="152" t="str">
        <f>IF(AN4=TRUE,"○","×")</f>
        <v>×</v>
      </c>
      <c r="AN4" s="153" t="b">
        <v>0</v>
      </c>
    </row>
    <row r="5" spans="2:40" ht="24.95" customHeight="1" x14ac:dyDescent="0.4">
      <c r="B5" s="755"/>
      <c r="C5" s="857"/>
      <c r="D5" s="858"/>
      <c r="E5" s="858"/>
      <c r="F5" s="858"/>
      <c r="G5" s="859"/>
      <c r="H5" s="760" t="s">
        <v>134</v>
      </c>
      <c r="I5" s="761"/>
      <c r="J5" s="761"/>
      <c r="K5" s="761"/>
      <c r="L5" s="761"/>
      <c r="M5" s="761"/>
      <c r="N5" s="762"/>
      <c r="O5" s="866"/>
      <c r="P5" s="843"/>
      <c r="Q5" s="840"/>
      <c r="R5" s="840"/>
      <c r="S5" s="840"/>
      <c r="T5" s="840"/>
      <c r="U5" s="840"/>
      <c r="V5" s="840"/>
      <c r="W5" s="840"/>
      <c r="X5" s="841"/>
      <c r="Y5" s="841"/>
      <c r="Z5" s="841"/>
      <c r="AA5" s="841"/>
      <c r="AB5" s="842"/>
      <c r="AC5" s="32"/>
      <c r="AD5" s="32"/>
      <c r="AE5" s="702"/>
      <c r="AF5" s="790"/>
      <c r="AM5" s="152" t="str">
        <f>IF(AN5=TRUE,"○","×")</f>
        <v>×</v>
      </c>
      <c r="AN5" s="153" t="b">
        <v>0</v>
      </c>
    </row>
    <row r="6" spans="2:40" ht="24.95" customHeight="1" x14ac:dyDescent="0.4">
      <c r="B6" s="755"/>
      <c r="C6" s="766" t="s">
        <v>14</v>
      </c>
      <c r="D6" s="767"/>
      <c r="E6" s="767"/>
      <c r="F6" s="767"/>
      <c r="G6" s="768"/>
      <c r="H6" s="763"/>
      <c r="I6" s="764"/>
      <c r="J6" s="764"/>
      <c r="K6" s="764"/>
      <c r="L6" s="764"/>
      <c r="M6" s="764"/>
      <c r="N6" s="765"/>
      <c r="O6" s="35" t="str">
        <f>IF(COUNTA(H6)=0,"×","○")</f>
        <v>×</v>
      </c>
      <c r="P6" s="791" t="str">
        <f>IF(O6="×","【要修正】法人の場合は法人名、個人事業主の場合は屋号（医療機関名）を入力してください。","適切に入力がされました。")</f>
        <v>【要修正】法人の場合は法人名、個人事業主の場合は屋号（医療機関名）を入力してください。</v>
      </c>
      <c r="Q6" s="844"/>
      <c r="R6" s="844"/>
      <c r="S6" s="844"/>
      <c r="T6" s="844"/>
      <c r="U6" s="844"/>
      <c r="V6" s="844"/>
      <c r="W6" s="844"/>
      <c r="X6" s="841"/>
      <c r="Y6" s="841"/>
      <c r="Z6" s="841"/>
      <c r="AA6" s="841"/>
      <c r="AB6" s="842"/>
      <c r="AC6" s="32"/>
      <c r="AD6" s="32"/>
      <c r="AE6" s="672" t="str">
        <f>IF(O6="○","",C6&amp;"/")</f>
        <v>事業者名/</v>
      </c>
      <c r="AF6" s="672" t="str">
        <f>DBCS(H6)</f>
        <v/>
      </c>
    </row>
    <row r="7" spans="2:40" ht="24.95" customHeight="1" x14ac:dyDescent="0.4">
      <c r="B7" s="755"/>
      <c r="C7" s="766" t="s">
        <v>15</v>
      </c>
      <c r="D7" s="767"/>
      <c r="E7" s="767"/>
      <c r="F7" s="767"/>
      <c r="G7" s="768"/>
      <c r="H7" s="763"/>
      <c r="I7" s="764"/>
      <c r="J7" s="764"/>
      <c r="K7" s="764"/>
      <c r="L7" s="764"/>
      <c r="M7" s="764"/>
      <c r="N7" s="765"/>
      <c r="O7" s="35" t="str">
        <f>IF(COUNTA(H7)=0,"×","○")</f>
        <v>×</v>
      </c>
      <c r="P7" s="791" t="str">
        <f>IF(O7="×","【要修正】代表者職名（医療法人の場合「理事長」、個人事業の場合「院長」等）を入力してください。","適切に入力がされました。")</f>
        <v>【要修正】代表者職名（医療法人の場合「理事長」、個人事業の場合「院長」等）を入力してください。</v>
      </c>
      <c r="Q7" s="844"/>
      <c r="R7" s="844"/>
      <c r="S7" s="844"/>
      <c r="T7" s="844"/>
      <c r="U7" s="844"/>
      <c r="V7" s="844"/>
      <c r="W7" s="844"/>
      <c r="X7" s="841"/>
      <c r="Y7" s="841"/>
      <c r="Z7" s="841"/>
      <c r="AA7" s="841"/>
      <c r="AB7" s="842"/>
      <c r="AC7" s="32"/>
      <c r="AD7" s="32"/>
      <c r="AE7" s="672" t="str">
        <f>IF(O7="○","",C7&amp;"/")</f>
        <v>代表者役職/</v>
      </c>
      <c r="AF7" s="672" t="str">
        <f t="shared" ref="AF7:AF11" si="0">DBCS(H7)</f>
        <v/>
      </c>
    </row>
    <row r="8" spans="2:40" ht="24.95" customHeight="1" x14ac:dyDescent="0.4">
      <c r="B8" s="755"/>
      <c r="C8" s="766" t="s">
        <v>12</v>
      </c>
      <c r="D8" s="767"/>
      <c r="E8" s="767"/>
      <c r="F8" s="767"/>
      <c r="G8" s="768"/>
      <c r="H8" s="763"/>
      <c r="I8" s="764"/>
      <c r="J8" s="764"/>
      <c r="K8" s="764"/>
      <c r="L8" s="764"/>
      <c r="M8" s="764"/>
      <c r="N8" s="765"/>
      <c r="O8" s="35" t="str">
        <f>IF(COUNTA(H8)=0,"×","○")</f>
        <v>×</v>
      </c>
      <c r="P8" s="791" t="str">
        <f>IF(O8="×","【要修正】代表者の氏名（例：「愛知太郎」）を入力してください。","適切に入力がされました。")</f>
        <v>【要修正】代表者の氏名（例：「愛知太郎」）を入力してください。</v>
      </c>
      <c r="Q8" s="844"/>
      <c r="R8" s="844"/>
      <c r="S8" s="844"/>
      <c r="T8" s="844"/>
      <c r="U8" s="844"/>
      <c r="V8" s="844"/>
      <c r="W8" s="844"/>
      <c r="X8" s="841"/>
      <c r="Y8" s="841"/>
      <c r="Z8" s="841"/>
      <c r="AA8" s="841"/>
      <c r="AB8" s="842"/>
      <c r="AC8" s="32"/>
      <c r="AD8" s="32"/>
      <c r="AE8" s="672" t="str">
        <f>IF(O8="○","",C8&amp;"/")</f>
        <v>代表者氏名/</v>
      </c>
      <c r="AF8" s="672" t="str">
        <f t="shared" si="0"/>
        <v/>
      </c>
    </row>
    <row r="9" spans="2:40" ht="24.95" customHeight="1" x14ac:dyDescent="0.4">
      <c r="B9" s="755"/>
      <c r="C9" s="766" t="s">
        <v>23</v>
      </c>
      <c r="D9" s="767"/>
      <c r="E9" s="767"/>
      <c r="F9" s="767"/>
      <c r="G9" s="768"/>
      <c r="H9" s="763"/>
      <c r="I9" s="764"/>
      <c r="J9" s="764"/>
      <c r="K9" s="764"/>
      <c r="L9" s="764"/>
      <c r="M9" s="764"/>
      <c r="N9" s="765"/>
      <c r="O9" s="35" t="str">
        <f>IF(COUNTA(H9)=0,"×","○")</f>
        <v>×</v>
      </c>
      <c r="P9" s="791" t="str">
        <f>IF(O9="×","【要修正】法人の場合は法人の所在地、個人事業主の場合は貴医療機関の所在地を入力してください","適切に入力がされました。")</f>
        <v>【要修正】法人の場合は法人の所在地、個人事業主の場合は貴医療機関の所在地を入力してください</v>
      </c>
      <c r="Q9" s="844"/>
      <c r="R9" s="844"/>
      <c r="S9" s="844"/>
      <c r="T9" s="844"/>
      <c r="U9" s="844"/>
      <c r="V9" s="844"/>
      <c r="W9" s="844"/>
      <c r="X9" s="841"/>
      <c r="Y9" s="841"/>
      <c r="Z9" s="841"/>
      <c r="AA9" s="841"/>
      <c r="AB9" s="842"/>
      <c r="AC9" s="32"/>
      <c r="AD9" s="32"/>
      <c r="AE9" s="672" t="str">
        <f>IF(O9="○","",C9&amp;"/")</f>
        <v>所在地/</v>
      </c>
      <c r="AF9" s="672" t="str">
        <f t="shared" si="0"/>
        <v/>
      </c>
    </row>
    <row r="10" spans="2:40" ht="24.95" customHeight="1" x14ac:dyDescent="0.4">
      <c r="B10" s="755"/>
      <c r="C10" s="766" t="s">
        <v>46</v>
      </c>
      <c r="D10" s="767"/>
      <c r="E10" s="767"/>
      <c r="F10" s="767"/>
      <c r="G10" s="768"/>
      <c r="H10" s="763"/>
      <c r="I10" s="764"/>
      <c r="J10" s="764"/>
      <c r="K10" s="764"/>
      <c r="L10" s="764"/>
      <c r="M10" s="764"/>
      <c r="N10" s="765"/>
      <c r="O10" s="35" t="str">
        <f xml:space="preserve">
IF(O3="×","×",
IF(AND(OR(O3="○"&amp;CHAR(10)&amp;"（個人）",O3="○"&amp;CHAR(10)&amp;"（法人）"),H10=""),"×",
IF(AND(O3="○"&amp;CHAR(10)&amp;"（法人）",H6=H10),"×",
IF(AND(O3="○"&amp;CHAR(10)&amp;"（法人）",H6&lt;&gt;H10),"○",
IF(AND(O3="○"&amp;CHAR(10)&amp;"（個人）",H6=H10),"○",
IF(AND(O3="○"&amp;CHAR(10)&amp;"（個人）",H6&lt;&gt;H10),"×",
IF(AND(O3="○"&amp;CHAR(10)&amp;"（公立）",H6=H10),"×",
IF(AND(O3="○"&amp;CHAR(10)&amp;"（公立）",H6&lt;&gt;H10),"○"
))))))))</f>
        <v>×</v>
      </c>
      <c r="P10" s="839" t="str">
        <f xml:space="preserve">
IF(O3="×","【要修正】「法人・個人事業主の別」の入力に問題があります。",
IF(AND(OR(O3="○"&amp;CHAR(10)&amp;"（個人）",O3="○"&amp;CHAR(10)&amp;"（法人）",O3="○"&amp;CHAR(10)&amp;"（公立）"),H10=""),"【要修正】医療機関の施設名称を入力してください。",
IF(AND(O3="○"&amp;CHAR(10)&amp;"（法人）",H6=H10),"【要修正】法人名ではなく、施設名を入力してください。（「医療法人」等は記載不要）",
IF(AND(O3="○"&amp;CHAR(10)&amp;"（法人）",H6&lt;&gt;H10),"適切に入力がされました。",
IF(AND(O3="○"&amp;CHAR(10)&amp;"（個人）",H6=H10),"適切に入力がされました。",
IF(AND(O3="○"&amp;CHAR(10)&amp;"（個人）",H6&lt;&gt;H10),"【要修正】個人事業主の場合は「事業者名」欄と一致するように入力してください。（コピー＆貼り付け入力推奨）",
IF(AND(O3="○"&amp;CHAR(10)&amp;"（公立）",H6=H10),"【要修正】自治体名ではなく、施設名を入力してください。（自治体名の記載は不要）",
IF(AND(O3="○"&amp;CHAR(10)&amp;"（公立）",H6&lt;&gt;H10),"適切に入力がされました。"
))))))))</f>
        <v>【要修正】「法人・個人事業主の別」の入力に問題があります。</v>
      </c>
      <c r="Q10" s="840"/>
      <c r="R10" s="840"/>
      <c r="S10" s="840"/>
      <c r="T10" s="840"/>
      <c r="U10" s="840"/>
      <c r="V10" s="840"/>
      <c r="W10" s="840"/>
      <c r="X10" s="841"/>
      <c r="Y10" s="841"/>
      <c r="Z10" s="841"/>
      <c r="AA10" s="841"/>
      <c r="AB10" s="842"/>
      <c r="AC10" s="32"/>
      <c r="AD10" s="32"/>
      <c r="AE10" s="672" t="str">
        <f xml:space="preserve">
IF(O3="×","",
IF(AND(OR(O3="○"&amp;CHAR(10)&amp;"（個人）",O3="○"&amp;CHAR(10)&amp;"（法人）",O3="○"&amp;CHAR(10)&amp;"（公立）"),H10=""),C10,
IF(AND(O3="○"&amp;CHAR(10)&amp;"（法人）",H6=H10),C10,
IF(AND(O3="○"&amp;CHAR(10)&amp;"（法人）",H6&lt;&gt;H10),"",
IF(AND(O3="○"&amp;CHAR(10)&amp;"（個人）",H6=H10),"",
IF(AND(O3="○"&amp;CHAR(10)&amp;"（個人）",H6&lt;&gt;H10),C10,
IF(AND(O3="○"&amp;CHAR(10)&amp;"（公立）",H6=H10),C10,
IF(AND(O3="○"&amp;CHAR(10)&amp;"（公立）",H6&lt;&gt;H10),""
))))))))</f>
        <v/>
      </c>
      <c r="AF10" s="672" t="str">
        <f t="shared" si="0"/>
        <v/>
      </c>
    </row>
    <row r="11" spans="2:40" ht="24.95" customHeight="1" x14ac:dyDescent="0.4">
      <c r="B11" s="755"/>
      <c r="C11" s="766" t="s">
        <v>41</v>
      </c>
      <c r="D11" s="767"/>
      <c r="E11" s="767"/>
      <c r="F11" s="767"/>
      <c r="G11" s="768"/>
      <c r="H11" s="763"/>
      <c r="I11" s="764"/>
      <c r="J11" s="764"/>
      <c r="K11" s="764"/>
      <c r="L11" s="764"/>
      <c r="M11" s="764"/>
      <c r="N11" s="765"/>
      <c r="O11" s="35" t="str">
        <f>IF(COUNTA(H11)=0,"×","○")</f>
        <v>×</v>
      </c>
      <c r="P11" s="839" t="str">
        <f>IF(COUNTA(H11)=0,"【要修正】「施設の名称」欄に入力した施設の所在地を入力してください。","適切に入力がされました。")</f>
        <v>【要修正】「施設の名称」欄に入力した施設の所在地を入力してください。</v>
      </c>
      <c r="Q11" s="840"/>
      <c r="R11" s="840"/>
      <c r="S11" s="840"/>
      <c r="T11" s="840"/>
      <c r="U11" s="840"/>
      <c r="V11" s="840"/>
      <c r="W11" s="840"/>
      <c r="X11" s="840"/>
      <c r="Y11" s="840"/>
      <c r="Z11" s="840"/>
      <c r="AA11" s="840"/>
      <c r="AB11" s="867"/>
      <c r="AC11" s="36"/>
      <c r="AD11" s="36"/>
      <c r="AE11" s="672" t="str">
        <f t="shared" ref="AE11:AE24" si="1">IF(O11="○","",C11&amp;"/")</f>
        <v>施設所在地/</v>
      </c>
      <c r="AF11" s="672" t="str">
        <f t="shared" si="0"/>
        <v/>
      </c>
    </row>
    <row r="12" spans="2:40" ht="65.099999999999994" customHeight="1" x14ac:dyDescent="0.4">
      <c r="B12" s="755"/>
      <c r="C12" s="766" t="s">
        <v>17</v>
      </c>
      <c r="D12" s="767"/>
      <c r="E12" s="767"/>
      <c r="F12" s="767"/>
      <c r="G12" s="768"/>
      <c r="H12" s="37" t="s">
        <v>116</v>
      </c>
      <c r="I12" s="143"/>
      <c r="J12" s="38" t="s">
        <v>117</v>
      </c>
      <c r="K12" s="143"/>
      <c r="L12" s="38" t="s">
        <v>118</v>
      </c>
      <c r="M12" s="143"/>
      <c r="N12" s="39" t="s">
        <v>119</v>
      </c>
      <c r="O12" s="620" t="str">
        <f xml:space="preserve">
IF(OR(テーブル!$B$3="事前協議",テーブル!$B$3="交付申請（２次）",テーブル!$B$3="変更申請",テーブル!$B$3="交付申請兼実績報告"),
IF(OR(COUNTA(I12,K12,M12)&lt;&gt;3,AF12&lt;VLOOKUP(テーブル!$B$3,テーブル!$M$3:$O$8,2,FALSE),AF12&gt;VLOOKUP(テーブル!$B$3,テーブル!$M$3:$O$8,3,FALSE)),
"×",
IF(OR(COUNTA(I12,K12,M12)=3,AND(AF12&gt;=VLOOKUP(テーブル!$B$3,テーブル!$M$3:$O$8,2,FALSE),AF12&lt;=VLOOKUP(テーブル!$B$3,テーブル!$M$3:$O$8,3,FALSE))),
"○")),"")&amp;
IF(OR(テーブル!$B$3="実績報告（１次）",テーブル!$B$3="実績報告（２次）"),
IF(はじめに入力してください!L18="","×",
IF(OR(COUNTIF(O30:O40,"×")&gt;=1,COUNTIF(P30:AB40,"適切に入力がされました。")=0),"×",
IF(OR(COUNTA(I12,K12,M12)&lt;&gt;3,AF12&lt;VLOOKUP(テーブル!$B$3,テーブル!$M$3:$O$8,2,FALSE),AF12&gt;VLOOKUP(テーブル!$B$3,テーブル!$M$3:$O$8,3,FALSE)),
"×",
IF(OR(COUNTA(I12,K12,M12)=3,AND(AF12&gt;=VLOOKUP(テーブル!$B$3,テーブル!$M$3:$O$8,2,FALSE),AF12&lt;=VLOOKUP(テーブル!$B$3,テーブル!$M$3:$O$8,3,FALSE))),
"○")))),"")</f>
        <v>×</v>
      </c>
      <c r="P12" s="868" t="str">
        <f xml:space="preserve">
IF(OR(テーブル!$B$3="事前協議",テーブル!$B$3="交付申請（２次）",テーブル!$B$3="変更申請",テーブル!$B$3="交付申請兼実績報告"),
IF(OR(COUNTA(I12,K12,M12)&lt;&gt;3,AF12&lt;VLOOKUP(テーブル!$B$3,テーブル!$M$3:$O$8,2,FALSE),AF12&gt;VLOOKUP(テーブル!$B$3,テーブル!$M$3:$O$8,3,FALSE)),
"【要修正】"&amp;TEXT(VLOOKUP(テーブル!$B$3,テーブル!$M$3:$O$8,2,FALSE),"m月d日")&amp;"から"&amp;TEXT(VLOOKUP(テーブル!$B$3,テーブル!$M$3:$O$8,3,FALSE),"m月d日")&amp;"までの日付を入力してください。",
IF(OR(COUNTA(I12,K12,M12)=3,AND(AF12&gt;=VLOOKUP(テーブル!$B$3,テーブル!$M$3:$O$8,2,FALSE),AF12&lt;=VLOOKUP(テーブル!$B$3,テーブル!$M$3:$O$8,3,FALSE))),
"適切に入力がされました。")),"")&amp;
IF(OR(テーブル!$B$3="実績報告（１次）",テーブル!$B$3="実績報告（２次）"),
IF(はじめに入力してください!L18="","【要修正】下段の「既交付決定通知番号」を入力してください。（入力すると、記入すべき日付の期間が本欄に表示されます。）",
IF(OR(COUNTIF(O30:O40,"×")&gt;=1,COUNTIF(P30:AB40,"適切に入力がされました。")=0),"【要修正】実績報告を行う品目に係る明細シートを全て完成させてください。",
IF(OR(COUNTA(I12,K12,M12)&lt;&gt;3,AF12&lt;VLOOKUP(テーブル!$B$3,テーブル!$M$3:$O$8,2,FALSE),AF12&gt;VLOOKUP(テーブル!$B$3,テーブル!$M$3:$O$8,3,FALSE)),
"【要修正】"&amp;TEXT(VLOOKUP(テーブル!$B$3,テーブル!$M$3:$O$8,2,FALSE),"m月d日")&amp;"から"&amp;TEXT(VLOOKUP(テーブル!$B$3,テーブル!$M$3:$O$8,3,FALSE),"m月d日")&amp;"までの日付を入力してください。",
IF(OR(COUNTA(I12,K12,M12)=3,AND(AF12&gt;=VLOOKUP(テーブル!$B$3,テーブル!$M$3:$O$8,2,FALSE),AF12&lt;=VLOOKUP(テーブル!$B$3,テーブル!$M$3:$O$8,3,FALSE))),
"適切に入力がされました。")))),"")</f>
        <v>【要修正】2月1日から2月29日までの日付を入力してください。</v>
      </c>
      <c r="Q12" s="869"/>
      <c r="R12" s="869"/>
      <c r="S12" s="869"/>
      <c r="T12" s="869"/>
      <c r="U12" s="869"/>
      <c r="V12" s="869"/>
      <c r="W12" s="869"/>
      <c r="X12" s="869"/>
      <c r="Y12" s="869"/>
      <c r="Z12" s="869"/>
      <c r="AA12" s="869"/>
      <c r="AB12" s="870"/>
      <c r="AC12" s="36"/>
      <c r="AD12" s="36"/>
      <c r="AE12" s="672" t="str">
        <f t="shared" si="1"/>
        <v>提出日/</v>
      </c>
      <c r="AF12" s="2058" t="str">
        <f>IF(
AND(I12&lt;&gt;"",K12&lt;&gt;"",M12&lt;&gt;""),
DATE(IF(I12=5,2023,IF(I12=6,2024)),K12,M12),"")</f>
        <v/>
      </c>
      <c r="AG12" s="617"/>
    </row>
    <row r="13" spans="2:40" ht="24.95" customHeight="1" x14ac:dyDescent="0.4">
      <c r="B13" s="755"/>
      <c r="C13" s="766" t="s">
        <v>18</v>
      </c>
      <c r="D13" s="767"/>
      <c r="E13" s="767"/>
      <c r="F13" s="767"/>
      <c r="G13" s="768"/>
      <c r="H13" s="763"/>
      <c r="I13" s="764"/>
      <c r="J13" s="764"/>
      <c r="K13" s="764"/>
      <c r="L13" s="764"/>
      <c r="M13" s="764"/>
      <c r="N13" s="765"/>
      <c r="O13" s="35" t="s">
        <v>121</v>
      </c>
      <c r="P13" s="839" t="s">
        <v>143</v>
      </c>
      <c r="Q13" s="840"/>
      <c r="R13" s="840"/>
      <c r="S13" s="840"/>
      <c r="T13" s="840"/>
      <c r="U13" s="840"/>
      <c r="V13" s="840"/>
      <c r="W13" s="840"/>
      <c r="X13" s="840"/>
      <c r="Y13" s="840"/>
      <c r="Z13" s="840"/>
      <c r="AA13" s="840"/>
      <c r="AB13" s="867"/>
      <c r="AC13" s="36"/>
      <c r="AD13" s="36"/>
      <c r="AE13" s="672" t="str">
        <f t="shared" si="1"/>
        <v/>
      </c>
      <c r="AF13" s="52" t="s">
        <v>262</v>
      </c>
      <c r="AG13" s="253"/>
      <c r="AH13" s="253"/>
      <c r="AI13" s="253"/>
      <c r="AJ13" s="253"/>
      <c r="AK13" s="253"/>
    </row>
    <row r="14" spans="2:40" ht="24.95" customHeight="1" x14ac:dyDescent="0.4">
      <c r="B14" s="755"/>
      <c r="C14" s="766" t="s">
        <v>19</v>
      </c>
      <c r="D14" s="767"/>
      <c r="E14" s="767"/>
      <c r="F14" s="767"/>
      <c r="G14" s="768"/>
      <c r="H14" s="763"/>
      <c r="I14" s="764"/>
      <c r="J14" s="764"/>
      <c r="K14" s="764"/>
      <c r="L14" s="764"/>
      <c r="M14" s="764"/>
      <c r="N14" s="765"/>
      <c r="O14" s="35" t="str">
        <f>IF(COUNTA(H14)=0,"×","○")</f>
        <v>×</v>
      </c>
      <c r="P14" s="791" t="str">
        <f>IF(COUNTA(H14)=0,"【要修正】ご担当される方の所属あるいは職名（医師、事務等）を入力してください。","適切に入力がされました。")</f>
        <v>【要修正】ご担当される方の所属あるいは職名（医師、事務等）を入力してください。</v>
      </c>
      <c r="Q14" s="844"/>
      <c r="R14" s="844"/>
      <c r="S14" s="844"/>
      <c r="T14" s="844"/>
      <c r="U14" s="844"/>
      <c r="V14" s="844"/>
      <c r="W14" s="844"/>
      <c r="X14" s="841"/>
      <c r="Y14" s="841"/>
      <c r="Z14" s="841"/>
      <c r="AA14" s="841"/>
      <c r="AB14" s="842"/>
      <c r="AC14" s="32"/>
      <c r="AD14" s="32"/>
      <c r="AE14" s="672" t="str">
        <f t="shared" si="1"/>
        <v>担当部署/</v>
      </c>
      <c r="AF14" s="672" t="str">
        <f t="shared" ref="AF14:AF15" si="2">DBCS(H14)</f>
        <v/>
      </c>
      <c r="AI14" s="97"/>
      <c r="AJ14" s="97"/>
      <c r="AK14" s="97"/>
    </row>
    <row r="15" spans="2:40" ht="24.95" customHeight="1" x14ac:dyDescent="0.4">
      <c r="B15" s="755"/>
      <c r="C15" s="766" t="s">
        <v>20</v>
      </c>
      <c r="D15" s="767"/>
      <c r="E15" s="767"/>
      <c r="F15" s="767"/>
      <c r="G15" s="768"/>
      <c r="H15" s="763"/>
      <c r="I15" s="764"/>
      <c r="J15" s="764"/>
      <c r="K15" s="764"/>
      <c r="L15" s="764"/>
      <c r="M15" s="764"/>
      <c r="N15" s="765"/>
      <c r="O15" s="35" t="str">
        <f>IF(COUNTA(H15)=0,"×","○")</f>
        <v>×</v>
      </c>
      <c r="P15" s="791" t="str">
        <f>IF(COUNTA(H15)=0,"【要修正】この申請をご担当される方の氏名（フルネーム）を入力してください。（例：愛知太郎）","適切に入力がされました。")</f>
        <v>【要修正】この申請をご担当される方の氏名（フルネーム）を入力してください。（例：愛知太郎）</v>
      </c>
      <c r="Q15" s="844"/>
      <c r="R15" s="844"/>
      <c r="S15" s="844"/>
      <c r="T15" s="844"/>
      <c r="U15" s="844"/>
      <c r="V15" s="844"/>
      <c r="W15" s="844"/>
      <c r="X15" s="841"/>
      <c r="Y15" s="841"/>
      <c r="Z15" s="841"/>
      <c r="AA15" s="841"/>
      <c r="AB15" s="842"/>
      <c r="AC15" s="32"/>
      <c r="AD15" s="32"/>
      <c r="AE15" s="672" t="str">
        <f t="shared" si="1"/>
        <v>担当者名/</v>
      </c>
      <c r="AF15" s="672" t="str">
        <f t="shared" si="2"/>
        <v/>
      </c>
    </row>
    <row r="16" spans="2:40" ht="24.95" customHeight="1" x14ac:dyDescent="0.4">
      <c r="B16" s="755"/>
      <c r="C16" s="766" t="s">
        <v>108</v>
      </c>
      <c r="D16" s="767"/>
      <c r="E16" s="767"/>
      <c r="F16" s="767"/>
      <c r="G16" s="768"/>
      <c r="H16" s="871"/>
      <c r="I16" s="872"/>
      <c r="J16" s="873"/>
      <c r="K16" s="872"/>
      <c r="L16" s="873"/>
      <c r="M16" s="874"/>
      <c r="N16" s="284"/>
      <c r="O16" s="35" t="str">
        <f>IF(COUNTA(H16,J16,L16)=3,"○","×")</f>
        <v>×</v>
      </c>
      <c r="P16" s="791" t="str">
        <f>IF(O16="×","【要修正】《ハイフンは入力不要》やりとりをするための電話番号を入力してください。","適切に入力がされました。")</f>
        <v>【要修正】《ハイフンは入力不要》やりとりをするための電話番号を入力してください。</v>
      </c>
      <c r="Q16" s="844"/>
      <c r="R16" s="844"/>
      <c r="S16" s="844"/>
      <c r="T16" s="844"/>
      <c r="U16" s="844"/>
      <c r="V16" s="844"/>
      <c r="W16" s="844"/>
      <c r="X16" s="841"/>
      <c r="Y16" s="841"/>
      <c r="Z16" s="841"/>
      <c r="AA16" s="841"/>
      <c r="AB16" s="842"/>
      <c r="AC16" s="32"/>
      <c r="AD16" s="32"/>
      <c r="AE16" s="672" t="str">
        <f t="shared" si="1"/>
        <v>電話番号（担当直通）/</v>
      </c>
      <c r="AF16" s="155" t="str">
        <f>ASC(H16)&amp;"-"&amp;ASC(J16)&amp;"-"&amp;ASC(L16)</f>
        <v>--</v>
      </c>
    </row>
    <row r="17" spans="2:38" ht="24.95" customHeight="1" thickBot="1" x14ac:dyDescent="0.45">
      <c r="B17" s="755"/>
      <c r="C17" s="766" t="s">
        <v>109</v>
      </c>
      <c r="D17" s="767"/>
      <c r="E17" s="767"/>
      <c r="F17" s="767"/>
      <c r="G17" s="768"/>
      <c r="H17" s="845"/>
      <c r="I17" s="846"/>
      <c r="J17" s="846"/>
      <c r="K17" s="846"/>
      <c r="L17" s="846"/>
      <c r="M17" s="846"/>
      <c r="N17" s="847"/>
      <c r="O17" s="35" t="str">
        <f>IF(COUNTA(H17)=0,"×","○")</f>
        <v>×</v>
      </c>
      <c r="P17" s="791" t="str">
        <f>IF(COUNTA(H17)=0,"【要修正】【重要：間違えないように】やりとりをするためのメールアドレスを入力してください。","適切に入力がされました。")</f>
        <v>【要修正】【重要：間違えないように】やりとりをするためのメールアドレスを入力してください。</v>
      </c>
      <c r="Q17" s="844"/>
      <c r="R17" s="844"/>
      <c r="S17" s="844"/>
      <c r="T17" s="844"/>
      <c r="U17" s="844"/>
      <c r="V17" s="844"/>
      <c r="W17" s="844"/>
      <c r="X17" s="841"/>
      <c r="Y17" s="841"/>
      <c r="Z17" s="841"/>
      <c r="AA17" s="841"/>
      <c r="AB17" s="842"/>
      <c r="AC17" s="32"/>
      <c r="AD17" s="32"/>
      <c r="AE17" s="672" t="str">
        <f t="shared" si="1"/>
        <v>Mailｱﾄﾞﾚｽ（担当直通）/</v>
      </c>
      <c r="AF17" s="155" t="str">
        <f>ASC(H17)</f>
        <v/>
      </c>
    </row>
    <row r="18" spans="2:38" ht="29.45" hidden="1" customHeight="1" thickBot="1" x14ac:dyDescent="0.45">
      <c r="B18" s="756"/>
      <c r="C18" s="807" t="str">
        <f xml:space="preserve">
IF(テーブル!B3="交付申請","－",
IF(テーブル!B3="変更申請","既交付決定通知番号",
IF(テーブル!B3="実績報告（１次）","既交付決定通知番号",
IF(テーブル!B3="交付申請（２次）","－",
IF(テーブル!B3="交付申請兼実績報告（２次）","－",
IF(テーブル!B3="実績報告（２次）","既交付決定通知番号"""))))))</f>
        <v>－</v>
      </c>
      <c r="D18" s="808"/>
      <c r="E18" s="808"/>
      <c r="F18" s="808"/>
      <c r="G18" s="809"/>
      <c r="H18" s="889" t="str">
        <f xml:space="preserve">
IF(テーブル!B3="交付申請","",
IF(テーブル!B3="変更申請","５感対第〇〇〇〇－",
IF(テーブル!B3="実績報告（１次）","５感対第〇〇〇〇－",
IF(テーブル!B3="交付申請（２次）","",
IF(テーブル!B3="交付申請兼実績報告（２次）","",
IF(テーブル!B3="実績報告（２次）","５感対第〇〇〇〇－"))))))</f>
        <v/>
      </c>
      <c r="I18" s="890"/>
      <c r="J18" s="890"/>
      <c r="K18" s="890"/>
      <c r="L18" s="888">
        <v>1001</v>
      </c>
      <c r="M18" s="888"/>
      <c r="N18" s="285" t="str">
        <f xml:space="preserve">
IF(テーブル!B3="交付申請","",
IF(テーブル!B3="変更申請","号",
IF(テーブル!B3="実績報告（１次）","号",
IF(テーブル!B3="交付申請（２次）","",
IF(テーブル!B3="交付申請兼実績報告（２次）","",
IF(テーブル!B3="実績報告（２次）","号"))))))</f>
        <v/>
      </c>
      <c r="O18" s="255" t="str">
        <f xml:space="preserve">
IF(テーブル!B3="交付申請","○",
IF(AND(テーブル!B3="変更申請",COUNTA(L18)=1),"○",
IF(AND(テーブル!B3="実績報告（１次）",COUNTA(L18)=1),"○",
IF(テーブル!B3="交付申請（２次）","○",
IF(テーブル!B3="交付申請兼実績報告（２次）","○",
IF(AND(テーブル!B3="実績報告（２次）",COUNTA(L18)=1),"○","×"))))))</f>
        <v>○</v>
      </c>
      <c r="P18" s="720" t="str">
        <f xml:space="preserve">
IF(テーブル!B3="交付申請","－",
IF(AND(テーブル!B3="変更申請",COUNTA(L18)=1),"適切に入力がされました。",
IF(AND(テーブル!B3="実績報告（１次）",COUNTA(L18)=1),"適切に入力がされました。",
IF(テーブル!B3="交付申請（２次）","－",
IF(テーブル!B3="交付申請兼実績報告（２次）","－",
IF(AND(テーブル!B3="実績報告（２次）",COUNTA(L18)=1),"適切に入力がされました。","【要修正】交付決定通知書に記載の番号を選択してください。"))))))</f>
        <v>－</v>
      </c>
      <c r="Q18" s="816"/>
      <c r="R18" s="816"/>
      <c r="S18" s="816"/>
      <c r="T18" s="816"/>
      <c r="U18" s="816"/>
      <c r="V18" s="816"/>
      <c r="W18" s="816"/>
      <c r="X18" s="816"/>
      <c r="Y18" s="816"/>
      <c r="Z18" s="816"/>
      <c r="AA18" s="816"/>
      <c r="AB18" s="817"/>
      <c r="AC18" s="32"/>
      <c r="AD18" s="32"/>
      <c r="AE18" s="672" t="str">
        <f t="shared" si="1"/>
        <v/>
      </c>
      <c r="AF18" s="52" t="s">
        <v>262</v>
      </c>
      <c r="AG18" s="48" t="str">
        <f>IF(L18="","",IF(L18="新規","新規","診検第"&amp;L18&amp;"号"))</f>
        <v>診検第1001号</v>
      </c>
      <c r="AL18" s="48" t="s">
        <v>185</v>
      </c>
    </row>
    <row r="19" spans="2:38" ht="24.95" customHeight="1" thickTop="1" x14ac:dyDescent="0.4">
      <c r="B19" s="772" t="s">
        <v>190</v>
      </c>
      <c r="C19" s="778" t="s">
        <v>926</v>
      </c>
      <c r="D19" s="891"/>
      <c r="E19" s="891"/>
      <c r="F19" s="891"/>
      <c r="G19" s="892"/>
      <c r="H19" s="256"/>
      <c r="I19" s="257"/>
      <c r="J19" s="257"/>
      <c r="K19" s="258"/>
      <c r="L19" s="821"/>
      <c r="M19" s="821"/>
      <c r="N19" s="822"/>
      <c r="O19" s="254" t="str">
        <f xml:space="preserve">
IF(AND(テーブル!$B$3="交付申請",COUNTA(H19:K19)=4),"○",
IF(AND(テーブル!$B$3="交付申請",COUNTA(H19:K19)&lt;&gt;4),"×",
IF(テーブル!$B$3="変更申請","○",
IF(テーブル!$B$3="実績報告（１次）","○",
IF(AND(テーブル!$B$3="交付申請（２次）",COUNTA(H19:K19)=4),"○",
IF(AND(テーブル!$B$3="交付申請（２次）",COUNTA(H19:K19)&lt;&gt;4),"×",
IF(AND(テーブル!$B$3="交付申請兼実績報告（２次）",COUNTA(H19:K19)=4),"○",
IF(AND(テーブル!$B$3="交付申請兼実績報告（２次）",COUNTA(H19:K19)&lt;&gt;4),"×",
IF(テーブル!$B$3="実績報告（２次）","○")))))))))</f>
        <v>×</v>
      </c>
      <c r="P19" s="875" t="str">
        <f xml:space="preserve">
IF(AND(テーブル!$B$3="交付申請",COUNTA(H19:K19)=4),"適切に入力がされました。",
IF(AND(テーブル!$B$3="交付申請",COUNTA(H19:K19)&lt;&gt;4),"【要修正】振込先口座の金融機関コード（４桁）を入力してください。",
IF(テーブル!$B$3="変更申請","－",
IF(テーブル!$B$3="実績報告（１次）","－",
IF(AND(テーブル!$B$3="交付申請（２次）",COUNTA(H19:K19)=4),"適切に入力がされました。",
IF(AND(テーブル!$B$3="交付申請（２次）",COUNTA(H19:K19)&lt;&gt;4),"【要修正】振込先口座の金融機関コード（４桁）を入力してください。",
IF(AND(テーブル!$B$3="交付申請兼実績報告（２次）",COUNTA(H19:K19)=4),"適切に入力がされました。",
IF(AND(テーブル!$B$3="交付申請兼実績報告（２次）",COUNTA(H19:K19)&lt;&gt;4),"【要修正】振込先口座の金融機関コード（４桁）を入力してください。",
IF(テーブル!$B$3="実績報告（２次）","－")))))))))</f>
        <v>【要修正】振込先口座の金融機関コード（４桁）を入力してください。</v>
      </c>
      <c r="Q19" s="876"/>
      <c r="R19" s="876"/>
      <c r="S19" s="876"/>
      <c r="T19" s="876"/>
      <c r="U19" s="876"/>
      <c r="V19" s="876"/>
      <c r="W19" s="876"/>
      <c r="X19" s="876"/>
      <c r="Y19" s="876"/>
      <c r="Z19" s="876"/>
      <c r="AA19" s="876"/>
      <c r="AB19" s="877"/>
      <c r="AC19" s="32"/>
      <c r="AD19" s="32"/>
      <c r="AE19" s="672" t="str">
        <f t="shared" si="1"/>
        <v>金融機関番号/</v>
      </c>
      <c r="AF19" s="155" t="str">
        <f>ASC(H19&amp;I19&amp;J19&amp;K19)</f>
        <v/>
      </c>
      <c r="AL19" s="48" t="s">
        <v>186</v>
      </c>
    </row>
    <row r="20" spans="2:38" ht="24.95" customHeight="1" x14ac:dyDescent="0.4">
      <c r="B20" s="773"/>
      <c r="C20" s="827" t="s">
        <v>188</v>
      </c>
      <c r="D20" s="828"/>
      <c r="E20" s="828"/>
      <c r="F20" s="828"/>
      <c r="G20" s="829"/>
      <c r="H20" s="763"/>
      <c r="I20" s="825"/>
      <c r="J20" s="825"/>
      <c r="K20" s="825"/>
      <c r="L20" s="825"/>
      <c r="M20" s="825"/>
      <c r="N20" s="826"/>
      <c r="O20" s="35" t="str">
        <f xml:space="preserve">
IF(AND(テーブル!$B$3="交付申請",COUNTA(H20)=1),"○",
IF(AND(テーブル!$B$3="交付申請",COUNTA(H20)&lt;&gt;1),"×",
IF(テーブル!$B$3="変更申請","○",
IF(テーブル!$B$3="実績報告（１次）","○",
IF(AND(テーブル!$B$3="交付申請（２次）",COUNTA(H20)=1),"○",
IF(AND(テーブル!$B$3="交付申請（２次）",COUNTA(H20)&lt;&gt;1),"×",
IF(AND(テーブル!$B$3="交付申請兼実績報告（２次）",COUNTA(H20)=1),"○",
IF(AND(テーブル!$B$3="交付申請兼実績報告（２次）",COUNTA(H20)&lt;&gt;1),"×",
IF(テーブル!$B$3="実績報告（２次）","○")))))))))</f>
        <v>×</v>
      </c>
      <c r="P20" s="757" t="str">
        <f xml:space="preserve">
IF(AND(テーブル!$B$3="交付申請",COUNTA(H20)=1),"適切に入力がされました。",
IF(AND(テーブル!$B$3="交付申請",COUNTA(H20)&lt;&gt;1),"【要修正】振込先口座の金融機関名を入力してください。",
IF(テーブル!$B$3="変更申請","－",
IF(テーブル!$B$3="実績報告（１次）","－",
IF(AND(テーブル!$B$3="交付申請（２次）",COUNTA(H20)=1),"適切に入力がされました。",
IF(AND(テーブル!$B$3="交付申請（２次）",COUNTA(H20)&lt;&gt;1),"【要修正】振込先口座の金融機関名を入力してください。",
IF(AND(テーブル!$B$3="交付申請兼実績報告（２次）",COUNTA(H20)=1),"適切に入力がされました。",
IF(AND(テーブル!$B$3="交付申請兼実績報告（２次）",COUNTA(H20)&lt;&gt;1),"【要修正】振込先口座の金融機関名を入力してください。",
IF(テーブル!$B$3="実績報告（２次）","－")))))))))</f>
        <v>【要修正】振込先口座の金融機関名を入力してください。</v>
      </c>
      <c r="Q20" s="758"/>
      <c r="R20" s="758"/>
      <c r="S20" s="758"/>
      <c r="T20" s="758"/>
      <c r="U20" s="758"/>
      <c r="V20" s="758"/>
      <c r="W20" s="758"/>
      <c r="X20" s="758"/>
      <c r="Y20" s="758"/>
      <c r="Z20" s="758"/>
      <c r="AA20" s="758"/>
      <c r="AB20" s="759"/>
      <c r="AC20" s="32"/>
      <c r="AD20" s="32"/>
      <c r="AE20" s="672" t="str">
        <f t="shared" si="1"/>
        <v>金融機関名/</v>
      </c>
      <c r="AF20" s="155" t="str">
        <f t="shared" ref="AF20:AF22" si="3">ASC(H20)</f>
        <v/>
      </c>
    </row>
    <row r="21" spans="2:38" ht="24.95" customHeight="1" x14ac:dyDescent="0.4">
      <c r="B21" s="773"/>
      <c r="C21" s="827" t="s">
        <v>927</v>
      </c>
      <c r="D21" s="828"/>
      <c r="E21" s="828"/>
      <c r="F21" s="828"/>
      <c r="G21" s="829"/>
      <c r="H21" s="158"/>
      <c r="I21" s="159"/>
      <c r="J21" s="160"/>
      <c r="K21" s="823"/>
      <c r="L21" s="823"/>
      <c r="M21" s="823"/>
      <c r="N21" s="824"/>
      <c r="O21" s="35" t="str">
        <f xml:space="preserve">
IF(AND(テーブル!$B$3="交付申請",COUNTA(H21:J21)=3),"○",
IF(AND(テーブル!$B$3="交付申請",COUNTA(H21:J21)&lt;&gt;3),"×",
IF(テーブル!$B$3="変更申請","○",
IF(テーブル!$B$3="実績報告（１次）","○",
IF(AND(テーブル!$B$3="交付申請（２次）",COUNTA(H21:J21)=3),"○",
IF(AND(テーブル!$B$3="交付申請（２次）",COUNTA(H21:J21)&lt;&gt;3),"×",
IF(AND(テーブル!$B$3="交付申請兼実績報告（２次）",COUNTA(H21:J21)=3),"○",
IF(AND(テーブル!$B$3="交付申請兼実績報告（２次）",COUNTA(H21:J21)&lt;&gt;3),"×",
IF(テーブル!$B$3="実績報告（２次）","○")))))))))</f>
        <v>×</v>
      </c>
      <c r="P21" s="757" t="str">
        <f xml:space="preserve">
IF(AND(テーブル!$B$3="交付申請",COUNTA(H21:J21)=3),"適切に入力がされました。",
IF(AND(テーブル!$B$3="交付申請",COUNTA(H21:J21)&lt;&gt;3),"【要修正】振込先口座の支店コード（３桁）を入力してください。",
IF(テーブル!$B$3="変更申請","－",
IF(テーブル!$B$3="実績報告（１次）","－",
IF(AND(テーブル!$B$3="交付申請（２次）",COUNTA(H21:J21)=3),"適切に入力がされました。",
IF(AND(テーブル!$B$3="交付申請（２次）",COUNTA(H21:J21)&lt;&gt;3),"【要修正】振込先口座の支店コード（３桁）を入力してください。",
IF(AND(テーブル!$B$3="交付申請兼実績報告（２次）",COUNTA(H21:J21)=3),"適切に入力がされました。",
IF(AND(テーブル!$B$3="交付申請兼実績報告（２次）",COUNTA(H21:J21)&lt;&gt;3),"【要修正】振込先口座の支店コード（３桁）を入力してください。",
IF(テーブル!$B$3="実績報告（２次）","－")))))))))</f>
        <v>【要修正】振込先口座の支店コード（３桁）を入力してください。</v>
      </c>
      <c r="Q21" s="758"/>
      <c r="R21" s="758"/>
      <c r="S21" s="758"/>
      <c r="T21" s="758"/>
      <c r="U21" s="758"/>
      <c r="V21" s="758"/>
      <c r="W21" s="758"/>
      <c r="X21" s="758"/>
      <c r="Y21" s="758"/>
      <c r="Z21" s="758"/>
      <c r="AA21" s="758"/>
      <c r="AB21" s="759"/>
      <c r="AC21" s="32"/>
      <c r="AD21" s="32"/>
      <c r="AE21" s="672" t="str">
        <f t="shared" si="1"/>
        <v>支店番号/</v>
      </c>
      <c r="AF21" s="155" t="str">
        <f>ASC(H19&amp;I19&amp;J19&amp;K19&amp;H21&amp;I21&amp;J21)</f>
        <v/>
      </c>
    </row>
    <row r="22" spans="2:38" ht="24.95" customHeight="1" x14ac:dyDescent="0.4">
      <c r="B22" s="773"/>
      <c r="C22" s="827" t="s">
        <v>192</v>
      </c>
      <c r="D22" s="828"/>
      <c r="E22" s="828"/>
      <c r="F22" s="828"/>
      <c r="G22" s="829"/>
      <c r="H22" s="763"/>
      <c r="I22" s="825"/>
      <c r="J22" s="825"/>
      <c r="K22" s="825"/>
      <c r="L22" s="825"/>
      <c r="M22" s="825"/>
      <c r="N22" s="826"/>
      <c r="O22" s="35" t="str">
        <f xml:space="preserve">
IF(AND(テーブル!$B$3="交付申請",COUNTA(H22)=1),"○",
IF(AND(テーブル!$B$3="交付申請",COUNTA(H22)&lt;&gt;1),"×",
IF(テーブル!$B$3="変更申請","○",
IF(テーブル!$B$3="実績報告（１次）","○",
IF(AND(テーブル!$B$3="交付申請（２次）",COUNTA(H22)=1),"○",
IF(AND(テーブル!$B$3="交付申請（２次）",COUNTA(H22)&lt;&gt;1),"×",
IF(AND(テーブル!$B$3="交付申請兼実績報告（２次）",COUNTA(H22)=1),"○",
IF(AND(テーブル!$B$3="交付申請兼実績報告（２次）",COUNTA(H22)&lt;&gt;1),"×",
IF(テーブル!$B$3="実績報告（２次）","○")))))))))</f>
        <v>×</v>
      </c>
      <c r="P22" s="757" t="str">
        <f xml:space="preserve">
IF(AND(テーブル!$B$3="交付申請",COUNTA(H22)=1),"適切に入力がされました。",
IF(AND(テーブル!$B$3="交付申請",COUNTA(H22)&lt;&gt;1),"【要修正】振込先口座の店名（支店名）を入力してください。",
IF(テーブル!$B$3="変更申請","－",
IF(テーブル!$B$3="実績報告（１次）","－",
IF(AND(テーブル!$B$3="交付申請（２次）",COUNTA(H22)=1),"適切に入力がされました。",
IF(AND(テーブル!$B$3="交付申請（２次）",COUNTA(H22)&lt;&gt;1),"【要修正】振込先口座の店名（支店名）を入力してください。",
IF(AND(テーブル!$B$3="交付申請兼実績報告（２次）",COUNTA(H22)=1),"適切に入力がされました。",
IF(AND(テーブル!$B$3="交付申請兼実績報告（２次）",COUNTA(H22)&lt;&gt;1),"【要修正】振込先口座の店名（支店名）を入力してください。",
IF(テーブル!$B$3="実績報告（２次）","－")))))))))</f>
        <v>【要修正】振込先口座の店名（支店名）を入力してください。</v>
      </c>
      <c r="Q22" s="758"/>
      <c r="R22" s="758"/>
      <c r="S22" s="758"/>
      <c r="T22" s="758"/>
      <c r="U22" s="758"/>
      <c r="V22" s="758"/>
      <c r="W22" s="758"/>
      <c r="X22" s="758"/>
      <c r="Y22" s="758"/>
      <c r="Z22" s="758"/>
      <c r="AA22" s="758"/>
      <c r="AB22" s="759"/>
      <c r="AC22" s="32"/>
      <c r="AD22" s="32"/>
      <c r="AE22" s="672" t="str">
        <f t="shared" si="1"/>
        <v>店名/</v>
      </c>
      <c r="AF22" s="155" t="str">
        <f t="shared" si="3"/>
        <v/>
      </c>
    </row>
    <row r="23" spans="2:38" ht="24.95" customHeight="1" x14ac:dyDescent="0.4">
      <c r="B23" s="773"/>
      <c r="C23" s="827" t="s">
        <v>193</v>
      </c>
      <c r="D23" s="828"/>
      <c r="E23" s="828"/>
      <c r="F23" s="828"/>
      <c r="G23" s="829"/>
      <c r="H23" s="161"/>
      <c r="I23" s="886" t="s">
        <v>194</v>
      </c>
      <c r="J23" s="886"/>
      <c r="K23" s="886"/>
      <c r="L23" s="886"/>
      <c r="M23" s="886"/>
      <c r="N23" s="893"/>
      <c r="O23" s="35" t="str">
        <f xml:space="preserve">
IF(AND(テーブル!$B$3="交付申請",COUNTA(H23)=1),"○",
IF(AND(テーブル!$B$3="交付申請",COUNTA(H23)&lt;&gt;1),"×",
IF(テーブル!$B$3="変更申請","○",
IF(テーブル!$B$3="実績報告（１次）","○",
IF(AND(テーブル!$B$3="交付申請（２次）",COUNTA(H23)=1),"○",
IF(AND(テーブル!$B$3="交付申請（２次）",COUNTA(H23)&lt;&gt;1),"×",
IF(AND(テーブル!$B$3="交付申請兼実績報告（２次）",COUNTA(H23)=1),"○",
IF(AND(テーブル!$B$3="交付申請兼実績報告（２次）",COUNTA(H23)&lt;&gt;1),"×",
IF(テーブル!$B$3="実績報告（２次）","○")))))))))</f>
        <v>×</v>
      </c>
      <c r="P23" s="757" t="str">
        <f xml:space="preserve">
IF(AND(テーブル!$B$3="交付申請",COUNTA(H23)=1),"適切に入力がされました。",
IF(AND(テーブル!$B$3="交付申請",COUNTA(H23)&lt;&gt;1),"【要修正】預金口座種別を選択してください。",
IF(テーブル!$B$3="変更申請","－",
IF(テーブル!$B$3="実績報告（１次）","－",
IF(AND(テーブル!$B$3="交付申請（２次）",COUNTA(H23)=1),"適切に入力がされました。",
IF(AND(テーブル!$B$3="交付申請（２次）",COUNTA(H23)&lt;&gt;1),"【要修正】預金口座種別を選択してください。",
IF(AND(テーブル!$B$3="交付申請兼実績報告（２次）",COUNTA(H23)=1),"適切に入力がされました。",
IF(AND(テーブル!$B$3="交付申請兼実績報告（２次）",COUNTA(H23)&lt;&gt;1),"【要修正】預金口座種別を選択してください。",
IF(テーブル!$B$3="実績報告（２次）","－")))))))))</f>
        <v>【要修正】預金口座種別を選択してください。</v>
      </c>
      <c r="Q23" s="894"/>
      <c r="R23" s="894"/>
      <c r="S23" s="894"/>
      <c r="T23" s="894"/>
      <c r="U23" s="894"/>
      <c r="V23" s="894"/>
      <c r="W23" s="894"/>
      <c r="X23" s="894"/>
      <c r="Y23" s="894"/>
      <c r="Z23" s="894"/>
      <c r="AA23" s="894"/>
      <c r="AB23" s="895"/>
      <c r="AC23" s="32"/>
      <c r="AD23" s="32"/>
      <c r="AE23" s="672" t="str">
        <f t="shared" si="1"/>
        <v>預金種類/</v>
      </c>
      <c r="AF23" s="155" t="str">
        <f>ASC(H23)</f>
        <v/>
      </c>
      <c r="AL23" s="47">
        <v>1</v>
      </c>
    </row>
    <row r="24" spans="2:38" ht="24.95" customHeight="1" x14ac:dyDescent="0.4">
      <c r="B24" s="773"/>
      <c r="C24" s="827" t="s">
        <v>1371</v>
      </c>
      <c r="D24" s="828"/>
      <c r="E24" s="828"/>
      <c r="F24" s="828"/>
      <c r="G24" s="829"/>
      <c r="H24" s="158"/>
      <c r="I24" s="159"/>
      <c r="J24" s="159"/>
      <c r="K24" s="159"/>
      <c r="L24" s="159"/>
      <c r="M24" s="159"/>
      <c r="N24" s="160"/>
      <c r="O24" s="35" t="str">
        <f xml:space="preserve">
IF(AND(テーブル!$B$3="交付申請",COUNTA(H24:N24)=7),"○",
IF(AND(テーブル!$B$3="交付申請",COUNTA(H24:N24)&lt;&gt;7),"×",
IF(テーブル!$B$3="変更申請","○",
IF(テーブル!$B$3="実績報告（１次）","○",
IF(AND(テーブル!$B$3="交付申請（２次）",COUNTA(H24:N24)=7),"○",
IF(AND(テーブル!$B$3="交付申請（２次）",COUNTA(H24:N24)&lt;&gt;7),"×",
IF(AND(テーブル!$B$3="交付申請兼実績報告（２次）",COUNTA(H24:N24)=7),"○",
IF(AND(テーブル!$B$3="交付申請兼実績報告（２次）",COUNTA(H24:N24)&lt;&gt;7),"×",
IF(テーブル!$B$3="実績報告（２次）","○")))))))))</f>
        <v>×</v>
      </c>
      <c r="P24" s="757" t="str">
        <f xml:space="preserve">
IF(AND(テーブル!$B$3="交付申請",COUNTA(H24:N24)=7),"適切に入力がされました。",
IF(AND(テーブル!$B$3="交付申請",COUNTA(H24:N24)&lt;&gt;7),"【要修正】振込先口座番号（７桁）を入力してください。（７桁以下の番号は先頭に「0」を入力。）",
IF(テーブル!$B$3="変更申請","－",
IF(AND(テーブル!$B$3="実績報告（１次）",COUNTA(H24:N24)=7),"適切に入力がされました。",
IF(AND(テーブル!$B$3="実績報告（１次）",COUNTA(H24:N24)&lt;&gt;7),"【要修正】振込先口座番号（７桁）を入力してください。（７桁以下の番号は先頭に「0」を入力。）",
IF(AND(テーブル!$B$3="交付申請（２次）",COUNTA(H24:N24)=7),"適切に入力がされました。",
IF(AND(テーブル!$B$3="交付申請（２次）",COUNTA(H24:N24)&lt;&gt;7),"【要修正】振込先口座番号（７桁）を入力してください。（７桁以下の番号は先頭に「0」を入力。）",
IF(AND(テーブル!$B$3="交付申請兼実績報告（２次）",COUNTA(H24:N24)=7),"適切に入力がされました。",
IF(AND(テーブル!$B$3="交付申請兼実績報告（２次）",COUNTA(H24:N24)&lt;&gt;7),"【要修正】振込先口座番号（７桁）を入力してください。（７桁以下の番号は先頭に「0」を入力。）",
IF(AND(テーブル!$B$3="実績報告（１次）",COUNTA(H24:N24)=7),"適切に入力がされました。",
IF(AND(テーブル!$B$3="実績報告（２次）",COUNTA(H24:N24)&lt;&gt;7),"【要修正】振込先口座番号（７桁）を入力してください。（７桁以下の番号は先頭に「0」を入力。）")))))))))))</f>
        <v>【要修正】振込先口座番号（７桁）を入力してください。（７桁以下の番号は先頭に「0」を入力。）</v>
      </c>
      <c r="Q24" s="758"/>
      <c r="R24" s="758"/>
      <c r="S24" s="758"/>
      <c r="T24" s="758"/>
      <c r="U24" s="758"/>
      <c r="V24" s="758"/>
      <c r="W24" s="758"/>
      <c r="X24" s="758"/>
      <c r="Y24" s="758"/>
      <c r="Z24" s="758"/>
      <c r="AA24" s="758"/>
      <c r="AB24" s="759"/>
      <c r="AC24" s="32"/>
      <c r="AD24" s="32"/>
      <c r="AE24" s="672" t="str">
        <f t="shared" si="1"/>
        <v>振込先口座番号/</v>
      </c>
      <c r="AF24" s="156" t="str">
        <f>ASC(H24&amp;I24&amp;J24&amp;K24&amp;L24&amp;M24&amp;N24)</f>
        <v/>
      </c>
      <c r="AL24" s="47">
        <v>2</v>
      </c>
    </row>
    <row r="25" spans="2:38" ht="24.95" customHeight="1" thickBot="1" x14ac:dyDescent="0.45">
      <c r="B25" s="774"/>
      <c r="C25" s="810" t="s">
        <v>187</v>
      </c>
      <c r="D25" s="811"/>
      <c r="E25" s="811"/>
      <c r="F25" s="811"/>
      <c r="G25" s="812"/>
      <c r="H25" s="813"/>
      <c r="I25" s="814"/>
      <c r="J25" s="814"/>
      <c r="K25" s="814"/>
      <c r="L25" s="814"/>
      <c r="M25" s="814"/>
      <c r="N25" s="815"/>
      <c r="O25" s="255" t="str">
        <f xml:space="preserve">
IF(AND(テーブル!$B$3="交付申請",COUNTA(H25)=1),"○",
IF(AND(テーブル!$B$3="交付申請",COUNTA(H25)&lt;&gt;1),"×",
IF(テーブル!$B$3="変更申請","○",
IF(テーブル!$B$3="実績報告（１次）","○",
IF(AND(テーブル!$B$3="交付申請（２次）",COUNTA(H25)=1),"○",
IF(AND(テーブル!$B$3="交付申請（２次）",COUNTA(H25)&lt;&gt;1),"×",
IF(AND(テーブル!$B$3="交付申請兼実績報告（２次）",COUNTA(H25)=1),"○",
IF(AND(テーブル!$B$3="交付申請兼実績報告（２次）",COUNTA(H25)&lt;&gt;1),"×",
IF(テーブル!$B$3="実績報告（２次）","○")))))))))</f>
        <v>×</v>
      </c>
      <c r="P25" s="818" t="str">
        <f xml:space="preserve">
IF(AND(テーブル!$B$3="交付申請",COUNTA(H25)=1),"適切に入力がされました。",
IF(AND(テーブル!$B$3="交付申請",COUNTA(H25)&lt;&gt;1),"【要修正】振込先口座の名義（半角ｶﾅ）を入力してください。",
IF(テーブル!$B$3="変更申請","－",
IF(テーブル!$B$3="実績報告（１次）","－",
IF(AND(テーブル!$B$3="交付申請（２次）",COUNTA(H25)=1),"適切に入力がされました。",
IF(AND(テーブル!$B$3="交付申請（２次）",COUNTA(H25)&lt;&gt;1),"【要修正】振込先口座の名義（半角ｶﾅ）を入力してください。",
IF(AND(テーブル!$B$3="交付申請兼実績報告（２次）",COUNTA(H25)=1),"適切に入力がされました。",
IF(AND(テーブル!$B$3="交付申請兼実績報告（２次）",COUNTA(H25)&lt;&gt;1),"【要修正】振込先口座の名義（半角ｶﾅ）を入力してください。",
IF(テーブル!$B$3="実績報告（２次）","－")))))))))</f>
        <v>【要修正】振込先口座の名義（半角ｶﾅ）を入力してください。</v>
      </c>
      <c r="Q25" s="819"/>
      <c r="R25" s="819"/>
      <c r="S25" s="819"/>
      <c r="T25" s="819"/>
      <c r="U25" s="819"/>
      <c r="V25" s="819"/>
      <c r="W25" s="819"/>
      <c r="X25" s="819"/>
      <c r="Y25" s="819"/>
      <c r="Z25" s="819"/>
      <c r="AA25" s="819"/>
      <c r="AB25" s="820"/>
      <c r="AC25" s="32"/>
      <c r="AD25" s="32"/>
      <c r="AE25" s="672" t="str">
        <f>IF(O25="○","",C25&amp;"/")</f>
        <v>振込先口座名義（半角ｶﾅ）/</v>
      </c>
      <c r="AF25" s="155" t="str">
        <f>ASC(H25)</f>
        <v/>
      </c>
    </row>
    <row r="26" spans="2:38" ht="24.95" customHeight="1" thickTop="1" x14ac:dyDescent="0.4">
      <c r="B26" s="723" t="s">
        <v>1173</v>
      </c>
      <c r="C26" s="726" t="s">
        <v>1174</v>
      </c>
      <c r="D26" s="727"/>
      <c r="E26" s="734" t="s">
        <v>1176</v>
      </c>
      <c r="F26" s="735"/>
      <c r="G26" s="736"/>
      <c r="H26" s="746" t="s">
        <v>1180</v>
      </c>
      <c r="I26" s="747"/>
      <c r="J26" s="747"/>
      <c r="K26" s="747"/>
      <c r="L26" s="747"/>
      <c r="M26" s="747"/>
      <c r="N26" s="748"/>
      <c r="O26" s="254" t="str">
        <f>基礎情報!AZ14</f>
        <v>×</v>
      </c>
      <c r="P26" s="708" t="str">
        <f>IF(COUNTIF(O26:O28,"○")=3,"総合判定"&amp;CHAR(10)&amp;"【○】","総合判定"&amp;CHAR(10)&amp;"【×】")</f>
        <v>総合判定
【×】</v>
      </c>
      <c r="Q26" s="709"/>
      <c r="R26" s="714" t="str">
        <f t="shared" ref="R26:R27" si="4">IF(O26="×","【要修正】未入力または入力不十分（空欄、赤表示の欄がないか確認してください。）","適切に入力がされました。")</f>
        <v>【要修正】未入力または入力不十分（空欄、赤表示の欄がないか確認してください。）</v>
      </c>
      <c r="S26" s="715"/>
      <c r="T26" s="715"/>
      <c r="U26" s="715"/>
      <c r="V26" s="715"/>
      <c r="W26" s="715"/>
      <c r="X26" s="715"/>
      <c r="Y26" s="715"/>
      <c r="Z26" s="715"/>
      <c r="AA26" s="715"/>
      <c r="AB26" s="716"/>
      <c r="AC26" s="32"/>
      <c r="AD26" s="32"/>
      <c r="AE26" s="672" t="str">
        <f>IF(O26="○","","「基礎情報」シート("&amp;E26&amp;")/")</f>
        <v>「基礎情報」シート(１．診察情報)/</v>
      </c>
      <c r="AF26" s="155"/>
    </row>
    <row r="27" spans="2:38" ht="24.95" customHeight="1" x14ac:dyDescent="0.4">
      <c r="B27" s="724"/>
      <c r="C27" s="728"/>
      <c r="D27" s="729"/>
      <c r="E27" s="737" t="s">
        <v>1177</v>
      </c>
      <c r="F27" s="738"/>
      <c r="G27" s="739"/>
      <c r="H27" s="749"/>
      <c r="I27" s="750"/>
      <c r="J27" s="750"/>
      <c r="K27" s="750"/>
      <c r="L27" s="750"/>
      <c r="M27" s="750"/>
      <c r="N27" s="751"/>
      <c r="O27" s="35" t="str">
        <f>基礎情報!AZ30</f>
        <v>×</v>
      </c>
      <c r="P27" s="710"/>
      <c r="Q27" s="711"/>
      <c r="R27" s="717" t="str">
        <f t="shared" si="4"/>
        <v>【要修正】未入力または入力不十分（空欄、赤表示の欄がないか確認してください。）</v>
      </c>
      <c r="S27" s="718"/>
      <c r="T27" s="718"/>
      <c r="U27" s="718"/>
      <c r="V27" s="718"/>
      <c r="W27" s="718"/>
      <c r="X27" s="718"/>
      <c r="Y27" s="718"/>
      <c r="Z27" s="718"/>
      <c r="AA27" s="718"/>
      <c r="AB27" s="719"/>
      <c r="AC27" s="32"/>
      <c r="AD27" s="32"/>
      <c r="AE27" s="672" t="str">
        <f t="shared" ref="AE27:AE29" si="5">IF(O27="○","","「基礎情報」シート("&amp;E27&amp;")/")</f>
        <v>「基礎情報」シート(２．職員情報)/</v>
      </c>
      <c r="AF27" s="155"/>
    </row>
    <row r="28" spans="2:38" ht="24.95" customHeight="1" x14ac:dyDescent="0.4">
      <c r="B28" s="724"/>
      <c r="C28" s="730"/>
      <c r="D28" s="731"/>
      <c r="E28" s="737" t="s">
        <v>1178</v>
      </c>
      <c r="F28" s="738"/>
      <c r="G28" s="739"/>
      <c r="H28" s="752"/>
      <c r="I28" s="753"/>
      <c r="J28" s="753"/>
      <c r="K28" s="753"/>
      <c r="L28" s="753"/>
      <c r="M28" s="753"/>
      <c r="N28" s="754"/>
      <c r="O28" s="35" t="str">
        <f>基礎情報!AZ44</f>
        <v>×</v>
      </c>
      <c r="P28" s="712"/>
      <c r="Q28" s="713"/>
      <c r="R28" s="717" t="str">
        <f>IF(O28="×","【要修正】未入力または入力不十分（空欄、赤表示の欄がないか確認してください。）","適切に入力がされました。")</f>
        <v>【要修正】未入力または入力不十分（空欄、赤表示の欄がないか確認してください。）</v>
      </c>
      <c r="S28" s="718"/>
      <c r="T28" s="718"/>
      <c r="U28" s="718"/>
      <c r="V28" s="718"/>
      <c r="W28" s="718"/>
      <c r="X28" s="718"/>
      <c r="Y28" s="718"/>
      <c r="Z28" s="718"/>
      <c r="AA28" s="718"/>
      <c r="AB28" s="719"/>
      <c r="AC28" s="32"/>
      <c r="AD28" s="32"/>
      <c r="AE28" s="672" t="str">
        <f t="shared" si="5"/>
        <v>「基礎情報」シート(３．配置情報)/</v>
      </c>
      <c r="AF28" s="155"/>
    </row>
    <row r="29" spans="2:38" ht="24.95" customHeight="1" thickBot="1" x14ac:dyDescent="0.45">
      <c r="B29" s="725"/>
      <c r="C29" s="732" t="s">
        <v>1175</v>
      </c>
      <c r="D29" s="733"/>
      <c r="E29" s="740" t="s">
        <v>1179</v>
      </c>
      <c r="F29" s="741"/>
      <c r="G29" s="742"/>
      <c r="H29" s="743" t="s">
        <v>1200</v>
      </c>
      <c r="I29" s="744"/>
      <c r="J29" s="744"/>
      <c r="K29" s="744"/>
      <c r="L29" s="744"/>
      <c r="M29" s="744"/>
      <c r="N29" s="745"/>
      <c r="O29" s="255" t="str">
        <f>基礎情報!AZ66</f>
        <v>×</v>
      </c>
      <c r="P29" s="720" t="str">
        <f>基礎情報!BG66</f>
        <v>【要修正】防護具明細及び基礎情報「４」が入力不十分です。</v>
      </c>
      <c r="Q29" s="721"/>
      <c r="R29" s="721"/>
      <c r="S29" s="721"/>
      <c r="T29" s="721"/>
      <c r="U29" s="721"/>
      <c r="V29" s="721"/>
      <c r="W29" s="721"/>
      <c r="X29" s="721"/>
      <c r="Y29" s="721"/>
      <c r="Z29" s="721"/>
      <c r="AA29" s="721"/>
      <c r="AB29" s="722"/>
      <c r="AC29" s="32"/>
      <c r="AD29" s="32"/>
      <c r="AE29" s="672" t="str">
        <f t="shared" si="5"/>
        <v>「基礎情報」シート(４．防護具使用情報)/</v>
      </c>
      <c r="AF29" s="155"/>
    </row>
    <row r="30" spans="2:38" ht="24.95" customHeight="1" thickTop="1" x14ac:dyDescent="0.4">
      <c r="B30" s="905" t="s">
        <v>1172</v>
      </c>
      <c r="C30" s="778" t="s">
        <v>1163</v>
      </c>
      <c r="D30" s="779"/>
      <c r="E30" s="779"/>
      <c r="F30" s="779"/>
      <c r="G30" s="780"/>
      <c r="H30" s="260" t="s">
        <v>1171</v>
      </c>
      <c r="I30" s="2062" t="str">
        <f>額内訳書!L7</f>
        <v/>
      </c>
      <c r="J30" s="261" t="s">
        <v>76</v>
      </c>
      <c r="K30" s="2062" t="str">
        <f>額内訳書!N7</f>
        <v/>
      </c>
      <c r="L30" s="261" t="s">
        <v>1169</v>
      </c>
      <c r="M30" s="2062" t="str">
        <f>額内訳書!P7</f>
        <v/>
      </c>
      <c r="N30" s="262" t="s">
        <v>1170</v>
      </c>
      <c r="O30" s="254" t="str">
        <f xml:space="preserve">
IF(AND(P26="総合判定"&amp;CHAR(10)&amp;"【×】",空清機・パーテ・ベッド!AQ9="×"),"×",
IF(AND(P26="総合判定"&amp;CHAR(10)&amp;"【×】",空清機・パーテ・ベッド!AQ9="○"),"×",
IF(AND(P26="総合判定"&amp;CHAR(10)&amp;"【×】",空清機・パーテ・ベッド!AQ9="◎"),"×",
IF(AND(P26="総合判定"&amp;CHAR(10)&amp;"【○】",空清機・パーテ・ベッド!AQ9="×"),"×",
IF(AND(P26="総合判定"&amp;CHAR(10)&amp;"【○】",空清機・パーテ・ベッド!AQ9="○"),"○",
IF(AND(P26="総合判定"&amp;CHAR(10)&amp;"【○】",空清機・パーテ・ベッド!AQ9="◎"),"○"))))))</f>
        <v>×</v>
      </c>
      <c r="P30" s="908" t="str">
        <f xml:space="preserve">
IF(AND(P26="総合判定"&amp;CHAR(10)&amp;"【×】",空清機・パーテ・ベッド!AQ9="×"),"【要修正】基礎情報シート及び空気清浄機の明細シートが適切に入力されているか確認してください。",
IF(AND(P26="総合判定"&amp;CHAR(10)&amp;"【×】",空清機・パーテ・ベッド!AQ9="○"),"【要修正】基礎情報シートが適切に入力されているか確認してください。",
IF(AND(P26="総合判定"&amp;CHAR(10)&amp;"【×】",空清機・パーテ・ベッド!AQ9="◎"),"【要修正】基礎情報シートが適切に入力されているか確認してください。",
IF(AND(P26="総合判定"&amp;CHAR(10)&amp;"【○】",空清機・パーテ・ベッド!AQ9="×"),"【要修正】空気清浄機の明細シートが適切に入力されているか確認してください。",
IF(AND(P26="総合判定"&amp;CHAR(10)&amp;"【○】",空清機・パーテ・ベッド!AQ9="○"),"申請しない場合は入力不要です。",
IF(AND(P26="総合判定"&amp;CHAR(10)&amp;"【○】",空清機・パーテ・ベッド!AQ9="◎"),"適切に入力がされました。"))))))</f>
        <v>【要修正】基礎情報シートが適切に入力されているか確認してください。</v>
      </c>
      <c r="Q30" s="714"/>
      <c r="R30" s="714"/>
      <c r="S30" s="714"/>
      <c r="T30" s="714"/>
      <c r="U30" s="714"/>
      <c r="V30" s="714"/>
      <c r="W30" s="714"/>
      <c r="X30" s="714"/>
      <c r="Y30" s="714"/>
      <c r="Z30" s="714"/>
      <c r="AA30" s="714"/>
      <c r="AB30" s="909"/>
      <c r="AC30" s="32"/>
      <c r="AD30" s="32"/>
      <c r="AE30" s="672" t="str">
        <f>IF(O30="○","",C30&amp;"関係項目/")</f>
        <v>空気清浄機関係項目/</v>
      </c>
      <c r="AF30" s="272" t="str">
        <f xml:space="preserve">
IF(AND(I30&lt;&gt;"",K30&lt;&gt;"",M30&lt;&gt;""),DATE(IF(I30=5,2023,IF(I30=6,2024)),K30,M30),"")</f>
        <v/>
      </c>
      <c r="AG30" s="617" t="str">
        <f>IF(
AND(I30&lt;&gt;"",K30&lt;&gt;"",M30&lt;&gt;""),
DATE(IF(I30=5,2023,IF(I30=6,2024)),K30,M30),"")</f>
        <v/>
      </c>
      <c r="AH30" s="664" t="str">
        <f xml:space="preserve">
IF(I30=5,2023,
IF(I30=6,2024,""))</f>
        <v/>
      </c>
      <c r="AI30" s="664" t="str">
        <f>K30</f>
        <v/>
      </c>
      <c r="AJ30" s="664" t="str">
        <f>M30</f>
        <v/>
      </c>
    </row>
    <row r="31" spans="2:38" ht="24.95" customHeight="1" x14ac:dyDescent="0.4">
      <c r="B31" s="906"/>
      <c r="C31" s="827" t="s">
        <v>1164</v>
      </c>
      <c r="D31" s="901"/>
      <c r="E31" s="901"/>
      <c r="F31" s="901"/>
      <c r="G31" s="902"/>
      <c r="H31" s="250" t="s">
        <v>1171</v>
      </c>
      <c r="I31" s="2063" t="str">
        <f>額内訳書!L8</f>
        <v/>
      </c>
      <c r="J31" s="251" t="s">
        <v>76</v>
      </c>
      <c r="K31" s="2063" t="str">
        <f>額内訳書!N8</f>
        <v/>
      </c>
      <c r="L31" s="251" t="s">
        <v>1169</v>
      </c>
      <c r="M31" s="2063" t="str">
        <f>額内訳書!P8</f>
        <v/>
      </c>
      <c r="N31" s="252" t="s">
        <v>1170</v>
      </c>
      <c r="O31" s="35" t="str">
        <f xml:space="preserve">
IF(AND(P26="総合判定"&amp;CHAR(10)&amp;"【×】",空清機・パーテ・ベッド!AQ13="×"),"×",
IF(AND(P26="総合判定"&amp;CHAR(10)&amp;"【×】",空清機・パーテ・ベッド!AQ13="○"),"×",
IF(AND(P26="総合判定"&amp;CHAR(10)&amp;"【×】",空清機・パーテ・ベッド!AQ13="◎"),"×",
IF(AND(P26="総合判定"&amp;CHAR(10)&amp;"【○】",空清機・パーテ・ベッド!AQ13="×"),"×",
IF(AND(P26="総合判定"&amp;CHAR(10)&amp;"【○】",空清機・パーテ・ベッド!AQ13="○"),"○",
IF(AND(P26="総合判定"&amp;CHAR(10)&amp;"【○】",空清機・パーテ・ベッド!AQ13="◎"),"○"))))))</f>
        <v>×</v>
      </c>
      <c r="P31" s="791" t="str">
        <f xml:space="preserve">
IF(AND(P26="総合判定"&amp;CHAR(10)&amp;"【×】",空清機・パーテ・ベッド!AQ13="×"),"【要修正】基礎情報シート及び空気清浄機の明細シートが適切に入力されているか確認してください。",
IF(AND(P26="総合判定"&amp;CHAR(10)&amp;"【×】",空清機・パーテ・ベッド!AQ13="○"),"【要修正】基礎情報シートが適切に入力されているか確認してください。",
IF(AND(P26="総合判定"&amp;CHAR(10)&amp;"【×】",空清機・パーテ・ベッド!AQ13="◎"),"【要修正】基礎情報シートが適切に入力されているか確認してください。",
IF(AND(P26="総合判定"&amp;CHAR(10)&amp;"【○】",空清機・パーテ・ベッド!AQ13="×"),"【要修正】空気清浄機の明細シートが適切に入力されているか確認してください。",
IF(AND(P26="総合判定"&amp;CHAR(10)&amp;"【○】",空清機・パーテ・ベッド!AQ13="○"),"申請しない場合は入力不要です。",
IF(AND(P26="総合判定"&amp;CHAR(10)&amp;"【○】",空清機・パーテ・ベッド!AQ13="◎"),"適切に入力がされました。"))))))</f>
        <v>【要修正】基礎情報シートが適切に入力されているか確認してください。</v>
      </c>
      <c r="Q31" s="717"/>
      <c r="R31" s="717"/>
      <c r="S31" s="717"/>
      <c r="T31" s="717"/>
      <c r="U31" s="717"/>
      <c r="V31" s="717"/>
      <c r="W31" s="717"/>
      <c r="X31" s="717"/>
      <c r="Y31" s="717"/>
      <c r="Z31" s="717"/>
      <c r="AA31" s="717"/>
      <c r="AB31" s="910"/>
      <c r="AC31" s="32"/>
      <c r="AD31" s="32"/>
      <c r="AE31" s="672" t="str">
        <f t="shared" ref="AE31:AE35" si="6">IF(O31="○","",C31&amp;"関係項目/")</f>
        <v>パーテーション関係項目/</v>
      </c>
      <c r="AF31" s="272" t="str">
        <f t="shared" ref="AF31:AF34" si="7" xml:space="preserve">
IF(AND(I31&lt;&gt;"",K31&lt;&gt;"",M31&lt;&gt;""),DATE(IF(I31=5,2023,IF(I31=6,2024)),K31,M31),"")</f>
        <v/>
      </c>
      <c r="AG31" s="617" t="str">
        <f t="shared" ref="AG31:AG35" si="8">IF(
AND(I31&lt;&gt;"",K31&lt;&gt;"",M31&lt;&gt;""),
DATE(IF(I31=5,2023,IF(I31=6,2024)),K31,M31),"")</f>
        <v/>
      </c>
      <c r="AH31" s="664" t="str">
        <f t="shared" ref="AH31:AH35" si="9" xml:space="preserve">
IF(I31=5,2023,
IF(I31=6,2024,""))</f>
        <v/>
      </c>
      <c r="AI31" s="664" t="str">
        <f t="shared" ref="AI31:AI35" si="10">K31</f>
        <v/>
      </c>
      <c r="AJ31" s="664" t="str">
        <f t="shared" ref="AJ31:AJ35" si="11">M31</f>
        <v/>
      </c>
    </row>
    <row r="32" spans="2:38" ht="24.95" customHeight="1" x14ac:dyDescent="0.4">
      <c r="B32" s="906"/>
      <c r="C32" s="827" t="s">
        <v>1165</v>
      </c>
      <c r="D32" s="901"/>
      <c r="E32" s="901"/>
      <c r="F32" s="901"/>
      <c r="G32" s="902"/>
      <c r="H32" s="250" t="s">
        <v>1171</v>
      </c>
      <c r="I32" s="2063" t="str">
        <f>額内訳書!L9</f>
        <v/>
      </c>
      <c r="J32" s="251" t="s">
        <v>76</v>
      </c>
      <c r="K32" s="2063" t="str">
        <f>額内訳書!N9</f>
        <v/>
      </c>
      <c r="L32" s="251" t="s">
        <v>1169</v>
      </c>
      <c r="M32" s="2063" t="str">
        <f>額内訳書!P9</f>
        <v/>
      </c>
      <c r="N32" s="252" t="s">
        <v>1170</v>
      </c>
      <c r="O32" s="35" t="str">
        <f xml:space="preserve">
IF(AND(COUNTIF(O26:O28,"○")&lt;&gt;3,O29="×",防護具!AV176="×"),"×",
IF(AND(COUNTIF(O26:O28,"○")&lt;&gt;3,O29="×",防護具!AV176="○"),"×",
IF(AND(COUNTIF(O26:O28,"○")&lt;&gt;3,O29="×",防護具!AV176="◎"),"×",
IF(AND(COUNTIF(O26:O28,"○")&lt;&gt;3,O29="○",防護具!AV176="×"),"×",
IF(AND(COUNTIF(O26:O28,"○")&lt;&gt;3,O29="○",防護具!AV176="○"),"×",
IF(AND(COUNTIF(O26:O28,"○")&lt;&gt;3,O29="○",防護具!AV176="◎"),"×",
IF(AND(COUNTIF(O26:O28,"○")=3,O29="×",防護具!AV176="×"),"×",
IF(AND(COUNTIF(O26:O28,"○")=3,O29="×",防護具!AV176="○"),"×",
IF(AND(COUNTIF(O26:O28,"○")=3,O29="×",防護具!AV176="◎"),"×",
IF(AND(COUNTIF(O26:O28,"○")=3,O29="○",防護具!AV176="×"),"×",
IF(AND(COUNTIF(O26:O28,"○")=3,O29="○",防護具!AV176="○"),"○",
IF(AND(COUNTIF(O26:O28,"○")=3,O29="○",防護具!AV176="◎"),"○"))))))))))))</f>
        <v>×</v>
      </c>
      <c r="P32" s="791" t="str">
        <f xml:space="preserve">
IF(AND(COUNTIF(O26:O28,"○")&lt;&gt;3,O29="×",防護具!AV176="×"),"【要修正】基礎情報シート（１～４）、個人防護具明細シートが入力不十分です。",
IF(AND(COUNTIF(O26:O28,"○")&lt;&gt;3,O29="×",防護具!AV176="○"),"【要修正】基礎情報シート（１～４）、個人防護具明細シートが入力不十分です。",
IF(AND(COUNTIF(O26:O28,"○")&lt;&gt;3,O29="×",防護具!AV176="◎"),"【要修正】基礎情報シート（１～４）が入力不十分です。",
IF(AND(COUNTIF(O26:O28,"○")&lt;&gt;3,O29="○",防護具!AV176="×"),"【要修正】基礎情報シート（１～３）、個人防護具明細シートが入力不十分です。",
IF(AND(COUNTIF(O26:O28,"○")&lt;&gt;3,O29="○",防護具!AV176="○"),"【要修正】基礎情報シート（１～３）、個人防護具明細シートが入力不十分です。",
IF(AND(COUNTIF(O26:O28,"○")&lt;&gt;3,O29="○",防護具!AV176="◎"),"【要修正】基礎情報シート（１～３）が入力不十分です。",
IF(AND(COUNTIF(O26:O28,"○")=3,O29="×",防護具!AV176="×"),"【要修正】基礎情報シート（４）、個人防護具明細シートが入力不十分です。",
IF(AND(COUNTIF(O26:O28,"○")=3,O29="×",防護具!AV176="○"),"【要修正】基礎情報シート（４）、個人防護具明細シートが入力不十分です。",
IF(AND(COUNTIF(O26:O28,"○")=3,O29="×",防護具!AV176="◎"),"【要修正】基礎情報シート（４）が入力不十分です。",
IF(AND(COUNTIF(O26:O28,"○")=3,O29="○",防護具!AV176="×"),"【要修正】個人防護具明細シートが入力不十分です。",
IF(AND(COUNTIF(O26:O28,"○")=3,O29="○",防護具!AV176="○"),"申請しない場合は入力不要です。",
IF(AND(COUNTIF(O26:O28,"○")=3,O29="○",防護具!AV176="◎"),"適切に入力がされました。"))))))))))))</f>
        <v>【要修正】基礎情報シート（１～４）、個人防護具明細シートが入力不十分です。</v>
      </c>
      <c r="Q32" s="717"/>
      <c r="R32" s="717"/>
      <c r="S32" s="717"/>
      <c r="T32" s="717"/>
      <c r="U32" s="717"/>
      <c r="V32" s="717"/>
      <c r="W32" s="717"/>
      <c r="X32" s="717"/>
      <c r="Y32" s="717"/>
      <c r="Z32" s="717"/>
      <c r="AA32" s="717"/>
      <c r="AB32" s="910"/>
      <c r="AC32" s="32"/>
      <c r="AD32" s="32"/>
      <c r="AE32" s="672" t="str">
        <f t="shared" si="6"/>
        <v>個人防護具関係項目/</v>
      </c>
      <c r="AF32" s="272" t="str">
        <f t="shared" si="7"/>
        <v/>
      </c>
      <c r="AG32" s="617" t="str">
        <f t="shared" si="8"/>
        <v/>
      </c>
      <c r="AH32" s="664" t="str">
        <f t="shared" si="9"/>
        <v/>
      </c>
      <c r="AI32" s="664" t="str">
        <f t="shared" si="10"/>
        <v/>
      </c>
      <c r="AJ32" s="664" t="str">
        <f t="shared" si="11"/>
        <v/>
      </c>
    </row>
    <row r="33" spans="2:36" ht="24.95" hidden="1" customHeight="1" x14ac:dyDescent="0.4">
      <c r="B33" s="906"/>
      <c r="C33" s="827" t="s">
        <v>1166</v>
      </c>
      <c r="D33" s="901"/>
      <c r="E33" s="901"/>
      <c r="F33" s="901"/>
      <c r="G33" s="902"/>
      <c r="H33" s="250" t="s">
        <v>1171</v>
      </c>
      <c r="I33" s="2063" t="str">
        <f>額内訳書!L10</f>
        <v/>
      </c>
      <c r="J33" s="251" t="s">
        <v>76</v>
      </c>
      <c r="K33" s="2063" t="str">
        <f>額内訳書!N10</f>
        <v/>
      </c>
      <c r="L33" s="251" t="s">
        <v>1169</v>
      </c>
      <c r="M33" s="2063" t="str">
        <f>額内訳書!P10</f>
        <v/>
      </c>
      <c r="N33" s="252" t="s">
        <v>1170</v>
      </c>
      <c r="O33" s="35" t="str">
        <f xml:space="preserve">
IF(消毒!AT119="×","×",
IF(消毒!AT119="○","○",
IF(消毒!AT119="◎","○",
)))</f>
        <v>○</v>
      </c>
      <c r="P33" s="791" t="str">
        <f xml:space="preserve">
IF(消毒!AT119="×","【要修正】基礎情報シート、消毒経費明細、消毒積算の入力が不十分です。",
IF(消毒!AT119="○","申請しない場合は入力不要です。",
IF(消毒!AT119="◎","適切に入力がされました。",
)))</f>
        <v>申請しない場合は入力不要です。</v>
      </c>
      <c r="Q33" s="717"/>
      <c r="R33" s="717"/>
      <c r="S33" s="717"/>
      <c r="T33" s="717"/>
      <c r="U33" s="717"/>
      <c r="V33" s="717"/>
      <c r="W33" s="717"/>
      <c r="X33" s="717"/>
      <c r="Y33" s="717"/>
      <c r="Z33" s="717"/>
      <c r="AA33" s="717"/>
      <c r="AB33" s="910"/>
      <c r="AC33" s="32"/>
      <c r="AD33" s="32"/>
      <c r="AE33" s="672" t="str">
        <f t="shared" si="6"/>
        <v/>
      </c>
      <c r="AF33" s="272" t="str">
        <f t="shared" si="7"/>
        <v/>
      </c>
      <c r="AG33" s="617" t="str">
        <f t="shared" si="8"/>
        <v/>
      </c>
      <c r="AH33" s="664" t="str">
        <f t="shared" si="9"/>
        <v/>
      </c>
      <c r="AI33" s="664" t="str">
        <f t="shared" si="10"/>
        <v/>
      </c>
      <c r="AJ33" s="664" t="str">
        <f t="shared" si="11"/>
        <v/>
      </c>
    </row>
    <row r="34" spans="2:36" ht="24.95" customHeight="1" x14ac:dyDescent="0.4">
      <c r="B34" s="906"/>
      <c r="C34" s="827" t="s">
        <v>1167</v>
      </c>
      <c r="D34" s="901"/>
      <c r="E34" s="901"/>
      <c r="F34" s="901"/>
      <c r="G34" s="902"/>
      <c r="H34" s="250" t="s">
        <v>1171</v>
      </c>
      <c r="I34" s="2063" t="str">
        <f>額内訳書!L11</f>
        <v/>
      </c>
      <c r="J34" s="251" t="s">
        <v>76</v>
      </c>
      <c r="K34" s="2063" t="str">
        <f>額内訳書!N11</f>
        <v/>
      </c>
      <c r="L34" s="251" t="s">
        <v>1169</v>
      </c>
      <c r="M34" s="2063" t="str">
        <f>額内訳書!P11</f>
        <v/>
      </c>
      <c r="N34" s="252" t="s">
        <v>1170</v>
      </c>
      <c r="O34" s="35" t="str">
        <f xml:space="preserve">
IF(AND(P26="総合判定"&amp;CHAR(10)&amp;"【×】",空清機・パーテ・ベッド!AQ17="×"),"×",
IF(AND(P26="総合判定"&amp;CHAR(10)&amp;"【×】",空清機・パーテ・ベッド!AQ17="○"),"×",
IF(AND(P26="総合判定"&amp;CHAR(10)&amp;"【×】",空清機・パーテ・ベッド!AQ17="◎"),"×",
IF(AND(P26="総合判定"&amp;CHAR(10)&amp;"【○】",空清機・パーテ・ベッド!AQ17="×"),"×",
IF(AND(P26="総合判定"&amp;CHAR(10)&amp;"【○】",空清機・パーテ・ベッド!AQ17="○"),"○",
IF(AND(P26="総合判定"&amp;CHAR(10)&amp;"【○】",空清機・パーテ・ベッド!AQ17="◎"),"○"))))))</f>
        <v>×</v>
      </c>
      <c r="P34" s="791" t="str">
        <f xml:space="preserve">
IF(AND(P26="総合判定"&amp;CHAR(10)&amp;"【×】",空清機・パーテ・ベッド!AQ17="×"),"【要修正】基礎情報シート及び空気清浄機の明細シートが適切に入力されているか確認してください。",
IF(AND(P26="総合判定"&amp;CHAR(10)&amp;"【×】",空清機・パーテ・ベッド!AQ17="○"),"【要修正】基礎情報シートが適切に入力されているか確認してください。",
IF(AND(P26="総合判定"&amp;CHAR(10)&amp;"【×】",空清機・パーテ・ベッド!AQ17="◎"),"【要修正】基礎情報シートが適切に入力されているか確認してください。",
IF(AND(P26="総合判定"&amp;CHAR(10)&amp;"【○】",空清機・パーテ・ベッド!AQ17="×"),"【要修正】空気清浄機の明細シートが適切に入力されているか確認してください。",
IF(AND(P26="総合判定"&amp;CHAR(10)&amp;"【○】",空清機・パーテ・ベッド!AQ17="○"),"申請しない場合は入力不要です。",
IF(AND(P26="総合判定"&amp;CHAR(10)&amp;"【○】",空清機・パーテ・ベッド!AQ17="◎"),"適切に入力がされました。"))))))</f>
        <v>【要修正】基礎情報シートが適切に入力されているか確認してください。</v>
      </c>
      <c r="Q34" s="717"/>
      <c r="R34" s="717"/>
      <c r="S34" s="717"/>
      <c r="T34" s="717"/>
      <c r="U34" s="717"/>
      <c r="V34" s="717"/>
      <c r="W34" s="717"/>
      <c r="X34" s="717"/>
      <c r="Y34" s="717"/>
      <c r="Z34" s="717"/>
      <c r="AA34" s="717"/>
      <c r="AB34" s="910"/>
      <c r="AC34" s="32"/>
      <c r="AD34" s="32"/>
      <c r="AE34" s="672" t="str">
        <f t="shared" si="6"/>
        <v>簡易ベッド関係項目/</v>
      </c>
      <c r="AF34" s="272" t="str">
        <f t="shared" si="7"/>
        <v/>
      </c>
      <c r="AG34" s="617" t="str">
        <f t="shared" si="8"/>
        <v/>
      </c>
      <c r="AH34" s="664" t="str">
        <f t="shared" si="9"/>
        <v/>
      </c>
      <c r="AI34" s="664" t="str">
        <f t="shared" si="10"/>
        <v/>
      </c>
      <c r="AJ34" s="664" t="str">
        <f t="shared" si="11"/>
        <v/>
      </c>
    </row>
    <row r="35" spans="2:36" ht="24.95" customHeight="1" thickBot="1" x14ac:dyDescent="0.45">
      <c r="B35" s="907"/>
      <c r="C35" s="810" t="s">
        <v>1168</v>
      </c>
      <c r="D35" s="903"/>
      <c r="E35" s="903"/>
      <c r="F35" s="903"/>
      <c r="G35" s="904"/>
      <c r="H35" s="263" t="s">
        <v>1171</v>
      </c>
      <c r="I35" s="2064" t="str">
        <f>額内訳書!L12</f>
        <v/>
      </c>
      <c r="J35" s="264" t="s">
        <v>76</v>
      </c>
      <c r="K35" s="2064" t="str">
        <f>額内訳書!N12</f>
        <v/>
      </c>
      <c r="L35" s="264" t="s">
        <v>1169</v>
      </c>
      <c r="M35" s="2064" t="str">
        <f>額内訳書!P12</f>
        <v/>
      </c>
      <c r="N35" s="265" t="s">
        <v>1170</v>
      </c>
      <c r="O35" s="270" t="str">
        <f xml:space="preserve">
IF(AND(P26="総合判定"&amp;CHAR(10)&amp;"【×】",診療室!AM79="×"),"×",
IF(AND(P26="総合判定"&amp;CHAR(10)&amp;"【×】",診療室!AM79="○"),"×",
IF(AND(P26="総合判定"&amp;CHAR(10)&amp;"【×】",診療室!AM79="◎"),"×",
IF(AND(P26="総合判定"&amp;CHAR(10)&amp;"【○】",診療室!AM79="×"),"×",
IF(AND(P26="総合判定"&amp;CHAR(10)&amp;"【○】",診療室!AM79="○"),"○",
IF(AND(P26="総合判定"&amp;CHAR(10)&amp;"【○】",診療室!AM79="◎"),"○"))))))</f>
        <v>×</v>
      </c>
      <c r="P35" s="911" t="str">
        <f xml:space="preserve">
IF(AND(P26="総合判定"&amp;CHAR(10)&amp;"【×】",診療室!AM79="×"),"【要修正】基礎情報シート、簡易診療室明細が入力不十分です。",
IF(AND(P26="総合判定"&amp;CHAR(10)&amp;"【×】",診療室!AM79="○"),"【要修正】基礎情報シート、簡易診療室明細が入力不十分です。",
IF(AND(P26="総合判定"&amp;CHAR(10)&amp;"【×】",診療室!AM79="◎"),"【要修正】基礎情報シートが入力不十分です。",
IF(AND(P26="総合判定"&amp;CHAR(10)&amp;"【○】",診療室!AM79="×"),"【要修正】簡易診療室明細が入力不十分です。",
IF(AND(P26="総合判定"&amp;CHAR(10)&amp;"【○】",診療室!AM79="○"),"申請しない場合は入力不要です。",
IF(AND(P26="総合判定"&amp;CHAR(10)&amp;"【○】",診療室!AM79="◎"),"適切に入力がされました。"))))))</f>
        <v>【要修正】基礎情報シート、簡易診療室明細が入力不十分です。</v>
      </c>
      <c r="Q35" s="912"/>
      <c r="R35" s="912"/>
      <c r="S35" s="912"/>
      <c r="T35" s="912"/>
      <c r="U35" s="912"/>
      <c r="V35" s="912"/>
      <c r="W35" s="912"/>
      <c r="X35" s="912"/>
      <c r="Y35" s="912"/>
      <c r="Z35" s="912"/>
      <c r="AA35" s="912"/>
      <c r="AB35" s="913"/>
      <c r="AC35" s="32"/>
      <c r="AD35" s="32"/>
      <c r="AE35" s="672" t="str">
        <f t="shared" si="6"/>
        <v>簡易診療室関係項目/</v>
      </c>
      <c r="AF35" s="272" t="str">
        <f xml:space="preserve">
IF(AND(I35&lt;&gt;"",K35&lt;&gt;"",M35&lt;&gt;""),DATE(IF(I35=5,2023,IF(I35=6,2024)),K35,M35),"")</f>
        <v/>
      </c>
      <c r="AG35" s="617" t="str">
        <f t="shared" si="8"/>
        <v/>
      </c>
      <c r="AH35" s="664" t="str">
        <f t="shared" si="9"/>
        <v/>
      </c>
      <c r="AI35" s="664" t="str">
        <f t="shared" si="10"/>
        <v/>
      </c>
      <c r="AJ35" s="664" t="str">
        <f t="shared" si="11"/>
        <v/>
      </c>
    </row>
    <row r="36" spans="2:36" ht="110.1" customHeight="1" thickTop="1" thickBot="1" x14ac:dyDescent="0.45">
      <c r="B36" s="267" t="s">
        <v>191</v>
      </c>
      <c r="C36" s="799" t="s">
        <v>135</v>
      </c>
      <c r="D36" s="800"/>
      <c r="E36" s="800"/>
      <c r="F36" s="800"/>
      <c r="G36" s="800"/>
      <c r="H36" s="801"/>
      <c r="I36" s="802"/>
      <c r="J36" s="802"/>
      <c r="K36" s="802"/>
      <c r="L36" s="802"/>
      <c r="M36" s="802"/>
      <c r="N36" s="803"/>
      <c r="O36" s="266" t="str">
        <f>IF(H36=テーブル!C22,"○",IF(H36="","×",IF(H36=テーブル!C23,"×")))</f>
        <v>×</v>
      </c>
      <c r="P36" s="804" t="str">
        <f xml:space="preserve">
IF(H36=テーブル!C22,"適切に入力がされました。",
IF(H36="","【要修正】【下記いずれにも該当する場合、「申立てする」を選択してください。】
・補助を受ける経費について他の補助金等の交付を受けていないこと。
・本補助金により整備した設備は新型コロナウイルス感染症対策に基づく本事業の目的以外に使用しないこと。
・本補助金の収入、支出等に係る証拠書類を５年間適切に整備保管すること。
・暴力団員又は暴力団関係者と実質を含めいかなる関係も有していないこと。",
IF(H36=テーブル!C23,"【申請する場合は要修正】
申立事項に該当しない申請者に対して交付を行うことはできません。")))</f>
        <v>【要修正】【下記いずれにも該当する場合、「申立てする」を選択してください。】
・補助を受ける経費について他の補助金等の交付を受けていないこと。
・本補助金により整備した設備は新型コロナウイルス感染症対策に基づく本事業の目的以外に使用しないこと。
・本補助金の収入、支出等に係る証拠書類を５年間適切に整備保管すること。
・暴力団員又は暴力団関係者と実質を含めいかなる関係も有していないこと。</v>
      </c>
      <c r="Q36" s="805"/>
      <c r="R36" s="805"/>
      <c r="S36" s="805"/>
      <c r="T36" s="805"/>
      <c r="U36" s="805"/>
      <c r="V36" s="805"/>
      <c r="W36" s="805"/>
      <c r="X36" s="805"/>
      <c r="Y36" s="805"/>
      <c r="Z36" s="805"/>
      <c r="AA36" s="805"/>
      <c r="AB36" s="806"/>
      <c r="AC36" s="32"/>
      <c r="AD36" s="32"/>
      <c r="AE36" s="672" t="str">
        <f>IF(O36="○","","申立事項/")</f>
        <v>申立事項/</v>
      </c>
      <c r="AF36" s="52" t="s">
        <v>263</v>
      </c>
      <c r="AG36" s="126"/>
    </row>
    <row r="37" spans="2:36" ht="15" customHeight="1" thickTop="1" x14ac:dyDescent="0.4">
      <c r="B37" s="32"/>
      <c r="C37" s="40"/>
      <c r="D37" s="253"/>
      <c r="E37" s="253"/>
      <c r="F37" s="253"/>
      <c r="G37" s="253"/>
      <c r="H37" s="253"/>
      <c r="I37" s="41"/>
      <c r="J37" s="41"/>
      <c r="K37" s="41"/>
      <c r="L37" s="41"/>
      <c r="M37" s="41"/>
      <c r="N37" s="41"/>
      <c r="O37" s="253"/>
      <c r="P37" s="42"/>
      <c r="Q37" s="43"/>
      <c r="R37" s="43"/>
      <c r="S37" s="43"/>
      <c r="T37" s="43"/>
      <c r="U37" s="43"/>
      <c r="V37" s="43"/>
      <c r="W37" s="43"/>
      <c r="X37" s="32"/>
      <c r="Y37" s="32"/>
      <c r="Z37" s="32"/>
      <c r="AA37" s="32"/>
      <c r="AB37" s="32"/>
      <c r="AC37" s="32"/>
      <c r="AD37" s="32"/>
      <c r="AE37" s="44"/>
    </row>
    <row r="38" spans="2:36" ht="80.099999999999994" customHeight="1" x14ac:dyDescent="0.4">
      <c r="C38" s="45" t="s">
        <v>146</v>
      </c>
      <c r="D38" s="898" t="s">
        <v>104</v>
      </c>
      <c r="E38" s="899"/>
      <c r="F38" s="46" t="str">
        <f>IF(COUNTIF(O3:O36,"×")&gt;=1,"×","○")</f>
        <v>×</v>
      </c>
      <c r="G38" s="703" t="str">
        <f>IF(F38="○","適切に入力がされました。","【要修正】次の項目が適切に入力されているかご確認ください"&amp;CHAR(10)&amp;"→"&amp;AE3&amp;AE6&amp;AE7&amp;AE8&amp;AE9&amp;AE10&amp;AE11&amp;AE12&amp;AE13&amp;AE14&amp;AE15&amp;AE16&amp;AE17&amp;AE18&amp;AE19&amp;AE20&amp;AE21&amp;AE22&amp;AE23&amp;AE24&amp;AE25&amp;AE26&amp;AE27&amp;AE28&amp;AE29&amp;AE30&amp;AE31&amp;AE32&amp;AE33&amp;AE34&amp;AE35&amp;AE36)</f>
        <v>【要修正】次の項目が適切に入力されているかご確認ください
→法人・個人事業主の別/事業者名/代表者役職/代表者氏名/所在地/施設所在地/提出日/担当部署/担当者名/電話番号（担当直通）/Mailｱﾄﾞﾚｽ（担当直通）/金融機関番号/金融機関名/支店番号/店名/預金種類/振込先口座番号/振込先口座名義（半角ｶﾅ）/「基礎情報」シート(１．診察情報)/「基礎情報」シート(２．職員情報)/「基礎情報」シート(３．配置情報)/「基礎情報」シート(４．防護具使用情報)/空気清浄機関係項目/パーテーション関係項目/個人防護具関係項目/簡易ベッド関係項目/簡易診療室関係項目/申立事項/</v>
      </c>
      <c r="H38" s="703"/>
      <c r="I38" s="703"/>
      <c r="J38" s="703"/>
      <c r="K38" s="703"/>
      <c r="L38" s="703"/>
      <c r="M38" s="703"/>
      <c r="N38" s="703"/>
      <c r="O38" s="703"/>
      <c r="P38" s="703"/>
      <c r="Q38" s="704"/>
      <c r="R38" s="704"/>
      <c r="S38" s="704"/>
      <c r="T38" s="704"/>
      <c r="U38" s="704"/>
      <c r="V38" s="704"/>
      <c r="W38" s="704"/>
      <c r="X38" s="704"/>
      <c r="Y38" s="704"/>
      <c r="Z38" s="704"/>
      <c r="AA38" s="704"/>
      <c r="AB38" s="704"/>
      <c r="AF38" s="47" t="str">
        <f>IF(COUNTA(H6,H7,H8,H9,H12,H14,H15,H16,H17)=9,"○","×")</f>
        <v>×</v>
      </c>
    </row>
    <row r="39" spans="2:36" ht="15" customHeight="1" x14ac:dyDescent="0.4">
      <c r="C39" s="48"/>
      <c r="D39" s="40"/>
      <c r="E39" s="253"/>
      <c r="F39" s="253"/>
      <c r="G39" s="49"/>
      <c r="H39" s="49"/>
      <c r="I39" s="49"/>
      <c r="J39" s="49"/>
      <c r="K39" s="49"/>
      <c r="L39" s="49"/>
      <c r="M39" s="49"/>
      <c r="N39" s="49"/>
      <c r="O39" s="49"/>
      <c r="P39" s="49"/>
      <c r="Q39" s="32"/>
      <c r="R39" s="32"/>
      <c r="S39" s="32"/>
      <c r="T39" s="32"/>
      <c r="U39" s="32"/>
      <c r="V39" s="32"/>
      <c r="W39" s="32"/>
      <c r="X39" s="32"/>
      <c r="Y39" s="32"/>
      <c r="Z39" s="32"/>
      <c r="AA39" s="32"/>
      <c r="AB39" s="32"/>
      <c r="AF39" s="47"/>
    </row>
    <row r="40" spans="2:36" ht="80.099999999999994" hidden="1" customHeight="1" x14ac:dyDescent="0.4">
      <c r="C40" s="833" t="s">
        <v>260</v>
      </c>
      <c r="D40" s="834"/>
      <c r="E40" s="834"/>
      <c r="F40" s="834"/>
      <c r="G40" s="834"/>
      <c r="H40" s="834"/>
      <c r="I40" s="834"/>
      <c r="J40" s="834"/>
      <c r="K40" s="834"/>
      <c r="L40" s="834"/>
      <c r="M40" s="834"/>
      <c r="N40" s="834"/>
      <c r="O40" s="834"/>
      <c r="P40" s="834"/>
      <c r="Q40" s="834"/>
      <c r="R40" s="834"/>
      <c r="S40" s="834"/>
      <c r="T40" s="834"/>
      <c r="U40" s="834"/>
      <c r="V40" s="834"/>
      <c r="W40" s="834"/>
      <c r="X40" s="834"/>
      <c r="Y40" s="834"/>
      <c r="Z40" s="834"/>
      <c r="AA40" s="834"/>
      <c r="AB40" s="834"/>
    </row>
    <row r="41" spans="2:36" ht="20.100000000000001" hidden="1" customHeight="1" x14ac:dyDescent="0.4">
      <c r="C41" s="50"/>
      <c r="D41" s="51"/>
      <c r="E41" s="51"/>
      <c r="F41" s="51"/>
      <c r="G41" s="51"/>
      <c r="H41" s="51"/>
      <c r="I41" s="51"/>
      <c r="J41" s="51"/>
      <c r="K41" s="51"/>
      <c r="L41" s="51"/>
      <c r="M41" s="51"/>
      <c r="N41" s="51"/>
      <c r="O41" s="51"/>
      <c r="P41" s="51"/>
      <c r="Q41" s="51"/>
      <c r="R41" s="51"/>
      <c r="S41" s="51"/>
      <c r="T41" s="51"/>
      <c r="U41" s="51"/>
      <c r="V41" s="51"/>
      <c r="W41" s="51"/>
      <c r="X41" s="51"/>
      <c r="Y41" s="51"/>
      <c r="Z41" s="51"/>
      <c r="AA41" s="51"/>
      <c r="AB41" s="51"/>
    </row>
    <row r="42" spans="2:36" ht="39.950000000000003" hidden="1" customHeight="1" x14ac:dyDescent="0.4">
      <c r="C42" s="50"/>
      <c r="D42" s="881" t="s">
        <v>133</v>
      </c>
      <c r="E42" s="886"/>
      <c r="F42" s="46" t="str">
        <f>IF(COUNTIF(O45:O54,"×")&gt;=1,"×","○")</f>
        <v>×</v>
      </c>
      <c r="G42" s="786" t="str">
        <f>IF(F42="○","適切に入力がされました。","【要修正】次の様式が適切に入力されているかご確認ください→"&amp;AE45&amp;AE46&amp;AE47&amp;AE48&amp;AE49&amp;AE50&amp;AE51&amp;AE53&amp;AE54)&amp;IF(COUNTIF(O50:O53,"○")=3,"明細シートがいずれも入力されていません。","")</f>
        <v>【要修正】次の様式が適切に入力されているかご確認ください→はじめに入力してください/振込先情報/個人防護具明細/明細シートがいずれも入力されていません。</v>
      </c>
      <c r="H42" s="784"/>
      <c r="I42" s="784"/>
      <c r="J42" s="784"/>
      <c r="K42" s="784"/>
      <c r="L42" s="784"/>
      <c r="M42" s="784"/>
      <c r="N42" s="784"/>
      <c r="O42" s="784"/>
      <c r="P42" s="784"/>
      <c r="Q42" s="784"/>
      <c r="R42" s="784"/>
      <c r="S42" s="784"/>
      <c r="T42" s="784"/>
      <c r="U42" s="784"/>
      <c r="V42" s="784"/>
      <c r="W42" s="784"/>
      <c r="X42" s="784"/>
      <c r="Y42" s="784"/>
      <c r="Z42" s="784"/>
      <c r="AA42" s="784"/>
      <c r="AB42" s="887"/>
    </row>
    <row r="43" spans="2:36" ht="20.100000000000001" hidden="1" customHeight="1" x14ac:dyDescent="0.4">
      <c r="C43" s="50"/>
      <c r="D43" s="51"/>
      <c r="E43" s="51"/>
      <c r="F43" s="51"/>
      <c r="G43" s="51"/>
      <c r="H43" s="51"/>
      <c r="I43" s="51"/>
      <c r="J43" s="51"/>
      <c r="K43" s="51"/>
      <c r="L43" s="51"/>
      <c r="M43" s="51"/>
      <c r="N43" s="51"/>
      <c r="O43" s="51"/>
      <c r="P43" s="51"/>
      <c r="Q43" s="51"/>
      <c r="R43" s="51"/>
      <c r="S43" s="51"/>
      <c r="T43" s="51"/>
      <c r="U43" s="51"/>
      <c r="V43" s="51"/>
      <c r="W43" s="51"/>
      <c r="X43" s="51"/>
      <c r="Y43" s="51"/>
      <c r="Z43" s="51"/>
      <c r="AA43" s="51"/>
      <c r="AB43" s="51"/>
    </row>
    <row r="44" spans="2:36" ht="39.950000000000003" hidden="1" customHeight="1" x14ac:dyDescent="0.4">
      <c r="B44" s="48"/>
      <c r="C44" s="884" t="s">
        <v>122</v>
      </c>
      <c r="D44" s="885"/>
      <c r="E44" s="885"/>
      <c r="F44" s="885"/>
      <c r="G44" s="885"/>
      <c r="H44" s="885"/>
      <c r="I44" s="881" t="s">
        <v>128</v>
      </c>
      <c r="J44" s="882"/>
      <c r="K44" s="882"/>
      <c r="L44" s="882"/>
      <c r="M44" s="882"/>
      <c r="N44" s="883"/>
      <c r="O44" s="52" t="s">
        <v>103</v>
      </c>
      <c r="P44" s="705" t="s">
        <v>105</v>
      </c>
      <c r="Q44" s="706"/>
      <c r="R44" s="706"/>
      <c r="S44" s="706"/>
      <c r="T44" s="706"/>
      <c r="U44" s="706"/>
      <c r="V44" s="706"/>
      <c r="W44" s="706"/>
      <c r="X44" s="706"/>
      <c r="Y44" s="706"/>
      <c r="Z44" s="706"/>
      <c r="AA44" s="706"/>
      <c r="AB44" s="707"/>
      <c r="AC44" s="48"/>
      <c r="AD44" s="48"/>
    </row>
    <row r="45" spans="2:36" ht="50.1" hidden="1" customHeight="1" x14ac:dyDescent="0.4">
      <c r="B45" s="48"/>
      <c r="C45" s="781" t="s">
        <v>123</v>
      </c>
      <c r="D45" s="782"/>
      <c r="E45" s="782"/>
      <c r="F45" s="782"/>
      <c r="G45" s="782"/>
      <c r="H45" s="782"/>
      <c r="I45" s="794" t="s">
        <v>126</v>
      </c>
      <c r="J45" s="795"/>
      <c r="K45" s="795"/>
      <c r="L45" s="795"/>
      <c r="M45" s="795"/>
      <c r="N45" s="796"/>
      <c r="O45" s="35" t="str">
        <f>F38</f>
        <v>×</v>
      </c>
      <c r="P45" s="878" t="str">
        <f>G38</f>
        <v>【要修正】次の項目が適切に入力されているかご確認ください
→法人・個人事業主の別/事業者名/代表者役職/代表者氏名/所在地/施設所在地/提出日/担当部署/担当者名/電話番号（担当直通）/Mailｱﾄﾞﾚｽ（担当直通）/金融機関番号/金融機関名/支店番号/店名/預金種類/振込先口座番号/振込先口座名義（半角ｶﾅ）/「基礎情報」シート(１．診察情報)/「基礎情報」シート(２．職員情報)/「基礎情報」シート(３．配置情報)/「基礎情報」シート(４．防護具使用情報)/空気清浄機関係項目/パーテーション関係項目/個人防護具関係項目/簡易ベッド関係項目/簡易診療室関係項目/申立事項/</v>
      </c>
      <c r="Q45" s="879"/>
      <c r="R45" s="879"/>
      <c r="S45" s="879"/>
      <c r="T45" s="879"/>
      <c r="U45" s="879"/>
      <c r="V45" s="879"/>
      <c r="W45" s="879"/>
      <c r="X45" s="879"/>
      <c r="Y45" s="879"/>
      <c r="Z45" s="879"/>
      <c r="AA45" s="879"/>
      <c r="AB45" s="880"/>
      <c r="AC45" s="48"/>
      <c r="AD45" s="48"/>
      <c r="AE45" s="672" t="str">
        <f>IF(O45="×",C45&amp;"/","")</f>
        <v>はじめに入力してください/</v>
      </c>
    </row>
    <row r="46" spans="2:36" ht="39.950000000000003" hidden="1" customHeight="1" x14ac:dyDescent="0.4">
      <c r="B46" s="48"/>
      <c r="C46" s="897" t="str">
        <f xml:space="preserve">
IF(テーブル!B3="交付申請","振込先情報",
IF(テーブル!B3="変更申請","－",
IF(テーブル!B3="実績報告（１次）","請求書",
IF(テーブル!B3="交付申請（２次）","振込先情報",
IF(テーブル!B3="交付申請兼実績報告（２次）","振込先情報",
IF(テーブル!B3="実績報告（２次）","請求書"))))))</f>
        <v>振込先情報</v>
      </c>
      <c r="D46" s="782"/>
      <c r="E46" s="782"/>
      <c r="F46" s="782"/>
      <c r="G46" s="782"/>
      <c r="H46" s="782"/>
      <c r="I46" s="794" t="str">
        <f xml:space="preserve">
IF(C46="振込先情報","【必須】",
IF(C46="　　　　　　　　－","－",
IF(C46="請求書","【必須】",
)))</f>
        <v>【必須】</v>
      </c>
      <c r="J46" s="795"/>
      <c r="K46" s="795"/>
      <c r="L46" s="795"/>
      <c r="M46" s="795"/>
      <c r="N46" s="796"/>
      <c r="O46" s="35" t="str">
        <f xml:space="preserve">
IF(C46="　　　　　　　　－","－",
IF(AND(C46="振込先情報",COUNTIF(O19:O25,"○")=7),"○",
IF(AND(C46="振込先情報",COUNTIF(O19:O25,"○")&lt;&gt;7),"×",
IF(C46="請求書",請求書!M49))
))</f>
        <v>×</v>
      </c>
      <c r="P46" s="786" t="str">
        <f xml:space="preserve">
IF(AND(C46="振込先情報",O46="○"),"適切に入力がされました。",
IF(AND(C46="振込先情報",O46="×"),"【要修正】本シートの振込先口座情報において次の項目が適切に入力されているか御確認ください→"&amp;AE19&amp;AE20&amp;AE21&amp;AE22&amp;AE23&amp;AE24&amp;AE25,
IF(AND(C46="請求書",O46="○"),"適切に入力がされました。",
IF(AND(C46="請求書",O46="×"),"【要修正】７桁の口座番号が正しく入力されているか御確認ください。",
IF(C46="　　　　　　　　－","　　　　　　　　　　　　　　　　　　　　　　　　－"
)))))</f>
        <v>【要修正】本シートの振込先口座情報において次の項目が適切に入力されているか御確認ください→金融機関番号/金融機関名/支店番号/店名/預金種類/振込先口座番号/振込先口座名義（半角ｶﾅ）/</v>
      </c>
      <c r="Q46" s="787"/>
      <c r="R46" s="787"/>
      <c r="S46" s="787"/>
      <c r="T46" s="787"/>
      <c r="U46" s="787"/>
      <c r="V46" s="787"/>
      <c r="W46" s="787"/>
      <c r="X46" s="787"/>
      <c r="Y46" s="787"/>
      <c r="Z46" s="787"/>
      <c r="AA46" s="787"/>
      <c r="AB46" s="785"/>
      <c r="AC46" s="48"/>
      <c r="AD46" s="48"/>
      <c r="AE46" s="672" t="str">
        <f>IF(O46="×",C46&amp;"/","")</f>
        <v>振込先情報/</v>
      </c>
    </row>
    <row r="47" spans="2:36" ht="39.950000000000003" hidden="1" customHeight="1" x14ac:dyDescent="0.4">
      <c r="B47" s="48"/>
      <c r="C47" s="781" t="str">
        <f xml:space="preserve">
IF(テーブル!B3="交付申請","様式２（表紙）",
IF(テーブル!B3="変更申請","様式３（表紙）",
IF(テーブル!B3="実績報告（１次）","様式４（表紙）",
IF(テーブル!B3="交付申請（２次）","様式２（表紙）",
IF(テーブル!B3="交付申請兼実績報告（２次）","様式１（表紙）",
IF(テーブル!B3="実績報告（２次）","様式４（表紙）"))))))</f>
        <v>様式２（表紙）</v>
      </c>
      <c r="D47" s="782"/>
      <c r="E47" s="782"/>
      <c r="F47" s="782"/>
      <c r="G47" s="782"/>
      <c r="H47" s="782"/>
      <c r="I47" s="794" t="s">
        <v>126</v>
      </c>
      <c r="J47" s="795"/>
      <c r="K47" s="795"/>
      <c r="L47" s="795"/>
      <c r="M47" s="795"/>
      <c r="N47" s="796"/>
      <c r="O47" s="35" t="str">
        <f>O45</f>
        <v>×</v>
      </c>
      <c r="P47" s="786" t="str">
        <f>IF(O47="×","【要修正】様式１は入力項目がありませんが、「はじめに入力してください」が適切に入力されていないため正しく表示できていません。","適切に入力がされました。")</f>
        <v>【要修正】様式１は入力項目がありませんが、「はじめに入力してください」が適切に入力されていないため正しく表示できていません。</v>
      </c>
      <c r="Q47" s="787"/>
      <c r="R47" s="787"/>
      <c r="S47" s="787"/>
      <c r="T47" s="787"/>
      <c r="U47" s="787"/>
      <c r="V47" s="787"/>
      <c r="W47" s="787"/>
      <c r="X47" s="787"/>
      <c r="Y47" s="787"/>
      <c r="Z47" s="787"/>
      <c r="AA47" s="787"/>
      <c r="AB47" s="785"/>
      <c r="AC47" s="48"/>
      <c r="AD47" s="48"/>
      <c r="AE47" s="672"/>
    </row>
    <row r="48" spans="2:36" ht="39.950000000000003" hidden="1" customHeight="1" x14ac:dyDescent="0.4">
      <c r="B48" s="48"/>
      <c r="C48" s="897" t="str">
        <f xml:space="preserve">
IF(テーブル!B3="交付申請","様式２－１（経費書）",
IF(テーブル!B3="変更申請","様式２－１（経費書）",
IF(テーブル!B3="実績報告（１次）","様式１－１（経費精算書）",
IF(テーブル!B3="交付申請（２次）","様式４－１（経費書）",
IF(テーブル!B3="交付申請兼実績報告（２次）","様式３－１（経費書）",
IF(テーブル!B3="実績報告（２次）","様式５－１（経費書）"))))))</f>
        <v>様式４－１（経費書）</v>
      </c>
      <c r="D48" s="782"/>
      <c r="E48" s="782"/>
      <c r="F48" s="782"/>
      <c r="G48" s="782"/>
      <c r="H48" s="782"/>
      <c r="I48" s="794" t="s">
        <v>126</v>
      </c>
      <c r="J48" s="795"/>
      <c r="K48" s="795"/>
      <c r="L48" s="795"/>
      <c r="M48" s="795"/>
      <c r="N48" s="796"/>
      <c r="O48" s="35" t="s">
        <v>120</v>
      </c>
      <c r="P48" s="786" t="s">
        <v>129</v>
      </c>
      <c r="Q48" s="787"/>
      <c r="R48" s="787"/>
      <c r="S48" s="787"/>
      <c r="T48" s="787"/>
      <c r="U48" s="787"/>
      <c r="V48" s="787"/>
      <c r="W48" s="787"/>
      <c r="X48" s="787"/>
      <c r="Y48" s="787"/>
      <c r="Z48" s="787"/>
      <c r="AA48" s="787"/>
      <c r="AB48" s="785"/>
      <c r="AC48" s="48"/>
      <c r="AD48" s="48"/>
      <c r="AE48" s="672" t="str">
        <f t="shared" ref="AE48:AE54" si="12">IF(O48="×",C48&amp;"/","")</f>
        <v/>
      </c>
    </row>
    <row r="49" spans="2:33" s="673" customFormat="1" ht="39.950000000000003" hidden="1" customHeight="1" x14ac:dyDescent="0.4">
      <c r="B49" s="48"/>
      <c r="C49" s="897" t="str">
        <f xml:space="preserve">
IF(テーブル!B3="交付申請","様式２－２（額内訳書）",
IF(テーブル!B3="変更申請","様式２－２（額内訳書）",
IF(テーブル!B3="実績報告（１次）","様式１－2（額内訳書）",
IF(テーブル!B3="交付申請（２次）","様式４－２（額内訳書）",
IF(テーブル!B3="交付申請兼実績報告（２次）","様式３－２（額内訳書）",
IF(テーブル!B3="実績報告（２次）","様式５－２（額内訳書）"))))))</f>
        <v>様式４－２（額内訳書）</v>
      </c>
      <c r="D49" s="782"/>
      <c r="E49" s="782"/>
      <c r="F49" s="782"/>
      <c r="G49" s="782"/>
      <c r="H49" s="782"/>
      <c r="I49" s="794" t="s">
        <v>126</v>
      </c>
      <c r="J49" s="795"/>
      <c r="K49" s="795"/>
      <c r="L49" s="795"/>
      <c r="M49" s="795"/>
      <c r="N49" s="796"/>
      <c r="O49" s="35" t="s">
        <v>1183</v>
      </c>
      <c r="P49" s="786" t="s">
        <v>1184</v>
      </c>
      <c r="Q49" s="787"/>
      <c r="R49" s="787"/>
      <c r="S49" s="787"/>
      <c r="T49" s="787"/>
      <c r="U49" s="787"/>
      <c r="V49" s="787"/>
      <c r="W49" s="787"/>
      <c r="X49" s="787"/>
      <c r="Y49" s="787"/>
      <c r="Z49" s="787"/>
      <c r="AA49" s="787"/>
      <c r="AB49" s="785"/>
      <c r="AC49" s="48"/>
      <c r="AD49" s="48"/>
      <c r="AE49" s="672" t="str">
        <f t="shared" si="12"/>
        <v/>
      </c>
      <c r="AF49" s="271"/>
      <c r="AG49" s="48"/>
    </row>
    <row r="50" spans="2:33" ht="150" hidden="1" customHeight="1" x14ac:dyDescent="0.4">
      <c r="B50" s="48"/>
      <c r="C50" s="791" t="s">
        <v>266</v>
      </c>
      <c r="D50" s="792"/>
      <c r="E50" s="792"/>
      <c r="F50" s="792"/>
      <c r="G50" s="792"/>
      <c r="H50" s="793"/>
      <c r="I50" s="794" t="s">
        <v>1064</v>
      </c>
      <c r="J50" s="795"/>
      <c r="K50" s="795"/>
      <c r="L50" s="795"/>
      <c r="M50" s="795"/>
      <c r="N50" s="796"/>
      <c r="O50" s="35" t="str">
        <f>空清機・パーテ・ベッド!BD3</f>
        <v>○</v>
      </c>
      <c r="P50" s="786" t="str">
        <f>"空気清浄機、パーテーション及び簡易ベッドについて助成申請する場合、それぞれの必要記載事項がいずれも適切に入力されていることが必要です。"&amp;CHAR(10)&amp;"申請する場合、それぞれの項目が未入力、入力不十分となっていないかご確認ください。"&amp;CHAR(10)&amp;
"☆【総合判定】"&amp;空清機・パーテ・ベッド!BD3&amp;
IF(空清機・パーテ・ベッド!BD3="○","（申請しない場合は入力不要です。）",
IF(空清機・パーテ・ベッド!BD3="×","（【要修正】入力が不十分な箇所があります。申請しない場合は全ての欄を空欄にしてください。）",
IF(空清機・パーテ・ベッド!BD3="◎","（適切に入力がされました。）")))
&amp;CHAR(10)&amp;
"・【空気清浄機】　　判定："&amp;空清機・パーテ・ベッド!BE3&amp;
IF(空清機・パーテ・ベッド!BE3="○","（申請しない場合は入力不要です。）",
IF(空清機・パーテ・ベッド!BE3="×","（【要修正】入力が不十分な箇所があります。申請しない場合は全ての欄を空欄にしてください。）",
IF(空清機・パーテ・ベッド!BE3="◎","（適切に入力がされました。）")))
&amp;CHAR(10)&amp;
"・【パーテーション】判定："&amp;空清機・パーテ・ベッド!BE4&amp;
IF(空清機・パーテ・ベッド!BE4="○","（申請しない場合は入力不要です。）",
IF(空清機・パーテ・ベッド!BE4="×","（【要修正】入力が不十分な箇所があります。申請しない場合は全ての欄を空欄にしてください。）",
IF(空清機・パーテ・ベッド!BE4="◎","（適切に入力がされました。）")))
&amp;CHAR(10)&amp;
"・【簡易ベッド】　　判定："&amp;空清機・パーテ・ベッド!BE5&amp;
IF(空清機・パーテ・ベッド!BE5="○","（申請しない場合は入力不要です。）",
IF(空清機・パーテ・ベッド!BE5="×","（【要修正】入力が不十分な箇所があります。申請しない場合は全ての欄を空欄にしてください。）",
IF(空清機・パーテ・ベッド!BE5="◎","（適切に入力がされました。）")))</f>
        <v>空気清浄機、パーテーション及び簡易ベッドについて助成申請する場合、それぞれの必要記載事項がいずれも適切に入力されていることが必要です。
申請する場合、それぞれの項目が未入力、入力不十分となっていないかご確認ください。
☆【総合判定】○（申請しない場合は入力不要です。）
・【空気清浄機】　　判定：○（申請しない場合は入力不要です。）
・【パーテーション】判定：○（申請しない場合は入力不要です。）
・【簡易ベッド】　　判定：○（申請しない場合は入力不要です。）</v>
      </c>
      <c r="Q50" s="797"/>
      <c r="R50" s="797"/>
      <c r="S50" s="797"/>
      <c r="T50" s="797"/>
      <c r="U50" s="797"/>
      <c r="V50" s="797"/>
      <c r="W50" s="797"/>
      <c r="X50" s="797"/>
      <c r="Y50" s="797"/>
      <c r="Z50" s="797"/>
      <c r="AA50" s="797"/>
      <c r="AB50" s="798"/>
      <c r="AC50" s="48"/>
      <c r="AD50" s="48"/>
      <c r="AE50" s="672" t="str">
        <f t="shared" si="12"/>
        <v/>
      </c>
    </row>
    <row r="51" spans="2:33" ht="99.95" hidden="1" customHeight="1" x14ac:dyDescent="0.4">
      <c r="B51" s="48"/>
      <c r="C51" s="781" t="s">
        <v>124</v>
      </c>
      <c r="D51" s="782"/>
      <c r="E51" s="782"/>
      <c r="F51" s="782"/>
      <c r="G51" s="782"/>
      <c r="H51" s="782"/>
      <c r="I51" s="783" t="s">
        <v>1067</v>
      </c>
      <c r="J51" s="784"/>
      <c r="K51" s="784"/>
      <c r="L51" s="784"/>
      <c r="M51" s="784"/>
      <c r="N51" s="785"/>
      <c r="O51" s="35" t="str">
        <f>防護具!AV176</f>
        <v>×</v>
      </c>
      <c r="P51" s="786" t="str">
        <f>"個人防護具の申請をする場合「２．個人防護具情報」が適切に入力されていることが必要です。"&amp;CHAR(10)&amp;
"申請する場合、それぞれの項目が未入力、入力不十分となっていないかご確認ください。"&amp;CHAR(10)&amp;CHAR(10)&amp;
IF(防護具!AV176="×","【要修正】入力が不十分な行があるため、シートを再度ご確認ください。",
IF(防護具!AV176="○","【申請しない場合は入力不要】入力なし",
IF(防護具!AV176="◎","【○】適切に入力がされました。")))</f>
        <v>個人防護具の申請をする場合「２．個人防護具情報」が適切に入力されていることが必要です。
申請する場合、それぞれの項目が未入力、入力不十分となっていないかご確認ください。
【要修正】入力が不十分な行があるため、シートを再度ご確認ください。</v>
      </c>
      <c r="Q51" s="787"/>
      <c r="R51" s="787"/>
      <c r="S51" s="787"/>
      <c r="T51" s="787"/>
      <c r="U51" s="787"/>
      <c r="V51" s="787"/>
      <c r="W51" s="787"/>
      <c r="X51" s="787"/>
      <c r="Y51" s="787"/>
      <c r="Z51" s="787"/>
      <c r="AA51" s="787"/>
      <c r="AB51" s="785"/>
      <c r="AC51" s="48"/>
      <c r="AD51" s="48"/>
      <c r="AE51" s="672" t="str">
        <f t="shared" si="12"/>
        <v>個人防護具明細/</v>
      </c>
    </row>
    <row r="52" spans="2:33" ht="99.95" hidden="1" customHeight="1" x14ac:dyDescent="0.4">
      <c r="B52" s="48"/>
      <c r="C52" s="781" t="s">
        <v>1061</v>
      </c>
      <c r="D52" s="782"/>
      <c r="E52" s="782"/>
      <c r="F52" s="782"/>
      <c r="G52" s="782"/>
      <c r="H52" s="782"/>
      <c r="I52" s="783" t="s">
        <v>1066</v>
      </c>
      <c r="J52" s="784"/>
      <c r="K52" s="784"/>
      <c r="L52" s="784"/>
      <c r="M52" s="784"/>
      <c r="N52" s="785"/>
      <c r="O52" s="35" t="str">
        <f>消毒!AS120</f>
        <v>○</v>
      </c>
      <c r="P52" s="786" t="str">
        <f>"消毒清掃経費の申請をする場合、「２．消毒清掃経費情報」が適切に入力されていることが必要です。"&amp;CHAR(10)&amp;
"申請する場合、それぞれの項目が未入力、入力不十分となっていないかご確認ください。"&amp;CHAR(10)&amp;
CHAR(10)&amp;
IF(消毒!AS120="×","【要修正】入力が不十分な行があるため、シートを再度ご確認ください。",
IF(消毒!AS120="○","【申請しない場合は入力不要】入力なし",
IF(消毒!AS120="◎","【○】適切に入力がされました。")))</f>
        <v>消毒清掃経費の申請をする場合、「２．消毒清掃経費情報」が適切に入力されていることが必要です。
申請する場合、それぞれの項目が未入力、入力不十分となっていないかご確認ください。
【申請しない場合は入力不要】入力なし</v>
      </c>
      <c r="Q52" s="787"/>
      <c r="R52" s="787"/>
      <c r="S52" s="787"/>
      <c r="T52" s="787"/>
      <c r="U52" s="787"/>
      <c r="V52" s="787"/>
      <c r="W52" s="787"/>
      <c r="X52" s="787"/>
      <c r="Y52" s="787"/>
      <c r="Z52" s="787"/>
      <c r="AA52" s="787"/>
      <c r="AB52" s="785"/>
      <c r="AC52" s="48"/>
      <c r="AD52" s="48"/>
      <c r="AE52" s="672"/>
    </row>
    <row r="53" spans="2:33" ht="140.1" hidden="1" customHeight="1" x14ac:dyDescent="0.4">
      <c r="B53" s="48"/>
      <c r="C53" s="781" t="s">
        <v>125</v>
      </c>
      <c r="D53" s="782"/>
      <c r="E53" s="782"/>
      <c r="F53" s="782"/>
      <c r="G53" s="782"/>
      <c r="H53" s="782"/>
      <c r="I53" s="783" t="s">
        <v>1065</v>
      </c>
      <c r="J53" s="784"/>
      <c r="K53" s="784"/>
      <c r="L53" s="784"/>
      <c r="M53" s="784"/>
      <c r="N53" s="785"/>
      <c r="O53" s="35" t="str">
        <f>診療室!AM79</f>
        <v>○</v>
      </c>
      <c r="P53" s="786" t="str">
        <f>"簡易診療室の助成申請をする場合、「１．はじめに」、「２．整備方法」及び「３．簡易診療室情報」いずれも適切に入力されていることが必要です。"&amp;CHAR(10)&amp;"申請する場合、それぞれの項目が未入力、入力不十分となっていないかご確認ください。"&amp;CHAR(10)&amp;
"☆【総合判定】"&amp;診療室!AN79
&amp;CHAR(10)&amp;
IF(診療室!AL79="×","・「１．はじめに」：【要修正】入力が不十分です。",
IF(診療室!AL79="○","・「１．はじめに」：入力なし",
IF(診療室!AL79="◎","・「１．はじめに」：適切に入力がされました。")))
&amp;CHAR(10)&amp;
IF(診療室!AL80="×","・「２．整備方法」：【要修正】入力が不十分です。",
IF(診療室!AL80="○","・「２．整備方法」：入力なし",
IF(診療室!AL80="◎","・「２．整備方法」：適切に入力がされました。")))
&amp;CHAR(10)&amp;
IF(診療室!AL81="×","・「３．簡易診療室情報」：【要修正】入力が不十分な行があるため、シートを再度ご確認ください。",
IF(診療室!AL81="○","・「３．簡易診療室情報」：入力なし",
IF(診療室!AL81="◎","・「３．簡易診療室情報」：適切に入力がされました。")))</f>
        <v>簡易診療室の助成申請をする場合、「１．はじめに」、「２．整備方法」及び「３．簡易診療室情報」いずれも適切に入力されていることが必要です。
申請する場合、それぞれの項目が未入力、入力不十分となっていないかご確認ください。
☆【総合判定】申請しない場合は入力不要です。
・「１．はじめに」：入力なし
・「２．整備方法」：入力なし
・「３．簡易診療室情報」：入力なし</v>
      </c>
      <c r="Q53" s="787"/>
      <c r="R53" s="787"/>
      <c r="S53" s="787"/>
      <c r="T53" s="787"/>
      <c r="U53" s="787"/>
      <c r="V53" s="787"/>
      <c r="W53" s="787"/>
      <c r="X53" s="787"/>
      <c r="Y53" s="787"/>
      <c r="Z53" s="787"/>
      <c r="AA53" s="787"/>
      <c r="AB53" s="785"/>
      <c r="AC53" s="48"/>
      <c r="AD53" s="48"/>
      <c r="AE53" s="672" t="str">
        <f t="shared" si="12"/>
        <v/>
      </c>
    </row>
    <row r="54" spans="2:33" ht="39.950000000000003" hidden="1" customHeight="1" x14ac:dyDescent="0.4">
      <c r="B54" s="48"/>
      <c r="C54" s="897" t="str">
        <f xml:space="preserve">
IF(テーブル!B3="交付申請","様式２－３（歳入歳出決算書（見込書）抄本）",
IF(テーブル!B3="変更申請","様式２－３（歳入歳出決算書（見込書）抄本）",
IF(テーブル!B3="実績報告（１次）","様式１－３（歳入歳出決算書（見込書）抄本）",
IF(テーブル!B3="交付申請（２次）","様式２－３（歳入歳出決算書（見込書）抄本）",
IF(テーブル!B3="交付申請兼実績報告（２次）","様式１－３（歳入歳出決算書（見込書）抄本）",
IF(テーブル!B3="実績報告（２次）","様式１－３（歳入歳出決算書（見込書）抄本）"))))))</f>
        <v>様式２－３（歳入歳出決算書（見込書）抄本）</v>
      </c>
      <c r="D54" s="900"/>
      <c r="E54" s="900"/>
      <c r="F54" s="900"/>
      <c r="G54" s="900"/>
      <c r="H54" s="900"/>
      <c r="I54" s="757" t="s">
        <v>127</v>
      </c>
      <c r="J54" s="896"/>
      <c r="K54" s="896"/>
      <c r="L54" s="896"/>
      <c r="M54" s="896"/>
      <c r="N54" s="883"/>
      <c r="O54" s="35" t="str">
        <f>歳入歳出抄本!Y11</f>
        <v>○</v>
      </c>
      <c r="P54" s="786" t="str">
        <f>歳入歳出抄本!Z11</f>
        <v>公立機関ではない場合、作成不要です。
（入力されていても特段問題はありません。）</v>
      </c>
      <c r="Q54" s="787"/>
      <c r="R54" s="787"/>
      <c r="S54" s="787"/>
      <c r="T54" s="787"/>
      <c r="U54" s="787"/>
      <c r="V54" s="787"/>
      <c r="W54" s="787"/>
      <c r="X54" s="787"/>
      <c r="Y54" s="787"/>
      <c r="Z54" s="787"/>
      <c r="AA54" s="787"/>
      <c r="AB54" s="785"/>
      <c r="AC54" s="48"/>
      <c r="AD54" s="48"/>
      <c r="AE54" s="672" t="str">
        <f t="shared" si="12"/>
        <v/>
      </c>
    </row>
    <row r="55" spans="2:33" hidden="1" x14ac:dyDescent="0.4"/>
  </sheetData>
  <sheetProtection algorithmName="SHA-512" hashValue="dy5PDUsc3Ps3z5whoTYRYiAh+vT/AZddvpaOR1YvCrchxohiwYJDzpDDz24xWYkpkoVWbGYAI5Qlvp8tjYzJnQ==" saltValue="tlmoo/G7sXlyHGwT7Z85og==" spinCount="100000" sheet="1" objects="1" scenarios="1"/>
  <mergeCells count="143">
    <mergeCell ref="C31:G31"/>
    <mergeCell ref="C32:G32"/>
    <mergeCell ref="C33:G33"/>
    <mergeCell ref="C35:G35"/>
    <mergeCell ref="C34:G34"/>
    <mergeCell ref="B30:B35"/>
    <mergeCell ref="P30:AB30"/>
    <mergeCell ref="P31:AB31"/>
    <mergeCell ref="P32:AB32"/>
    <mergeCell ref="P33:AB33"/>
    <mergeCell ref="P34:AB34"/>
    <mergeCell ref="P35:AB35"/>
    <mergeCell ref="I54:N54"/>
    <mergeCell ref="C46:H46"/>
    <mergeCell ref="H14:N14"/>
    <mergeCell ref="H15:N15"/>
    <mergeCell ref="P53:AB53"/>
    <mergeCell ref="P54:AB54"/>
    <mergeCell ref="D38:E38"/>
    <mergeCell ref="P46:AB46"/>
    <mergeCell ref="P47:AB47"/>
    <mergeCell ref="P48:AB48"/>
    <mergeCell ref="P49:AB49"/>
    <mergeCell ref="P51:AB51"/>
    <mergeCell ref="I46:N46"/>
    <mergeCell ref="I47:N47"/>
    <mergeCell ref="I48:N48"/>
    <mergeCell ref="I49:N49"/>
    <mergeCell ref="I51:N51"/>
    <mergeCell ref="I53:N53"/>
    <mergeCell ref="C54:H54"/>
    <mergeCell ref="C53:H53"/>
    <mergeCell ref="C47:H47"/>
    <mergeCell ref="C48:H48"/>
    <mergeCell ref="C49:H49"/>
    <mergeCell ref="C51:H51"/>
    <mergeCell ref="P45:AB45"/>
    <mergeCell ref="I44:N44"/>
    <mergeCell ref="I45:N45"/>
    <mergeCell ref="C44:H44"/>
    <mergeCell ref="C45:H45"/>
    <mergeCell ref="C17:G17"/>
    <mergeCell ref="H8:N8"/>
    <mergeCell ref="H9:N9"/>
    <mergeCell ref="H10:N10"/>
    <mergeCell ref="C14:G14"/>
    <mergeCell ref="C15:G15"/>
    <mergeCell ref="D42:E42"/>
    <mergeCell ref="G42:AB42"/>
    <mergeCell ref="L18:M18"/>
    <mergeCell ref="H18:K18"/>
    <mergeCell ref="C19:G19"/>
    <mergeCell ref="C9:G9"/>
    <mergeCell ref="C10:G10"/>
    <mergeCell ref="C11:G11"/>
    <mergeCell ref="C12:G12"/>
    <mergeCell ref="C13:G13"/>
    <mergeCell ref="C23:G23"/>
    <mergeCell ref="I23:N23"/>
    <mergeCell ref="P23:AB23"/>
    <mergeCell ref="C22:G22"/>
    <mergeCell ref="P21:AB21"/>
    <mergeCell ref="H7:N7"/>
    <mergeCell ref="C20:G20"/>
    <mergeCell ref="H20:N20"/>
    <mergeCell ref="C21:G21"/>
    <mergeCell ref="H16:I16"/>
    <mergeCell ref="J16:K16"/>
    <mergeCell ref="L16:M16"/>
    <mergeCell ref="P22:AB22"/>
    <mergeCell ref="P19:AB19"/>
    <mergeCell ref="C1:AB1"/>
    <mergeCell ref="C40:AB40"/>
    <mergeCell ref="P3:AB5"/>
    <mergeCell ref="P14:AB14"/>
    <mergeCell ref="P15:AB15"/>
    <mergeCell ref="P16:AB16"/>
    <mergeCell ref="P17:AB17"/>
    <mergeCell ref="P10:AB10"/>
    <mergeCell ref="P9:AB9"/>
    <mergeCell ref="P8:AB8"/>
    <mergeCell ref="P7:AB7"/>
    <mergeCell ref="P6:AB6"/>
    <mergeCell ref="H17:N17"/>
    <mergeCell ref="H2:N2"/>
    <mergeCell ref="C3:G5"/>
    <mergeCell ref="C6:G6"/>
    <mergeCell ref="C7:G7"/>
    <mergeCell ref="C8:G8"/>
    <mergeCell ref="B2:G2"/>
    <mergeCell ref="H4:N4"/>
    <mergeCell ref="O3:O5"/>
    <mergeCell ref="P13:AB13"/>
    <mergeCell ref="P12:AB12"/>
    <mergeCell ref="P11:AB11"/>
    <mergeCell ref="P2:AB2"/>
    <mergeCell ref="B19:B25"/>
    <mergeCell ref="H3:N3"/>
    <mergeCell ref="C30:G30"/>
    <mergeCell ref="C52:H52"/>
    <mergeCell ref="I52:N52"/>
    <mergeCell ref="P52:AB52"/>
    <mergeCell ref="AF3:AF5"/>
    <mergeCell ref="C50:H50"/>
    <mergeCell ref="I50:N50"/>
    <mergeCell ref="P50:AB50"/>
    <mergeCell ref="C36:G36"/>
    <mergeCell ref="H36:N36"/>
    <mergeCell ref="P36:AB36"/>
    <mergeCell ref="C18:G18"/>
    <mergeCell ref="C25:G25"/>
    <mergeCell ref="H25:N25"/>
    <mergeCell ref="P18:AB18"/>
    <mergeCell ref="P25:AB25"/>
    <mergeCell ref="L19:N19"/>
    <mergeCell ref="K21:N21"/>
    <mergeCell ref="H22:N22"/>
    <mergeCell ref="P20:AB20"/>
    <mergeCell ref="C24:G24"/>
    <mergeCell ref="AE3:AE5"/>
    <mergeCell ref="G38:AB38"/>
    <mergeCell ref="P44:AB44"/>
    <mergeCell ref="P26:Q28"/>
    <mergeCell ref="R26:AB26"/>
    <mergeCell ref="R27:AB27"/>
    <mergeCell ref="R28:AB28"/>
    <mergeCell ref="P29:AB29"/>
    <mergeCell ref="B26:B29"/>
    <mergeCell ref="C26:D28"/>
    <mergeCell ref="C29:D29"/>
    <mergeCell ref="E26:G26"/>
    <mergeCell ref="E27:G27"/>
    <mergeCell ref="E28:G28"/>
    <mergeCell ref="E29:G29"/>
    <mergeCell ref="H29:N29"/>
    <mergeCell ref="H26:N28"/>
    <mergeCell ref="B3:B18"/>
    <mergeCell ref="P24:AB24"/>
    <mergeCell ref="H5:N5"/>
    <mergeCell ref="H6:N6"/>
    <mergeCell ref="H11:N11"/>
    <mergeCell ref="H13:N13"/>
    <mergeCell ref="C16:G16"/>
  </mergeCells>
  <phoneticPr fontId="1"/>
  <conditionalFormatting sqref="O3:O37">
    <cfRule type="containsText" dxfId="380" priority="12" operator="containsText" text="×">
      <formula>NOT(ISERROR(SEARCH("×",O3)))</formula>
    </cfRule>
    <cfRule type="containsText" dxfId="379" priority="14" operator="containsText" text="×">
      <formula>NOT(ISERROR(SEARCH("×",O3)))</formula>
    </cfRule>
  </conditionalFormatting>
  <conditionalFormatting sqref="P13 P3:W12 P37:W37 P14:W17 P18:P26 P29:P36">
    <cfRule type="containsText" dxfId="378" priority="13" operator="containsText" text="要修正">
      <formula>NOT(ISERROR(SEARCH("要修正",P3)))</formula>
    </cfRule>
  </conditionalFormatting>
  <conditionalFormatting sqref="F38 O45:O54">
    <cfRule type="containsText" dxfId="377" priority="11" operator="containsText" text="×">
      <formula>NOT(ISERROR(SEARCH("×",F38)))</formula>
    </cfRule>
  </conditionalFormatting>
  <conditionalFormatting sqref="G38:AB38">
    <cfRule type="containsText" dxfId="376" priority="10" operator="containsText" text="要修正">
      <formula>NOT(ISERROR(SEARCH("要修正",G38)))</formula>
    </cfRule>
  </conditionalFormatting>
  <conditionalFormatting sqref="P50 P45:AB49 P51:AB54">
    <cfRule type="containsText" dxfId="375" priority="7" operator="containsText" text="要修正">
      <formula>NOT(ISERROR(SEARCH("要修正",P45)))</formula>
    </cfRule>
    <cfRule type="cellIs" dxfId="374" priority="8" operator="equal">
      <formula>"要修正"</formula>
    </cfRule>
  </conditionalFormatting>
  <conditionalFormatting sqref="O53">
    <cfRule type="containsText" dxfId="373" priority="6" operator="containsText" text="×">
      <formula>NOT(ISERROR(SEARCH("×",O53)))</formula>
    </cfRule>
  </conditionalFormatting>
  <conditionalFormatting sqref="P53:AB53">
    <cfRule type="containsText" dxfId="372" priority="5" operator="containsText" text="要修正">
      <formula>NOT(ISERROR(SEARCH("要修正",P53)))</formula>
    </cfRule>
  </conditionalFormatting>
  <conditionalFormatting sqref="F42">
    <cfRule type="containsText" dxfId="371" priority="4" operator="containsText" text="×">
      <formula>NOT(ISERROR(SEARCH("×",F42)))</formula>
    </cfRule>
  </conditionalFormatting>
  <conditionalFormatting sqref="G42:AB42">
    <cfRule type="containsText" dxfId="370" priority="3" operator="containsText" text="要修正">
      <formula>NOT(ISERROR(SEARCH("要修正",G42)))</formula>
    </cfRule>
  </conditionalFormatting>
  <conditionalFormatting sqref="P26:Q28">
    <cfRule type="containsText" dxfId="369" priority="2" operator="containsText" text="×">
      <formula>NOT(ISERROR(SEARCH("×",P26)))</formula>
    </cfRule>
  </conditionalFormatting>
  <conditionalFormatting sqref="R26:AB28 P29:AB29">
    <cfRule type="containsText" dxfId="368" priority="1" operator="containsText" text="要修正">
      <formula>NOT(ISERROR(SEARCH("要修正",P26)))</formula>
    </cfRule>
  </conditionalFormatting>
  <dataValidations count="4">
    <dataValidation type="list" allowBlank="1" showInputMessage="1" showErrorMessage="1" error="普通預金口座の場合は「１」_x000a_当座預金口座の場合は「２」_x000a_を入力してください。" sqref="H23" xr:uid="{00000000-0002-0000-0100-000000000000}">
      <formula1>$AL$23:$AL$24</formula1>
    </dataValidation>
    <dataValidation type="textLength" imeMode="halfKatakana" allowBlank="1" showInputMessage="1" showErrorMessage="1" errorTitle="入力した字数が多すぎます" error="振込先口座のｶﾅ名義は30字以内で入力してください。" sqref="H25:N25 H30:H35 J30:J35 L30:L35 N30:N35" xr:uid="{00000000-0002-0000-0100-000001000000}">
      <formula1>1</formula1>
      <formula2>30</formula2>
    </dataValidation>
    <dataValidation imeMode="halfAlpha" allowBlank="1" showInputMessage="1" showErrorMessage="1" sqref="H16:M16" xr:uid="{00000000-0002-0000-0100-000002000000}"/>
    <dataValidation type="whole" allowBlank="1" showInputMessage="1" showErrorMessage="1" error="各欄に0～9の値を１字ずつ入力してください。" sqref="H24:N24 H21:J21 H19:K19" xr:uid="{CC7348C0-84F7-411E-BEBB-634D2A5B748E}">
      <formula1>0</formula1>
      <formula2>9</formula2>
    </dataValidation>
  </dataValidations>
  <printOptions horizontalCentered="1"/>
  <pageMargins left="0.70866141732283472" right="0.70866141732283472" top="0.74803149606299213" bottom="0.74803149606299213" header="0.31496062992125984" footer="0.31496062992125984"/>
  <pageSetup paperSize="9" scale="46" orientation="portrait" r:id="rId1"/>
  <rowBreaks count="1" manualBreakCount="1">
    <brk id="12" max="16383" man="1"/>
  </rowBreaks>
  <colBreaks count="1" manualBreakCount="1">
    <brk id="37" max="1048575" man="1"/>
  </colBreaks>
  <ignoredErrors>
    <ignoredError sqref="I30:I35 K30:K35 M30:M3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7</xdr:col>
                    <xdr:colOff>85725</xdr:colOff>
                    <xdr:row>2</xdr:row>
                    <xdr:rowOff>57150</xdr:rowOff>
                  </from>
                  <to>
                    <xdr:col>7</xdr:col>
                    <xdr:colOff>333375</xdr:colOff>
                    <xdr:row>2</xdr:row>
                    <xdr:rowOff>266700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7</xdr:col>
                    <xdr:colOff>85725</xdr:colOff>
                    <xdr:row>3</xdr:row>
                    <xdr:rowOff>76200</xdr:rowOff>
                  </from>
                  <to>
                    <xdr:col>7</xdr:col>
                    <xdr:colOff>333375</xdr:colOff>
                    <xdr:row>3</xdr:row>
                    <xdr:rowOff>304800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7</xdr:col>
                    <xdr:colOff>85725</xdr:colOff>
                    <xdr:row>4</xdr:row>
                    <xdr:rowOff>38100</xdr:rowOff>
                  </from>
                  <to>
                    <xdr:col>7</xdr:col>
                    <xdr:colOff>428625</xdr:colOff>
                    <xdr:row>4</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4000000}">
          <x14:formula1>
            <xm:f>テーブル!$C$19:$C$20</xm:f>
          </x14:formula1>
          <xm:sqref>I12</xm:sqref>
        </x14:dataValidation>
        <x14:dataValidation type="list" allowBlank="1" showInputMessage="1" showErrorMessage="1" xr:uid="{00000000-0002-0000-0100-000005000000}">
          <x14:formula1>
            <xm:f>テーブル!$C$22:$C$23</xm:f>
          </x14:formula1>
          <xm:sqref>H36:N36</xm:sqref>
        </x14:dataValidation>
        <x14:dataValidation type="list" allowBlank="1" showInputMessage="1" showErrorMessage="1" xr:uid="{00000000-0002-0000-0100-000003000000}">
          <x14:formula1>
            <xm:f>リスト!$A$3:$A$657</xm:f>
          </x14:formula1>
          <xm:sqref>L18:M18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80445-6D7A-45D5-9040-D5DFD6B7D56B}">
  <sheetPr>
    <tabColor rgb="FFFFC000"/>
    <pageSetUpPr fitToPage="1"/>
  </sheetPr>
  <dimension ref="A2:CC170"/>
  <sheetViews>
    <sheetView workbookViewId="0"/>
  </sheetViews>
  <sheetFormatPr defaultColWidth="9" defaultRowHeight="18" x14ac:dyDescent="0.35"/>
  <cols>
    <col min="1" max="51" width="3.625" style="288" customWidth="1"/>
    <col min="52" max="52" width="10.625" style="288" customWidth="1"/>
    <col min="53" max="55" width="10.625" style="287" hidden="1" customWidth="1"/>
    <col min="56" max="56" width="10.625" style="318" hidden="1" customWidth="1"/>
    <col min="57" max="57" width="10.625" style="319" hidden="1" customWidth="1"/>
    <col min="58" max="58" width="10.625" style="287" hidden="1" customWidth="1"/>
    <col min="59" max="59" width="10.625" style="320" customWidth="1"/>
    <col min="60" max="67" width="10.625" style="287" customWidth="1"/>
    <col min="68" max="68" width="9" style="287"/>
    <col min="69" max="69" width="11.75" style="287" bestFit="1" customWidth="1"/>
    <col min="70" max="16384" width="9" style="287"/>
  </cols>
  <sheetData>
    <row r="2" spans="1:65" ht="24" x14ac:dyDescent="0.4">
      <c r="A2" s="941" t="s">
        <v>1049</v>
      </c>
      <c r="B2" s="942"/>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c r="AX2" s="942"/>
      <c r="AY2" s="942"/>
      <c r="AZ2" s="286"/>
      <c r="BA2" s="286"/>
      <c r="BB2" s="286"/>
      <c r="BC2" s="286"/>
      <c r="BD2" s="286"/>
      <c r="BE2" s="286"/>
      <c r="BF2" s="286"/>
      <c r="BG2" s="286"/>
      <c r="BH2" s="286"/>
      <c r="BI2" s="286"/>
      <c r="BJ2" s="286"/>
      <c r="BK2" s="286"/>
      <c r="BL2" s="286"/>
      <c r="BM2" s="286"/>
    </row>
    <row r="3" spans="1:65" x14ac:dyDescent="0.35">
      <c r="BB3" s="289"/>
      <c r="BC3" s="289"/>
      <c r="BD3" s="289"/>
      <c r="BE3" s="289"/>
      <c r="BF3" s="289"/>
      <c r="BG3" s="289"/>
    </row>
    <row r="4" spans="1:65" ht="24" customHeight="1" x14ac:dyDescent="0.5">
      <c r="B4" s="939" t="s">
        <v>1087</v>
      </c>
      <c r="C4" s="940"/>
      <c r="D4" s="940"/>
      <c r="E4" s="940"/>
      <c r="F4" s="940"/>
      <c r="G4" s="940"/>
      <c r="H4" s="940"/>
      <c r="I4" s="940"/>
      <c r="J4" s="940"/>
      <c r="K4" s="940"/>
      <c r="L4" s="940"/>
      <c r="M4" s="940"/>
      <c r="N4" s="940"/>
      <c r="O4" s="940"/>
      <c r="P4" s="940"/>
      <c r="Q4" s="940"/>
      <c r="R4" s="940"/>
      <c r="S4" s="940"/>
      <c r="T4" s="940"/>
      <c r="U4" s="940"/>
      <c r="V4" s="940"/>
      <c r="W4" s="940"/>
      <c r="X4" s="940"/>
      <c r="Y4" s="940"/>
      <c r="Z4" s="940"/>
      <c r="AA4" s="940"/>
      <c r="AB4" s="940"/>
      <c r="AC4" s="940"/>
      <c r="AD4" s="940"/>
      <c r="AE4" s="940"/>
      <c r="AF4" s="940"/>
      <c r="AG4" s="940"/>
      <c r="AH4" s="940"/>
      <c r="AI4" s="940"/>
      <c r="AJ4" s="940"/>
      <c r="AK4" s="940"/>
      <c r="AL4" s="940"/>
      <c r="AM4" s="940"/>
      <c r="AN4" s="940"/>
      <c r="AO4" s="940"/>
      <c r="AP4" s="940"/>
      <c r="AQ4" s="940"/>
      <c r="AR4" s="940"/>
      <c r="AS4" s="940"/>
      <c r="AT4" s="940"/>
      <c r="AU4" s="940"/>
      <c r="AV4" s="940"/>
      <c r="AW4" s="940"/>
      <c r="AX4" s="940"/>
      <c r="AZ4" s="287"/>
      <c r="BD4" s="287"/>
      <c r="BE4" s="287"/>
      <c r="BG4" s="287"/>
    </row>
    <row r="5" spans="1:65" ht="24" customHeight="1" thickBot="1" x14ac:dyDescent="0.55000000000000004">
      <c r="B5" s="944" t="s">
        <v>1048</v>
      </c>
      <c r="C5" s="943"/>
      <c r="D5" s="943"/>
      <c r="E5" s="943"/>
      <c r="F5" s="943"/>
      <c r="G5" s="943"/>
      <c r="H5" s="943"/>
      <c r="I5" s="943"/>
      <c r="J5" s="943"/>
      <c r="K5" s="943"/>
      <c r="L5" s="943"/>
      <c r="M5" s="943"/>
      <c r="N5" s="943"/>
      <c r="O5" s="943"/>
      <c r="P5" s="943"/>
      <c r="Q5" s="943"/>
      <c r="R5" s="943"/>
      <c r="S5" s="943"/>
      <c r="T5" s="943"/>
      <c r="U5" s="943"/>
      <c r="V5" s="943"/>
      <c r="W5" s="943"/>
      <c r="X5" s="943"/>
      <c r="Y5" s="943"/>
      <c r="Z5" s="943"/>
      <c r="AA5" s="943"/>
      <c r="AB5" s="943"/>
      <c r="AC5" s="943"/>
      <c r="AD5" s="943"/>
      <c r="AE5" s="943"/>
      <c r="AF5" s="943"/>
      <c r="AG5" s="943"/>
      <c r="AH5" s="943"/>
      <c r="AI5" s="943"/>
      <c r="AJ5" s="943"/>
      <c r="AK5" s="943"/>
      <c r="AL5" s="943"/>
      <c r="AM5" s="943"/>
      <c r="AN5" s="943"/>
      <c r="AO5" s="943"/>
      <c r="AP5" s="943"/>
      <c r="AQ5" s="943"/>
      <c r="AR5" s="943"/>
      <c r="AS5" s="943"/>
      <c r="AT5" s="943"/>
      <c r="AU5" s="943"/>
      <c r="AV5" s="943"/>
      <c r="AW5" s="943"/>
      <c r="AX5" s="943"/>
      <c r="AZ5" s="287"/>
      <c r="BD5" s="287"/>
      <c r="BE5" s="287"/>
      <c r="BG5" s="287"/>
    </row>
    <row r="6" spans="1:65" ht="24" customHeight="1" thickTop="1" x14ac:dyDescent="0.5">
      <c r="B6" s="952" t="s">
        <v>1078</v>
      </c>
      <c r="C6" s="953"/>
      <c r="D6" s="953"/>
      <c r="E6" s="953"/>
      <c r="F6" s="953"/>
      <c r="G6" s="953"/>
      <c r="H6" s="953"/>
      <c r="I6" s="953"/>
      <c r="J6" s="953"/>
      <c r="K6" s="953"/>
      <c r="L6" s="953"/>
      <c r="M6" s="953"/>
      <c r="N6" s="953"/>
      <c r="O6" s="953"/>
      <c r="P6" s="953"/>
      <c r="Q6" s="953"/>
      <c r="R6" s="953"/>
      <c r="S6" s="953"/>
      <c r="T6" s="953"/>
      <c r="U6" s="953"/>
      <c r="V6" s="953"/>
      <c r="W6" s="953"/>
      <c r="X6" s="953"/>
      <c r="Y6" s="953"/>
      <c r="Z6" s="953"/>
      <c r="AA6" s="953"/>
      <c r="AB6" s="953"/>
      <c r="AC6" s="953"/>
      <c r="AD6" s="953"/>
      <c r="AE6" s="953"/>
      <c r="AF6" s="953"/>
      <c r="AG6" s="953"/>
      <c r="AH6" s="953"/>
      <c r="AI6" s="953"/>
      <c r="AJ6" s="953"/>
      <c r="AK6" s="953"/>
      <c r="AL6" s="953"/>
      <c r="AM6" s="953"/>
      <c r="AN6" s="953"/>
      <c r="AO6" s="953"/>
      <c r="AP6" s="953"/>
      <c r="AQ6" s="953"/>
      <c r="AR6" s="953"/>
      <c r="AS6" s="953"/>
      <c r="AT6" s="953"/>
      <c r="AU6" s="953"/>
      <c r="AV6" s="953"/>
      <c r="AW6" s="953"/>
      <c r="AX6" s="954"/>
      <c r="AZ6" s="287"/>
      <c r="BD6" s="287"/>
      <c r="BE6" s="287"/>
      <c r="BG6" s="287"/>
    </row>
    <row r="7" spans="1:65" s="291" customFormat="1" ht="48" customHeight="1" thickBot="1" x14ac:dyDescent="0.55000000000000004">
      <c r="A7" s="290"/>
      <c r="B7" s="949" t="s">
        <v>1079</v>
      </c>
      <c r="C7" s="950"/>
      <c r="D7" s="950"/>
      <c r="E7" s="950"/>
      <c r="F7" s="950"/>
      <c r="G7" s="950"/>
      <c r="H7" s="950"/>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0"/>
      <c r="AL7" s="950"/>
      <c r="AM7" s="950"/>
      <c r="AN7" s="950"/>
      <c r="AO7" s="950"/>
      <c r="AP7" s="950"/>
      <c r="AQ7" s="950"/>
      <c r="AR7" s="950"/>
      <c r="AS7" s="950"/>
      <c r="AT7" s="950"/>
      <c r="AU7" s="950"/>
      <c r="AV7" s="950"/>
      <c r="AW7" s="950"/>
      <c r="AX7" s="951"/>
      <c r="AY7" s="290"/>
    </row>
    <row r="8" spans="1:65" ht="24" customHeight="1" thickTop="1" x14ac:dyDescent="0.5">
      <c r="B8" s="944" t="s">
        <v>1077</v>
      </c>
      <c r="C8" s="943"/>
      <c r="D8" s="943"/>
      <c r="E8" s="943"/>
      <c r="F8" s="943"/>
      <c r="G8" s="943"/>
      <c r="H8" s="943"/>
      <c r="I8" s="943"/>
      <c r="J8" s="943"/>
      <c r="K8" s="943"/>
      <c r="L8" s="943"/>
      <c r="M8" s="943"/>
      <c r="N8" s="943"/>
      <c r="O8" s="943"/>
      <c r="P8" s="943"/>
      <c r="Q8" s="943"/>
      <c r="R8" s="943"/>
      <c r="S8" s="943"/>
      <c r="T8" s="943"/>
      <c r="U8" s="943"/>
      <c r="V8" s="943"/>
      <c r="W8" s="943"/>
      <c r="X8" s="943"/>
      <c r="Y8" s="943"/>
      <c r="Z8" s="943"/>
      <c r="AA8" s="943"/>
      <c r="AB8" s="943"/>
      <c r="AC8" s="943"/>
      <c r="AD8" s="943"/>
      <c r="AE8" s="943"/>
      <c r="AF8" s="943"/>
      <c r="AG8" s="943"/>
      <c r="AH8" s="943"/>
      <c r="AI8" s="943"/>
      <c r="AJ8" s="943"/>
      <c r="AK8" s="943"/>
      <c r="AL8" s="943"/>
      <c r="AM8" s="943"/>
      <c r="AN8" s="943"/>
      <c r="AO8" s="943"/>
      <c r="AP8" s="943"/>
      <c r="AQ8" s="943"/>
      <c r="AR8" s="943"/>
      <c r="AS8" s="943"/>
      <c r="AT8" s="943"/>
      <c r="AU8" s="943"/>
      <c r="AV8" s="943"/>
      <c r="AW8" s="943"/>
      <c r="AX8" s="943"/>
      <c r="AZ8" s="287"/>
      <c r="BD8" s="287"/>
      <c r="BE8" s="287"/>
      <c r="BF8" s="292"/>
      <c r="BG8" s="287"/>
    </row>
    <row r="9" spans="1:65" ht="24" customHeight="1" x14ac:dyDescent="0.5">
      <c r="B9" s="944" t="s">
        <v>938</v>
      </c>
      <c r="C9" s="943"/>
      <c r="D9" s="943"/>
      <c r="E9" s="943"/>
      <c r="F9" s="943"/>
      <c r="G9" s="943"/>
      <c r="H9" s="943"/>
      <c r="I9" s="943"/>
      <c r="J9" s="943"/>
      <c r="K9" s="943"/>
      <c r="L9" s="943"/>
      <c r="M9" s="943"/>
      <c r="N9" s="943"/>
      <c r="O9" s="943"/>
      <c r="P9" s="943"/>
      <c r="Q9" s="943"/>
      <c r="R9" s="943"/>
      <c r="S9" s="943"/>
      <c r="T9" s="943"/>
      <c r="U9" s="943"/>
      <c r="V9" s="943"/>
      <c r="W9" s="943"/>
      <c r="X9" s="943"/>
      <c r="Y9" s="943"/>
      <c r="Z9" s="943"/>
      <c r="AA9" s="943"/>
      <c r="AB9" s="943"/>
      <c r="AC9" s="943"/>
      <c r="AD9" s="943"/>
      <c r="AE9" s="943"/>
      <c r="AF9" s="943"/>
      <c r="AG9" s="943"/>
      <c r="AH9" s="943"/>
      <c r="AI9" s="943"/>
      <c r="AJ9" s="943"/>
      <c r="AK9" s="943"/>
      <c r="AL9" s="943"/>
      <c r="AM9" s="943"/>
      <c r="AN9" s="943"/>
      <c r="AO9" s="943"/>
      <c r="AP9" s="943"/>
      <c r="AQ9" s="943"/>
      <c r="AR9" s="943"/>
      <c r="AS9" s="943"/>
      <c r="AT9" s="943"/>
      <c r="AU9" s="943"/>
      <c r="AV9" s="943"/>
      <c r="AW9" s="943"/>
      <c r="AX9" s="943"/>
      <c r="AZ9" s="287"/>
      <c r="BD9" s="287"/>
      <c r="BE9" s="287"/>
      <c r="BG9" s="287"/>
    </row>
    <row r="10" spans="1:65" ht="36" customHeight="1" x14ac:dyDescent="0.35">
      <c r="B10" s="939" t="s">
        <v>1222</v>
      </c>
      <c r="C10" s="940"/>
      <c r="D10" s="940"/>
      <c r="E10" s="940"/>
      <c r="F10" s="940"/>
      <c r="G10" s="940"/>
      <c r="H10" s="940"/>
      <c r="I10" s="940"/>
      <c r="J10" s="940"/>
      <c r="K10" s="940"/>
      <c r="L10" s="940"/>
      <c r="M10" s="940"/>
      <c r="N10" s="940"/>
      <c r="O10" s="940"/>
      <c r="P10" s="940"/>
      <c r="Q10" s="940"/>
      <c r="R10" s="940"/>
      <c r="S10" s="940"/>
      <c r="T10" s="940"/>
      <c r="U10" s="940"/>
      <c r="V10" s="940"/>
      <c r="W10" s="940"/>
      <c r="X10" s="940"/>
      <c r="Y10" s="940"/>
      <c r="Z10" s="940"/>
      <c r="AA10" s="940"/>
      <c r="AB10" s="940"/>
      <c r="AC10" s="940"/>
      <c r="AD10" s="940"/>
      <c r="AE10" s="940"/>
      <c r="AF10" s="940"/>
      <c r="AG10" s="940"/>
      <c r="AH10" s="940"/>
      <c r="AI10" s="940"/>
      <c r="AJ10" s="940"/>
      <c r="AK10" s="940"/>
      <c r="AL10" s="940"/>
      <c r="AM10" s="940"/>
      <c r="AN10" s="940"/>
      <c r="AO10" s="940"/>
      <c r="AP10" s="940"/>
      <c r="AQ10" s="940"/>
      <c r="AR10" s="940"/>
      <c r="AS10" s="940"/>
      <c r="AT10" s="940"/>
      <c r="AU10" s="940"/>
      <c r="AV10" s="943"/>
      <c r="AW10" s="943"/>
      <c r="AX10" s="943"/>
      <c r="AZ10" s="287"/>
      <c r="BD10" s="287"/>
      <c r="BE10" s="287"/>
      <c r="BG10" s="287"/>
    </row>
    <row r="11" spans="1:65" ht="36" customHeight="1" x14ac:dyDescent="0.35">
      <c r="B11" s="940"/>
      <c r="C11" s="940"/>
      <c r="D11" s="940"/>
      <c r="E11" s="940"/>
      <c r="F11" s="940"/>
      <c r="G11" s="940"/>
      <c r="H11" s="940"/>
      <c r="I11" s="940"/>
      <c r="J11" s="940"/>
      <c r="K11" s="940"/>
      <c r="L11" s="940"/>
      <c r="M11" s="940"/>
      <c r="N11" s="940"/>
      <c r="O11" s="940"/>
      <c r="P11" s="940"/>
      <c r="Q11" s="940"/>
      <c r="R11" s="940"/>
      <c r="S11" s="940"/>
      <c r="T11" s="940"/>
      <c r="U11" s="940"/>
      <c r="V11" s="940"/>
      <c r="W11" s="940"/>
      <c r="X11" s="940"/>
      <c r="Y11" s="940"/>
      <c r="Z11" s="940"/>
      <c r="AA11" s="940"/>
      <c r="AB11" s="940"/>
      <c r="AC11" s="940"/>
      <c r="AD11" s="940"/>
      <c r="AE11" s="940"/>
      <c r="AF11" s="940"/>
      <c r="AG11" s="940"/>
      <c r="AH11" s="940"/>
      <c r="AI11" s="940"/>
      <c r="AJ11" s="940"/>
      <c r="AK11" s="940"/>
      <c r="AL11" s="940"/>
      <c r="AM11" s="940"/>
      <c r="AN11" s="940"/>
      <c r="AO11" s="940"/>
      <c r="AP11" s="940"/>
      <c r="AQ11" s="940"/>
      <c r="AR11" s="940"/>
      <c r="AS11" s="940"/>
      <c r="AT11" s="940"/>
      <c r="AU11" s="940"/>
      <c r="AV11" s="943"/>
      <c r="AW11" s="943"/>
      <c r="AX11" s="943"/>
      <c r="AZ11" s="287"/>
      <c r="BD11" s="287"/>
      <c r="BE11" s="287"/>
      <c r="BG11" s="287"/>
    </row>
    <row r="12" spans="1:65" s="291" customFormat="1" ht="48" customHeight="1" x14ac:dyDescent="0.5">
      <c r="A12" s="290"/>
      <c r="B12" s="939" t="s">
        <v>1089</v>
      </c>
      <c r="C12" s="940"/>
      <c r="D12" s="940"/>
      <c r="E12" s="940"/>
      <c r="F12" s="940"/>
      <c r="G12" s="940"/>
      <c r="H12" s="940"/>
      <c r="I12" s="940"/>
      <c r="J12" s="940"/>
      <c r="K12" s="940"/>
      <c r="L12" s="940"/>
      <c r="M12" s="940"/>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940"/>
      <c r="AL12" s="940"/>
      <c r="AM12" s="940"/>
      <c r="AN12" s="940"/>
      <c r="AO12" s="940"/>
      <c r="AP12" s="940"/>
      <c r="AQ12" s="940"/>
      <c r="AR12" s="940"/>
      <c r="AS12" s="940"/>
      <c r="AT12" s="940"/>
      <c r="AU12" s="940"/>
      <c r="AV12" s="940"/>
      <c r="AW12" s="940"/>
      <c r="AX12" s="940"/>
      <c r="AY12" s="290"/>
    </row>
    <row r="13" spans="1:65" x14ac:dyDescent="0.35">
      <c r="BB13" s="289"/>
      <c r="BC13" s="289"/>
      <c r="BD13" s="289"/>
      <c r="BE13" s="289"/>
      <c r="BF13" s="289"/>
      <c r="BG13" s="289"/>
    </row>
    <row r="14" spans="1:65" ht="45" customHeight="1" x14ac:dyDescent="0.35">
      <c r="B14" s="945" t="str">
        <f>"１．診察情報　　【総合判定】"&amp;AZ14&amp;CHAR(10)&amp;
"　（診察日、診療時間は疑い患者の発熱外来診療の実施日及び時間を入力し、他部門の実施時間等を含めないこと。）"</f>
        <v>１．診察情報　　【総合判定】○
　（診察日、診療時間は疑い患者の発熱外来診療の実施日及び時間を入力し、他部門の実施時間等を含めないこと。）</v>
      </c>
      <c r="C14" s="945"/>
      <c r="D14" s="945"/>
      <c r="E14" s="945"/>
      <c r="F14" s="945"/>
      <c r="G14" s="945"/>
      <c r="H14" s="945"/>
      <c r="I14" s="945"/>
      <c r="J14" s="945"/>
      <c r="K14" s="945"/>
      <c r="L14" s="945"/>
      <c r="M14" s="945"/>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293" t="str">
        <f>IF(SUM(COUNTIF(AA16,"○"),COUNTIF(AA18,"○"),COUNTIF(AK22:AK28,"○"))=9,"○","×")</f>
        <v>○</v>
      </c>
      <c r="BB14" s="288"/>
      <c r="BC14" s="294"/>
      <c r="BD14" s="289"/>
      <c r="BE14" s="289"/>
      <c r="BF14" s="289"/>
      <c r="BG14" s="289"/>
    </row>
    <row r="15" spans="1:65" ht="18.75" customHeight="1" thickBot="1" x14ac:dyDescent="0.45">
      <c r="B15" s="1049" t="s">
        <v>1086</v>
      </c>
      <c r="C15" s="1050"/>
      <c r="D15" s="1050"/>
      <c r="E15" s="1050"/>
      <c r="F15" s="1050"/>
      <c r="G15" s="1050"/>
      <c r="H15" s="1050"/>
      <c r="I15" s="1050"/>
      <c r="J15" s="1050"/>
      <c r="K15" s="1050"/>
      <c r="L15" s="1050"/>
      <c r="M15" s="1050"/>
      <c r="N15" s="1050"/>
      <c r="O15" s="1050"/>
      <c r="P15" s="1050"/>
      <c r="Q15" s="1050"/>
      <c r="R15" s="1050"/>
      <c r="S15" s="1050"/>
      <c r="T15" s="1050"/>
      <c r="U15" s="1050"/>
      <c r="V15" s="1050"/>
      <c r="W15" s="1050"/>
      <c r="X15" s="1050"/>
      <c r="Y15" s="1050"/>
      <c r="Z15" s="1050"/>
      <c r="AA15" s="1050"/>
      <c r="AB15" s="1050"/>
      <c r="AC15" s="1050"/>
      <c r="AD15" s="1050"/>
      <c r="AE15" s="1050"/>
      <c r="AF15" s="1050"/>
      <c r="AG15" s="1050"/>
      <c r="AH15" s="1050"/>
      <c r="AI15" s="1050"/>
      <c r="AJ15" s="1050"/>
      <c r="AK15" s="1050"/>
      <c r="AL15" s="1050"/>
      <c r="AM15" s="1050"/>
      <c r="AN15" s="1050"/>
      <c r="AO15" s="1050"/>
      <c r="AP15" s="1050"/>
      <c r="AQ15" s="1050"/>
      <c r="AR15" s="1050"/>
      <c r="AS15" s="1050"/>
      <c r="AT15" s="1050"/>
      <c r="AU15" s="1050"/>
      <c r="AV15" s="1050"/>
      <c r="AW15" s="1050"/>
      <c r="AX15" s="1050"/>
      <c r="AY15" s="295"/>
      <c r="AZ15" s="287"/>
      <c r="BA15" s="1041" t="s">
        <v>1071</v>
      </c>
      <c r="BB15" s="1042"/>
      <c r="BC15" s="1042"/>
      <c r="BD15" s="1043"/>
      <c r="BE15" s="289"/>
      <c r="BF15" s="289"/>
      <c r="BG15" s="289"/>
    </row>
    <row r="16" spans="1:65" ht="18.75" customHeight="1" thickTop="1" thickBot="1" x14ac:dyDescent="0.45">
      <c r="B16" s="295"/>
      <c r="C16" s="295"/>
      <c r="D16" s="1051" t="s">
        <v>1071</v>
      </c>
      <c r="E16" s="1052"/>
      <c r="F16" s="1052"/>
      <c r="G16" s="1052"/>
      <c r="H16" s="1052"/>
      <c r="I16" s="1052"/>
      <c r="J16" s="1052"/>
      <c r="K16" s="1052"/>
      <c r="L16" s="1052"/>
      <c r="M16" s="1053"/>
      <c r="N16" s="1053"/>
      <c r="O16" s="1053"/>
      <c r="P16" s="1053"/>
      <c r="Q16" s="1053"/>
      <c r="R16" s="1053"/>
      <c r="S16" s="1053"/>
      <c r="T16" s="1053"/>
      <c r="U16" s="1053"/>
      <c r="V16" s="1053"/>
      <c r="W16" s="1054"/>
      <c r="X16" s="295"/>
      <c r="Y16" s="1044" t="s">
        <v>66</v>
      </c>
      <c r="Z16" s="1045"/>
      <c r="AA16" s="296" t="str">
        <f>IF(COUNTA(D16)=1,"○","×")</f>
        <v>○</v>
      </c>
      <c r="AB16" s="1046" t="str">
        <f>IF(COUNTA(D16)=1,"適切に入力がされました","【要修正】プルダウンからいずれかを選択してください")</f>
        <v>適切に入力がされました</v>
      </c>
      <c r="AC16" s="1047"/>
      <c r="AD16" s="1047"/>
      <c r="AE16" s="1047"/>
      <c r="AF16" s="1047"/>
      <c r="AG16" s="1047"/>
      <c r="AH16" s="1047"/>
      <c r="AI16" s="1047"/>
      <c r="AJ16" s="1047"/>
      <c r="AK16" s="1047"/>
      <c r="AL16" s="1047"/>
      <c r="AM16" s="1047"/>
      <c r="AN16" s="1047"/>
      <c r="AO16" s="1047"/>
      <c r="AP16" s="1047"/>
      <c r="AQ16" s="1047"/>
      <c r="AR16" s="1047"/>
      <c r="AS16" s="1047"/>
      <c r="AT16" s="1047"/>
      <c r="AU16" s="1047"/>
      <c r="AV16" s="1047"/>
      <c r="AW16" s="1047"/>
      <c r="AX16" s="1048"/>
      <c r="AY16" s="295"/>
      <c r="AZ16" s="287"/>
      <c r="BA16" s="1041" t="s">
        <v>1072</v>
      </c>
      <c r="BB16" s="1042"/>
      <c r="BC16" s="1042"/>
      <c r="BD16" s="1043"/>
      <c r="BE16" s="289"/>
      <c r="BF16" s="289"/>
      <c r="BG16" s="289"/>
    </row>
    <row r="17" spans="1:79" ht="18.75" customHeight="1" thickTop="1" thickBot="1" x14ac:dyDescent="0.4">
      <c r="B17" s="1049" t="s">
        <v>1085</v>
      </c>
      <c r="C17" s="1050"/>
      <c r="D17" s="1050"/>
      <c r="E17" s="1050"/>
      <c r="F17" s="1050"/>
      <c r="G17" s="1050"/>
      <c r="H17" s="1050"/>
      <c r="I17" s="1050"/>
      <c r="J17" s="1050"/>
      <c r="K17" s="1050"/>
      <c r="L17" s="1050"/>
      <c r="M17" s="1050"/>
      <c r="N17" s="1050"/>
      <c r="O17" s="1050"/>
      <c r="P17" s="1050"/>
      <c r="Q17" s="1050"/>
      <c r="R17" s="1050"/>
      <c r="S17" s="1050"/>
      <c r="T17" s="1050"/>
      <c r="U17" s="1050"/>
      <c r="V17" s="1050"/>
      <c r="W17" s="1050"/>
      <c r="X17" s="1050"/>
      <c r="Y17" s="1050"/>
      <c r="Z17" s="1050"/>
      <c r="AA17" s="1050"/>
      <c r="AB17" s="1050"/>
      <c r="AC17" s="1050"/>
      <c r="AD17" s="1050"/>
      <c r="AE17" s="1050"/>
      <c r="AF17" s="1050"/>
      <c r="AG17" s="1050"/>
      <c r="AH17" s="1050"/>
      <c r="AI17" s="1050"/>
      <c r="AJ17" s="1050"/>
      <c r="AK17" s="1050"/>
      <c r="AL17" s="1050"/>
      <c r="AM17" s="1050"/>
      <c r="AN17" s="1050"/>
      <c r="AO17" s="1050"/>
      <c r="AP17" s="1050"/>
      <c r="AQ17" s="1050"/>
      <c r="AR17" s="1050"/>
      <c r="AS17" s="1050"/>
      <c r="AT17" s="1050"/>
      <c r="AU17" s="1050"/>
      <c r="AV17" s="1050"/>
      <c r="AW17" s="1050"/>
      <c r="AX17" s="1050"/>
      <c r="AY17" s="295"/>
      <c r="AZ17" s="287"/>
      <c r="BB17" s="288"/>
      <c r="BC17" s="294"/>
      <c r="BD17" s="289"/>
      <c r="BE17" s="289"/>
      <c r="BF17" s="289"/>
      <c r="BG17" s="289"/>
    </row>
    <row r="18" spans="1:79" ht="18.75" customHeight="1" thickTop="1" thickBot="1" x14ac:dyDescent="0.45">
      <c r="B18" s="295"/>
      <c r="C18" s="295"/>
      <c r="D18" s="1051" t="s">
        <v>1075</v>
      </c>
      <c r="E18" s="1052"/>
      <c r="F18" s="1052"/>
      <c r="G18" s="1052"/>
      <c r="H18" s="1052"/>
      <c r="I18" s="1052"/>
      <c r="J18" s="1052"/>
      <c r="K18" s="1052"/>
      <c r="L18" s="1052"/>
      <c r="M18" s="1052"/>
      <c r="N18" s="1052"/>
      <c r="O18" s="1052"/>
      <c r="P18" s="1052"/>
      <c r="Q18" s="1052"/>
      <c r="R18" s="1053"/>
      <c r="S18" s="1053"/>
      <c r="T18" s="1053"/>
      <c r="U18" s="1053"/>
      <c r="V18" s="1053"/>
      <c r="W18" s="1054"/>
      <c r="X18" s="295"/>
      <c r="Y18" s="1044" t="s">
        <v>66</v>
      </c>
      <c r="Z18" s="1045"/>
      <c r="AA18" s="296" t="str">
        <f>IF(COUNTA(D18)=1,"○","×")</f>
        <v>○</v>
      </c>
      <c r="AB18" s="1046" t="str">
        <f>IF(COUNTA(D18)=1,"適切に入力がされました","【要修正】プルダウンからいずれかを選択してください")</f>
        <v>適切に入力がされました</v>
      </c>
      <c r="AC18" s="1047"/>
      <c r="AD18" s="1047"/>
      <c r="AE18" s="1047"/>
      <c r="AF18" s="1047"/>
      <c r="AG18" s="1047"/>
      <c r="AH18" s="1047"/>
      <c r="AI18" s="1047"/>
      <c r="AJ18" s="1047"/>
      <c r="AK18" s="1047"/>
      <c r="AL18" s="1047"/>
      <c r="AM18" s="1047"/>
      <c r="AN18" s="1047"/>
      <c r="AO18" s="1047"/>
      <c r="AP18" s="1047"/>
      <c r="AQ18" s="1047"/>
      <c r="AR18" s="1047"/>
      <c r="AS18" s="1047"/>
      <c r="AT18" s="1047"/>
      <c r="AU18" s="1047"/>
      <c r="AV18" s="1047"/>
      <c r="AW18" s="1047"/>
      <c r="AX18" s="1048"/>
      <c r="AY18" s="295"/>
      <c r="AZ18" s="287"/>
      <c r="BA18" s="1041" t="s">
        <v>1073</v>
      </c>
      <c r="BB18" s="1042"/>
      <c r="BC18" s="1042"/>
      <c r="BD18" s="1042"/>
      <c r="BE18" s="1043"/>
      <c r="BF18" s="289"/>
      <c r="BG18" s="289"/>
    </row>
    <row r="19" spans="1:79" ht="18.75" customHeight="1" thickTop="1" thickBot="1" x14ac:dyDescent="0.45">
      <c r="B19" s="1049" t="s">
        <v>1110</v>
      </c>
      <c r="C19" s="1050"/>
      <c r="D19" s="1050"/>
      <c r="E19" s="1050"/>
      <c r="F19" s="1050"/>
      <c r="G19" s="1050"/>
      <c r="H19" s="1050"/>
      <c r="I19" s="1050"/>
      <c r="J19" s="1050"/>
      <c r="K19" s="1050"/>
      <c r="L19" s="1050"/>
      <c r="M19" s="1050"/>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295"/>
      <c r="AZ19" s="287"/>
      <c r="BA19" s="1041" t="s">
        <v>1075</v>
      </c>
      <c r="BB19" s="1042"/>
      <c r="BC19" s="1042"/>
      <c r="BD19" s="1042"/>
      <c r="BE19" s="1043"/>
      <c r="BF19" s="289"/>
      <c r="BG19" s="289"/>
    </row>
    <row r="20" spans="1:79" ht="24.75" thickTop="1" x14ac:dyDescent="0.5">
      <c r="B20" s="955" t="s">
        <v>939</v>
      </c>
      <c r="C20" s="956"/>
      <c r="D20" s="957"/>
      <c r="E20" s="955" t="s">
        <v>947</v>
      </c>
      <c r="F20" s="956"/>
      <c r="G20" s="957"/>
      <c r="H20" s="297" t="s">
        <v>959</v>
      </c>
      <c r="I20" s="297"/>
      <c r="J20" s="297"/>
      <c r="K20" s="297"/>
      <c r="L20" s="297"/>
      <c r="M20" s="297"/>
      <c r="N20" s="297"/>
      <c r="O20" s="297"/>
      <c r="P20" s="297"/>
      <c r="Q20" s="297"/>
      <c r="R20" s="297"/>
      <c r="S20" s="297"/>
      <c r="T20" s="297"/>
      <c r="U20" s="297"/>
      <c r="V20" s="297"/>
      <c r="W20" s="297"/>
      <c r="X20" s="297"/>
      <c r="Y20" s="297"/>
      <c r="Z20" s="297"/>
      <c r="AA20" s="297"/>
      <c r="AB20" s="298"/>
      <c r="AC20" s="299" t="s">
        <v>966</v>
      </c>
      <c r="AD20" s="297"/>
      <c r="AE20" s="297"/>
      <c r="AF20" s="297"/>
      <c r="AG20" s="297"/>
      <c r="AH20" s="297"/>
      <c r="AI20" s="298"/>
      <c r="AJ20" s="300"/>
      <c r="AK20" s="961" t="s">
        <v>66</v>
      </c>
      <c r="AL20" s="301" t="s">
        <v>983</v>
      </c>
      <c r="AM20" s="979" t="s">
        <v>1080</v>
      </c>
      <c r="AN20" s="980"/>
      <c r="AO20" s="980"/>
      <c r="AP20" s="980"/>
      <c r="AQ20" s="980"/>
      <c r="AR20" s="980"/>
      <c r="AS20" s="980"/>
      <c r="AT20" s="980"/>
      <c r="AU20" s="980"/>
      <c r="AV20" s="980"/>
      <c r="AW20" s="980"/>
      <c r="AX20" s="981"/>
      <c r="AY20" s="302"/>
      <c r="AZ20" s="287"/>
      <c r="BA20" s="1041" t="s">
        <v>1074</v>
      </c>
      <c r="BB20" s="1042"/>
      <c r="BC20" s="1042"/>
      <c r="BD20" s="1042"/>
      <c r="BE20" s="1043"/>
      <c r="BF20" s="303"/>
      <c r="BG20" s="287"/>
    </row>
    <row r="21" spans="1:79" ht="24" x14ac:dyDescent="0.5">
      <c r="B21" s="958"/>
      <c r="C21" s="959"/>
      <c r="D21" s="960"/>
      <c r="E21" s="958"/>
      <c r="F21" s="959"/>
      <c r="G21" s="960"/>
      <c r="H21" s="298" t="s">
        <v>200</v>
      </c>
      <c r="I21" s="304"/>
      <c r="J21" s="304"/>
      <c r="K21" s="304"/>
      <c r="L21" s="304"/>
      <c r="M21" s="304"/>
      <c r="N21" s="304"/>
      <c r="O21" s="305" t="s">
        <v>199</v>
      </c>
      <c r="P21" s="304"/>
      <c r="Q21" s="304"/>
      <c r="R21" s="304"/>
      <c r="S21" s="304"/>
      <c r="T21" s="304"/>
      <c r="U21" s="306"/>
      <c r="V21" s="304" t="s">
        <v>201</v>
      </c>
      <c r="W21" s="304"/>
      <c r="X21" s="304"/>
      <c r="Y21" s="304"/>
      <c r="Z21" s="304"/>
      <c r="AA21" s="304"/>
      <c r="AB21" s="304"/>
      <c r="AC21" s="299" t="s">
        <v>200</v>
      </c>
      <c r="AD21" s="297"/>
      <c r="AE21" s="297" t="s">
        <v>199</v>
      </c>
      <c r="AF21" s="297"/>
      <c r="AG21" s="297" t="s">
        <v>201</v>
      </c>
      <c r="AH21" s="297"/>
      <c r="AI21" s="963" t="s">
        <v>64</v>
      </c>
      <c r="AJ21" s="964"/>
      <c r="AK21" s="962"/>
      <c r="AL21" s="307"/>
      <c r="AM21" s="980"/>
      <c r="AN21" s="980"/>
      <c r="AO21" s="980"/>
      <c r="AP21" s="980"/>
      <c r="AQ21" s="980"/>
      <c r="AR21" s="980"/>
      <c r="AS21" s="980"/>
      <c r="AT21" s="980"/>
      <c r="AU21" s="980"/>
      <c r="AV21" s="980"/>
      <c r="AW21" s="980"/>
      <c r="AX21" s="981"/>
      <c r="AY21" s="302"/>
      <c r="AZ21" s="287"/>
      <c r="BA21" s="1262" t="s">
        <v>1193</v>
      </c>
      <c r="BB21" s="1263"/>
      <c r="BC21" s="1262" t="s">
        <v>1194</v>
      </c>
      <c r="BD21" s="1263"/>
      <c r="BE21" s="1262" t="s">
        <v>1195</v>
      </c>
      <c r="BF21" s="1264"/>
      <c r="BG21" s="287"/>
    </row>
    <row r="22" spans="1:79" ht="24" x14ac:dyDescent="0.5">
      <c r="A22" s="308" t="s">
        <v>978</v>
      </c>
      <c r="B22" s="972" t="s">
        <v>940</v>
      </c>
      <c r="C22" s="973"/>
      <c r="D22" s="973"/>
      <c r="E22" s="974" t="s">
        <v>949</v>
      </c>
      <c r="F22" s="975"/>
      <c r="G22" s="976"/>
      <c r="H22" s="275">
        <v>11</v>
      </c>
      <c r="I22" s="495" t="s">
        <v>963</v>
      </c>
      <c r="J22" s="381">
        <v>30</v>
      </c>
      <c r="K22" s="309" t="s">
        <v>961</v>
      </c>
      <c r="L22" s="275">
        <v>12</v>
      </c>
      <c r="M22" s="495" t="s">
        <v>963</v>
      </c>
      <c r="N22" s="382" t="s">
        <v>964</v>
      </c>
      <c r="O22" s="275">
        <v>13</v>
      </c>
      <c r="P22" s="495" t="s">
        <v>963</v>
      </c>
      <c r="Q22" s="381" t="s">
        <v>964</v>
      </c>
      <c r="R22" s="309" t="s">
        <v>961</v>
      </c>
      <c r="S22" s="275">
        <v>16</v>
      </c>
      <c r="T22" s="495" t="s">
        <v>963</v>
      </c>
      <c r="U22" s="382" t="s">
        <v>964</v>
      </c>
      <c r="V22" s="275"/>
      <c r="W22" s="495" t="s">
        <v>963</v>
      </c>
      <c r="X22" s="381"/>
      <c r="Y22" s="309" t="s">
        <v>961</v>
      </c>
      <c r="Z22" s="275"/>
      <c r="AA22" s="495" t="s">
        <v>963</v>
      </c>
      <c r="AB22" s="382"/>
      <c r="AC22" s="977">
        <f xml:space="preserve">
IF(E22="","要修正",
IF(E22="休診日",0,
IF(AND(E22="診療日",COUNTA(H22,J22,L22,N22)&gt;=0,COUNTA(H22,J22,L22,N22)&lt;4),"要修正",
IF(AND(E22="診療日",COUNTA(H22,J22,L22,N22)=4,BB22&lt;=BA22),"要修正",
IF(AND(E22="診療日",COUNTA(H22,J22,L22,N22)=4,BB22&gt;BA22),BB22-BA22)))))</f>
        <v>2.0833333333333315E-2</v>
      </c>
      <c r="AD22" s="978"/>
      <c r="AE22" s="977">
        <f xml:space="preserve">
IF(E22="","要修正",
IF(E22="休診日",0,
IF(AND(E22="診療日",COUNTA(O22,Q22,S22,U22)=0),0,
IF(AND(E22="診療日",COUNTA(O22,Q22,S22,U22)&gt;0,COUNTA(O22,Q22,S22,U22)&lt;4),"要修正",
IF(AND(E22="診療日",COUNTA(O22,Q22,S22,U22)=4,OR(BC22&lt;=BA22,BC22&lt;=BB22,BD22&lt;=BA22,BD22&lt;=BB22,BD22&lt;=BC22)),"要修正",
IF(AND(E22="診療日",COUNTA(O22,Q22,S22,U22)=4,BC22&gt;BA22,BC22&gt;BB22,BD22&gt;BA22,BD22&gt;BB22,BD22&gt;BC22),BD22-BC22))))))</f>
        <v>0.125</v>
      </c>
      <c r="AF22" s="978"/>
      <c r="AG22" s="977">
        <f xml:space="preserve">
IF(E22="","要修正",
IF(E22="休診日",0,
IF(AND(E22="診療日",COUNTA(V22,X22,Z22,AB22)=0),0,
IF(AND(E22="診療日",COUNTA(V22,X22,Z22,AB22)&gt;0,COUNTA(V22,X22,Z22,AB22)&lt;4),"要修正",
IF(AND(E22="診療日",COUNTA(V22,X22,Z22,AB22)=4,OR(BE22&lt;=BA22,BE22&lt;=BB22,BE22&lt;=BC22,BE22&lt;=BD22,BF22&lt;=BA22,BF22&lt;=BB22,BF22&lt;=BC22,BF22&lt;=BD22,BF22&lt;=BE22)),"要修正",
IF(AND(E22="診療日",COUNTA(V22,X22,Z22,AB22)=4,BE22&gt;BA22,BE22&gt;BB22,BE22&gt;BC22,BE22&gt;BD22,BF22&gt;BA22,BF22&gt;BB22,BF22&gt;BC22,BF22&gt;BD22,BF22&gt;BE22),BF22-BE22))))))</f>
        <v>0</v>
      </c>
      <c r="AH22" s="978"/>
      <c r="AI22" s="970">
        <f xml:space="preserve">
IF(AK22="×","表示不可",
IF(AK22="○",SUM(AC22:AH22)))</f>
        <v>0.14583333333333331</v>
      </c>
      <c r="AJ22" s="971"/>
      <c r="AK22" s="310" t="str">
        <f xml:space="preserve">
IF(E22="","×",
IF(E22="休診日","○",
IF(AND(E22="診療日",COUNTIF(AC22:AH22,"要修正")&gt;=1),"×",
IF(AND(E22="診療日",COUNTIF(AC22:AH22,"要修正")=0),"○"))))</f>
        <v>○</v>
      </c>
      <c r="AL22" s="307" t="s">
        <v>68</v>
      </c>
      <c r="AM22" s="967">
        <f xml:space="preserve">
IF(AK22="×","表示不可",
IF(AK22="○",HOUR(AI22)+MINUTE(AI22)/60))</f>
        <v>3.5</v>
      </c>
      <c r="AN22" s="968"/>
      <c r="AO22" s="969"/>
      <c r="AP22" s="307"/>
      <c r="AQ22" s="307"/>
      <c r="AR22" s="307"/>
      <c r="AS22" s="307"/>
      <c r="AT22" s="307"/>
      <c r="AU22" s="307"/>
      <c r="AV22" s="307"/>
      <c r="AW22" s="307"/>
      <c r="BA22" s="311" t="str">
        <f t="shared" ref="BA22:BA28" si="0">TEXT(H22&amp;":"&amp;J22,"hh:mm")</f>
        <v>11:30</v>
      </c>
      <c r="BB22" s="312" t="str">
        <f t="shared" ref="BB22:BB28" si="1">TEXT(L22&amp;":"&amp;N22,"hh:mm")</f>
        <v>12:00</v>
      </c>
      <c r="BC22" s="311" t="str">
        <f>TEXT(O22&amp;":"&amp;Q22,"hh:mm")</f>
        <v>13:00</v>
      </c>
      <c r="BD22" s="312" t="str">
        <f t="shared" ref="BD22:BD28" si="2">TEXT(S22&amp;":"&amp;U22,"hh:mm")</f>
        <v>16:00</v>
      </c>
      <c r="BE22" s="311" t="str">
        <f t="shared" ref="BE22:BE28" si="3">TEXT(V22&amp;":"&amp;X22,"hh:mm")</f>
        <v>:</v>
      </c>
      <c r="BF22" s="312" t="str">
        <f t="shared" ref="BF22:BF28" si="4">TEXT(Z22&amp;":"&amp;AB22,"hh:mm")</f>
        <v>:</v>
      </c>
      <c r="BG22" s="287"/>
    </row>
    <row r="23" spans="1:79" ht="24" x14ac:dyDescent="0.5">
      <c r="A23" s="313" t="s">
        <v>974</v>
      </c>
      <c r="B23" s="972" t="s">
        <v>941</v>
      </c>
      <c r="C23" s="973"/>
      <c r="D23" s="973"/>
      <c r="E23" s="974" t="s">
        <v>949</v>
      </c>
      <c r="F23" s="975"/>
      <c r="G23" s="976"/>
      <c r="H23" s="275">
        <v>9</v>
      </c>
      <c r="I23" s="495" t="s">
        <v>962</v>
      </c>
      <c r="J23" s="381">
        <v>30</v>
      </c>
      <c r="K23" s="309" t="s">
        <v>960</v>
      </c>
      <c r="L23" s="275">
        <v>12</v>
      </c>
      <c r="M23" s="495" t="s">
        <v>962</v>
      </c>
      <c r="N23" s="382" t="s">
        <v>964</v>
      </c>
      <c r="O23" s="275">
        <v>13</v>
      </c>
      <c r="P23" s="495" t="s">
        <v>963</v>
      </c>
      <c r="Q23" s="381" t="s">
        <v>964</v>
      </c>
      <c r="R23" s="309" t="s">
        <v>961</v>
      </c>
      <c r="S23" s="275">
        <v>16</v>
      </c>
      <c r="T23" s="495" t="s">
        <v>963</v>
      </c>
      <c r="U23" s="382" t="s">
        <v>964</v>
      </c>
      <c r="V23" s="275"/>
      <c r="W23" s="495" t="s">
        <v>963</v>
      </c>
      <c r="X23" s="381"/>
      <c r="Y23" s="309" t="s">
        <v>961</v>
      </c>
      <c r="Z23" s="275"/>
      <c r="AA23" s="495" t="s">
        <v>963</v>
      </c>
      <c r="AB23" s="382"/>
      <c r="AC23" s="977">
        <f t="shared" ref="AC23:AC28" si="5" xml:space="preserve">
IF(E23="","要修正",
IF(E23="休診日",0,
IF(AND(E23="診療日",COUNTA(H23,J23,L23,N23)&gt;=0,COUNTA(H23,J23,L23,N23)&lt;4),"要修正",
IF(AND(E23="診療日",COUNTA(H23,J23,L23,N23)=4,BB23&lt;=BA23),"要修正",
IF(AND(E23="診療日",COUNTA(H23,J23,L23,N23)=4,BB23&gt;BA23),BB23-BA23)))))</f>
        <v>0.10416666666666669</v>
      </c>
      <c r="AD23" s="978"/>
      <c r="AE23" s="977">
        <f t="shared" ref="AE23:AE28" si="6" xml:space="preserve">
IF(E23="","要修正",
IF(E23="休診日",0,
IF(AND(E23="診療日",COUNTA(O23,Q23,S23,U23)=0),0,
IF(AND(E23="診療日",COUNTA(O23,Q23,S23,U23)&gt;0,COUNTA(O23,Q23,S23,U23)&lt;4),"要修正",
IF(AND(E23="診療日",COUNTA(O23,Q23,S23,U23)=4,OR(BC23&lt;=BA23,BC23&lt;=BB23,BD23&lt;=BA23,BD23&lt;=BB23,BD23&lt;=BC23)),"要修正",
IF(AND(E23="診療日",COUNTA(O23,Q23,S23,U23)=4,BC23&gt;BA23,BC23&gt;BB23,BD23&gt;BA23,BD23&gt;BB23,BD23&gt;BC23),BD23-BC23))))))</f>
        <v>0.125</v>
      </c>
      <c r="AF23" s="978"/>
      <c r="AG23" s="977">
        <f t="shared" ref="AG23:AG28" si="7" xml:space="preserve">
IF(E23="","要修正",
IF(E23="休診日",0,
IF(AND(E23="診療日",COUNTA(V23,X23,Z23,AB23)=0),0,
IF(AND(E23="診療日",COUNTA(V23,X23,Z23,AB23)&gt;0,COUNTA(V23,X23,Z23,AB23)&lt;4),"要修正",
IF(AND(E23="診療日",COUNTA(V23,X23,Z23,AB23)=4,OR(BE23&lt;=BA23,BE23&lt;=BB23,BE23&lt;=BC23,BE23&lt;=BD23,BF23&lt;=BA23,BF23&lt;=BB23,BF23&lt;=BC23,BF23&lt;=BD23,BF23&lt;=BE23)),"要修正",
IF(AND(E23="診療日",COUNTA(V23,X23,Z23,AB23)=4,BE23&gt;BA23,BE23&gt;BB23,BE23&gt;BC23,BE23&gt;BD23,BF23&gt;BA23,BF23&gt;BB23,BF23&gt;BC23,BF23&gt;BD23,BF23&gt;BE23),BF23-BE23))))))</f>
        <v>0</v>
      </c>
      <c r="AH23" s="978"/>
      <c r="AI23" s="970">
        <f xml:space="preserve">
IF(AK23="×","表示不可",
IF(AK23="○",SUM(AC23:AH23)))</f>
        <v>0.22916666666666669</v>
      </c>
      <c r="AJ23" s="971"/>
      <c r="AK23" s="310" t="str">
        <f t="shared" ref="AK23:AK28" si="8" xml:space="preserve">
IF(E23="","×",
IF(E23="休診日","○",
IF(AND(E23="診療日",COUNTIF(AC23:AH23,"要修正")&gt;=1),"×",
IF(AND(E23="診療日",COUNTIF(AC23:AH23,"要修正")=0),"○"))))</f>
        <v>○</v>
      </c>
      <c r="AL23" s="307" t="s">
        <v>68</v>
      </c>
      <c r="AM23" s="967">
        <f t="shared" ref="AM23:AM28" si="9" xml:space="preserve">
IF(AK23="×","表示不可",
IF(AK23="○",HOUR(AI23)+MINUTE(AI23)/60))</f>
        <v>5.5</v>
      </c>
      <c r="AN23" s="968"/>
      <c r="AO23" s="969"/>
      <c r="AP23" s="307"/>
      <c r="AQ23" s="307"/>
      <c r="AR23" s="307"/>
      <c r="AS23" s="307"/>
      <c r="AT23" s="307"/>
      <c r="AU23" s="307"/>
      <c r="AV23" s="307"/>
      <c r="AW23" s="307"/>
      <c r="BA23" s="311" t="str">
        <f t="shared" si="0"/>
        <v>09:30</v>
      </c>
      <c r="BB23" s="312" t="str">
        <f t="shared" si="1"/>
        <v>12:00</v>
      </c>
      <c r="BC23" s="311" t="str">
        <f t="shared" ref="BC23:BC28" si="10">TEXT(O23&amp;":"&amp;Q23,"hh:mm")</f>
        <v>13:00</v>
      </c>
      <c r="BD23" s="312" t="str">
        <f t="shared" si="2"/>
        <v>16:00</v>
      </c>
      <c r="BE23" s="311" t="str">
        <f t="shared" si="3"/>
        <v>:</v>
      </c>
      <c r="BF23" s="312" t="str">
        <f t="shared" si="4"/>
        <v>:</v>
      </c>
      <c r="BG23" s="314"/>
    </row>
    <row r="24" spans="1:79" ht="24" x14ac:dyDescent="0.5">
      <c r="A24" s="313" t="s">
        <v>975</v>
      </c>
      <c r="B24" s="972" t="s">
        <v>942</v>
      </c>
      <c r="C24" s="973"/>
      <c r="D24" s="973"/>
      <c r="E24" s="974" t="s">
        <v>949</v>
      </c>
      <c r="F24" s="975"/>
      <c r="G24" s="976"/>
      <c r="H24" s="275">
        <v>9</v>
      </c>
      <c r="I24" s="495" t="s">
        <v>963</v>
      </c>
      <c r="J24" s="381">
        <v>30</v>
      </c>
      <c r="K24" s="309" t="s">
        <v>961</v>
      </c>
      <c r="L24" s="275">
        <v>12</v>
      </c>
      <c r="M24" s="495" t="s">
        <v>963</v>
      </c>
      <c r="N24" s="382" t="s">
        <v>964</v>
      </c>
      <c r="O24" s="275">
        <v>13</v>
      </c>
      <c r="P24" s="495" t="s">
        <v>963</v>
      </c>
      <c r="Q24" s="381" t="s">
        <v>964</v>
      </c>
      <c r="R24" s="309" t="s">
        <v>961</v>
      </c>
      <c r="S24" s="275">
        <v>16</v>
      </c>
      <c r="T24" s="495" t="s">
        <v>963</v>
      </c>
      <c r="U24" s="382" t="s">
        <v>964</v>
      </c>
      <c r="V24" s="275"/>
      <c r="W24" s="495" t="s">
        <v>963</v>
      </c>
      <c r="X24" s="381"/>
      <c r="Y24" s="309" t="s">
        <v>961</v>
      </c>
      <c r="Z24" s="275"/>
      <c r="AA24" s="495" t="s">
        <v>963</v>
      </c>
      <c r="AB24" s="382"/>
      <c r="AC24" s="977">
        <f t="shared" si="5"/>
        <v>0.10416666666666669</v>
      </c>
      <c r="AD24" s="978"/>
      <c r="AE24" s="977">
        <f t="shared" si="6"/>
        <v>0.125</v>
      </c>
      <c r="AF24" s="978"/>
      <c r="AG24" s="977">
        <f t="shared" si="7"/>
        <v>0</v>
      </c>
      <c r="AH24" s="978"/>
      <c r="AI24" s="970">
        <f t="shared" ref="AI24:AI28" si="11" xml:space="preserve">
IF(AK24="×","表示不可",
IF(AK24="○",SUM(AC24:AH24)))</f>
        <v>0.22916666666666669</v>
      </c>
      <c r="AJ24" s="971"/>
      <c r="AK24" s="310" t="str">
        <f t="shared" si="8"/>
        <v>○</v>
      </c>
      <c r="AL24" s="307" t="s">
        <v>68</v>
      </c>
      <c r="AM24" s="967">
        <f t="shared" si="9"/>
        <v>5.5</v>
      </c>
      <c r="AN24" s="968"/>
      <c r="AO24" s="969"/>
      <c r="AP24" s="307"/>
      <c r="AQ24" s="307"/>
      <c r="AR24" s="307"/>
      <c r="AS24" s="307"/>
      <c r="AT24" s="307"/>
      <c r="AU24" s="307"/>
      <c r="AV24" s="307"/>
      <c r="AW24" s="307"/>
      <c r="BA24" s="311" t="str">
        <f t="shared" si="0"/>
        <v>09:30</v>
      </c>
      <c r="BB24" s="312" t="str">
        <f t="shared" si="1"/>
        <v>12:00</v>
      </c>
      <c r="BC24" s="311" t="str">
        <f t="shared" si="10"/>
        <v>13:00</v>
      </c>
      <c r="BD24" s="312" t="str">
        <f t="shared" si="2"/>
        <v>16:00</v>
      </c>
      <c r="BE24" s="311" t="str">
        <f t="shared" si="3"/>
        <v>:</v>
      </c>
      <c r="BF24" s="312" t="str">
        <f t="shared" si="4"/>
        <v>:</v>
      </c>
      <c r="BG24" s="314"/>
    </row>
    <row r="25" spans="1:79" ht="24" x14ac:dyDescent="0.5">
      <c r="A25" s="313" t="s">
        <v>976</v>
      </c>
      <c r="B25" s="972" t="s">
        <v>943</v>
      </c>
      <c r="C25" s="973"/>
      <c r="D25" s="973"/>
      <c r="E25" s="974" t="s">
        <v>949</v>
      </c>
      <c r="F25" s="975"/>
      <c r="G25" s="976"/>
      <c r="H25" s="275">
        <v>9</v>
      </c>
      <c r="I25" s="495" t="s">
        <v>963</v>
      </c>
      <c r="J25" s="381">
        <v>30</v>
      </c>
      <c r="K25" s="309" t="s">
        <v>961</v>
      </c>
      <c r="L25" s="275">
        <v>12</v>
      </c>
      <c r="M25" s="495" t="s">
        <v>963</v>
      </c>
      <c r="N25" s="382" t="s">
        <v>964</v>
      </c>
      <c r="O25" s="275"/>
      <c r="P25" s="495" t="s">
        <v>963</v>
      </c>
      <c r="Q25" s="381"/>
      <c r="R25" s="309" t="s">
        <v>961</v>
      </c>
      <c r="S25" s="275"/>
      <c r="T25" s="495" t="s">
        <v>963</v>
      </c>
      <c r="U25" s="382"/>
      <c r="V25" s="275">
        <v>13</v>
      </c>
      <c r="W25" s="495" t="s">
        <v>963</v>
      </c>
      <c r="X25" s="381" t="s">
        <v>964</v>
      </c>
      <c r="Y25" s="309" t="s">
        <v>961</v>
      </c>
      <c r="Z25" s="275">
        <v>16</v>
      </c>
      <c r="AA25" s="495" t="s">
        <v>963</v>
      </c>
      <c r="AB25" s="382" t="s">
        <v>964</v>
      </c>
      <c r="AC25" s="977">
        <f t="shared" si="5"/>
        <v>0.10416666666666669</v>
      </c>
      <c r="AD25" s="978"/>
      <c r="AE25" s="977">
        <f t="shared" si="6"/>
        <v>0</v>
      </c>
      <c r="AF25" s="978"/>
      <c r="AG25" s="977">
        <f t="shared" si="7"/>
        <v>0.125</v>
      </c>
      <c r="AH25" s="978"/>
      <c r="AI25" s="970">
        <f t="shared" si="11"/>
        <v>0.22916666666666669</v>
      </c>
      <c r="AJ25" s="971"/>
      <c r="AK25" s="310" t="str">
        <f t="shared" si="8"/>
        <v>○</v>
      </c>
      <c r="AL25" s="307" t="s">
        <v>68</v>
      </c>
      <c r="AM25" s="967">
        <f t="shared" si="9"/>
        <v>5.5</v>
      </c>
      <c r="AN25" s="968"/>
      <c r="AO25" s="969"/>
      <c r="AP25" s="307"/>
      <c r="AQ25" s="1055" t="s">
        <v>982</v>
      </c>
      <c r="AR25" s="942"/>
      <c r="AS25" s="942"/>
      <c r="AT25" s="942"/>
      <c r="AU25" s="942"/>
      <c r="AV25" s="942"/>
      <c r="AW25" s="942"/>
      <c r="AX25" s="942"/>
      <c r="BA25" s="311" t="str">
        <f t="shared" si="0"/>
        <v>09:30</v>
      </c>
      <c r="BB25" s="312" t="str">
        <f t="shared" si="1"/>
        <v>12:00</v>
      </c>
      <c r="BC25" s="311" t="str">
        <f t="shared" si="10"/>
        <v>:</v>
      </c>
      <c r="BD25" s="312" t="str">
        <f t="shared" si="2"/>
        <v>:</v>
      </c>
      <c r="BE25" s="311" t="str">
        <f t="shared" si="3"/>
        <v>13:00</v>
      </c>
      <c r="BF25" s="312" t="str">
        <f t="shared" si="4"/>
        <v>16:00</v>
      </c>
      <c r="BG25" s="314"/>
    </row>
    <row r="26" spans="1:79" ht="24" x14ac:dyDescent="0.5">
      <c r="A26" s="313" t="s">
        <v>977</v>
      </c>
      <c r="B26" s="972" t="s">
        <v>944</v>
      </c>
      <c r="C26" s="973"/>
      <c r="D26" s="973"/>
      <c r="E26" s="974" t="s">
        <v>949</v>
      </c>
      <c r="F26" s="975"/>
      <c r="G26" s="976"/>
      <c r="H26" s="275">
        <v>9</v>
      </c>
      <c r="I26" s="495" t="s">
        <v>963</v>
      </c>
      <c r="J26" s="381">
        <v>30</v>
      </c>
      <c r="K26" s="309" t="s">
        <v>961</v>
      </c>
      <c r="L26" s="275">
        <v>12</v>
      </c>
      <c r="M26" s="495" t="s">
        <v>963</v>
      </c>
      <c r="N26" s="382" t="s">
        <v>964</v>
      </c>
      <c r="O26" s="275"/>
      <c r="P26" s="495" t="s">
        <v>963</v>
      </c>
      <c r="Q26" s="381"/>
      <c r="R26" s="309" t="s">
        <v>961</v>
      </c>
      <c r="S26" s="275"/>
      <c r="T26" s="495" t="s">
        <v>963</v>
      </c>
      <c r="U26" s="382"/>
      <c r="V26" s="275">
        <v>13</v>
      </c>
      <c r="W26" s="495" t="s">
        <v>963</v>
      </c>
      <c r="X26" s="381" t="s">
        <v>964</v>
      </c>
      <c r="Y26" s="309" t="s">
        <v>961</v>
      </c>
      <c r="Z26" s="275">
        <v>16</v>
      </c>
      <c r="AA26" s="495" t="s">
        <v>963</v>
      </c>
      <c r="AB26" s="382" t="s">
        <v>964</v>
      </c>
      <c r="AC26" s="977">
        <f t="shared" si="5"/>
        <v>0.10416666666666669</v>
      </c>
      <c r="AD26" s="978"/>
      <c r="AE26" s="977">
        <f t="shared" si="6"/>
        <v>0</v>
      </c>
      <c r="AF26" s="978"/>
      <c r="AG26" s="977">
        <f t="shared" si="7"/>
        <v>0.125</v>
      </c>
      <c r="AH26" s="978"/>
      <c r="AI26" s="970">
        <f t="shared" si="11"/>
        <v>0.22916666666666669</v>
      </c>
      <c r="AJ26" s="971"/>
      <c r="AK26" s="310" t="str">
        <f t="shared" si="8"/>
        <v>○</v>
      </c>
      <c r="AL26" s="307" t="s">
        <v>68</v>
      </c>
      <c r="AM26" s="967">
        <f t="shared" si="9"/>
        <v>5.5</v>
      </c>
      <c r="AN26" s="968"/>
      <c r="AO26" s="969"/>
      <c r="AP26" s="307"/>
      <c r="AQ26" s="967">
        <f>IF(COUNTIF(AK22:AK28,"○")=7,SUM(AM22:AO28)/COUNTIF(E22:G28,"診療日"),"表示不可")</f>
        <v>5.166666666666667</v>
      </c>
      <c r="AR26" s="968"/>
      <c r="AS26" s="968"/>
      <c r="AT26" s="968"/>
      <c r="AU26" s="969"/>
      <c r="AV26" s="969"/>
      <c r="AW26" s="969"/>
      <c r="AX26" s="942"/>
      <c r="AY26" s="315"/>
      <c r="BA26" s="311" t="str">
        <f t="shared" si="0"/>
        <v>09:30</v>
      </c>
      <c r="BB26" s="312" t="str">
        <f t="shared" si="1"/>
        <v>12:00</v>
      </c>
      <c r="BC26" s="311" t="str">
        <f t="shared" si="10"/>
        <v>:</v>
      </c>
      <c r="BD26" s="312" t="str">
        <f t="shared" si="2"/>
        <v>:</v>
      </c>
      <c r="BE26" s="311" t="str">
        <f t="shared" si="3"/>
        <v>13:00</v>
      </c>
      <c r="BF26" s="312" t="str">
        <f t="shared" si="4"/>
        <v>16:00</v>
      </c>
      <c r="BG26" s="314"/>
    </row>
    <row r="27" spans="1:79" ht="24" x14ac:dyDescent="0.5">
      <c r="A27" s="313" t="s">
        <v>972</v>
      </c>
      <c r="B27" s="972" t="s">
        <v>945</v>
      </c>
      <c r="C27" s="973"/>
      <c r="D27" s="973"/>
      <c r="E27" s="974" t="s">
        <v>949</v>
      </c>
      <c r="F27" s="975"/>
      <c r="G27" s="976"/>
      <c r="H27" s="275">
        <v>9</v>
      </c>
      <c r="I27" s="495" t="s">
        <v>963</v>
      </c>
      <c r="J27" s="381">
        <v>30</v>
      </c>
      <c r="K27" s="309" t="s">
        <v>961</v>
      </c>
      <c r="L27" s="275">
        <v>12</v>
      </c>
      <c r="M27" s="495" t="s">
        <v>963</v>
      </c>
      <c r="N27" s="382" t="s">
        <v>964</v>
      </c>
      <c r="O27" s="275"/>
      <c r="P27" s="495" t="s">
        <v>963</v>
      </c>
      <c r="Q27" s="381"/>
      <c r="R27" s="309" t="s">
        <v>961</v>
      </c>
      <c r="S27" s="275"/>
      <c r="T27" s="495" t="s">
        <v>963</v>
      </c>
      <c r="U27" s="382"/>
      <c r="V27" s="275">
        <v>13</v>
      </c>
      <c r="W27" s="495" t="s">
        <v>963</v>
      </c>
      <c r="X27" s="381" t="s">
        <v>964</v>
      </c>
      <c r="Y27" s="309" t="s">
        <v>961</v>
      </c>
      <c r="Z27" s="275">
        <v>16</v>
      </c>
      <c r="AA27" s="495" t="s">
        <v>963</v>
      </c>
      <c r="AB27" s="382" t="s">
        <v>964</v>
      </c>
      <c r="AC27" s="977">
        <f t="shared" si="5"/>
        <v>0.10416666666666669</v>
      </c>
      <c r="AD27" s="978"/>
      <c r="AE27" s="977">
        <f t="shared" si="6"/>
        <v>0</v>
      </c>
      <c r="AF27" s="978"/>
      <c r="AG27" s="977">
        <f t="shared" si="7"/>
        <v>0.125</v>
      </c>
      <c r="AH27" s="978"/>
      <c r="AI27" s="970">
        <f t="shared" si="11"/>
        <v>0.22916666666666669</v>
      </c>
      <c r="AJ27" s="971"/>
      <c r="AK27" s="310" t="str">
        <f t="shared" si="8"/>
        <v>○</v>
      </c>
      <c r="AL27" s="307" t="s">
        <v>68</v>
      </c>
      <c r="AM27" s="967">
        <f t="shared" si="9"/>
        <v>5.5</v>
      </c>
      <c r="AN27" s="968"/>
      <c r="AO27" s="969"/>
      <c r="AP27" s="307"/>
      <c r="AQ27" s="307"/>
      <c r="AR27" s="307"/>
      <c r="AS27" s="307"/>
      <c r="AT27" s="307"/>
      <c r="AU27" s="307"/>
      <c r="AV27" s="307"/>
      <c r="AW27" s="307"/>
      <c r="BA27" s="311" t="str">
        <f t="shared" si="0"/>
        <v>09:30</v>
      </c>
      <c r="BB27" s="312" t="str">
        <f t="shared" si="1"/>
        <v>12:00</v>
      </c>
      <c r="BC27" s="311" t="str">
        <f t="shared" si="10"/>
        <v>:</v>
      </c>
      <c r="BD27" s="312" t="str">
        <f t="shared" si="2"/>
        <v>:</v>
      </c>
      <c r="BE27" s="311" t="str">
        <f t="shared" si="3"/>
        <v>13:00</v>
      </c>
      <c r="BF27" s="312" t="str">
        <f t="shared" si="4"/>
        <v>16:00</v>
      </c>
      <c r="BG27" s="314"/>
    </row>
    <row r="28" spans="1:79" ht="24.75" thickBot="1" x14ac:dyDescent="0.55000000000000004">
      <c r="A28" s="313" t="s">
        <v>79</v>
      </c>
      <c r="B28" s="972" t="s">
        <v>946</v>
      </c>
      <c r="C28" s="973"/>
      <c r="D28" s="973"/>
      <c r="E28" s="974" t="s">
        <v>951</v>
      </c>
      <c r="F28" s="975"/>
      <c r="G28" s="976"/>
      <c r="H28" s="275">
        <v>9</v>
      </c>
      <c r="I28" s="495" t="s">
        <v>963</v>
      </c>
      <c r="J28" s="381">
        <v>30</v>
      </c>
      <c r="K28" s="309" t="s">
        <v>961</v>
      </c>
      <c r="L28" s="275">
        <v>12</v>
      </c>
      <c r="M28" s="495" t="s">
        <v>963</v>
      </c>
      <c r="N28" s="382" t="s">
        <v>964</v>
      </c>
      <c r="O28" s="275"/>
      <c r="P28" s="495" t="s">
        <v>963</v>
      </c>
      <c r="Q28" s="381"/>
      <c r="R28" s="309" t="s">
        <v>961</v>
      </c>
      <c r="S28" s="275"/>
      <c r="T28" s="495" t="s">
        <v>963</v>
      </c>
      <c r="U28" s="382"/>
      <c r="V28" s="275"/>
      <c r="W28" s="495" t="s">
        <v>963</v>
      </c>
      <c r="X28" s="381"/>
      <c r="Y28" s="309" t="s">
        <v>961</v>
      </c>
      <c r="Z28" s="275"/>
      <c r="AA28" s="495" t="s">
        <v>963</v>
      </c>
      <c r="AB28" s="382"/>
      <c r="AC28" s="977">
        <f t="shared" si="5"/>
        <v>0</v>
      </c>
      <c r="AD28" s="978"/>
      <c r="AE28" s="977">
        <f t="shared" si="6"/>
        <v>0</v>
      </c>
      <c r="AF28" s="978"/>
      <c r="AG28" s="977">
        <f t="shared" si="7"/>
        <v>0</v>
      </c>
      <c r="AH28" s="978"/>
      <c r="AI28" s="970">
        <f t="shared" si="11"/>
        <v>0</v>
      </c>
      <c r="AJ28" s="971"/>
      <c r="AK28" s="316" t="str">
        <f t="shared" si="8"/>
        <v>○</v>
      </c>
      <c r="AL28" s="307" t="s">
        <v>68</v>
      </c>
      <c r="AM28" s="967">
        <f t="shared" si="9"/>
        <v>0</v>
      </c>
      <c r="AN28" s="968"/>
      <c r="AO28" s="969"/>
      <c r="AP28" s="307"/>
      <c r="AQ28" s="307"/>
      <c r="AR28" s="307"/>
      <c r="AS28" s="307"/>
      <c r="AT28" s="307"/>
      <c r="AU28" s="307"/>
      <c r="AV28" s="307"/>
      <c r="AW28" s="307"/>
      <c r="BA28" s="311" t="str">
        <f t="shared" si="0"/>
        <v>09:30</v>
      </c>
      <c r="BB28" s="312" t="str">
        <f t="shared" si="1"/>
        <v>12:00</v>
      </c>
      <c r="BC28" s="311" t="str">
        <f t="shared" si="10"/>
        <v>:</v>
      </c>
      <c r="BD28" s="312" t="str">
        <f t="shared" si="2"/>
        <v>:</v>
      </c>
      <c r="BE28" s="311" t="str">
        <f t="shared" si="3"/>
        <v>:</v>
      </c>
      <c r="BF28" s="312" t="str">
        <f t="shared" si="4"/>
        <v>:</v>
      </c>
      <c r="BG28" s="314"/>
    </row>
    <row r="29" spans="1:79" ht="18.75" thickTop="1" x14ac:dyDescent="0.35">
      <c r="BB29" s="292"/>
      <c r="BC29" s="317"/>
      <c r="CA29" s="321"/>
    </row>
    <row r="30" spans="1:79" ht="45" customHeight="1" thickBot="1" x14ac:dyDescent="0.4">
      <c r="B30" s="946" t="str">
        <f>"２．職員情報　　【総合判定】"&amp;AZ30&amp;IF(AZ30="×","（医師及び看護師の氏名をそれぞれ１名以上ずつ所定の欄に入力してください。）","")</f>
        <v>２．職員情報　　【総合判定】○</v>
      </c>
      <c r="C30" s="947"/>
      <c r="D30" s="947"/>
      <c r="E30" s="947"/>
      <c r="F30" s="947"/>
      <c r="G30" s="947"/>
      <c r="H30" s="947"/>
      <c r="I30" s="947"/>
      <c r="J30" s="947"/>
      <c r="K30" s="947"/>
      <c r="L30" s="947"/>
      <c r="M30" s="947"/>
      <c r="N30" s="947"/>
      <c r="O30" s="947"/>
      <c r="P30" s="947"/>
      <c r="Q30" s="947"/>
      <c r="R30" s="947"/>
      <c r="S30" s="947"/>
      <c r="T30" s="947"/>
      <c r="U30" s="947"/>
      <c r="V30" s="947"/>
      <c r="W30" s="947"/>
      <c r="X30" s="947"/>
      <c r="Y30" s="947"/>
      <c r="Z30" s="947"/>
      <c r="AA30" s="947"/>
      <c r="AB30" s="947"/>
      <c r="AC30" s="947"/>
      <c r="AD30" s="947"/>
      <c r="AE30" s="947"/>
      <c r="AF30" s="947"/>
      <c r="AG30" s="947"/>
      <c r="AH30" s="947"/>
      <c r="AI30" s="947"/>
      <c r="AJ30" s="947"/>
      <c r="AK30" s="947"/>
      <c r="AL30" s="947"/>
      <c r="AM30" s="947"/>
      <c r="AN30" s="947"/>
      <c r="AO30" s="947"/>
      <c r="AP30" s="947"/>
      <c r="AQ30" s="947"/>
      <c r="AR30" s="947"/>
      <c r="AS30" s="947"/>
      <c r="AT30" s="947"/>
      <c r="AU30" s="947"/>
      <c r="AV30" s="947"/>
      <c r="AW30" s="947"/>
      <c r="AX30" s="947"/>
      <c r="AY30" s="947"/>
      <c r="AZ30" s="293" t="str">
        <f>IF(AND(AS32&gt;0,AS35&gt;0),"○","×")</f>
        <v>○</v>
      </c>
      <c r="CA30" s="321"/>
    </row>
    <row r="31" spans="1:79" ht="25.5" thickTop="1" thickBot="1" x14ac:dyDescent="0.55000000000000004">
      <c r="B31" s="1008" t="s">
        <v>967</v>
      </c>
      <c r="C31" s="1009"/>
      <c r="D31" s="1009"/>
      <c r="E31" s="955" t="s">
        <v>1081</v>
      </c>
      <c r="F31" s="996"/>
      <c r="G31" s="996"/>
      <c r="H31" s="996"/>
      <c r="I31" s="996"/>
      <c r="J31" s="996"/>
      <c r="K31" s="996"/>
      <c r="L31" s="996"/>
      <c r="M31" s="996"/>
      <c r="N31" s="996"/>
      <c r="O31" s="996"/>
      <c r="P31" s="996"/>
      <c r="Q31" s="996"/>
      <c r="R31" s="996"/>
      <c r="S31" s="996"/>
      <c r="T31" s="996"/>
      <c r="U31" s="996"/>
      <c r="V31" s="996"/>
      <c r="W31" s="996"/>
      <c r="X31" s="996"/>
      <c r="Y31" s="996"/>
      <c r="Z31" s="996"/>
      <c r="AA31" s="996"/>
      <c r="AB31" s="996"/>
      <c r="AC31" s="996"/>
      <c r="AD31" s="996"/>
      <c r="AE31" s="996"/>
      <c r="AF31" s="996"/>
      <c r="AG31" s="996"/>
      <c r="AH31" s="996"/>
      <c r="AI31" s="996"/>
      <c r="AJ31" s="996"/>
      <c r="AK31" s="996"/>
      <c r="AL31" s="996"/>
      <c r="AM31" s="996"/>
      <c r="AN31" s="996"/>
      <c r="AO31" s="996"/>
      <c r="AP31" s="996"/>
      <c r="AQ31" s="996"/>
      <c r="AR31" s="996"/>
      <c r="AS31" s="1185" t="s">
        <v>64</v>
      </c>
      <c r="AT31" s="1186"/>
      <c r="AU31" s="1186"/>
      <c r="AV31" s="1186"/>
      <c r="AW31" s="1193" t="s">
        <v>1136</v>
      </c>
      <c r="AX31" s="1194"/>
      <c r="AY31" s="322"/>
      <c r="AZ31" s="1171" t="s">
        <v>1105</v>
      </c>
      <c r="BA31" s="1172"/>
      <c r="BB31" s="1172"/>
      <c r="BC31" s="1172"/>
      <c r="BD31" s="1172"/>
      <c r="BE31" s="1172"/>
      <c r="BF31" s="1172"/>
      <c r="BG31" s="1172"/>
      <c r="BH31" s="1172"/>
      <c r="BI31" s="1172"/>
      <c r="BJ31" s="1172"/>
      <c r="BK31" s="1172"/>
      <c r="BL31" s="1172"/>
      <c r="BM31" s="1172"/>
      <c r="BN31" s="1172"/>
      <c r="BO31" s="1172"/>
      <c r="BP31" s="1173"/>
      <c r="CA31" s="321"/>
    </row>
    <row r="32" spans="1:79" ht="24" x14ac:dyDescent="0.5">
      <c r="B32" s="999" t="s">
        <v>996</v>
      </c>
      <c r="C32" s="1000"/>
      <c r="D32" s="1000"/>
      <c r="E32" s="993" t="s">
        <v>1187</v>
      </c>
      <c r="F32" s="994"/>
      <c r="G32" s="994"/>
      <c r="H32" s="995"/>
      <c r="I32" s="988" t="s">
        <v>1192</v>
      </c>
      <c r="J32" s="989"/>
      <c r="K32" s="989"/>
      <c r="L32" s="990"/>
      <c r="M32" s="988"/>
      <c r="N32" s="989"/>
      <c r="O32" s="989"/>
      <c r="P32" s="990"/>
      <c r="Q32" s="988"/>
      <c r="R32" s="989"/>
      <c r="S32" s="989"/>
      <c r="T32" s="990"/>
      <c r="U32" s="988"/>
      <c r="V32" s="989"/>
      <c r="W32" s="989"/>
      <c r="X32" s="990"/>
      <c r="Y32" s="988"/>
      <c r="Z32" s="989"/>
      <c r="AA32" s="989"/>
      <c r="AB32" s="990"/>
      <c r="AC32" s="988"/>
      <c r="AD32" s="989"/>
      <c r="AE32" s="989"/>
      <c r="AF32" s="990"/>
      <c r="AG32" s="988"/>
      <c r="AH32" s="989"/>
      <c r="AI32" s="989"/>
      <c r="AJ32" s="990"/>
      <c r="AK32" s="988"/>
      <c r="AL32" s="989"/>
      <c r="AM32" s="989"/>
      <c r="AN32" s="990"/>
      <c r="AO32" s="988"/>
      <c r="AP32" s="989"/>
      <c r="AQ32" s="989"/>
      <c r="AR32" s="990"/>
      <c r="AS32" s="1187">
        <f>COUNTA(E32:AR34)-1</f>
        <v>1</v>
      </c>
      <c r="AT32" s="1188"/>
      <c r="AU32" s="1188"/>
      <c r="AV32" s="1188"/>
      <c r="AW32" s="1195" t="str">
        <f>IF(AS32&gt;0,"○","×")</f>
        <v>○</v>
      </c>
      <c r="AX32" s="1196"/>
      <c r="AY32" s="323"/>
      <c r="AZ32" s="1174" t="str">
        <f xml:space="preserve">
IF(AW32="×",
"【要修正】医師の氏名を１名以上記入してください。"
&amp;CHAR(10)&amp;CHAR(10)&amp;
"　　　　　また、１つの欄に姓と名を併せて入力してください。",
"適切に入力がされました。"
)</f>
        <v>適切に入力がされました。</v>
      </c>
      <c r="BA32" s="1175"/>
      <c r="BB32" s="1175"/>
      <c r="BC32" s="1175"/>
      <c r="BD32" s="1175"/>
      <c r="BE32" s="1175"/>
      <c r="BF32" s="1175"/>
      <c r="BG32" s="1175"/>
      <c r="BH32" s="1175"/>
      <c r="BI32" s="1175"/>
      <c r="BJ32" s="1175"/>
      <c r="BK32" s="1175"/>
      <c r="BL32" s="1175"/>
      <c r="BM32" s="1175"/>
      <c r="BN32" s="1175"/>
      <c r="BO32" s="1175"/>
      <c r="BP32" s="1176"/>
      <c r="CA32" s="321"/>
    </row>
    <row r="33" spans="2:79" ht="24" x14ac:dyDescent="0.5">
      <c r="B33" s="1013"/>
      <c r="C33" s="919"/>
      <c r="D33" s="919"/>
      <c r="E33" s="982"/>
      <c r="F33" s="991"/>
      <c r="G33" s="991"/>
      <c r="H33" s="992"/>
      <c r="I33" s="982"/>
      <c r="J33" s="991"/>
      <c r="K33" s="991"/>
      <c r="L33" s="992"/>
      <c r="M33" s="982"/>
      <c r="N33" s="991"/>
      <c r="O33" s="991"/>
      <c r="P33" s="992"/>
      <c r="Q33" s="982"/>
      <c r="R33" s="991"/>
      <c r="S33" s="991"/>
      <c r="T33" s="992"/>
      <c r="U33" s="982"/>
      <c r="V33" s="991"/>
      <c r="W33" s="991"/>
      <c r="X33" s="992"/>
      <c r="Y33" s="982"/>
      <c r="Z33" s="991"/>
      <c r="AA33" s="991"/>
      <c r="AB33" s="992"/>
      <c r="AC33" s="982"/>
      <c r="AD33" s="991"/>
      <c r="AE33" s="991"/>
      <c r="AF33" s="992"/>
      <c r="AG33" s="982"/>
      <c r="AH33" s="991"/>
      <c r="AI33" s="991"/>
      <c r="AJ33" s="992"/>
      <c r="AK33" s="982"/>
      <c r="AL33" s="991"/>
      <c r="AM33" s="991"/>
      <c r="AN33" s="992"/>
      <c r="AO33" s="982"/>
      <c r="AP33" s="991"/>
      <c r="AQ33" s="991"/>
      <c r="AR33" s="992"/>
      <c r="AS33" s="1189"/>
      <c r="AT33" s="1190"/>
      <c r="AU33" s="1190"/>
      <c r="AV33" s="1190"/>
      <c r="AW33" s="1197"/>
      <c r="AX33" s="1198"/>
      <c r="AY33" s="323"/>
      <c r="AZ33" s="1177"/>
      <c r="BA33" s="1175"/>
      <c r="BB33" s="1175"/>
      <c r="BC33" s="1175"/>
      <c r="BD33" s="1175"/>
      <c r="BE33" s="1175"/>
      <c r="BF33" s="1175"/>
      <c r="BG33" s="1175"/>
      <c r="BH33" s="1175"/>
      <c r="BI33" s="1175"/>
      <c r="BJ33" s="1175"/>
      <c r="BK33" s="1175"/>
      <c r="BL33" s="1175"/>
      <c r="BM33" s="1175"/>
      <c r="BN33" s="1175"/>
      <c r="BO33" s="1175"/>
      <c r="BP33" s="1176"/>
      <c r="CA33" s="321"/>
    </row>
    <row r="34" spans="2:79" ht="24.75" thickBot="1" x14ac:dyDescent="0.55000000000000004">
      <c r="B34" s="1014"/>
      <c r="C34" s="1015"/>
      <c r="D34" s="1015"/>
      <c r="E34" s="985"/>
      <c r="F34" s="986"/>
      <c r="G34" s="986"/>
      <c r="H34" s="987"/>
      <c r="I34" s="985"/>
      <c r="J34" s="986"/>
      <c r="K34" s="986"/>
      <c r="L34" s="987"/>
      <c r="M34" s="985"/>
      <c r="N34" s="986"/>
      <c r="O34" s="986"/>
      <c r="P34" s="987"/>
      <c r="Q34" s="985"/>
      <c r="R34" s="986"/>
      <c r="S34" s="986"/>
      <c r="T34" s="987"/>
      <c r="U34" s="985"/>
      <c r="V34" s="986"/>
      <c r="W34" s="986"/>
      <c r="X34" s="987"/>
      <c r="Y34" s="985"/>
      <c r="Z34" s="986"/>
      <c r="AA34" s="986"/>
      <c r="AB34" s="987"/>
      <c r="AC34" s="985"/>
      <c r="AD34" s="986"/>
      <c r="AE34" s="986"/>
      <c r="AF34" s="987"/>
      <c r="AG34" s="985"/>
      <c r="AH34" s="986"/>
      <c r="AI34" s="986"/>
      <c r="AJ34" s="987"/>
      <c r="AK34" s="985"/>
      <c r="AL34" s="986"/>
      <c r="AM34" s="986"/>
      <c r="AN34" s="987"/>
      <c r="AO34" s="985"/>
      <c r="AP34" s="986"/>
      <c r="AQ34" s="986"/>
      <c r="AR34" s="987"/>
      <c r="AS34" s="1191"/>
      <c r="AT34" s="1192"/>
      <c r="AU34" s="1192"/>
      <c r="AV34" s="1192"/>
      <c r="AW34" s="1197"/>
      <c r="AX34" s="1198"/>
      <c r="AY34" s="323"/>
      <c r="AZ34" s="1177"/>
      <c r="BA34" s="1175"/>
      <c r="BB34" s="1175"/>
      <c r="BC34" s="1175"/>
      <c r="BD34" s="1175"/>
      <c r="BE34" s="1175"/>
      <c r="BF34" s="1175"/>
      <c r="BG34" s="1175"/>
      <c r="BH34" s="1175"/>
      <c r="BI34" s="1175"/>
      <c r="BJ34" s="1175"/>
      <c r="BK34" s="1175"/>
      <c r="BL34" s="1175"/>
      <c r="BM34" s="1175"/>
      <c r="BN34" s="1175"/>
      <c r="BO34" s="1175"/>
      <c r="BP34" s="1176"/>
      <c r="CA34" s="321"/>
    </row>
    <row r="35" spans="2:79" ht="24" x14ac:dyDescent="0.5">
      <c r="B35" s="999" t="s">
        <v>997</v>
      </c>
      <c r="C35" s="1000"/>
      <c r="D35" s="1000"/>
      <c r="E35" s="993" t="s">
        <v>1188</v>
      </c>
      <c r="F35" s="994"/>
      <c r="G35" s="994"/>
      <c r="H35" s="995"/>
      <c r="I35" s="988" t="s">
        <v>1190</v>
      </c>
      <c r="J35" s="989"/>
      <c r="K35" s="989"/>
      <c r="L35" s="990"/>
      <c r="M35" s="988"/>
      <c r="N35" s="989"/>
      <c r="O35" s="989"/>
      <c r="P35" s="990"/>
      <c r="Q35" s="988"/>
      <c r="R35" s="989"/>
      <c r="S35" s="989"/>
      <c r="T35" s="990"/>
      <c r="U35" s="988"/>
      <c r="V35" s="989"/>
      <c r="W35" s="989"/>
      <c r="X35" s="990"/>
      <c r="Y35" s="988"/>
      <c r="Z35" s="989"/>
      <c r="AA35" s="989"/>
      <c r="AB35" s="990"/>
      <c r="AC35" s="988"/>
      <c r="AD35" s="989"/>
      <c r="AE35" s="989"/>
      <c r="AF35" s="990"/>
      <c r="AG35" s="988"/>
      <c r="AH35" s="989"/>
      <c r="AI35" s="989"/>
      <c r="AJ35" s="990"/>
      <c r="AK35" s="988"/>
      <c r="AL35" s="989"/>
      <c r="AM35" s="989"/>
      <c r="AN35" s="990"/>
      <c r="AO35" s="988"/>
      <c r="AP35" s="989"/>
      <c r="AQ35" s="989"/>
      <c r="AR35" s="990"/>
      <c r="AS35" s="1187">
        <f>COUNTA(E35:AR42)-1</f>
        <v>1</v>
      </c>
      <c r="AT35" s="1188"/>
      <c r="AU35" s="1188"/>
      <c r="AV35" s="1188"/>
      <c r="AW35" s="1199" t="str">
        <f>IF(AS35&gt;0,"○","×")</f>
        <v>○</v>
      </c>
      <c r="AX35" s="1200"/>
      <c r="AY35" s="323"/>
      <c r="AZ35" s="1174" t="str">
        <f>IF(AW35="×",
"【要修正】看護師の氏名を１名以上記入してください。"
&amp;CHAR(10)&amp;CHAR(10)&amp;
"　　　　　また、１つの欄に姓と名を併せて入力してください。",
"適切に入力がされました。")</f>
        <v>適切に入力がされました。</v>
      </c>
      <c r="BA35" s="1175"/>
      <c r="BB35" s="1175"/>
      <c r="BC35" s="1175"/>
      <c r="BD35" s="1175"/>
      <c r="BE35" s="1175"/>
      <c r="BF35" s="1175"/>
      <c r="BG35" s="1175"/>
      <c r="BH35" s="1175"/>
      <c r="BI35" s="1175"/>
      <c r="BJ35" s="1175"/>
      <c r="BK35" s="1175"/>
      <c r="BL35" s="1175"/>
      <c r="BM35" s="1175"/>
      <c r="BN35" s="1175"/>
      <c r="BO35" s="1175"/>
      <c r="BP35" s="1176"/>
      <c r="CA35" s="321"/>
    </row>
    <row r="36" spans="2:79" ht="24" x14ac:dyDescent="0.5">
      <c r="B36" s="1013"/>
      <c r="C36" s="919"/>
      <c r="D36" s="919"/>
      <c r="E36" s="982"/>
      <c r="F36" s="991"/>
      <c r="G36" s="991"/>
      <c r="H36" s="992"/>
      <c r="I36" s="982"/>
      <c r="J36" s="991"/>
      <c r="K36" s="991"/>
      <c r="L36" s="992"/>
      <c r="M36" s="982"/>
      <c r="N36" s="991"/>
      <c r="O36" s="991"/>
      <c r="P36" s="992"/>
      <c r="Q36" s="982"/>
      <c r="R36" s="991"/>
      <c r="S36" s="991"/>
      <c r="T36" s="992"/>
      <c r="U36" s="982"/>
      <c r="V36" s="991"/>
      <c r="W36" s="991"/>
      <c r="X36" s="992"/>
      <c r="Y36" s="982"/>
      <c r="Z36" s="991"/>
      <c r="AA36" s="991"/>
      <c r="AB36" s="992"/>
      <c r="AC36" s="982"/>
      <c r="AD36" s="991"/>
      <c r="AE36" s="991"/>
      <c r="AF36" s="992"/>
      <c r="AG36" s="982"/>
      <c r="AH36" s="991"/>
      <c r="AI36" s="991"/>
      <c r="AJ36" s="992"/>
      <c r="AK36" s="982"/>
      <c r="AL36" s="991"/>
      <c r="AM36" s="991"/>
      <c r="AN36" s="992"/>
      <c r="AO36" s="982"/>
      <c r="AP36" s="991"/>
      <c r="AQ36" s="991"/>
      <c r="AR36" s="992"/>
      <c r="AS36" s="1189"/>
      <c r="AT36" s="1190"/>
      <c r="AU36" s="1190"/>
      <c r="AV36" s="1190"/>
      <c r="AW36" s="1197"/>
      <c r="AX36" s="1198"/>
      <c r="AY36" s="323"/>
      <c r="AZ36" s="1177"/>
      <c r="BA36" s="1175"/>
      <c r="BB36" s="1175"/>
      <c r="BC36" s="1175"/>
      <c r="BD36" s="1175"/>
      <c r="BE36" s="1175"/>
      <c r="BF36" s="1175"/>
      <c r="BG36" s="1175"/>
      <c r="BH36" s="1175"/>
      <c r="BI36" s="1175"/>
      <c r="BJ36" s="1175"/>
      <c r="BK36" s="1175"/>
      <c r="BL36" s="1175"/>
      <c r="BM36" s="1175"/>
      <c r="BN36" s="1175"/>
      <c r="BO36" s="1175"/>
      <c r="BP36" s="1176"/>
      <c r="CA36" s="321"/>
    </row>
    <row r="37" spans="2:79" ht="24" x14ac:dyDescent="0.5">
      <c r="B37" s="1013"/>
      <c r="C37" s="919"/>
      <c r="D37" s="919"/>
      <c r="E37" s="982"/>
      <c r="F37" s="991"/>
      <c r="G37" s="991"/>
      <c r="H37" s="992"/>
      <c r="I37" s="982"/>
      <c r="J37" s="991"/>
      <c r="K37" s="991"/>
      <c r="L37" s="992"/>
      <c r="M37" s="982"/>
      <c r="N37" s="991"/>
      <c r="O37" s="991"/>
      <c r="P37" s="992"/>
      <c r="Q37" s="982"/>
      <c r="R37" s="991"/>
      <c r="S37" s="991"/>
      <c r="T37" s="992"/>
      <c r="U37" s="982"/>
      <c r="V37" s="991"/>
      <c r="W37" s="991"/>
      <c r="X37" s="992"/>
      <c r="Y37" s="982"/>
      <c r="Z37" s="991"/>
      <c r="AA37" s="991"/>
      <c r="AB37" s="992"/>
      <c r="AC37" s="982"/>
      <c r="AD37" s="991"/>
      <c r="AE37" s="991"/>
      <c r="AF37" s="992"/>
      <c r="AG37" s="982"/>
      <c r="AH37" s="991"/>
      <c r="AI37" s="991"/>
      <c r="AJ37" s="992"/>
      <c r="AK37" s="982"/>
      <c r="AL37" s="991"/>
      <c r="AM37" s="991"/>
      <c r="AN37" s="992"/>
      <c r="AO37" s="982"/>
      <c r="AP37" s="991"/>
      <c r="AQ37" s="991"/>
      <c r="AR37" s="992"/>
      <c r="AS37" s="1189"/>
      <c r="AT37" s="1190"/>
      <c r="AU37" s="1190"/>
      <c r="AV37" s="1190"/>
      <c r="AW37" s="1197"/>
      <c r="AX37" s="1198"/>
      <c r="AY37" s="323"/>
      <c r="AZ37" s="1177"/>
      <c r="BA37" s="1175"/>
      <c r="BB37" s="1175"/>
      <c r="BC37" s="1175"/>
      <c r="BD37" s="1175"/>
      <c r="BE37" s="1175"/>
      <c r="BF37" s="1175"/>
      <c r="BG37" s="1175"/>
      <c r="BH37" s="1175"/>
      <c r="BI37" s="1175"/>
      <c r="BJ37" s="1175"/>
      <c r="BK37" s="1175"/>
      <c r="BL37" s="1175"/>
      <c r="BM37" s="1175"/>
      <c r="BN37" s="1175"/>
      <c r="BO37" s="1175"/>
      <c r="BP37" s="1176"/>
      <c r="CA37" s="321"/>
    </row>
    <row r="38" spans="2:79" ht="24" x14ac:dyDescent="0.5">
      <c r="B38" s="1013"/>
      <c r="C38" s="919"/>
      <c r="D38" s="919"/>
      <c r="E38" s="982"/>
      <c r="F38" s="991"/>
      <c r="G38" s="991"/>
      <c r="H38" s="992"/>
      <c r="I38" s="982"/>
      <c r="J38" s="991"/>
      <c r="K38" s="991"/>
      <c r="L38" s="992"/>
      <c r="M38" s="982"/>
      <c r="N38" s="991"/>
      <c r="O38" s="991"/>
      <c r="P38" s="992"/>
      <c r="Q38" s="982"/>
      <c r="R38" s="991"/>
      <c r="S38" s="991"/>
      <c r="T38" s="992"/>
      <c r="U38" s="982"/>
      <c r="V38" s="991"/>
      <c r="W38" s="991"/>
      <c r="X38" s="992"/>
      <c r="Y38" s="982"/>
      <c r="Z38" s="991"/>
      <c r="AA38" s="991"/>
      <c r="AB38" s="992"/>
      <c r="AC38" s="982"/>
      <c r="AD38" s="991"/>
      <c r="AE38" s="991"/>
      <c r="AF38" s="992"/>
      <c r="AG38" s="982"/>
      <c r="AH38" s="991"/>
      <c r="AI38" s="991"/>
      <c r="AJ38" s="992"/>
      <c r="AK38" s="982"/>
      <c r="AL38" s="991"/>
      <c r="AM38" s="991"/>
      <c r="AN38" s="992"/>
      <c r="AO38" s="982"/>
      <c r="AP38" s="991"/>
      <c r="AQ38" s="991"/>
      <c r="AR38" s="992"/>
      <c r="AS38" s="1189"/>
      <c r="AT38" s="1190"/>
      <c r="AU38" s="1190"/>
      <c r="AV38" s="1190"/>
      <c r="AW38" s="1197"/>
      <c r="AX38" s="1198"/>
      <c r="AY38" s="323"/>
      <c r="AZ38" s="1177"/>
      <c r="BA38" s="1175"/>
      <c r="BB38" s="1175"/>
      <c r="BC38" s="1175"/>
      <c r="BD38" s="1175"/>
      <c r="BE38" s="1175"/>
      <c r="BF38" s="1175"/>
      <c r="BG38" s="1175"/>
      <c r="BH38" s="1175"/>
      <c r="BI38" s="1175"/>
      <c r="BJ38" s="1175"/>
      <c r="BK38" s="1175"/>
      <c r="BL38" s="1175"/>
      <c r="BM38" s="1175"/>
      <c r="BN38" s="1175"/>
      <c r="BO38" s="1175"/>
      <c r="BP38" s="1176"/>
      <c r="CA38" s="321"/>
    </row>
    <row r="39" spans="2:79" ht="24" x14ac:dyDescent="0.5">
      <c r="B39" s="1013"/>
      <c r="C39" s="919"/>
      <c r="D39" s="919"/>
      <c r="E39" s="982"/>
      <c r="F39" s="991"/>
      <c r="G39" s="991"/>
      <c r="H39" s="992"/>
      <c r="I39" s="982"/>
      <c r="J39" s="991"/>
      <c r="K39" s="991"/>
      <c r="L39" s="992"/>
      <c r="M39" s="982"/>
      <c r="N39" s="991"/>
      <c r="O39" s="991"/>
      <c r="P39" s="992"/>
      <c r="Q39" s="982"/>
      <c r="R39" s="991"/>
      <c r="S39" s="991"/>
      <c r="T39" s="992"/>
      <c r="U39" s="982"/>
      <c r="V39" s="991"/>
      <c r="W39" s="991"/>
      <c r="X39" s="992"/>
      <c r="Y39" s="982"/>
      <c r="Z39" s="991"/>
      <c r="AA39" s="991"/>
      <c r="AB39" s="992"/>
      <c r="AC39" s="982"/>
      <c r="AD39" s="991"/>
      <c r="AE39" s="991"/>
      <c r="AF39" s="992"/>
      <c r="AG39" s="982"/>
      <c r="AH39" s="991"/>
      <c r="AI39" s="991"/>
      <c r="AJ39" s="992"/>
      <c r="AK39" s="982"/>
      <c r="AL39" s="991"/>
      <c r="AM39" s="991"/>
      <c r="AN39" s="992"/>
      <c r="AO39" s="982"/>
      <c r="AP39" s="991"/>
      <c r="AQ39" s="991"/>
      <c r="AR39" s="992"/>
      <c r="AS39" s="1189"/>
      <c r="AT39" s="1190"/>
      <c r="AU39" s="1190"/>
      <c r="AV39" s="1190"/>
      <c r="AW39" s="1197"/>
      <c r="AX39" s="1198"/>
      <c r="AY39" s="323"/>
      <c r="AZ39" s="1177"/>
      <c r="BA39" s="1175"/>
      <c r="BB39" s="1175"/>
      <c r="BC39" s="1175"/>
      <c r="BD39" s="1175"/>
      <c r="BE39" s="1175"/>
      <c r="BF39" s="1175"/>
      <c r="BG39" s="1175"/>
      <c r="BH39" s="1175"/>
      <c r="BI39" s="1175"/>
      <c r="BJ39" s="1175"/>
      <c r="BK39" s="1175"/>
      <c r="BL39" s="1175"/>
      <c r="BM39" s="1175"/>
      <c r="BN39" s="1175"/>
      <c r="BO39" s="1175"/>
      <c r="BP39" s="1176"/>
      <c r="CA39" s="321"/>
    </row>
    <row r="40" spans="2:79" ht="24" x14ac:dyDescent="0.5">
      <c r="B40" s="1013"/>
      <c r="C40" s="919"/>
      <c r="D40" s="919"/>
      <c r="E40" s="982"/>
      <c r="F40" s="991"/>
      <c r="G40" s="991"/>
      <c r="H40" s="992"/>
      <c r="I40" s="982"/>
      <c r="J40" s="991"/>
      <c r="K40" s="991"/>
      <c r="L40" s="992"/>
      <c r="M40" s="982"/>
      <c r="N40" s="991"/>
      <c r="O40" s="991"/>
      <c r="P40" s="992"/>
      <c r="Q40" s="982"/>
      <c r="R40" s="991"/>
      <c r="S40" s="991"/>
      <c r="T40" s="992"/>
      <c r="U40" s="982"/>
      <c r="V40" s="991"/>
      <c r="W40" s="991"/>
      <c r="X40" s="992"/>
      <c r="Y40" s="982"/>
      <c r="Z40" s="991"/>
      <c r="AA40" s="991"/>
      <c r="AB40" s="992"/>
      <c r="AC40" s="982"/>
      <c r="AD40" s="991"/>
      <c r="AE40" s="991"/>
      <c r="AF40" s="992"/>
      <c r="AG40" s="982"/>
      <c r="AH40" s="991"/>
      <c r="AI40" s="991"/>
      <c r="AJ40" s="992"/>
      <c r="AK40" s="982"/>
      <c r="AL40" s="991"/>
      <c r="AM40" s="991"/>
      <c r="AN40" s="992"/>
      <c r="AO40" s="982"/>
      <c r="AP40" s="991"/>
      <c r="AQ40" s="991"/>
      <c r="AR40" s="992"/>
      <c r="AS40" s="1189"/>
      <c r="AT40" s="1190"/>
      <c r="AU40" s="1190"/>
      <c r="AV40" s="1190"/>
      <c r="AW40" s="1197"/>
      <c r="AX40" s="1198"/>
      <c r="AY40" s="323"/>
      <c r="AZ40" s="1177"/>
      <c r="BA40" s="1175"/>
      <c r="BB40" s="1175"/>
      <c r="BC40" s="1175"/>
      <c r="BD40" s="1175"/>
      <c r="BE40" s="1175"/>
      <c r="BF40" s="1175"/>
      <c r="BG40" s="1175"/>
      <c r="BH40" s="1175"/>
      <c r="BI40" s="1175"/>
      <c r="BJ40" s="1175"/>
      <c r="BK40" s="1175"/>
      <c r="BL40" s="1175"/>
      <c r="BM40" s="1175"/>
      <c r="BN40" s="1175"/>
      <c r="BO40" s="1175"/>
      <c r="BP40" s="1176"/>
      <c r="CA40" s="321"/>
    </row>
    <row r="41" spans="2:79" ht="24" x14ac:dyDescent="0.5">
      <c r="B41" s="1016"/>
      <c r="C41" s="919"/>
      <c r="D41" s="919"/>
      <c r="E41" s="982"/>
      <c r="F41" s="983"/>
      <c r="G41" s="983"/>
      <c r="H41" s="984"/>
      <c r="I41" s="982"/>
      <c r="J41" s="983"/>
      <c r="K41" s="983"/>
      <c r="L41" s="984"/>
      <c r="M41" s="982"/>
      <c r="N41" s="983"/>
      <c r="O41" s="983"/>
      <c r="P41" s="984"/>
      <c r="Q41" s="982"/>
      <c r="R41" s="983"/>
      <c r="S41" s="983"/>
      <c r="T41" s="984"/>
      <c r="U41" s="982"/>
      <c r="V41" s="983"/>
      <c r="W41" s="983"/>
      <c r="X41" s="984"/>
      <c r="Y41" s="982"/>
      <c r="Z41" s="983"/>
      <c r="AA41" s="983"/>
      <c r="AB41" s="984"/>
      <c r="AC41" s="982"/>
      <c r="AD41" s="983"/>
      <c r="AE41" s="983"/>
      <c r="AF41" s="984"/>
      <c r="AG41" s="982"/>
      <c r="AH41" s="983"/>
      <c r="AI41" s="983"/>
      <c r="AJ41" s="984"/>
      <c r="AK41" s="982"/>
      <c r="AL41" s="983"/>
      <c r="AM41" s="983"/>
      <c r="AN41" s="984"/>
      <c r="AO41" s="982"/>
      <c r="AP41" s="983"/>
      <c r="AQ41" s="983"/>
      <c r="AR41" s="984"/>
      <c r="AS41" s="1189"/>
      <c r="AT41" s="1190"/>
      <c r="AU41" s="1190"/>
      <c r="AV41" s="1190"/>
      <c r="AW41" s="1197"/>
      <c r="AX41" s="1198"/>
      <c r="AY41" s="323"/>
      <c r="AZ41" s="1177"/>
      <c r="BA41" s="1175"/>
      <c r="BB41" s="1175"/>
      <c r="BC41" s="1175"/>
      <c r="BD41" s="1175"/>
      <c r="BE41" s="1175"/>
      <c r="BF41" s="1175"/>
      <c r="BG41" s="1175"/>
      <c r="BH41" s="1175"/>
      <c r="BI41" s="1175"/>
      <c r="BJ41" s="1175"/>
      <c r="BK41" s="1175"/>
      <c r="BL41" s="1175"/>
      <c r="BM41" s="1175"/>
      <c r="BN41" s="1175"/>
      <c r="BO41" s="1175"/>
      <c r="BP41" s="1176"/>
      <c r="CA41" s="321"/>
    </row>
    <row r="42" spans="2:79" ht="24.75" thickBot="1" x14ac:dyDescent="0.55000000000000004">
      <c r="B42" s="1014"/>
      <c r="C42" s="1015"/>
      <c r="D42" s="1015"/>
      <c r="E42" s="985"/>
      <c r="F42" s="986"/>
      <c r="G42" s="986"/>
      <c r="H42" s="987"/>
      <c r="I42" s="985"/>
      <c r="J42" s="986"/>
      <c r="K42" s="986"/>
      <c r="L42" s="987"/>
      <c r="M42" s="985"/>
      <c r="N42" s="986"/>
      <c r="O42" s="986"/>
      <c r="P42" s="987"/>
      <c r="Q42" s="985"/>
      <c r="R42" s="986"/>
      <c r="S42" s="986"/>
      <c r="T42" s="987"/>
      <c r="U42" s="985"/>
      <c r="V42" s="986"/>
      <c r="W42" s="986"/>
      <c r="X42" s="987"/>
      <c r="Y42" s="985"/>
      <c r="Z42" s="986"/>
      <c r="AA42" s="986"/>
      <c r="AB42" s="987"/>
      <c r="AC42" s="985"/>
      <c r="AD42" s="986"/>
      <c r="AE42" s="986"/>
      <c r="AF42" s="987"/>
      <c r="AG42" s="985"/>
      <c r="AH42" s="986"/>
      <c r="AI42" s="986"/>
      <c r="AJ42" s="987"/>
      <c r="AK42" s="985"/>
      <c r="AL42" s="986"/>
      <c r="AM42" s="986"/>
      <c r="AN42" s="987"/>
      <c r="AO42" s="985"/>
      <c r="AP42" s="986"/>
      <c r="AQ42" s="986"/>
      <c r="AR42" s="987"/>
      <c r="AS42" s="1191"/>
      <c r="AT42" s="1192"/>
      <c r="AU42" s="1192"/>
      <c r="AV42" s="1192"/>
      <c r="AW42" s="1201"/>
      <c r="AX42" s="1202"/>
      <c r="AY42" s="323"/>
      <c r="AZ42" s="1177"/>
      <c r="BA42" s="1175"/>
      <c r="BB42" s="1175"/>
      <c r="BC42" s="1175"/>
      <c r="BD42" s="1175"/>
      <c r="BE42" s="1175"/>
      <c r="BF42" s="1175"/>
      <c r="BG42" s="1175"/>
      <c r="BH42" s="1175"/>
      <c r="BI42" s="1175"/>
      <c r="BJ42" s="1175"/>
      <c r="BK42" s="1175"/>
      <c r="BL42" s="1175"/>
      <c r="BM42" s="1175"/>
      <c r="BN42" s="1175"/>
      <c r="BO42" s="1175"/>
      <c r="BP42" s="1176"/>
      <c r="CA42" s="321"/>
    </row>
    <row r="43" spans="2:79" x14ac:dyDescent="0.35">
      <c r="AP43" s="287"/>
      <c r="AQ43" s="287"/>
      <c r="AR43" s="287"/>
      <c r="AS43" s="287"/>
      <c r="AT43" s="287"/>
      <c r="AU43" s="287"/>
      <c r="AV43" s="287"/>
      <c r="AW43" s="287"/>
      <c r="AX43" s="287"/>
      <c r="AY43" s="287"/>
      <c r="AZ43" s="287"/>
      <c r="BD43" s="287"/>
      <c r="BE43" s="287"/>
      <c r="BG43" s="287"/>
    </row>
    <row r="44" spans="2:79" s="324" customFormat="1" ht="45" customHeight="1" x14ac:dyDescent="0.4">
      <c r="B44" s="948" t="str">
        <f>"３．配置情報（発熱外来対応を行う職員分のみ入力すること）　【総合判定】"&amp;AZ44&amp;IF(AZ44="×","（空欄及び赤表示の欄がないようにしてください。）","")</f>
        <v>３．配置情報（発熱外来対応を行う職員分のみ入力すること）　【総合判定】○</v>
      </c>
      <c r="C44" s="947"/>
      <c r="D44" s="947"/>
      <c r="E44" s="947"/>
      <c r="F44" s="947"/>
      <c r="G44" s="947"/>
      <c r="H44" s="947"/>
      <c r="I44" s="947"/>
      <c r="J44" s="947"/>
      <c r="K44" s="947"/>
      <c r="L44" s="947"/>
      <c r="M44" s="947"/>
      <c r="N44" s="947"/>
      <c r="O44" s="947"/>
      <c r="P44" s="947"/>
      <c r="Q44" s="947"/>
      <c r="R44" s="947"/>
      <c r="S44" s="947"/>
      <c r="T44" s="947"/>
      <c r="U44" s="947"/>
      <c r="V44" s="947"/>
      <c r="W44" s="947"/>
      <c r="X44" s="947"/>
      <c r="Y44" s="947"/>
      <c r="Z44" s="947"/>
      <c r="AA44" s="947"/>
      <c r="AB44" s="947"/>
      <c r="AC44" s="947"/>
      <c r="AD44" s="947"/>
      <c r="AE44" s="947"/>
      <c r="AF44" s="947"/>
      <c r="AG44" s="947"/>
      <c r="AH44" s="947"/>
      <c r="AI44" s="947"/>
      <c r="AJ44" s="947"/>
      <c r="AK44" s="947"/>
      <c r="AL44" s="947"/>
      <c r="AM44" s="947"/>
      <c r="AN44" s="947"/>
      <c r="AO44" s="947"/>
      <c r="AP44" s="947"/>
      <c r="AQ44" s="947"/>
      <c r="AR44" s="947"/>
      <c r="AS44" s="947"/>
      <c r="AT44" s="947"/>
      <c r="AU44" s="947"/>
      <c r="AV44" s="947"/>
      <c r="AW44" s="947"/>
      <c r="AX44" s="947"/>
      <c r="AY44" s="947"/>
      <c r="AZ44" s="325" t="str">
        <f>IF(COUNTIF(AX51:AX63,"○")=3,"○","×")</f>
        <v>○</v>
      </c>
      <c r="BD44" s="326"/>
      <c r="BE44" s="326"/>
      <c r="BF44" s="326"/>
      <c r="BG44" s="326"/>
    </row>
    <row r="45" spans="2:79" ht="48" customHeight="1" x14ac:dyDescent="0.5">
      <c r="B45" s="965" t="s">
        <v>1088</v>
      </c>
      <c r="C45" s="966"/>
      <c r="D45" s="966"/>
      <c r="E45" s="966"/>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c r="AM45" s="966"/>
      <c r="AN45" s="966"/>
      <c r="AO45" s="966"/>
      <c r="AP45" s="966"/>
      <c r="AQ45" s="966"/>
      <c r="AR45" s="966"/>
      <c r="AS45" s="966"/>
      <c r="AT45" s="966"/>
      <c r="AU45" s="966"/>
      <c r="AV45" s="966"/>
      <c r="AW45" s="966"/>
      <c r="AX45" s="307"/>
      <c r="AZ45" s="289"/>
      <c r="BD45" s="314"/>
      <c r="BE45" s="314"/>
      <c r="BF45" s="314"/>
      <c r="BG45" s="314"/>
    </row>
    <row r="46" spans="2:79" ht="48" customHeight="1" x14ac:dyDescent="0.5">
      <c r="B46" s="939" t="s">
        <v>1189</v>
      </c>
      <c r="C46" s="940"/>
      <c r="D46" s="940"/>
      <c r="E46" s="940"/>
      <c r="F46" s="940"/>
      <c r="G46" s="940"/>
      <c r="H46" s="940"/>
      <c r="I46" s="940"/>
      <c r="J46" s="940"/>
      <c r="K46" s="940"/>
      <c r="L46" s="940"/>
      <c r="M46" s="940"/>
      <c r="N46" s="940"/>
      <c r="O46" s="940"/>
      <c r="P46" s="940"/>
      <c r="Q46" s="940"/>
      <c r="R46" s="940"/>
      <c r="S46" s="940"/>
      <c r="T46" s="940"/>
      <c r="U46" s="940"/>
      <c r="V46" s="940"/>
      <c r="W46" s="940"/>
      <c r="X46" s="940"/>
      <c r="Y46" s="940"/>
      <c r="Z46" s="940"/>
      <c r="AA46" s="940"/>
      <c r="AB46" s="940"/>
      <c r="AC46" s="940"/>
      <c r="AD46" s="940"/>
      <c r="AE46" s="940"/>
      <c r="AF46" s="940"/>
      <c r="AG46" s="940"/>
      <c r="AH46" s="940"/>
      <c r="AI46" s="940"/>
      <c r="AJ46" s="940"/>
      <c r="AK46" s="940"/>
      <c r="AL46" s="940"/>
      <c r="AM46" s="940"/>
      <c r="AN46" s="940"/>
      <c r="AO46" s="940"/>
      <c r="AP46" s="940"/>
      <c r="AQ46" s="940"/>
      <c r="AR46" s="940"/>
      <c r="AS46" s="940"/>
      <c r="AT46" s="940"/>
      <c r="AU46" s="940"/>
      <c r="AV46" s="940"/>
      <c r="AW46" s="940"/>
      <c r="AX46" s="307"/>
      <c r="AZ46" s="289"/>
      <c r="BD46" s="314"/>
      <c r="BE46" s="314"/>
      <c r="BF46" s="314"/>
      <c r="BG46" s="314"/>
    </row>
    <row r="47" spans="2:79" ht="48" customHeight="1" thickBot="1" x14ac:dyDescent="0.55000000000000004">
      <c r="B47" s="939" t="s">
        <v>1084</v>
      </c>
      <c r="C47" s="943"/>
      <c r="D47" s="943"/>
      <c r="E47" s="943"/>
      <c r="F47" s="943"/>
      <c r="G47" s="943"/>
      <c r="H47" s="943"/>
      <c r="I47" s="943"/>
      <c r="J47" s="943"/>
      <c r="K47" s="943"/>
      <c r="L47" s="943"/>
      <c r="M47" s="943"/>
      <c r="N47" s="943"/>
      <c r="O47" s="943"/>
      <c r="P47" s="943"/>
      <c r="Q47" s="943"/>
      <c r="R47" s="943"/>
      <c r="S47" s="943"/>
      <c r="T47" s="943"/>
      <c r="U47" s="943"/>
      <c r="V47" s="943"/>
      <c r="W47" s="943"/>
      <c r="X47" s="943"/>
      <c r="Y47" s="943"/>
      <c r="Z47" s="943"/>
      <c r="AA47" s="943"/>
      <c r="AB47" s="943"/>
      <c r="AC47" s="943"/>
      <c r="AD47" s="943"/>
      <c r="AE47" s="943"/>
      <c r="AF47" s="943"/>
      <c r="AG47" s="943"/>
      <c r="AH47" s="943"/>
      <c r="AI47" s="943"/>
      <c r="AJ47" s="943"/>
      <c r="AK47" s="943"/>
      <c r="AL47" s="943"/>
      <c r="AM47" s="943"/>
      <c r="AN47" s="943"/>
      <c r="AO47" s="943"/>
      <c r="AP47" s="943"/>
      <c r="AQ47" s="943"/>
      <c r="AR47" s="943"/>
      <c r="AS47" s="943"/>
      <c r="AT47" s="943"/>
      <c r="AU47" s="943"/>
      <c r="AV47" s="943"/>
      <c r="AW47" s="943"/>
      <c r="AX47" s="943"/>
      <c r="AZ47" s="289"/>
      <c r="BD47" s="314"/>
      <c r="BE47" s="314"/>
      <c r="BF47" s="314"/>
      <c r="BG47" s="314"/>
    </row>
    <row r="48" spans="2:79" ht="24.75" thickTop="1" x14ac:dyDescent="0.35">
      <c r="B48" s="1017" t="s">
        <v>980</v>
      </c>
      <c r="C48" s="1018"/>
      <c r="D48" s="1018"/>
      <c r="E48" s="1018"/>
      <c r="F48" s="1018"/>
      <c r="G48" s="1018"/>
      <c r="H48" s="1018"/>
      <c r="I48" s="1019"/>
      <c r="J48" s="999" t="s">
        <v>968</v>
      </c>
      <c r="K48" s="1000"/>
      <c r="L48" s="1000"/>
      <c r="M48" s="1000"/>
      <c r="N48" s="1000"/>
      <c r="O48" s="1000"/>
      <c r="P48" s="1000"/>
      <c r="Q48" s="1000"/>
      <c r="R48" s="1000"/>
      <c r="S48" s="1000"/>
      <c r="T48" s="1000"/>
      <c r="U48" s="1000"/>
      <c r="V48" s="1000"/>
      <c r="W48" s="1000"/>
      <c r="X48" s="1000"/>
      <c r="Y48" s="1000"/>
      <c r="Z48" s="1000"/>
      <c r="AA48" s="1000"/>
      <c r="AB48" s="1000"/>
      <c r="AC48" s="1000"/>
      <c r="AD48" s="1000"/>
      <c r="AE48" s="1000"/>
      <c r="AF48" s="1000"/>
      <c r="AG48" s="1000"/>
      <c r="AH48" s="1000"/>
      <c r="AI48" s="1000"/>
      <c r="AJ48" s="1000"/>
      <c r="AK48" s="1000"/>
      <c r="AL48" s="1000"/>
      <c r="AM48" s="1001"/>
      <c r="AN48" s="999" t="s">
        <v>969</v>
      </c>
      <c r="AO48" s="1000"/>
      <c r="AP48" s="1000"/>
      <c r="AQ48" s="1000"/>
      <c r="AR48" s="1000"/>
      <c r="AS48" s="1000"/>
      <c r="AT48" s="1002"/>
      <c r="AU48" s="1149" t="s">
        <v>1082</v>
      </c>
      <c r="AV48" s="1150"/>
      <c r="AW48" s="1150"/>
      <c r="AX48" s="1147" t="s">
        <v>1136</v>
      </c>
      <c r="AY48" s="323"/>
      <c r="AZ48" s="918" t="s">
        <v>1105</v>
      </c>
      <c r="BA48" s="1203"/>
      <c r="BB48" s="1203"/>
      <c r="BC48" s="1203"/>
      <c r="BD48" s="1203"/>
      <c r="BE48" s="1203"/>
      <c r="BF48" s="1203"/>
      <c r="BG48" s="1203"/>
      <c r="BH48" s="1203"/>
      <c r="BI48" s="1203"/>
      <c r="BJ48" s="1203"/>
      <c r="BK48" s="1203"/>
      <c r="BL48" s="1203"/>
      <c r="BM48" s="1203"/>
      <c r="BN48" s="1203"/>
      <c r="BO48" s="1203"/>
      <c r="BP48" s="1203"/>
    </row>
    <row r="49" spans="2:68" ht="18" customHeight="1" x14ac:dyDescent="0.35">
      <c r="B49" s="1020"/>
      <c r="C49" s="1021"/>
      <c r="D49" s="1021"/>
      <c r="E49" s="1021"/>
      <c r="F49" s="1021"/>
      <c r="G49" s="1021"/>
      <c r="H49" s="1021"/>
      <c r="I49" s="1022"/>
      <c r="J49" s="327">
        <v>1</v>
      </c>
      <c r="K49" s="328">
        <v>2</v>
      </c>
      <c r="L49" s="328">
        <v>3</v>
      </c>
      <c r="M49" s="328">
        <v>4</v>
      </c>
      <c r="N49" s="328">
        <v>5</v>
      </c>
      <c r="O49" s="328">
        <v>6</v>
      </c>
      <c r="P49" s="328">
        <v>7</v>
      </c>
      <c r="Q49" s="328">
        <v>8</v>
      </c>
      <c r="R49" s="328">
        <v>9</v>
      </c>
      <c r="S49" s="328">
        <v>10</v>
      </c>
      <c r="T49" s="328">
        <v>11</v>
      </c>
      <c r="U49" s="328">
        <v>12</v>
      </c>
      <c r="V49" s="328">
        <v>13</v>
      </c>
      <c r="W49" s="328">
        <v>14</v>
      </c>
      <c r="X49" s="328">
        <v>15</v>
      </c>
      <c r="Y49" s="328">
        <v>16</v>
      </c>
      <c r="Z49" s="328">
        <v>17</v>
      </c>
      <c r="AA49" s="328">
        <v>18</v>
      </c>
      <c r="AB49" s="328">
        <v>19</v>
      </c>
      <c r="AC49" s="328">
        <v>20</v>
      </c>
      <c r="AD49" s="328">
        <v>21</v>
      </c>
      <c r="AE49" s="328">
        <v>22</v>
      </c>
      <c r="AF49" s="328">
        <v>23</v>
      </c>
      <c r="AG49" s="328">
        <v>24</v>
      </c>
      <c r="AH49" s="328">
        <v>25</v>
      </c>
      <c r="AI49" s="328">
        <v>26</v>
      </c>
      <c r="AJ49" s="328">
        <v>27</v>
      </c>
      <c r="AK49" s="328">
        <v>28</v>
      </c>
      <c r="AL49" s="328">
        <v>29</v>
      </c>
      <c r="AM49" s="329">
        <v>30</v>
      </c>
      <c r="AN49" s="327">
        <v>1</v>
      </c>
      <c r="AO49" s="328">
        <v>2</v>
      </c>
      <c r="AP49" s="328">
        <v>3</v>
      </c>
      <c r="AQ49" s="328">
        <v>4</v>
      </c>
      <c r="AR49" s="328">
        <v>5</v>
      </c>
      <c r="AS49" s="328">
        <v>6</v>
      </c>
      <c r="AT49" s="330">
        <v>7</v>
      </c>
      <c r="AU49" s="1151"/>
      <c r="AV49" s="1152"/>
      <c r="AW49" s="1152"/>
      <c r="AX49" s="1148"/>
      <c r="AY49" s="323"/>
      <c r="AZ49" s="1203"/>
      <c r="BA49" s="1203"/>
      <c r="BB49" s="1203"/>
      <c r="BC49" s="1203"/>
      <c r="BD49" s="1203"/>
      <c r="BE49" s="1203"/>
      <c r="BF49" s="1203"/>
      <c r="BG49" s="1203"/>
      <c r="BH49" s="1203"/>
      <c r="BI49" s="1203"/>
      <c r="BJ49" s="1203"/>
      <c r="BK49" s="1203"/>
      <c r="BL49" s="1203"/>
      <c r="BM49" s="1203"/>
      <c r="BN49" s="1203"/>
      <c r="BO49" s="1203"/>
      <c r="BP49" s="1203"/>
    </row>
    <row r="50" spans="2:68" ht="18" customHeight="1" x14ac:dyDescent="0.35">
      <c r="B50" s="1020"/>
      <c r="C50" s="1021"/>
      <c r="D50" s="1021"/>
      <c r="E50" s="1021"/>
      <c r="F50" s="1021"/>
      <c r="G50" s="1021"/>
      <c r="H50" s="1021"/>
      <c r="I50" s="1022"/>
      <c r="J50" s="331" t="s">
        <v>973</v>
      </c>
      <c r="K50" s="332" t="s">
        <v>119</v>
      </c>
      <c r="L50" s="332" t="s">
        <v>77</v>
      </c>
      <c r="M50" s="332" t="s">
        <v>974</v>
      </c>
      <c r="N50" s="332" t="s">
        <v>975</v>
      </c>
      <c r="O50" s="332" t="s">
        <v>976</v>
      </c>
      <c r="P50" s="332" t="s">
        <v>977</v>
      </c>
      <c r="Q50" s="332" t="s">
        <v>972</v>
      </c>
      <c r="R50" s="332" t="s">
        <v>79</v>
      </c>
      <c r="S50" s="332" t="s">
        <v>77</v>
      </c>
      <c r="T50" s="332" t="s">
        <v>974</v>
      </c>
      <c r="U50" s="332" t="s">
        <v>975</v>
      </c>
      <c r="V50" s="332" t="s">
        <v>976</v>
      </c>
      <c r="W50" s="332" t="s">
        <v>977</v>
      </c>
      <c r="X50" s="332" t="s">
        <v>972</v>
      </c>
      <c r="Y50" s="332" t="s">
        <v>79</v>
      </c>
      <c r="Z50" s="332" t="s">
        <v>77</v>
      </c>
      <c r="AA50" s="332" t="s">
        <v>974</v>
      </c>
      <c r="AB50" s="332" t="s">
        <v>975</v>
      </c>
      <c r="AC50" s="332" t="s">
        <v>976</v>
      </c>
      <c r="AD50" s="332" t="s">
        <v>977</v>
      </c>
      <c r="AE50" s="332" t="s">
        <v>972</v>
      </c>
      <c r="AF50" s="332" t="s">
        <v>79</v>
      </c>
      <c r="AG50" s="332" t="s">
        <v>77</v>
      </c>
      <c r="AH50" s="332" t="s">
        <v>974</v>
      </c>
      <c r="AI50" s="332" t="s">
        <v>975</v>
      </c>
      <c r="AJ50" s="332" t="s">
        <v>976</v>
      </c>
      <c r="AK50" s="332" t="s">
        <v>977</v>
      </c>
      <c r="AL50" s="332" t="s">
        <v>972</v>
      </c>
      <c r="AM50" s="333" t="s">
        <v>119</v>
      </c>
      <c r="AN50" s="331" t="s">
        <v>978</v>
      </c>
      <c r="AO50" s="332" t="s">
        <v>979</v>
      </c>
      <c r="AP50" s="332" t="s">
        <v>975</v>
      </c>
      <c r="AQ50" s="332" t="s">
        <v>976</v>
      </c>
      <c r="AR50" s="332" t="s">
        <v>977</v>
      </c>
      <c r="AS50" s="332" t="s">
        <v>972</v>
      </c>
      <c r="AT50" s="334" t="s">
        <v>119</v>
      </c>
      <c r="AU50" s="1153"/>
      <c r="AV50" s="1154"/>
      <c r="AW50" s="1154"/>
      <c r="AX50" s="1148"/>
      <c r="AY50" s="323"/>
      <c r="AZ50" s="1203"/>
      <c r="BA50" s="1203"/>
      <c r="BB50" s="1203"/>
      <c r="BC50" s="1203"/>
      <c r="BD50" s="1203"/>
      <c r="BE50" s="1203"/>
      <c r="BF50" s="1203"/>
      <c r="BG50" s="1203"/>
      <c r="BH50" s="1203"/>
      <c r="BI50" s="1203"/>
      <c r="BJ50" s="1203"/>
      <c r="BK50" s="1203"/>
      <c r="BL50" s="1203"/>
      <c r="BM50" s="1203"/>
      <c r="BN50" s="1203"/>
      <c r="BO50" s="1203"/>
      <c r="BP50" s="1203"/>
    </row>
    <row r="51" spans="2:68" ht="24.75" thickBot="1" x14ac:dyDescent="0.4">
      <c r="B51" s="1023"/>
      <c r="C51" s="1024"/>
      <c r="D51" s="1024"/>
      <c r="E51" s="1024"/>
      <c r="F51" s="1024"/>
      <c r="G51" s="1024"/>
      <c r="H51" s="1024"/>
      <c r="I51" s="1025"/>
      <c r="J51" s="335" t="str">
        <f xml:space="preserve">
IF(VLOOKUP(
IF(J50="月","月曜日",
IF(J50="火","火曜日",
IF(J50="水","水曜日",
IF(J50="木","木曜日",
IF(J50="金","金曜日",
IF(J50="土","土曜日",
IF(J50="日","日曜日"))))))),$B$22:$G$28,4,FALSE)="診療日","診","休")</f>
        <v>診</v>
      </c>
      <c r="K51" s="336" t="str">
        <f xml:space="preserve">
IF(VLOOKUP(
IF(K50="月","月曜日",
IF(K50="火","火曜日",
IF(K50="水","水曜日",
IF(K50="木","木曜日",
IF(K50="金","金曜日",
IF(K50="土","土曜日",
IF(K50="日","日曜日"))))))),$B$22:$G$28,4,FALSE)="診療日","診","休")</f>
        <v>休</v>
      </c>
      <c r="L51" s="336" t="str">
        <f t="shared" ref="L51:AT51" si="12" xml:space="preserve">
IF(VLOOKUP(
IF(L50="月","月曜日",
IF(L50="火","火曜日",
IF(L50="水","水曜日",
IF(L50="木","木曜日",
IF(L50="金","金曜日",
IF(L50="土","土曜日",
IF(L50="日","日曜日"))))))),$B$22:$G$28,4,FALSE)="診療日","診","休")</f>
        <v>診</v>
      </c>
      <c r="M51" s="336" t="str">
        <f t="shared" si="12"/>
        <v>診</v>
      </c>
      <c r="N51" s="336" t="str">
        <f t="shared" si="12"/>
        <v>診</v>
      </c>
      <c r="O51" s="336" t="str">
        <f t="shared" si="12"/>
        <v>診</v>
      </c>
      <c r="P51" s="336" t="str">
        <f t="shared" si="12"/>
        <v>診</v>
      </c>
      <c r="Q51" s="336" t="str">
        <f t="shared" si="12"/>
        <v>診</v>
      </c>
      <c r="R51" s="336" t="str">
        <f t="shared" si="12"/>
        <v>休</v>
      </c>
      <c r="S51" s="336" t="str">
        <f t="shared" si="12"/>
        <v>診</v>
      </c>
      <c r="T51" s="336" t="str">
        <f t="shared" si="12"/>
        <v>診</v>
      </c>
      <c r="U51" s="336" t="str">
        <f t="shared" si="12"/>
        <v>診</v>
      </c>
      <c r="V51" s="336" t="str">
        <f t="shared" si="12"/>
        <v>診</v>
      </c>
      <c r="W51" s="336" t="str">
        <f t="shared" si="12"/>
        <v>診</v>
      </c>
      <c r="X51" s="336" t="str">
        <f t="shared" si="12"/>
        <v>診</v>
      </c>
      <c r="Y51" s="336" t="str">
        <f t="shared" si="12"/>
        <v>休</v>
      </c>
      <c r="Z51" s="336" t="str">
        <f t="shared" si="12"/>
        <v>診</v>
      </c>
      <c r="AA51" s="336" t="str">
        <f t="shared" si="12"/>
        <v>診</v>
      </c>
      <c r="AB51" s="336" t="str">
        <f t="shared" si="12"/>
        <v>診</v>
      </c>
      <c r="AC51" s="336" t="str">
        <f t="shared" si="12"/>
        <v>診</v>
      </c>
      <c r="AD51" s="336" t="str">
        <f t="shared" si="12"/>
        <v>診</v>
      </c>
      <c r="AE51" s="336" t="str">
        <f t="shared" si="12"/>
        <v>診</v>
      </c>
      <c r="AF51" s="336" t="str">
        <f t="shared" si="12"/>
        <v>休</v>
      </c>
      <c r="AG51" s="336" t="str">
        <f t="shared" si="12"/>
        <v>診</v>
      </c>
      <c r="AH51" s="336" t="str">
        <f t="shared" si="12"/>
        <v>診</v>
      </c>
      <c r="AI51" s="336" t="str">
        <f t="shared" si="12"/>
        <v>診</v>
      </c>
      <c r="AJ51" s="336" t="str">
        <f t="shared" si="12"/>
        <v>診</v>
      </c>
      <c r="AK51" s="336" t="str">
        <f t="shared" si="12"/>
        <v>診</v>
      </c>
      <c r="AL51" s="336" t="str">
        <f t="shared" si="12"/>
        <v>診</v>
      </c>
      <c r="AM51" s="337" t="str">
        <f t="shared" si="12"/>
        <v>休</v>
      </c>
      <c r="AN51" s="335" t="str">
        <f t="shared" si="12"/>
        <v>診</v>
      </c>
      <c r="AO51" s="336" t="str">
        <f t="shared" si="12"/>
        <v>診</v>
      </c>
      <c r="AP51" s="336" t="str">
        <f t="shared" si="12"/>
        <v>診</v>
      </c>
      <c r="AQ51" s="336" t="str">
        <f t="shared" si="12"/>
        <v>診</v>
      </c>
      <c r="AR51" s="336" t="str">
        <f t="shared" si="12"/>
        <v>診</v>
      </c>
      <c r="AS51" s="336" t="str">
        <f t="shared" si="12"/>
        <v>診</v>
      </c>
      <c r="AT51" s="338" t="str">
        <f t="shared" si="12"/>
        <v>休</v>
      </c>
      <c r="AU51" s="1155">
        <f>COUNTA(J51:AT51)-SUM(COUNTIF(J52:AT52,0),COUNTIF(J52:AT52,""))</f>
        <v>28</v>
      </c>
      <c r="AV51" s="1156"/>
      <c r="AW51" s="1156"/>
      <c r="AX51" s="339" t="s">
        <v>1137</v>
      </c>
      <c r="AY51" s="323"/>
      <c r="AZ51" s="914" t="s">
        <v>1137</v>
      </c>
      <c r="BA51" s="1146"/>
      <c r="BB51" s="1146"/>
      <c r="BC51" s="1146"/>
      <c r="BD51" s="1146"/>
      <c r="BE51" s="1146"/>
      <c r="BF51" s="1146"/>
      <c r="BG51" s="1146"/>
      <c r="BH51" s="1146"/>
      <c r="BI51" s="1146"/>
      <c r="BJ51" s="1146"/>
      <c r="BK51" s="1146"/>
      <c r="BL51" s="1146"/>
      <c r="BM51" s="1146"/>
      <c r="BN51" s="1146"/>
      <c r="BO51" s="1146"/>
      <c r="BP51" s="1146"/>
    </row>
    <row r="52" spans="2:68" ht="24.75" thickTop="1" x14ac:dyDescent="0.35">
      <c r="B52" s="1005" t="s">
        <v>970</v>
      </c>
      <c r="C52" s="1209"/>
      <c r="D52" s="1209"/>
      <c r="E52" s="1209"/>
      <c r="F52" s="1209"/>
      <c r="G52" s="1209"/>
      <c r="H52" s="1209"/>
      <c r="I52" s="1209"/>
      <c r="J52" s="383">
        <v>1</v>
      </c>
      <c r="K52" s="384"/>
      <c r="L52" s="384">
        <v>1</v>
      </c>
      <c r="M52" s="384">
        <v>1</v>
      </c>
      <c r="N52" s="384">
        <v>0</v>
      </c>
      <c r="O52" s="384">
        <v>1</v>
      </c>
      <c r="P52" s="384">
        <v>1</v>
      </c>
      <c r="Q52" s="384">
        <v>1</v>
      </c>
      <c r="R52" s="384"/>
      <c r="S52" s="384">
        <v>1</v>
      </c>
      <c r="T52" s="384">
        <v>1</v>
      </c>
      <c r="U52" s="384">
        <v>1</v>
      </c>
      <c r="V52" s="384">
        <v>1</v>
      </c>
      <c r="W52" s="384">
        <v>1</v>
      </c>
      <c r="X52" s="384">
        <v>1</v>
      </c>
      <c r="Y52" s="384"/>
      <c r="Z52" s="384">
        <v>1</v>
      </c>
      <c r="AA52" s="384">
        <v>1</v>
      </c>
      <c r="AB52" s="384">
        <v>1</v>
      </c>
      <c r="AC52" s="384">
        <v>0</v>
      </c>
      <c r="AD52" s="384">
        <v>1</v>
      </c>
      <c r="AE52" s="384">
        <v>1</v>
      </c>
      <c r="AF52" s="384"/>
      <c r="AG52" s="384">
        <v>1</v>
      </c>
      <c r="AH52" s="384">
        <v>1</v>
      </c>
      <c r="AI52" s="384">
        <v>1</v>
      </c>
      <c r="AJ52" s="384">
        <v>0</v>
      </c>
      <c r="AK52" s="384">
        <v>1</v>
      </c>
      <c r="AL52" s="384">
        <v>1</v>
      </c>
      <c r="AM52" s="385"/>
      <c r="AN52" s="383">
        <v>1</v>
      </c>
      <c r="AO52" s="384">
        <v>1</v>
      </c>
      <c r="AP52" s="384">
        <v>1</v>
      </c>
      <c r="AQ52" s="384">
        <v>1</v>
      </c>
      <c r="AR52" s="384">
        <v>1</v>
      </c>
      <c r="AS52" s="384">
        <v>1</v>
      </c>
      <c r="AT52" s="386"/>
      <c r="AU52" s="1178">
        <f>IFERROR(SUM(J52:AT52),0)</f>
        <v>28</v>
      </c>
      <c r="AV52" s="1179"/>
      <c r="AW52" s="1179"/>
      <c r="AX52" s="1157" t="str">
        <f xml:space="preserve">
IF(OR(AZ14="×",AZ30="×"),"×",
IF(COUNTIF(J54:AT54,"○")=37,"○","×"))</f>
        <v>○</v>
      </c>
      <c r="AY52" s="323"/>
      <c r="AZ52" s="1145" t="s">
        <v>1138</v>
      </c>
      <c r="BA52" s="1146"/>
      <c r="BB52" s="1146"/>
      <c r="BC52" s="1146"/>
      <c r="BD52" s="1146"/>
      <c r="BE52" s="1146"/>
      <c r="BF52" s="1146"/>
      <c r="BG52" s="1146"/>
      <c r="BH52" s="1146"/>
      <c r="BI52" s="1146"/>
      <c r="BJ52" s="1146"/>
      <c r="BK52" s="1146"/>
      <c r="BL52" s="1146"/>
      <c r="BM52" s="1146"/>
      <c r="BN52" s="1146"/>
      <c r="BO52" s="1146"/>
      <c r="BP52" s="1146"/>
    </row>
    <row r="53" spans="2:68" ht="24.75" thickBot="1" x14ac:dyDescent="0.4">
      <c r="B53" s="1003" t="s">
        <v>971</v>
      </c>
      <c r="C53" s="1004"/>
      <c r="D53" s="1004"/>
      <c r="E53" s="1004"/>
      <c r="F53" s="1004"/>
      <c r="G53" s="1004"/>
      <c r="H53" s="1004"/>
      <c r="I53" s="1004"/>
      <c r="J53" s="387">
        <v>1</v>
      </c>
      <c r="K53" s="388"/>
      <c r="L53" s="388">
        <v>1</v>
      </c>
      <c r="M53" s="388">
        <v>0</v>
      </c>
      <c r="N53" s="388">
        <v>0</v>
      </c>
      <c r="O53" s="388">
        <v>0</v>
      </c>
      <c r="P53" s="388">
        <v>0</v>
      </c>
      <c r="Q53" s="388">
        <v>0</v>
      </c>
      <c r="R53" s="388"/>
      <c r="S53" s="388">
        <v>1</v>
      </c>
      <c r="T53" s="388">
        <v>1</v>
      </c>
      <c r="U53" s="388">
        <v>1</v>
      </c>
      <c r="V53" s="388">
        <v>1</v>
      </c>
      <c r="W53" s="388">
        <v>1</v>
      </c>
      <c r="X53" s="388">
        <v>1</v>
      </c>
      <c r="Y53" s="388"/>
      <c r="Z53" s="388">
        <v>1</v>
      </c>
      <c r="AA53" s="388">
        <v>1</v>
      </c>
      <c r="AB53" s="388">
        <v>1</v>
      </c>
      <c r="AC53" s="388">
        <v>0</v>
      </c>
      <c r="AD53" s="388">
        <v>1</v>
      </c>
      <c r="AE53" s="388">
        <v>1</v>
      </c>
      <c r="AF53" s="388"/>
      <c r="AG53" s="388">
        <v>1</v>
      </c>
      <c r="AH53" s="388">
        <v>1</v>
      </c>
      <c r="AI53" s="388">
        <v>1</v>
      </c>
      <c r="AJ53" s="388">
        <v>0</v>
      </c>
      <c r="AK53" s="388">
        <v>1</v>
      </c>
      <c r="AL53" s="388">
        <v>1</v>
      </c>
      <c r="AM53" s="389"/>
      <c r="AN53" s="387">
        <v>1</v>
      </c>
      <c r="AO53" s="388">
        <v>1</v>
      </c>
      <c r="AP53" s="388">
        <v>1</v>
      </c>
      <c r="AQ53" s="388">
        <v>1</v>
      </c>
      <c r="AR53" s="388">
        <v>1</v>
      </c>
      <c r="AS53" s="388">
        <v>1</v>
      </c>
      <c r="AT53" s="390"/>
      <c r="AU53" s="1180">
        <f>IFERROR(SUM(J53:AT53),0)</f>
        <v>24</v>
      </c>
      <c r="AV53" s="1181"/>
      <c r="AW53" s="1181"/>
      <c r="AX53" s="1158"/>
      <c r="AY53" s="323"/>
      <c r="AZ53" s="1210" t="s">
        <v>1139</v>
      </c>
      <c r="BA53" s="1211"/>
      <c r="BB53" s="1211"/>
      <c r="BC53" s="1211"/>
      <c r="BD53" s="1211"/>
      <c r="BE53" s="1211"/>
      <c r="BF53" s="1211"/>
      <c r="BG53" s="1211"/>
      <c r="BH53" s="1211"/>
      <c r="BI53" s="1211"/>
      <c r="BJ53" s="1211"/>
      <c r="BK53" s="1211"/>
      <c r="BL53" s="1211"/>
      <c r="BM53" s="1211"/>
      <c r="BN53" s="1211"/>
      <c r="BO53" s="1211"/>
      <c r="BP53" s="1211"/>
    </row>
    <row r="54" spans="2:68" ht="25.5" thickTop="1" thickBot="1" x14ac:dyDescent="0.4">
      <c r="B54" s="1118" t="s">
        <v>66</v>
      </c>
      <c r="C54" s="1119"/>
      <c r="D54" s="1119"/>
      <c r="E54" s="1119"/>
      <c r="F54" s="1119"/>
      <c r="G54" s="1119"/>
      <c r="H54" s="1119"/>
      <c r="I54" s="1119"/>
      <c r="J54" s="490" t="str">
        <f t="shared" ref="J54:AT54" si="13" xml:space="preserve">
IF(J51="","×",
IF(AND(J51="診",AND(COUNTA(J52:J53)=2,J52&gt;=J53)),"○",
IF(AND(J51="診",OR(COUNTA(J52:J53)&lt;&gt;2,J52&lt;J53)),"×",
IF(AND(J51="休",AND(OR(J52=0,J52=""),OR(J53=0,J53=""))),"○",
IF(AND(J51="休",OR(J52&lt;&gt;0,J52&lt;&gt;"",J53&lt;&gt;0,J53&lt;&gt;"")),"×")))))</f>
        <v>○</v>
      </c>
      <c r="K54" s="491" t="str">
        <f t="shared" si="13"/>
        <v>○</v>
      </c>
      <c r="L54" s="491" t="str">
        <f t="shared" si="13"/>
        <v>○</v>
      </c>
      <c r="M54" s="491" t="str">
        <f t="shared" si="13"/>
        <v>○</v>
      </c>
      <c r="N54" s="491" t="str">
        <f t="shared" si="13"/>
        <v>○</v>
      </c>
      <c r="O54" s="491" t="str">
        <f t="shared" si="13"/>
        <v>○</v>
      </c>
      <c r="P54" s="491" t="str">
        <f t="shared" si="13"/>
        <v>○</v>
      </c>
      <c r="Q54" s="491" t="str">
        <f t="shared" si="13"/>
        <v>○</v>
      </c>
      <c r="R54" s="491" t="str">
        <f t="shared" si="13"/>
        <v>○</v>
      </c>
      <c r="S54" s="491" t="str">
        <f xml:space="preserve">
IF(S51="","×",
IF(AND(S51="診",AND(COUNTA(S52:S53)=2,S52&gt;=S53)),"○",
IF(AND(S51="診",OR(COUNTA(S52:S53)&lt;&gt;2,S52&lt;S53)),"×",
IF(AND(S51="休",AND(OR(S52=0,S52=""),OR(S53=0,S53=""))),"○",
IF(AND(S51="休",OR(S52&lt;&gt;0,S52&lt;&gt;"",S53&lt;&gt;0,S53&lt;&gt;"")),"×")))))</f>
        <v>○</v>
      </c>
      <c r="T54" s="491" t="str">
        <f t="shared" si="13"/>
        <v>○</v>
      </c>
      <c r="U54" s="491" t="str">
        <f t="shared" si="13"/>
        <v>○</v>
      </c>
      <c r="V54" s="491" t="str">
        <f t="shared" si="13"/>
        <v>○</v>
      </c>
      <c r="W54" s="491" t="str">
        <f t="shared" si="13"/>
        <v>○</v>
      </c>
      <c r="X54" s="491" t="str">
        <f t="shared" si="13"/>
        <v>○</v>
      </c>
      <c r="Y54" s="491" t="str">
        <f t="shared" si="13"/>
        <v>○</v>
      </c>
      <c r="Z54" s="491" t="str">
        <f t="shared" si="13"/>
        <v>○</v>
      </c>
      <c r="AA54" s="491" t="str">
        <f t="shared" si="13"/>
        <v>○</v>
      </c>
      <c r="AB54" s="491" t="str">
        <f t="shared" si="13"/>
        <v>○</v>
      </c>
      <c r="AC54" s="491" t="str">
        <f t="shared" si="13"/>
        <v>○</v>
      </c>
      <c r="AD54" s="491" t="str">
        <f t="shared" si="13"/>
        <v>○</v>
      </c>
      <c r="AE54" s="491" t="str">
        <f t="shared" si="13"/>
        <v>○</v>
      </c>
      <c r="AF54" s="491" t="str">
        <f t="shared" si="13"/>
        <v>○</v>
      </c>
      <c r="AG54" s="491" t="str">
        <f t="shared" si="13"/>
        <v>○</v>
      </c>
      <c r="AH54" s="491" t="str">
        <f t="shared" si="13"/>
        <v>○</v>
      </c>
      <c r="AI54" s="491" t="str">
        <f t="shared" si="13"/>
        <v>○</v>
      </c>
      <c r="AJ54" s="491" t="str">
        <f t="shared" si="13"/>
        <v>○</v>
      </c>
      <c r="AK54" s="491" t="str">
        <f t="shared" si="13"/>
        <v>○</v>
      </c>
      <c r="AL54" s="491" t="str">
        <f t="shared" si="13"/>
        <v>○</v>
      </c>
      <c r="AM54" s="492" t="str">
        <f t="shared" si="13"/>
        <v>○</v>
      </c>
      <c r="AN54" s="493" t="str">
        <f t="shared" si="13"/>
        <v>○</v>
      </c>
      <c r="AO54" s="491" t="str">
        <f t="shared" si="13"/>
        <v>○</v>
      </c>
      <c r="AP54" s="491" t="str">
        <f t="shared" si="13"/>
        <v>○</v>
      </c>
      <c r="AQ54" s="491" t="str">
        <f t="shared" si="13"/>
        <v>○</v>
      </c>
      <c r="AR54" s="491" t="str">
        <f t="shared" si="13"/>
        <v>○</v>
      </c>
      <c r="AS54" s="491" t="str">
        <f t="shared" si="13"/>
        <v>○</v>
      </c>
      <c r="AT54" s="494" t="str">
        <f t="shared" si="13"/>
        <v>○</v>
      </c>
      <c r="AU54" s="1120" t="s">
        <v>1185</v>
      </c>
      <c r="AV54" s="1121"/>
      <c r="AW54" s="1122"/>
      <c r="AX54" s="1159"/>
      <c r="AY54" s="323"/>
      <c r="AZ54" s="1010" t="str">
        <f>IF(AX52="○","適切に入力されました。",IF(AX52="×","【要修正】全ての判定欄が「○」になっているか確認してください。(グレー以外は全て入力。赤表示欄がないように。)"))</f>
        <v>適切に入力されました。</v>
      </c>
      <c r="BA54" s="1011"/>
      <c r="BB54" s="1011"/>
      <c r="BC54" s="1011"/>
      <c r="BD54" s="1011"/>
      <c r="BE54" s="1011"/>
      <c r="BF54" s="1011"/>
      <c r="BG54" s="1011"/>
      <c r="BH54" s="1011"/>
      <c r="BI54" s="1011"/>
      <c r="BJ54" s="1011"/>
      <c r="BK54" s="1011"/>
      <c r="BL54" s="1011"/>
      <c r="BM54" s="1011"/>
      <c r="BN54" s="1011"/>
      <c r="BO54" s="1011"/>
      <c r="BP54" s="1012"/>
    </row>
    <row r="55" spans="2:68" ht="24.75" thickTop="1" x14ac:dyDescent="0.35">
      <c r="B55" s="1005" t="s">
        <v>1223</v>
      </c>
      <c r="C55" s="1006"/>
      <c r="D55" s="1006"/>
      <c r="E55" s="1006"/>
      <c r="F55" s="1006"/>
      <c r="G55" s="1006"/>
      <c r="H55" s="1006"/>
      <c r="I55" s="1006"/>
      <c r="J55" s="340">
        <f t="shared" ref="J55:AT55" si="14">IF(J51="休",0,IF(J51="診",SUM(J59,J63)))</f>
        <v>10.5</v>
      </c>
      <c r="K55" s="341">
        <f t="shared" si="14"/>
        <v>0</v>
      </c>
      <c r="L55" s="341">
        <f t="shared" si="14"/>
        <v>6</v>
      </c>
      <c r="M55" s="341">
        <f t="shared" si="14"/>
        <v>5</v>
      </c>
      <c r="N55" s="341">
        <f t="shared" si="14"/>
        <v>5</v>
      </c>
      <c r="O55" s="341">
        <f t="shared" si="14"/>
        <v>5</v>
      </c>
      <c r="P55" s="341">
        <f t="shared" si="14"/>
        <v>5</v>
      </c>
      <c r="Q55" s="341">
        <f t="shared" si="14"/>
        <v>5</v>
      </c>
      <c r="R55" s="341">
        <f t="shared" si="14"/>
        <v>0</v>
      </c>
      <c r="S55" s="341">
        <f t="shared" si="14"/>
        <v>5</v>
      </c>
      <c r="T55" s="341">
        <f t="shared" si="14"/>
        <v>5</v>
      </c>
      <c r="U55" s="341">
        <f t="shared" si="14"/>
        <v>5</v>
      </c>
      <c r="V55" s="341">
        <f t="shared" si="14"/>
        <v>5</v>
      </c>
      <c r="W55" s="341">
        <f t="shared" si="14"/>
        <v>5</v>
      </c>
      <c r="X55" s="341">
        <f t="shared" si="14"/>
        <v>5</v>
      </c>
      <c r="Y55" s="341">
        <f t="shared" si="14"/>
        <v>0</v>
      </c>
      <c r="Z55" s="341">
        <f t="shared" si="14"/>
        <v>5</v>
      </c>
      <c r="AA55" s="341">
        <f t="shared" si="14"/>
        <v>5</v>
      </c>
      <c r="AB55" s="341">
        <f t="shared" si="14"/>
        <v>5</v>
      </c>
      <c r="AC55" s="341">
        <f t="shared" si="14"/>
        <v>5</v>
      </c>
      <c r="AD55" s="341">
        <f t="shared" si="14"/>
        <v>5</v>
      </c>
      <c r="AE55" s="341">
        <f t="shared" si="14"/>
        <v>5</v>
      </c>
      <c r="AF55" s="341">
        <f t="shared" si="14"/>
        <v>0</v>
      </c>
      <c r="AG55" s="341">
        <f t="shared" si="14"/>
        <v>5</v>
      </c>
      <c r="AH55" s="341">
        <f t="shared" si="14"/>
        <v>5</v>
      </c>
      <c r="AI55" s="341">
        <f t="shared" si="14"/>
        <v>5</v>
      </c>
      <c r="AJ55" s="341">
        <f t="shared" si="14"/>
        <v>5</v>
      </c>
      <c r="AK55" s="341">
        <f t="shared" si="14"/>
        <v>5</v>
      </c>
      <c r="AL55" s="341">
        <f t="shared" si="14"/>
        <v>5</v>
      </c>
      <c r="AM55" s="342">
        <f t="shared" si="14"/>
        <v>0</v>
      </c>
      <c r="AN55" s="340">
        <f t="shared" si="14"/>
        <v>5</v>
      </c>
      <c r="AO55" s="341">
        <f t="shared" si="14"/>
        <v>5</v>
      </c>
      <c r="AP55" s="341">
        <f t="shared" si="14"/>
        <v>5</v>
      </c>
      <c r="AQ55" s="341">
        <f t="shared" si="14"/>
        <v>5</v>
      </c>
      <c r="AR55" s="341">
        <f t="shared" si="14"/>
        <v>5</v>
      </c>
      <c r="AS55" s="341">
        <f t="shared" si="14"/>
        <v>5</v>
      </c>
      <c r="AT55" s="343">
        <f t="shared" si="14"/>
        <v>0</v>
      </c>
      <c r="AU55" s="1138" t="s">
        <v>1033</v>
      </c>
      <c r="AV55" s="1139"/>
      <c r="AW55" s="1139"/>
      <c r="AX55" s="344" t="s">
        <v>1137</v>
      </c>
      <c r="AY55" s="323"/>
      <c r="AZ55" s="1134" t="s">
        <v>1137</v>
      </c>
      <c r="BA55" s="1213"/>
      <c r="BB55" s="1213"/>
      <c r="BC55" s="1213"/>
      <c r="BD55" s="1213"/>
      <c r="BE55" s="1213"/>
      <c r="BF55" s="1213"/>
      <c r="BG55" s="1213"/>
      <c r="BH55" s="1213"/>
      <c r="BI55" s="1213"/>
      <c r="BJ55" s="1213"/>
      <c r="BK55" s="1213"/>
      <c r="BL55" s="1213"/>
      <c r="BM55" s="1213"/>
      <c r="BN55" s="1213"/>
      <c r="BO55" s="1213"/>
      <c r="BP55" s="1213"/>
    </row>
    <row r="56" spans="2:68" ht="24.75" thickBot="1" x14ac:dyDescent="0.4">
      <c r="B56" s="1003" t="s">
        <v>981</v>
      </c>
      <c r="C56" s="1007"/>
      <c r="D56" s="1007"/>
      <c r="E56" s="1007"/>
      <c r="F56" s="1007"/>
      <c r="G56" s="1007"/>
      <c r="H56" s="1007"/>
      <c r="I56" s="1007"/>
      <c r="J56" s="345">
        <f t="shared" ref="J56:AT56" si="15">IFERROR(ROUNDDOWN(J55/VLOOKUP(J50,$A$22:$AO$28,39,FALSE),1),0)</f>
        <v>1.9</v>
      </c>
      <c r="K56" s="346">
        <f t="shared" si="15"/>
        <v>0</v>
      </c>
      <c r="L56" s="346">
        <f t="shared" si="15"/>
        <v>1.7</v>
      </c>
      <c r="M56" s="346">
        <f t="shared" si="15"/>
        <v>0.9</v>
      </c>
      <c r="N56" s="346">
        <f t="shared" si="15"/>
        <v>0.9</v>
      </c>
      <c r="O56" s="346">
        <f t="shared" si="15"/>
        <v>0.9</v>
      </c>
      <c r="P56" s="346">
        <f t="shared" si="15"/>
        <v>0.9</v>
      </c>
      <c r="Q56" s="346">
        <f t="shared" si="15"/>
        <v>0.9</v>
      </c>
      <c r="R56" s="346">
        <f t="shared" si="15"/>
        <v>0</v>
      </c>
      <c r="S56" s="346">
        <f t="shared" si="15"/>
        <v>1.4</v>
      </c>
      <c r="T56" s="346">
        <f t="shared" si="15"/>
        <v>0.9</v>
      </c>
      <c r="U56" s="346">
        <f t="shared" si="15"/>
        <v>0.9</v>
      </c>
      <c r="V56" s="346">
        <f t="shared" si="15"/>
        <v>0.9</v>
      </c>
      <c r="W56" s="346">
        <f t="shared" si="15"/>
        <v>0.9</v>
      </c>
      <c r="X56" s="346">
        <f t="shared" si="15"/>
        <v>0.9</v>
      </c>
      <c r="Y56" s="346">
        <f t="shared" si="15"/>
        <v>0</v>
      </c>
      <c r="Z56" s="346">
        <f t="shared" si="15"/>
        <v>1.4</v>
      </c>
      <c r="AA56" s="346">
        <f t="shared" si="15"/>
        <v>0.9</v>
      </c>
      <c r="AB56" s="346">
        <f t="shared" si="15"/>
        <v>0.9</v>
      </c>
      <c r="AC56" s="346">
        <f t="shared" si="15"/>
        <v>0.9</v>
      </c>
      <c r="AD56" s="346">
        <f t="shared" si="15"/>
        <v>0.9</v>
      </c>
      <c r="AE56" s="346">
        <f t="shared" si="15"/>
        <v>0.9</v>
      </c>
      <c r="AF56" s="346">
        <f t="shared" si="15"/>
        <v>0</v>
      </c>
      <c r="AG56" s="346">
        <f t="shared" si="15"/>
        <v>1.4</v>
      </c>
      <c r="AH56" s="346">
        <f t="shared" si="15"/>
        <v>0.9</v>
      </c>
      <c r="AI56" s="346">
        <f t="shared" si="15"/>
        <v>0.9</v>
      </c>
      <c r="AJ56" s="346">
        <f t="shared" si="15"/>
        <v>0.9</v>
      </c>
      <c r="AK56" s="346">
        <f t="shared" si="15"/>
        <v>0.9</v>
      </c>
      <c r="AL56" s="346">
        <f t="shared" si="15"/>
        <v>0.9</v>
      </c>
      <c r="AM56" s="347">
        <f t="shared" si="15"/>
        <v>0</v>
      </c>
      <c r="AN56" s="345">
        <f t="shared" si="15"/>
        <v>1.4</v>
      </c>
      <c r="AO56" s="346">
        <f t="shared" si="15"/>
        <v>0.9</v>
      </c>
      <c r="AP56" s="346">
        <f t="shared" si="15"/>
        <v>0.9</v>
      </c>
      <c r="AQ56" s="346">
        <f t="shared" si="15"/>
        <v>0.9</v>
      </c>
      <c r="AR56" s="346">
        <f t="shared" si="15"/>
        <v>0.9</v>
      </c>
      <c r="AS56" s="346">
        <f t="shared" si="15"/>
        <v>0.9</v>
      </c>
      <c r="AT56" s="348">
        <f t="shared" si="15"/>
        <v>0</v>
      </c>
      <c r="AU56" s="1183">
        <f>IFERROR(ROUNDDOWN(SUM(J56:AT56)/AU51,1),0)</f>
        <v>1.1000000000000001</v>
      </c>
      <c r="AV56" s="1184"/>
      <c r="AW56" s="1184"/>
      <c r="AX56" s="349" t="s">
        <v>1137</v>
      </c>
      <c r="AY56" s="323"/>
      <c r="AZ56" s="914" t="s">
        <v>1137</v>
      </c>
      <c r="BA56" s="1146"/>
      <c r="BB56" s="1146"/>
      <c r="BC56" s="1146"/>
      <c r="BD56" s="1146"/>
      <c r="BE56" s="1146"/>
      <c r="BF56" s="1146"/>
      <c r="BG56" s="1146"/>
      <c r="BH56" s="1146"/>
      <c r="BI56" s="1146"/>
      <c r="BJ56" s="1146"/>
      <c r="BK56" s="1146"/>
      <c r="BL56" s="1146"/>
      <c r="BM56" s="1146"/>
      <c r="BN56" s="1146"/>
      <c r="BO56" s="1146"/>
      <c r="BP56" s="1146"/>
    </row>
    <row r="57" spans="2:68" ht="24.75" thickTop="1" x14ac:dyDescent="0.35">
      <c r="B57" s="1129" t="s">
        <v>996</v>
      </c>
      <c r="C57" s="1130"/>
      <c r="D57" s="1130"/>
      <c r="E57" s="1130"/>
      <c r="F57" s="1127" t="s">
        <v>1034</v>
      </c>
      <c r="G57" s="1127"/>
      <c r="H57" s="1127"/>
      <c r="I57" s="1128"/>
      <c r="J57" s="391">
        <v>1</v>
      </c>
      <c r="K57" s="392"/>
      <c r="L57" s="392">
        <v>1</v>
      </c>
      <c r="M57" s="392">
        <v>1</v>
      </c>
      <c r="N57" s="392">
        <v>1</v>
      </c>
      <c r="O57" s="392">
        <v>1</v>
      </c>
      <c r="P57" s="392">
        <v>1</v>
      </c>
      <c r="Q57" s="392">
        <v>1</v>
      </c>
      <c r="R57" s="392"/>
      <c r="S57" s="392">
        <v>1</v>
      </c>
      <c r="T57" s="392">
        <v>1</v>
      </c>
      <c r="U57" s="392">
        <v>1</v>
      </c>
      <c r="V57" s="392">
        <v>1</v>
      </c>
      <c r="W57" s="392">
        <v>1</v>
      </c>
      <c r="X57" s="392">
        <v>1</v>
      </c>
      <c r="Y57" s="392"/>
      <c r="Z57" s="392">
        <v>1</v>
      </c>
      <c r="AA57" s="392">
        <v>1</v>
      </c>
      <c r="AB57" s="392">
        <v>1</v>
      </c>
      <c r="AC57" s="392">
        <v>1</v>
      </c>
      <c r="AD57" s="392">
        <v>1</v>
      </c>
      <c r="AE57" s="392">
        <v>1</v>
      </c>
      <c r="AF57" s="392"/>
      <c r="AG57" s="392">
        <v>1</v>
      </c>
      <c r="AH57" s="392">
        <v>1</v>
      </c>
      <c r="AI57" s="392">
        <v>1</v>
      </c>
      <c r="AJ57" s="392">
        <v>1</v>
      </c>
      <c r="AK57" s="392">
        <v>1</v>
      </c>
      <c r="AL57" s="392">
        <v>1</v>
      </c>
      <c r="AM57" s="393"/>
      <c r="AN57" s="391">
        <v>1</v>
      </c>
      <c r="AO57" s="392">
        <v>1</v>
      </c>
      <c r="AP57" s="392">
        <v>1</v>
      </c>
      <c r="AQ57" s="392">
        <v>1</v>
      </c>
      <c r="AR57" s="392">
        <v>1</v>
      </c>
      <c r="AS57" s="392">
        <v>1</v>
      </c>
      <c r="AT57" s="394"/>
      <c r="AU57" s="1182" t="s">
        <v>1033</v>
      </c>
      <c r="AV57" s="1139"/>
      <c r="AW57" s="1139"/>
      <c r="AX57" s="1204" t="str">
        <f xml:space="preserve">
IF(OR(AZ14="×",AZ30="×"),"×",
IF(COUNTIF(J60:AT60,"○")=37,"○","×"))</f>
        <v>○</v>
      </c>
      <c r="AY57" s="323"/>
      <c r="AZ57" s="1145" t="str">
        <f>"「２」で入力の医師数("&amp;AS32&amp;"名)の範囲内。休診日（グレーのセル）以外は全て入力（０の場合は０）"</f>
        <v>「２」で入力の医師数(1名)の範囲内。休診日（グレーのセル）以外は全て入力（０の場合は０）</v>
      </c>
      <c r="BA57" s="1146"/>
      <c r="BB57" s="1146"/>
      <c r="BC57" s="1146"/>
      <c r="BD57" s="1146"/>
      <c r="BE57" s="1146"/>
      <c r="BF57" s="1146"/>
      <c r="BG57" s="1146"/>
      <c r="BH57" s="1146"/>
      <c r="BI57" s="1146"/>
      <c r="BJ57" s="1146"/>
      <c r="BK57" s="1146"/>
      <c r="BL57" s="1146"/>
      <c r="BM57" s="1146"/>
      <c r="BN57" s="1146"/>
      <c r="BO57" s="1146"/>
      <c r="BP57" s="1146"/>
    </row>
    <row r="58" spans="2:68" ht="24" x14ac:dyDescent="0.35">
      <c r="B58" s="1131"/>
      <c r="C58" s="1132"/>
      <c r="D58" s="1132"/>
      <c r="E58" s="1132"/>
      <c r="F58" s="1058" t="s">
        <v>1038</v>
      </c>
      <c r="G58" s="1058"/>
      <c r="H58" s="1058"/>
      <c r="I58" s="1059"/>
      <c r="J58" s="350">
        <f t="shared" ref="J58:AT58" si="16">IF(J51="診",MIN(IF(J57="",0,J57),$AS$32)*VLOOKUP(J50,$A$22:$AO$28,39,FALSE),IF(OR(J51="",J51="休"),0))</f>
        <v>5.5</v>
      </c>
      <c r="K58" s="351">
        <f t="shared" si="16"/>
        <v>0</v>
      </c>
      <c r="L58" s="351">
        <f t="shared" si="16"/>
        <v>3.5</v>
      </c>
      <c r="M58" s="351">
        <f t="shared" si="16"/>
        <v>5.5</v>
      </c>
      <c r="N58" s="351">
        <f t="shared" si="16"/>
        <v>5.5</v>
      </c>
      <c r="O58" s="351">
        <f t="shared" si="16"/>
        <v>5.5</v>
      </c>
      <c r="P58" s="351">
        <f t="shared" si="16"/>
        <v>5.5</v>
      </c>
      <c r="Q58" s="351">
        <f t="shared" si="16"/>
        <v>5.5</v>
      </c>
      <c r="R58" s="351">
        <f t="shared" si="16"/>
        <v>0</v>
      </c>
      <c r="S58" s="351">
        <f t="shared" si="16"/>
        <v>3.5</v>
      </c>
      <c r="T58" s="351">
        <f t="shared" si="16"/>
        <v>5.5</v>
      </c>
      <c r="U58" s="351">
        <f t="shared" si="16"/>
        <v>5.5</v>
      </c>
      <c r="V58" s="351">
        <f t="shared" si="16"/>
        <v>5.5</v>
      </c>
      <c r="W58" s="351">
        <f t="shared" si="16"/>
        <v>5.5</v>
      </c>
      <c r="X58" s="351">
        <f t="shared" si="16"/>
        <v>5.5</v>
      </c>
      <c r="Y58" s="351">
        <f t="shared" si="16"/>
        <v>0</v>
      </c>
      <c r="Z58" s="351">
        <f t="shared" si="16"/>
        <v>3.5</v>
      </c>
      <c r="AA58" s="351">
        <f t="shared" si="16"/>
        <v>5.5</v>
      </c>
      <c r="AB58" s="351">
        <f t="shared" si="16"/>
        <v>5.5</v>
      </c>
      <c r="AC58" s="351">
        <f t="shared" si="16"/>
        <v>5.5</v>
      </c>
      <c r="AD58" s="351">
        <f t="shared" si="16"/>
        <v>5.5</v>
      </c>
      <c r="AE58" s="351">
        <f t="shared" si="16"/>
        <v>5.5</v>
      </c>
      <c r="AF58" s="351">
        <f t="shared" si="16"/>
        <v>0</v>
      </c>
      <c r="AG58" s="351">
        <f t="shared" si="16"/>
        <v>3.5</v>
      </c>
      <c r="AH58" s="351">
        <f t="shared" si="16"/>
        <v>5.5</v>
      </c>
      <c r="AI58" s="351">
        <f t="shared" si="16"/>
        <v>5.5</v>
      </c>
      <c r="AJ58" s="351">
        <f t="shared" si="16"/>
        <v>5.5</v>
      </c>
      <c r="AK58" s="351">
        <f t="shared" si="16"/>
        <v>5.5</v>
      </c>
      <c r="AL58" s="351">
        <f t="shared" si="16"/>
        <v>5.5</v>
      </c>
      <c r="AM58" s="352">
        <f t="shared" si="16"/>
        <v>0</v>
      </c>
      <c r="AN58" s="350">
        <f t="shared" si="16"/>
        <v>3.5</v>
      </c>
      <c r="AO58" s="351">
        <f t="shared" si="16"/>
        <v>5.5</v>
      </c>
      <c r="AP58" s="351">
        <f t="shared" si="16"/>
        <v>5.5</v>
      </c>
      <c r="AQ58" s="351">
        <f t="shared" si="16"/>
        <v>5.5</v>
      </c>
      <c r="AR58" s="351">
        <f t="shared" si="16"/>
        <v>5.5</v>
      </c>
      <c r="AS58" s="351">
        <f t="shared" si="16"/>
        <v>5.5</v>
      </c>
      <c r="AT58" s="352">
        <f t="shared" si="16"/>
        <v>0</v>
      </c>
      <c r="AU58" s="1140" t="s">
        <v>1035</v>
      </c>
      <c r="AV58" s="1141"/>
      <c r="AW58" s="1141"/>
      <c r="AX58" s="1205"/>
      <c r="AY58" s="323"/>
      <c r="AZ58" s="914" t="s">
        <v>1137</v>
      </c>
      <c r="BA58" s="1146"/>
      <c r="BB58" s="1146"/>
      <c r="BC58" s="1146"/>
      <c r="BD58" s="1146"/>
      <c r="BE58" s="1146"/>
      <c r="BF58" s="1146"/>
      <c r="BG58" s="1146"/>
      <c r="BH58" s="1146"/>
      <c r="BI58" s="1146"/>
      <c r="BJ58" s="1146"/>
      <c r="BK58" s="1146"/>
      <c r="BL58" s="1146"/>
      <c r="BM58" s="1146"/>
      <c r="BN58" s="1146"/>
      <c r="BO58" s="1146"/>
      <c r="BP58" s="1146"/>
    </row>
    <row r="59" spans="2:68" ht="24.75" thickBot="1" x14ac:dyDescent="0.4">
      <c r="B59" s="1133"/>
      <c r="C59" s="1133"/>
      <c r="D59" s="1133"/>
      <c r="E59" s="1133"/>
      <c r="F59" s="1056" t="s">
        <v>1036</v>
      </c>
      <c r="G59" s="1056"/>
      <c r="H59" s="1056"/>
      <c r="I59" s="1057"/>
      <c r="J59" s="395">
        <v>5.5</v>
      </c>
      <c r="K59" s="396"/>
      <c r="L59" s="396">
        <v>3.5</v>
      </c>
      <c r="M59" s="396">
        <v>2.5</v>
      </c>
      <c r="N59" s="396">
        <v>2.5</v>
      </c>
      <c r="O59" s="396">
        <v>2.5</v>
      </c>
      <c r="P59" s="396">
        <v>2.5</v>
      </c>
      <c r="Q59" s="396">
        <v>2.5</v>
      </c>
      <c r="R59" s="396"/>
      <c r="S59" s="396">
        <v>2.5</v>
      </c>
      <c r="T59" s="396">
        <v>2.5</v>
      </c>
      <c r="U59" s="396">
        <v>2.5</v>
      </c>
      <c r="V59" s="396">
        <v>2.5</v>
      </c>
      <c r="W59" s="396">
        <v>2.5</v>
      </c>
      <c r="X59" s="396">
        <v>2.5</v>
      </c>
      <c r="Y59" s="396"/>
      <c r="Z59" s="396">
        <v>2.5</v>
      </c>
      <c r="AA59" s="396">
        <v>2.5</v>
      </c>
      <c r="AB59" s="396">
        <v>2.5</v>
      </c>
      <c r="AC59" s="396">
        <v>2.5</v>
      </c>
      <c r="AD59" s="396">
        <v>2.5</v>
      </c>
      <c r="AE59" s="396">
        <v>2.5</v>
      </c>
      <c r="AF59" s="396"/>
      <c r="AG59" s="396">
        <v>2.5</v>
      </c>
      <c r="AH59" s="396">
        <v>2.5</v>
      </c>
      <c r="AI59" s="396">
        <v>2.5</v>
      </c>
      <c r="AJ59" s="396">
        <v>2.5</v>
      </c>
      <c r="AK59" s="396">
        <v>2.5</v>
      </c>
      <c r="AL59" s="396">
        <v>2.5</v>
      </c>
      <c r="AM59" s="397"/>
      <c r="AN59" s="395">
        <v>2.5</v>
      </c>
      <c r="AO59" s="396">
        <v>2.5</v>
      </c>
      <c r="AP59" s="396">
        <v>2.5</v>
      </c>
      <c r="AQ59" s="396">
        <v>2.5</v>
      </c>
      <c r="AR59" s="396">
        <v>2.5</v>
      </c>
      <c r="AS59" s="396">
        <v>2.5</v>
      </c>
      <c r="AT59" s="398"/>
      <c r="AU59" s="1136">
        <f>IFERROR(ROUNDDOWN(SUM(J59:AT59)/AU51,1),0)</f>
        <v>2.9</v>
      </c>
      <c r="AV59" s="1137"/>
      <c r="AW59" s="1137"/>
      <c r="AX59" s="1205"/>
      <c r="AY59" s="323"/>
      <c r="AZ59" s="1210" t="s">
        <v>1140</v>
      </c>
      <c r="BA59" s="1211"/>
      <c r="BB59" s="1211"/>
      <c r="BC59" s="1211"/>
      <c r="BD59" s="1211"/>
      <c r="BE59" s="1211"/>
      <c r="BF59" s="1211"/>
      <c r="BG59" s="1211"/>
      <c r="BH59" s="1211"/>
      <c r="BI59" s="1211"/>
      <c r="BJ59" s="1211"/>
      <c r="BK59" s="1211"/>
      <c r="BL59" s="1211"/>
      <c r="BM59" s="1211"/>
      <c r="BN59" s="1211"/>
      <c r="BO59" s="1211"/>
      <c r="BP59" s="1211"/>
    </row>
    <row r="60" spans="2:68" ht="25.5" thickTop="1" thickBot="1" x14ac:dyDescent="0.4">
      <c r="B60" s="1124" t="s">
        <v>1136</v>
      </c>
      <c r="C60" s="1125"/>
      <c r="D60" s="1125"/>
      <c r="E60" s="1125"/>
      <c r="F60" s="1125"/>
      <c r="G60" s="1125"/>
      <c r="H60" s="1125"/>
      <c r="I60" s="1126"/>
      <c r="J60" s="484" t="str">
        <f t="shared" ref="J60:AT60" si="17" xml:space="preserve">
IF(AND(J51="休",COUNTA(J57,J59)&lt;&gt;0),"×",
IF(AND(J51="休",COUNTA(J57,J59)=0),"○",
IF(AND(J51="診",COUNTA(J57,J59)&lt;&gt;2),"×",
IF(AND(J51="診",COUNTA(J57,J59)=2,J57&lt;=$AS$32,J59&lt;=J58),"○",
IF(AND(J51="診",COUNTA(J57,J59)=2,OR(J57&gt;$AS$32,J59&gt;J58)),"×")))))</f>
        <v>○</v>
      </c>
      <c r="K60" s="485" t="str">
        <f t="shared" si="17"/>
        <v>○</v>
      </c>
      <c r="L60" s="485" t="str">
        <f t="shared" si="17"/>
        <v>○</v>
      </c>
      <c r="M60" s="485" t="str">
        <f t="shared" si="17"/>
        <v>○</v>
      </c>
      <c r="N60" s="485" t="str">
        <f t="shared" si="17"/>
        <v>○</v>
      </c>
      <c r="O60" s="485" t="str">
        <f t="shared" si="17"/>
        <v>○</v>
      </c>
      <c r="P60" s="485" t="str">
        <f t="shared" si="17"/>
        <v>○</v>
      </c>
      <c r="Q60" s="485" t="str">
        <f t="shared" si="17"/>
        <v>○</v>
      </c>
      <c r="R60" s="485" t="str">
        <f t="shared" si="17"/>
        <v>○</v>
      </c>
      <c r="S60" s="485" t="str">
        <f t="shared" si="17"/>
        <v>○</v>
      </c>
      <c r="T60" s="485" t="str">
        <f t="shared" si="17"/>
        <v>○</v>
      </c>
      <c r="U60" s="485" t="str">
        <f t="shared" si="17"/>
        <v>○</v>
      </c>
      <c r="V60" s="485" t="str">
        <f t="shared" si="17"/>
        <v>○</v>
      </c>
      <c r="W60" s="485" t="str">
        <f t="shared" si="17"/>
        <v>○</v>
      </c>
      <c r="X60" s="485" t="str">
        <f t="shared" si="17"/>
        <v>○</v>
      </c>
      <c r="Y60" s="485" t="str">
        <f t="shared" si="17"/>
        <v>○</v>
      </c>
      <c r="Z60" s="485" t="str">
        <f t="shared" si="17"/>
        <v>○</v>
      </c>
      <c r="AA60" s="485" t="str">
        <f t="shared" si="17"/>
        <v>○</v>
      </c>
      <c r="AB60" s="485" t="str">
        <f t="shared" si="17"/>
        <v>○</v>
      </c>
      <c r="AC60" s="485" t="str">
        <f t="shared" si="17"/>
        <v>○</v>
      </c>
      <c r="AD60" s="485" t="str">
        <f t="shared" si="17"/>
        <v>○</v>
      </c>
      <c r="AE60" s="485" t="str">
        <f t="shared" si="17"/>
        <v>○</v>
      </c>
      <c r="AF60" s="485" t="str">
        <f t="shared" si="17"/>
        <v>○</v>
      </c>
      <c r="AG60" s="485" t="str">
        <f t="shared" si="17"/>
        <v>○</v>
      </c>
      <c r="AH60" s="485" t="str">
        <f t="shared" si="17"/>
        <v>○</v>
      </c>
      <c r="AI60" s="485" t="str">
        <f t="shared" si="17"/>
        <v>○</v>
      </c>
      <c r="AJ60" s="485" t="str">
        <f t="shared" si="17"/>
        <v>○</v>
      </c>
      <c r="AK60" s="485" t="str">
        <f t="shared" si="17"/>
        <v>○</v>
      </c>
      <c r="AL60" s="485" t="str">
        <f t="shared" si="17"/>
        <v>○</v>
      </c>
      <c r="AM60" s="486" t="str">
        <f t="shared" si="17"/>
        <v>○</v>
      </c>
      <c r="AN60" s="488" t="str">
        <f t="shared" si="17"/>
        <v>○</v>
      </c>
      <c r="AO60" s="485" t="str">
        <f t="shared" si="17"/>
        <v>○</v>
      </c>
      <c r="AP60" s="485" t="str">
        <f t="shared" si="17"/>
        <v>○</v>
      </c>
      <c r="AQ60" s="485" t="str">
        <f t="shared" si="17"/>
        <v>○</v>
      </c>
      <c r="AR60" s="485" t="str">
        <f t="shared" si="17"/>
        <v>○</v>
      </c>
      <c r="AS60" s="485" t="str">
        <f t="shared" si="17"/>
        <v>○</v>
      </c>
      <c r="AT60" s="489" t="str">
        <f t="shared" si="17"/>
        <v>○</v>
      </c>
      <c r="AU60" s="1123" t="s">
        <v>1185</v>
      </c>
      <c r="AV60" s="1121"/>
      <c r="AW60" s="1122"/>
      <c r="AX60" s="1206"/>
      <c r="AY60" s="323"/>
      <c r="AZ60" s="1010" t="str">
        <f>IF(AX57="○","適切に入力されました。",IF(AX57="×","【要修正】全ての判定欄が「○」になっているか確認してください。(グレー以外は全て入力。赤表示欄がないように。)"))</f>
        <v>適切に入力されました。</v>
      </c>
      <c r="BA60" s="1011"/>
      <c r="BB60" s="1011"/>
      <c r="BC60" s="1011"/>
      <c r="BD60" s="1011"/>
      <c r="BE60" s="1011"/>
      <c r="BF60" s="1011"/>
      <c r="BG60" s="1011"/>
      <c r="BH60" s="1011"/>
      <c r="BI60" s="1011"/>
      <c r="BJ60" s="1011"/>
      <c r="BK60" s="1011"/>
      <c r="BL60" s="1011"/>
      <c r="BM60" s="1011"/>
      <c r="BN60" s="1011"/>
      <c r="BO60" s="1011"/>
      <c r="BP60" s="1012"/>
    </row>
    <row r="61" spans="2:68" ht="24.75" thickTop="1" x14ac:dyDescent="0.35">
      <c r="B61" s="1129" t="s">
        <v>997</v>
      </c>
      <c r="C61" s="1130"/>
      <c r="D61" s="1130"/>
      <c r="E61" s="1130"/>
      <c r="F61" s="1127" t="s">
        <v>1034</v>
      </c>
      <c r="G61" s="1127"/>
      <c r="H61" s="1127"/>
      <c r="I61" s="1128"/>
      <c r="J61" s="399">
        <v>1</v>
      </c>
      <c r="K61" s="400"/>
      <c r="L61" s="400">
        <v>1</v>
      </c>
      <c r="M61" s="400">
        <v>1</v>
      </c>
      <c r="N61" s="400">
        <v>1</v>
      </c>
      <c r="O61" s="400">
        <v>1</v>
      </c>
      <c r="P61" s="400">
        <v>1</v>
      </c>
      <c r="Q61" s="400">
        <v>1</v>
      </c>
      <c r="R61" s="400"/>
      <c r="S61" s="400">
        <v>1</v>
      </c>
      <c r="T61" s="400">
        <v>1</v>
      </c>
      <c r="U61" s="400">
        <v>1</v>
      </c>
      <c r="V61" s="400">
        <v>1</v>
      </c>
      <c r="W61" s="400">
        <v>1</v>
      </c>
      <c r="X61" s="400">
        <v>1</v>
      </c>
      <c r="Y61" s="400"/>
      <c r="Z61" s="400">
        <v>1</v>
      </c>
      <c r="AA61" s="400">
        <v>1</v>
      </c>
      <c r="AB61" s="400">
        <v>1</v>
      </c>
      <c r="AC61" s="400">
        <v>1</v>
      </c>
      <c r="AD61" s="400">
        <v>1</v>
      </c>
      <c r="AE61" s="400">
        <v>1</v>
      </c>
      <c r="AF61" s="400"/>
      <c r="AG61" s="400">
        <v>1</v>
      </c>
      <c r="AH61" s="400">
        <v>1</v>
      </c>
      <c r="AI61" s="400">
        <v>1</v>
      </c>
      <c r="AJ61" s="400">
        <v>1</v>
      </c>
      <c r="AK61" s="400">
        <v>1</v>
      </c>
      <c r="AL61" s="400">
        <v>1</v>
      </c>
      <c r="AM61" s="401"/>
      <c r="AN61" s="399">
        <v>1</v>
      </c>
      <c r="AO61" s="400">
        <v>1</v>
      </c>
      <c r="AP61" s="400">
        <v>1</v>
      </c>
      <c r="AQ61" s="400">
        <v>1</v>
      </c>
      <c r="AR61" s="400">
        <v>1</v>
      </c>
      <c r="AS61" s="400">
        <v>1</v>
      </c>
      <c r="AT61" s="402"/>
      <c r="AU61" s="1138" t="s">
        <v>1033</v>
      </c>
      <c r="AV61" s="1139"/>
      <c r="AW61" s="1139"/>
      <c r="AX61" s="1157" t="str">
        <f xml:space="preserve">
IF(OR(AZ14="×",AZ30="×"),"×",IF(COUNTIF(J64:AT64,"○")=37,"○","×"))</f>
        <v>○</v>
      </c>
      <c r="AY61" s="323"/>
      <c r="AZ61" s="1212" t="str">
        <f>"「２」で入力の看護師数("&amp;AS35&amp;"名)の範囲内。休診日（グレーのセル）以外は全て入力（０の場合は０）"</f>
        <v>「２」で入力の看護師数(1名)の範囲内。休診日（グレーのセル）以外は全て入力（０の場合は０）</v>
      </c>
      <c r="BA61" s="1213"/>
      <c r="BB61" s="1213"/>
      <c r="BC61" s="1213"/>
      <c r="BD61" s="1213"/>
      <c r="BE61" s="1213"/>
      <c r="BF61" s="1213"/>
      <c r="BG61" s="1213"/>
      <c r="BH61" s="1213"/>
      <c r="BI61" s="1213"/>
      <c r="BJ61" s="1213"/>
      <c r="BK61" s="1213"/>
      <c r="BL61" s="1213"/>
      <c r="BM61" s="1213"/>
      <c r="BN61" s="1213"/>
      <c r="BO61" s="1213"/>
      <c r="BP61" s="1213"/>
    </row>
    <row r="62" spans="2:68" ht="24" x14ac:dyDescent="0.35">
      <c r="B62" s="1134"/>
      <c r="C62" s="1135"/>
      <c r="D62" s="1135"/>
      <c r="E62" s="1135"/>
      <c r="F62" s="1026" t="s">
        <v>1037</v>
      </c>
      <c r="G62" s="915"/>
      <c r="H62" s="915"/>
      <c r="I62" s="1028"/>
      <c r="J62" s="353">
        <f>IF(J51="診",MIN(IF(J61="",0,J61),$AS$35)*VLOOKUP(J50,$A$22:$AO$28,39,FALSE),IF(OR(J51="",J51="休"),0))</f>
        <v>5.5</v>
      </c>
      <c r="K62" s="354">
        <f t="shared" ref="K62:AT62" si="18">IF(K51="診",MIN(IF(K61="",0,K61),$AS$35)*VLOOKUP(K50,$A$22:$AO$28,39,FALSE),IF(OR(K51="",K51="休"),0))</f>
        <v>0</v>
      </c>
      <c r="L62" s="354">
        <f t="shared" si="18"/>
        <v>3.5</v>
      </c>
      <c r="M62" s="354">
        <f t="shared" si="18"/>
        <v>5.5</v>
      </c>
      <c r="N62" s="354">
        <f t="shared" si="18"/>
        <v>5.5</v>
      </c>
      <c r="O62" s="354">
        <f t="shared" si="18"/>
        <v>5.5</v>
      </c>
      <c r="P62" s="354">
        <f t="shared" si="18"/>
        <v>5.5</v>
      </c>
      <c r="Q62" s="354">
        <f t="shared" si="18"/>
        <v>5.5</v>
      </c>
      <c r="R62" s="354">
        <f t="shared" si="18"/>
        <v>0</v>
      </c>
      <c r="S62" s="354">
        <f t="shared" si="18"/>
        <v>3.5</v>
      </c>
      <c r="T62" s="354">
        <f t="shared" si="18"/>
        <v>5.5</v>
      </c>
      <c r="U62" s="354">
        <f t="shared" si="18"/>
        <v>5.5</v>
      </c>
      <c r="V62" s="354">
        <f t="shared" si="18"/>
        <v>5.5</v>
      </c>
      <c r="W62" s="354">
        <f t="shared" si="18"/>
        <v>5.5</v>
      </c>
      <c r="X62" s="354">
        <f t="shared" si="18"/>
        <v>5.5</v>
      </c>
      <c r="Y62" s="354">
        <f t="shared" si="18"/>
        <v>0</v>
      </c>
      <c r="Z62" s="354">
        <f t="shared" si="18"/>
        <v>3.5</v>
      </c>
      <c r="AA62" s="354">
        <f t="shared" si="18"/>
        <v>5.5</v>
      </c>
      <c r="AB62" s="354">
        <f t="shared" si="18"/>
        <v>5.5</v>
      </c>
      <c r="AC62" s="354">
        <f t="shared" si="18"/>
        <v>5.5</v>
      </c>
      <c r="AD62" s="354">
        <f t="shared" si="18"/>
        <v>5.5</v>
      </c>
      <c r="AE62" s="354">
        <f t="shared" si="18"/>
        <v>5.5</v>
      </c>
      <c r="AF62" s="354">
        <f t="shared" si="18"/>
        <v>0</v>
      </c>
      <c r="AG62" s="354">
        <f t="shared" si="18"/>
        <v>3.5</v>
      </c>
      <c r="AH62" s="354">
        <f t="shared" si="18"/>
        <v>5.5</v>
      </c>
      <c r="AI62" s="354">
        <f t="shared" si="18"/>
        <v>5.5</v>
      </c>
      <c r="AJ62" s="354">
        <f t="shared" si="18"/>
        <v>5.5</v>
      </c>
      <c r="AK62" s="354">
        <f t="shared" si="18"/>
        <v>5.5</v>
      </c>
      <c r="AL62" s="354">
        <f t="shared" si="18"/>
        <v>5.5</v>
      </c>
      <c r="AM62" s="355">
        <f t="shared" si="18"/>
        <v>0</v>
      </c>
      <c r="AN62" s="353">
        <f t="shared" si="18"/>
        <v>3.5</v>
      </c>
      <c r="AO62" s="354">
        <f t="shared" si="18"/>
        <v>5.5</v>
      </c>
      <c r="AP62" s="354">
        <f t="shared" si="18"/>
        <v>5.5</v>
      </c>
      <c r="AQ62" s="354">
        <f t="shared" si="18"/>
        <v>5.5</v>
      </c>
      <c r="AR62" s="354">
        <f t="shared" si="18"/>
        <v>5.5</v>
      </c>
      <c r="AS62" s="354">
        <f t="shared" si="18"/>
        <v>5.5</v>
      </c>
      <c r="AT62" s="356">
        <f t="shared" si="18"/>
        <v>0</v>
      </c>
      <c r="AU62" s="1140" t="s">
        <v>1035</v>
      </c>
      <c r="AV62" s="1141"/>
      <c r="AW62" s="1141"/>
      <c r="AX62" s="1158"/>
      <c r="AY62" s="323"/>
      <c r="AZ62" s="1214" t="s">
        <v>1137</v>
      </c>
      <c r="BA62" s="1211"/>
      <c r="BB62" s="1211"/>
      <c r="BC62" s="1211"/>
      <c r="BD62" s="1211"/>
      <c r="BE62" s="1211"/>
      <c r="BF62" s="1211"/>
      <c r="BG62" s="1211"/>
      <c r="BH62" s="1211"/>
      <c r="BI62" s="1211"/>
      <c r="BJ62" s="1211"/>
      <c r="BK62" s="1211"/>
      <c r="BL62" s="1211"/>
      <c r="BM62" s="1211"/>
      <c r="BN62" s="1211"/>
      <c r="BO62" s="1211"/>
      <c r="BP62" s="1211"/>
    </row>
    <row r="63" spans="2:68" ht="24.75" thickBot="1" x14ac:dyDescent="0.45">
      <c r="B63" s="915"/>
      <c r="C63" s="915"/>
      <c r="D63" s="915"/>
      <c r="E63" s="915"/>
      <c r="F63" s="1026" t="s">
        <v>1036</v>
      </c>
      <c r="G63" s="1026"/>
      <c r="H63" s="1026"/>
      <c r="I63" s="1027"/>
      <c r="J63" s="403">
        <v>5</v>
      </c>
      <c r="K63" s="404"/>
      <c r="L63" s="404">
        <v>2.5</v>
      </c>
      <c r="M63" s="404">
        <v>2.5</v>
      </c>
      <c r="N63" s="404">
        <v>2.5</v>
      </c>
      <c r="O63" s="404">
        <v>2.5</v>
      </c>
      <c r="P63" s="404">
        <v>2.5</v>
      </c>
      <c r="Q63" s="404">
        <v>2.5</v>
      </c>
      <c r="R63" s="404"/>
      <c r="S63" s="404">
        <v>2.5</v>
      </c>
      <c r="T63" s="404">
        <v>2.5</v>
      </c>
      <c r="U63" s="404">
        <v>2.5</v>
      </c>
      <c r="V63" s="404">
        <v>2.5</v>
      </c>
      <c r="W63" s="404">
        <v>2.5</v>
      </c>
      <c r="X63" s="404">
        <v>2.5</v>
      </c>
      <c r="Y63" s="404"/>
      <c r="Z63" s="404">
        <v>2.5</v>
      </c>
      <c r="AA63" s="404">
        <v>2.5</v>
      </c>
      <c r="AB63" s="404">
        <v>2.5</v>
      </c>
      <c r="AC63" s="404">
        <v>2.5</v>
      </c>
      <c r="AD63" s="404">
        <v>2.5</v>
      </c>
      <c r="AE63" s="404">
        <v>2.5</v>
      </c>
      <c r="AF63" s="404"/>
      <c r="AG63" s="404">
        <v>2.5</v>
      </c>
      <c r="AH63" s="404">
        <v>2.5</v>
      </c>
      <c r="AI63" s="404">
        <v>2.5</v>
      </c>
      <c r="AJ63" s="404">
        <v>2.5</v>
      </c>
      <c r="AK63" s="404">
        <v>2.5</v>
      </c>
      <c r="AL63" s="404">
        <v>2.5</v>
      </c>
      <c r="AM63" s="405"/>
      <c r="AN63" s="403">
        <v>2.5</v>
      </c>
      <c r="AO63" s="404">
        <v>2.5</v>
      </c>
      <c r="AP63" s="404">
        <v>2.5</v>
      </c>
      <c r="AQ63" s="404">
        <v>2.5</v>
      </c>
      <c r="AR63" s="404">
        <v>2.5</v>
      </c>
      <c r="AS63" s="404">
        <v>2.5</v>
      </c>
      <c r="AT63" s="406"/>
      <c r="AU63" s="1142">
        <f>IFERROR(ROUNDDOWN(SUM(J63:AT63)/AU51,1),0)</f>
        <v>2.8</v>
      </c>
      <c r="AV63" s="1143"/>
      <c r="AW63" s="1143"/>
      <c r="AX63" s="1158"/>
      <c r="AY63" s="357"/>
      <c r="AZ63" s="1215" t="s">
        <v>1141</v>
      </c>
      <c r="BA63" s="1216"/>
      <c r="BB63" s="1216"/>
      <c r="BC63" s="1216"/>
      <c r="BD63" s="1216"/>
      <c r="BE63" s="1216"/>
      <c r="BF63" s="1216"/>
      <c r="BG63" s="1216"/>
      <c r="BH63" s="1216"/>
      <c r="BI63" s="1216"/>
      <c r="BJ63" s="1216"/>
      <c r="BK63" s="1216"/>
      <c r="BL63" s="1216"/>
      <c r="BM63" s="1216"/>
      <c r="BN63" s="1216"/>
      <c r="BO63" s="1216"/>
      <c r="BP63" s="1216"/>
    </row>
    <row r="64" spans="2:68" ht="25.5" thickTop="1" thickBot="1" x14ac:dyDescent="0.45">
      <c r="B64" s="1124" t="s">
        <v>1136</v>
      </c>
      <c r="C64" s="1125"/>
      <c r="D64" s="1125"/>
      <c r="E64" s="1125"/>
      <c r="F64" s="1125"/>
      <c r="G64" s="1125"/>
      <c r="H64" s="1125"/>
      <c r="I64" s="1126"/>
      <c r="J64" s="484" t="str">
        <f t="shared" ref="J64:AT64" si="19" xml:space="preserve">
IF(AND(J51="休",COUNTA(J61,J63)&lt;&gt;0),"×",
IF(AND(J51="休",COUNTA(J61,J63)=0),"○",
IF(AND(J51="診",COUNTA(J61,J63)&lt;&gt;2),"×",
IF(AND(J51="診",COUNTA(J61,J63)=2,J61&lt;=$AS$35,J63&lt;=J62),"○",
IF(AND(J51="診",COUNTA(J61,J63)=2,OR(J61&gt;$AS$35,J63&gt;J62)),"×")))))</f>
        <v>○</v>
      </c>
      <c r="K64" s="485" t="str">
        <f t="shared" si="19"/>
        <v>○</v>
      </c>
      <c r="L64" s="485" t="str">
        <f t="shared" si="19"/>
        <v>○</v>
      </c>
      <c r="M64" s="485" t="str">
        <f t="shared" si="19"/>
        <v>○</v>
      </c>
      <c r="N64" s="485" t="str">
        <f t="shared" si="19"/>
        <v>○</v>
      </c>
      <c r="O64" s="485" t="str">
        <f t="shared" si="19"/>
        <v>○</v>
      </c>
      <c r="P64" s="485" t="str">
        <f t="shared" si="19"/>
        <v>○</v>
      </c>
      <c r="Q64" s="485" t="str">
        <f t="shared" si="19"/>
        <v>○</v>
      </c>
      <c r="R64" s="485" t="str">
        <f t="shared" si="19"/>
        <v>○</v>
      </c>
      <c r="S64" s="485" t="str">
        <f t="shared" si="19"/>
        <v>○</v>
      </c>
      <c r="T64" s="485" t="str">
        <f t="shared" si="19"/>
        <v>○</v>
      </c>
      <c r="U64" s="485" t="str">
        <f t="shared" si="19"/>
        <v>○</v>
      </c>
      <c r="V64" s="485" t="str">
        <f t="shared" si="19"/>
        <v>○</v>
      </c>
      <c r="W64" s="485" t="str">
        <f t="shared" si="19"/>
        <v>○</v>
      </c>
      <c r="X64" s="485" t="str">
        <f t="shared" si="19"/>
        <v>○</v>
      </c>
      <c r="Y64" s="485" t="str">
        <f t="shared" si="19"/>
        <v>○</v>
      </c>
      <c r="Z64" s="485" t="str">
        <f t="shared" si="19"/>
        <v>○</v>
      </c>
      <c r="AA64" s="485" t="str">
        <f t="shared" si="19"/>
        <v>○</v>
      </c>
      <c r="AB64" s="485" t="str">
        <f t="shared" si="19"/>
        <v>○</v>
      </c>
      <c r="AC64" s="485" t="str">
        <f t="shared" si="19"/>
        <v>○</v>
      </c>
      <c r="AD64" s="485" t="str">
        <f t="shared" si="19"/>
        <v>○</v>
      </c>
      <c r="AE64" s="485" t="str">
        <f t="shared" si="19"/>
        <v>○</v>
      </c>
      <c r="AF64" s="485" t="str">
        <f t="shared" si="19"/>
        <v>○</v>
      </c>
      <c r="AG64" s="485" t="str">
        <f t="shared" si="19"/>
        <v>○</v>
      </c>
      <c r="AH64" s="485" t="str">
        <f t="shared" si="19"/>
        <v>○</v>
      </c>
      <c r="AI64" s="485" t="str">
        <f t="shared" si="19"/>
        <v>○</v>
      </c>
      <c r="AJ64" s="485" t="str">
        <f t="shared" si="19"/>
        <v>○</v>
      </c>
      <c r="AK64" s="485" t="str">
        <f t="shared" si="19"/>
        <v>○</v>
      </c>
      <c r="AL64" s="485" t="str">
        <f t="shared" si="19"/>
        <v>○</v>
      </c>
      <c r="AM64" s="486" t="str">
        <f t="shared" si="19"/>
        <v>○</v>
      </c>
      <c r="AN64" s="484" t="str">
        <f t="shared" si="19"/>
        <v>○</v>
      </c>
      <c r="AO64" s="485" t="str">
        <f t="shared" si="19"/>
        <v>○</v>
      </c>
      <c r="AP64" s="485" t="str">
        <f t="shared" si="19"/>
        <v>○</v>
      </c>
      <c r="AQ64" s="485" t="str">
        <f t="shared" si="19"/>
        <v>○</v>
      </c>
      <c r="AR64" s="485" t="str">
        <f t="shared" si="19"/>
        <v>○</v>
      </c>
      <c r="AS64" s="485" t="str">
        <f t="shared" si="19"/>
        <v>○</v>
      </c>
      <c r="AT64" s="487" t="str">
        <f t="shared" si="19"/>
        <v>○</v>
      </c>
      <c r="AU64" s="1123" t="s">
        <v>1185</v>
      </c>
      <c r="AV64" s="1121"/>
      <c r="AW64" s="1122"/>
      <c r="AX64" s="1159"/>
      <c r="AY64" s="357"/>
      <c r="AZ64" s="1010" t="str">
        <f>IF(AX61="○","適切に入力されました。",IF(AX61="×","【要修正】全ての判定欄が「○」になっているか確認してください。(グレー以外は全て入力。赤表示欄がないように。)"))</f>
        <v>適切に入力されました。</v>
      </c>
      <c r="BA64" s="1011"/>
      <c r="BB64" s="1011"/>
      <c r="BC64" s="1011"/>
      <c r="BD64" s="1011"/>
      <c r="BE64" s="1011"/>
      <c r="BF64" s="1011"/>
      <c r="BG64" s="1011"/>
      <c r="BH64" s="1011"/>
      <c r="BI64" s="1011"/>
      <c r="BJ64" s="1011"/>
      <c r="BK64" s="1011"/>
      <c r="BL64" s="1011"/>
      <c r="BM64" s="1011"/>
      <c r="BN64" s="1011"/>
      <c r="BO64" s="1011"/>
      <c r="BP64" s="1012"/>
    </row>
    <row r="65" spans="1:79" ht="18.75" thickTop="1" x14ac:dyDescent="0.35">
      <c r="A65" s="289"/>
      <c r="B65" s="289"/>
      <c r="C65" s="289"/>
      <c r="D65" s="289"/>
      <c r="E65" s="289"/>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289"/>
      <c r="AF65" s="289"/>
      <c r="AG65" s="289"/>
      <c r="AH65" s="289"/>
      <c r="AI65" s="289"/>
      <c r="AJ65" s="289"/>
      <c r="AK65" s="289"/>
      <c r="AL65" s="289"/>
      <c r="AM65" s="289"/>
      <c r="AN65" s="289"/>
      <c r="AO65" s="289"/>
      <c r="AP65" s="289"/>
      <c r="AQ65" s="289"/>
      <c r="AR65" s="289"/>
      <c r="AS65" s="289"/>
      <c r="AT65" s="289"/>
      <c r="AU65" s="289"/>
      <c r="AV65" s="289"/>
      <c r="AW65" s="289"/>
      <c r="AX65" s="289"/>
      <c r="AY65" s="289"/>
      <c r="AZ65" s="358"/>
      <c r="BA65" s="997"/>
      <c r="BB65" s="997"/>
      <c r="BC65" s="997"/>
      <c r="BD65" s="359"/>
      <c r="BE65" s="360"/>
      <c r="BF65" s="361"/>
      <c r="BG65" s="360"/>
      <c r="BH65" s="362"/>
      <c r="BI65" s="362"/>
      <c r="BJ65" s="363"/>
      <c r="BK65" s="362"/>
      <c r="BL65" s="362"/>
      <c r="BM65" s="360"/>
      <c r="BN65" s="364"/>
    </row>
    <row r="66" spans="1:79" s="324" customFormat="1" ht="45" customHeight="1" x14ac:dyDescent="0.4">
      <c r="B66" s="948" t="str">
        <f>"４．患者１名の診療あたり対応人数及び品目毎の平均着脱使用枚数　【総合判定】"&amp;AZ66&amp;"（"&amp;BG66&amp;"）"</f>
        <v>４．患者１名の診療あたり対応人数及び品目毎の平均着脱使用枚数　【総合判定】×（【要修正】防護具明細が入力不十分です。）</v>
      </c>
      <c r="C66" s="947"/>
      <c r="D66" s="947"/>
      <c r="E66" s="947"/>
      <c r="F66" s="947"/>
      <c r="G66" s="947"/>
      <c r="H66" s="947"/>
      <c r="I66" s="947"/>
      <c r="J66" s="947"/>
      <c r="K66" s="947"/>
      <c r="L66" s="947"/>
      <c r="M66" s="947"/>
      <c r="N66" s="947"/>
      <c r="O66" s="947"/>
      <c r="P66" s="947"/>
      <c r="Q66" s="947"/>
      <c r="R66" s="947"/>
      <c r="S66" s="947"/>
      <c r="T66" s="947"/>
      <c r="U66" s="947"/>
      <c r="V66" s="947"/>
      <c r="W66" s="947"/>
      <c r="X66" s="947"/>
      <c r="Y66" s="947"/>
      <c r="Z66" s="947"/>
      <c r="AA66" s="947"/>
      <c r="AB66" s="947"/>
      <c r="AC66" s="947"/>
      <c r="AD66" s="947"/>
      <c r="AE66" s="947"/>
      <c r="AF66" s="947"/>
      <c r="AG66" s="947"/>
      <c r="AH66" s="947"/>
      <c r="AI66" s="947"/>
      <c r="AJ66" s="947"/>
      <c r="AK66" s="947"/>
      <c r="AL66" s="947"/>
      <c r="AM66" s="947"/>
      <c r="AN66" s="947"/>
      <c r="AO66" s="947"/>
      <c r="AP66" s="947"/>
      <c r="AQ66" s="947"/>
      <c r="AR66" s="947"/>
      <c r="AS66" s="947"/>
      <c r="AT66" s="947"/>
      <c r="AU66" s="947"/>
      <c r="AV66" s="947"/>
      <c r="AW66" s="947"/>
      <c r="AX66" s="947"/>
      <c r="AY66" s="947"/>
      <c r="AZ66" s="325" t="str">
        <f xml:space="preserve">
IF(AND(防護具!AV176="×",SUM(COUNTIF(T76,"○"),COUNTIF(AD83:AE121,"○"))=0),"×",
IF(AND(防護具!AV176="×",SUM(COUNTIF(T76,"○"),COUNTIF(AD83:AE121,"○"))&gt;=1,SUM(COUNTIF(T76,"○"),COUNTIF(AD83:AE121,"○"))&lt;14),"×",
IF(AND(防護具!AV176="×",SUM(COUNTIF(T76,"○"),COUNTIF(AD83:AE121,"○"))=14),"×",
IF(AND(防護具!AV176="○",SUM(COUNTIF(T76,"○"),COUNTIF(AD83:AE121,"○"))=0),"○",
IF(AND(防護具!AV176="○",SUM(COUNTIF(T76,"○"),COUNTIF(AD83:AE121,"○"))&gt;=1,SUM(COUNTIF(T76,"○"),COUNTIF(AD83:AE121,"○"))&lt;14),"×",
IF(AND(防護具!AV176="○",SUM(COUNTIF(T76,"○"),COUNTIF(AD83:AE121,"○"))=14),"×",
IF(AND(防護具!AV176="◎",SUM(COUNTIF(T76,"○"),COUNTIF(AD83:AE121,"○"))=0),"×",
IF(AND(防護具!AV176="◎",SUM(COUNTIF(T76,"○"),COUNTIF(AD83:AE121,"○"))&gt;=1,SUM(COUNTIF(T76,"○"),COUNTIF(AD83:AE121,"○"))&lt;14),"×",
IF(AND(防護具!AV176="◎",SUM(COUNTIF(T76,"○"),COUNTIF(AD83:AE121,"○"))=14),"○")))))))))</f>
        <v>×</v>
      </c>
      <c r="BA66" s="998"/>
      <c r="BB66" s="998"/>
      <c r="BC66" s="998"/>
      <c r="BD66" s="365"/>
      <c r="BE66" s="366"/>
      <c r="BF66" s="367"/>
      <c r="BG66" s="366" t="str">
        <f xml:space="preserve">
IF(AND(防護具!AV176="×",SUM(COUNTIF(T76,"○"),COUNTIF(AD83:AE121,"○"))=0),"【要修正】防護具明細及び基礎情報「４」が入力不十分です。",
IF(AND(防護具!AV176="×",SUM(COUNTIF(T76,"○"),COUNTIF(AD83:AE121,"○"))&gt;=1,SUM(COUNTIF(T76,"○"),COUNTIF(AD83:AE121,"○"))&lt;14),"【要修正】防護具明細及び基礎情報「４」が入力不十分です。",
IF(AND(防護具!AV176="×",SUM(COUNTIF(T76,"○"),COUNTIF(AD83:AE121,"○"))=14),"【要修正】防護具明細が入力不十分です。",
IF(AND(防護具!AV176="○",SUM(COUNTIF(T76,"○"),COUNTIF(AD83:AE121,"○"))=0),"個人防護具を申請しない場合は入力不要です。",
IF(AND(防護具!AV176="○",SUM(COUNTIF(T76,"○"),COUNTIF(AD83:AE121,"○"))&gt;=1,SUM(COUNTIF(T76,"○"),COUNTIF(AD83:AE121,"○"))&lt;14),"【要修正】防護具明細及び基礎情報「４」が入力不十分です。",
IF(AND(防護具!AV176="○",SUM(COUNTIF(T76,"○"),COUNTIF(AD83:AE121,"○"))=14),"【要修正】防護具明細が未入力です。",
IF(AND(防護具!AV176="◎",SUM(COUNTIF(T76,"○"),COUNTIF(AD83:AE121,"○"))=0),"【要修正】基礎情報「４」が未入力です。",
IF(AND(防護具!AV176="◎",SUM(COUNTIF(T76,"○"),COUNTIF(AD83:AE121,"○"))&gt;=1,SUM(COUNTIF(T76,"○"),COUNTIF(AD83:AE121,"○"))&lt;14),"【要修正】基礎情報「４」が入力不十分です。",
IF(AND(防護具!AV176="◎",SUM(COUNTIF(T76,"○"),COUNTIF(AD83:AE121,"○"))=14),"適切に入力がされました。")))))))))</f>
        <v>【要修正】防護具明細が入力不十分です。</v>
      </c>
      <c r="BH66" s="368"/>
      <c r="BI66" s="368"/>
      <c r="BJ66" s="369"/>
      <c r="BK66" s="368"/>
      <c r="BL66" s="368"/>
      <c r="BM66" s="366"/>
      <c r="BN66" s="370"/>
    </row>
    <row r="67" spans="1:79" ht="24" x14ac:dyDescent="0.5">
      <c r="A67" s="289"/>
      <c r="B67" s="944" t="s">
        <v>1212</v>
      </c>
      <c r="C67" s="943"/>
      <c r="D67" s="943"/>
      <c r="E67" s="943"/>
      <c r="F67" s="943"/>
      <c r="G67" s="943"/>
      <c r="H67" s="943"/>
      <c r="I67" s="943"/>
      <c r="J67" s="943"/>
      <c r="K67" s="943"/>
      <c r="L67" s="943"/>
      <c r="M67" s="943"/>
      <c r="N67" s="943"/>
      <c r="O67" s="943"/>
      <c r="P67" s="943"/>
      <c r="Q67" s="943"/>
      <c r="R67" s="943"/>
      <c r="S67" s="943"/>
      <c r="T67" s="943"/>
      <c r="U67" s="943"/>
      <c r="V67" s="943"/>
      <c r="W67" s="943"/>
      <c r="X67" s="943"/>
      <c r="Y67" s="943"/>
      <c r="Z67" s="943"/>
      <c r="AA67" s="943"/>
      <c r="AB67" s="943"/>
      <c r="AC67" s="943"/>
      <c r="AD67" s="943"/>
      <c r="AE67" s="943"/>
      <c r="AF67" s="943"/>
      <c r="AG67" s="943"/>
      <c r="AH67" s="943"/>
      <c r="AI67" s="943"/>
      <c r="AJ67" s="943"/>
      <c r="AK67" s="943"/>
      <c r="AL67" s="943"/>
      <c r="AM67" s="943"/>
      <c r="AN67" s="943"/>
      <c r="AO67" s="943"/>
      <c r="AP67" s="943"/>
      <c r="AQ67" s="943"/>
      <c r="AR67" s="943"/>
      <c r="AS67" s="943"/>
      <c r="AT67" s="943"/>
      <c r="AU67" s="943"/>
      <c r="AV67" s="943"/>
      <c r="AW67" s="943"/>
      <c r="AX67" s="943"/>
      <c r="AY67" s="289"/>
      <c r="AZ67" s="358"/>
      <c r="BA67" s="371"/>
      <c r="BB67" s="371"/>
      <c r="BC67" s="371"/>
      <c r="BD67" s="359"/>
      <c r="BE67" s="360"/>
      <c r="BF67" s="361"/>
      <c r="BG67" s="360"/>
      <c r="BH67" s="362"/>
      <c r="BI67" s="362"/>
      <c r="BJ67" s="363"/>
      <c r="BK67" s="362"/>
      <c r="BL67" s="362"/>
      <c r="BM67" s="360"/>
      <c r="BN67" s="364"/>
    </row>
    <row r="68" spans="1:79" ht="48" customHeight="1" thickBot="1" x14ac:dyDescent="0.55000000000000004">
      <c r="A68" s="289"/>
      <c r="B68" s="939" t="s">
        <v>1135</v>
      </c>
      <c r="C68" s="940"/>
      <c r="D68" s="940"/>
      <c r="E68" s="940"/>
      <c r="F68" s="940"/>
      <c r="G68" s="940"/>
      <c r="H68" s="940"/>
      <c r="I68" s="940"/>
      <c r="J68" s="940"/>
      <c r="K68" s="940"/>
      <c r="L68" s="940"/>
      <c r="M68" s="940"/>
      <c r="N68" s="940"/>
      <c r="O68" s="940"/>
      <c r="P68" s="940"/>
      <c r="Q68" s="940"/>
      <c r="R68" s="940"/>
      <c r="S68" s="940"/>
      <c r="T68" s="940"/>
      <c r="U68" s="940"/>
      <c r="V68" s="940"/>
      <c r="W68" s="940"/>
      <c r="X68" s="940"/>
      <c r="Y68" s="940"/>
      <c r="Z68" s="940"/>
      <c r="AA68" s="940"/>
      <c r="AB68" s="940"/>
      <c r="AC68" s="940"/>
      <c r="AD68" s="940"/>
      <c r="AE68" s="940"/>
      <c r="AF68" s="940"/>
      <c r="AG68" s="940"/>
      <c r="AH68" s="940"/>
      <c r="AI68" s="940"/>
      <c r="AJ68" s="940"/>
      <c r="AK68" s="940"/>
      <c r="AL68" s="940"/>
      <c r="AM68" s="940"/>
      <c r="AN68" s="940"/>
      <c r="AO68" s="940"/>
      <c r="AP68" s="940"/>
      <c r="AQ68" s="940"/>
      <c r="AR68" s="940"/>
      <c r="AS68" s="940"/>
      <c r="AT68" s="940"/>
      <c r="AU68" s="940"/>
      <c r="AV68" s="940"/>
      <c r="AW68" s="940"/>
      <c r="AX68" s="940"/>
      <c r="AY68" s="289"/>
      <c r="AZ68" s="358"/>
      <c r="BA68" s="371"/>
      <c r="BB68" s="371"/>
      <c r="BC68" s="371"/>
      <c r="BD68" s="359"/>
      <c r="BE68" s="360"/>
      <c r="BF68" s="361"/>
      <c r="BG68" s="360"/>
      <c r="BH68" s="362"/>
      <c r="BI68" s="362"/>
      <c r="BJ68" s="363"/>
      <c r="BK68" s="362"/>
      <c r="BL68" s="362"/>
      <c r="BM68" s="360"/>
      <c r="BN68" s="364"/>
    </row>
    <row r="69" spans="1:79" ht="15" customHeight="1" thickBot="1" x14ac:dyDescent="0.4">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CA69" s="321"/>
    </row>
    <row r="70" spans="1:79" ht="24" customHeight="1" thickTop="1" x14ac:dyDescent="0.35">
      <c r="B70" s="1029" t="s">
        <v>1186</v>
      </c>
      <c r="C70" s="1030"/>
      <c r="D70" s="1030"/>
      <c r="E70" s="1030"/>
      <c r="F70" s="1030"/>
      <c r="G70" s="1030"/>
      <c r="H70" s="1030"/>
      <c r="I70" s="1030"/>
      <c r="J70" s="1030"/>
      <c r="K70" s="1030"/>
      <c r="L70" s="1030"/>
      <c r="M70" s="1030"/>
      <c r="N70" s="1030"/>
      <c r="O70" s="1030"/>
      <c r="P70" s="1030"/>
      <c r="Q70" s="1030"/>
      <c r="R70" s="1030"/>
      <c r="S70" s="1030"/>
      <c r="T70" s="1030"/>
      <c r="U70" s="1030"/>
      <c r="V70" s="1030"/>
      <c r="W70" s="1030"/>
      <c r="X70" s="1030"/>
      <c r="Y70" s="1030"/>
      <c r="Z70" s="1030"/>
      <c r="AA70" s="1030"/>
      <c r="AB70" s="1030"/>
      <c r="AC70" s="1030"/>
      <c r="AD70" s="1030"/>
      <c r="AE70" s="1030"/>
      <c r="AF70" s="1030"/>
      <c r="AG70" s="1030"/>
      <c r="AH70" s="1030"/>
      <c r="AI70" s="1030"/>
      <c r="AJ70" s="1030"/>
      <c r="AK70" s="1030"/>
      <c r="AL70" s="1030"/>
      <c r="AM70" s="1030"/>
      <c r="AN70" s="1030"/>
      <c r="AO70" s="1030"/>
      <c r="AP70" s="1030"/>
      <c r="AQ70" s="1030"/>
      <c r="AR70" s="1030"/>
      <c r="AS70" s="1030"/>
      <c r="AT70" s="1030"/>
      <c r="AU70" s="1030"/>
      <c r="AV70" s="1030"/>
      <c r="AW70" s="1031"/>
      <c r="AX70" s="1032"/>
      <c r="AY70" s="287"/>
      <c r="AZ70" s="287"/>
      <c r="BD70" s="287"/>
      <c r="BE70" s="287"/>
      <c r="BG70" s="287"/>
    </row>
    <row r="71" spans="1:79" ht="24" customHeight="1" x14ac:dyDescent="0.35">
      <c r="B71" s="1033"/>
      <c r="C71" s="1034"/>
      <c r="D71" s="1034"/>
      <c r="E71" s="1034"/>
      <c r="F71" s="1034"/>
      <c r="G71" s="1034"/>
      <c r="H71" s="1034"/>
      <c r="I71" s="1034"/>
      <c r="J71" s="1034"/>
      <c r="K71" s="1034"/>
      <c r="L71" s="1034"/>
      <c r="M71" s="1034"/>
      <c r="N71" s="1034"/>
      <c r="O71" s="1034"/>
      <c r="P71" s="1034"/>
      <c r="Q71" s="1034"/>
      <c r="R71" s="1034"/>
      <c r="S71" s="1034"/>
      <c r="T71" s="1034"/>
      <c r="U71" s="1034"/>
      <c r="V71" s="1034"/>
      <c r="W71" s="1034"/>
      <c r="X71" s="1034"/>
      <c r="Y71" s="1034"/>
      <c r="Z71" s="1034"/>
      <c r="AA71" s="1034"/>
      <c r="AB71" s="1034"/>
      <c r="AC71" s="1034"/>
      <c r="AD71" s="1034"/>
      <c r="AE71" s="1034"/>
      <c r="AF71" s="1034"/>
      <c r="AG71" s="1034"/>
      <c r="AH71" s="1034"/>
      <c r="AI71" s="1034"/>
      <c r="AJ71" s="1034"/>
      <c r="AK71" s="1034"/>
      <c r="AL71" s="1034"/>
      <c r="AM71" s="1034"/>
      <c r="AN71" s="1034"/>
      <c r="AO71" s="1034"/>
      <c r="AP71" s="1034"/>
      <c r="AQ71" s="1034"/>
      <c r="AR71" s="1034"/>
      <c r="AS71" s="1034"/>
      <c r="AT71" s="1034"/>
      <c r="AU71" s="1034"/>
      <c r="AV71" s="1034"/>
      <c r="AW71" s="1035"/>
      <c r="AX71" s="1036"/>
      <c r="AY71" s="287"/>
      <c r="AZ71" s="287"/>
      <c r="BD71" s="287"/>
      <c r="BE71" s="287"/>
      <c r="BG71" s="287"/>
    </row>
    <row r="72" spans="1:79" ht="24" customHeight="1" x14ac:dyDescent="0.35">
      <c r="A72" s="289"/>
      <c r="B72" s="1033"/>
      <c r="C72" s="1034"/>
      <c r="D72" s="1034"/>
      <c r="E72" s="1034"/>
      <c r="F72" s="1034"/>
      <c r="G72" s="1034"/>
      <c r="H72" s="1034"/>
      <c r="I72" s="1034"/>
      <c r="J72" s="1034"/>
      <c r="K72" s="1034"/>
      <c r="L72" s="1034"/>
      <c r="M72" s="1034"/>
      <c r="N72" s="1034"/>
      <c r="O72" s="1034"/>
      <c r="P72" s="1034"/>
      <c r="Q72" s="1034"/>
      <c r="R72" s="1034"/>
      <c r="S72" s="1034"/>
      <c r="T72" s="1034"/>
      <c r="U72" s="1034"/>
      <c r="V72" s="1034"/>
      <c r="W72" s="1034"/>
      <c r="X72" s="1034"/>
      <c r="Y72" s="1034"/>
      <c r="Z72" s="1034"/>
      <c r="AA72" s="1034"/>
      <c r="AB72" s="1034"/>
      <c r="AC72" s="1034"/>
      <c r="AD72" s="1034"/>
      <c r="AE72" s="1034"/>
      <c r="AF72" s="1034"/>
      <c r="AG72" s="1034"/>
      <c r="AH72" s="1034"/>
      <c r="AI72" s="1034"/>
      <c r="AJ72" s="1034"/>
      <c r="AK72" s="1034"/>
      <c r="AL72" s="1034"/>
      <c r="AM72" s="1034"/>
      <c r="AN72" s="1034"/>
      <c r="AO72" s="1034"/>
      <c r="AP72" s="1034"/>
      <c r="AQ72" s="1034"/>
      <c r="AR72" s="1034"/>
      <c r="AS72" s="1034"/>
      <c r="AT72" s="1034"/>
      <c r="AU72" s="1034"/>
      <c r="AV72" s="1034"/>
      <c r="AW72" s="1035"/>
      <c r="AX72" s="1036"/>
      <c r="AY72" s="289"/>
      <c r="AZ72" s="358"/>
      <c r="BA72" s="997"/>
      <c r="BB72" s="997"/>
      <c r="BC72" s="997"/>
      <c r="BD72" s="359"/>
      <c r="BE72" s="360"/>
      <c r="BF72" s="361"/>
      <c r="BG72" s="360"/>
      <c r="BH72" s="362"/>
      <c r="BI72" s="362"/>
      <c r="BJ72" s="363"/>
      <c r="BK72" s="362"/>
      <c r="BL72" s="362"/>
      <c r="BM72" s="360"/>
      <c r="BN72" s="364"/>
      <c r="CA72" s="321"/>
    </row>
    <row r="73" spans="1:79" ht="24" customHeight="1" thickBot="1" x14ac:dyDescent="0.4">
      <c r="A73" s="289"/>
      <c r="B73" s="1037"/>
      <c r="C73" s="1038"/>
      <c r="D73" s="1038"/>
      <c r="E73" s="1038"/>
      <c r="F73" s="1038"/>
      <c r="G73" s="1038"/>
      <c r="H73" s="1038"/>
      <c r="I73" s="1038"/>
      <c r="J73" s="1038"/>
      <c r="K73" s="1038"/>
      <c r="L73" s="1038"/>
      <c r="M73" s="1038"/>
      <c r="N73" s="1038"/>
      <c r="O73" s="1038"/>
      <c r="P73" s="1038"/>
      <c r="Q73" s="1038"/>
      <c r="R73" s="1038"/>
      <c r="S73" s="1038"/>
      <c r="T73" s="1038"/>
      <c r="U73" s="1038"/>
      <c r="V73" s="1038"/>
      <c r="W73" s="1038"/>
      <c r="X73" s="1038"/>
      <c r="Y73" s="1038"/>
      <c r="Z73" s="1038"/>
      <c r="AA73" s="1038"/>
      <c r="AB73" s="1038"/>
      <c r="AC73" s="1038"/>
      <c r="AD73" s="1038"/>
      <c r="AE73" s="1038"/>
      <c r="AF73" s="1038"/>
      <c r="AG73" s="1038"/>
      <c r="AH73" s="1038"/>
      <c r="AI73" s="1038"/>
      <c r="AJ73" s="1038"/>
      <c r="AK73" s="1038"/>
      <c r="AL73" s="1038"/>
      <c r="AM73" s="1038"/>
      <c r="AN73" s="1038"/>
      <c r="AO73" s="1038"/>
      <c r="AP73" s="1038"/>
      <c r="AQ73" s="1038"/>
      <c r="AR73" s="1038"/>
      <c r="AS73" s="1038"/>
      <c r="AT73" s="1038"/>
      <c r="AU73" s="1038"/>
      <c r="AV73" s="1038"/>
      <c r="AW73" s="1039"/>
      <c r="AX73" s="1040"/>
      <c r="AY73" s="289"/>
      <c r="AZ73" s="358"/>
      <c r="BA73" s="997"/>
      <c r="BB73" s="997"/>
      <c r="BC73" s="997"/>
      <c r="BD73" s="359"/>
      <c r="BE73" s="360"/>
      <c r="BF73" s="361"/>
      <c r="BG73" s="360"/>
      <c r="BH73" s="362"/>
      <c r="BI73" s="362"/>
      <c r="BJ73" s="363"/>
      <c r="BK73" s="362"/>
      <c r="BL73" s="362"/>
      <c r="BM73" s="360"/>
      <c r="BN73" s="364"/>
      <c r="CA73" s="321"/>
    </row>
    <row r="74" spans="1:79" ht="15" customHeight="1" thickTop="1" thickBot="1" x14ac:dyDescent="0.4">
      <c r="A74" s="289"/>
      <c r="B74" s="287"/>
      <c r="C74" s="287"/>
      <c r="D74" s="287"/>
      <c r="E74" s="287"/>
      <c r="F74" s="287"/>
      <c r="G74" s="287"/>
      <c r="H74" s="287"/>
      <c r="I74" s="287"/>
      <c r="J74" s="287"/>
      <c r="K74" s="287"/>
      <c r="L74" s="287"/>
      <c r="M74" s="287"/>
      <c r="N74" s="287"/>
      <c r="O74" s="287"/>
      <c r="P74" s="287"/>
      <c r="Q74" s="287"/>
      <c r="R74" s="287"/>
      <c r="S74" s="287"/>
      <c r="T74" s="287"/>
      <c r="U74" s="287"/>
      <c r="V74" s="287"/>
      <c r="W74" s="287"/>
      <c r="X74" s="287"/>
      <c r="Y74" s="287"/>
      <c r="Z74" s="287"/>
      <c r="AA74" s="287"/>
      <c r="AB74" s="287"/>
      <c r="AC74" s="287"/>
      <c r="AD74" s="287"/>
      <c r="AE74" s="287"/>
      <c r="AF74" s="287"/>
      <c r="AG74" s="287"/>
      <c r="AH74" s="287"/>
      <c r="AI74" s="287"/>
      <c r="AJ74" s="287"/>
      <c r="AK74" s="287"/>
      <c r="AL74" s="287"/>
      <c r="AM74" s="287"/>
      <c r="AN74" s="287"/>
      <c r="AO74" s="287"/>
      <c r="AP74" s="289"/>
      <c r="AQ74" s="289"/>
      <c r="AR74" s="289"/>
      <c r="AS74" s="289"/>
      <c r="AT74" s="289"/>
      <c r="AU74" s="289"/>
      <c r="AV74" s="289"/>
      <c r="AW74" s="289"/>
      <c r="AX74" s="289"/>
      <c r="AY74" s="289"/>
      <c r="AZ74" s="358"/>
      <c r="BA74" s="997"/>
      <c r="BB74" s="997"/>
      <c r="BC74" s="997"/>
      <c r="BD74" s="359"/>
      <c r="BE74" s="360"/>
      <c r="BF74" s="361"/>
      <c r="BG74" s="360"/>
      <c r="BH74" s="362"/>
      <c r="BI74" s="362"/>
      <c r="BJ74" s="363"/>
      <c r="BK74" s="362"/>
      <c r="BL74" s="362"/>
      <c r="BM74" s="360"/>
      <c r="BN74" s="364"/>
      <c r="CA74" s="321"/>
    </row>
    <row r="75" spans="1:79" ht="24" customHeight="1" thickTop="1" x14ac:dyDescent="0.5">
      <c r="A75" s="289"/>
      <c r="B75" s="918" t="s">
        <v>1127</v>
      </c>
      <c r="C75" s="919"/>
      <c r="D75" s="919"/>
      <c r="E75" s="919"/>
      <c r="F75" s="919"/>
      <c r="G75" s="919"/>
      <c r="H75" s="918" t="s">
        <v>1124</v>
      </c>
      <c r="I75" s="919"/>
      <c r="J75" s="919"/>
      <c r="K75" s="919"/>
      <c r="L75" s="918" t="s">
        <v>1125</v>
      </c>
      <c r="M75" s="919"/>
      <c r="N75" s="919"/>
      <c r="O75" s="919"/>
      <c r="P75" s="918" t="s">
        <v>1128</v>
      </c>
      <c r="Q75" s="919"/>
      <c r="R75" s="919"/>
      <c r="S75" s="928"/>
      <c r="T75" s="933" t="s">
        <v>1136</v>
      </c>
      <c r="U75" s="934"/>
      <c r="V75" s="287"/>
      <c r="W75" s="287"/>
      <c r="X75" s="914" t="s">
        <v>1129</v>
      </c>
      <c r="Y75" s="915"/>
      <c r="Z75" s="915"/>
      <c r="AA75" s="915"/>
      <c r="AB75" s="915"/>
      <c r="AC75" s="914" t="s">
        <v>1130</v>
      </c>
      <c r="AD75" s="915"/>
      <c r="AE75" s="915"/>
      <c r="AF75" s="915"/>
      <c r="AG75" s="915"/>
      <c r="AH75" s="287"/>
      <c r="AI75" s="1160" t="str">
        <f>"補助対象期間中の患者数("&amp;X76&amp;"人、N95・ハイラックマスクは"&amp;AC76&amp;"人)＊患者１名あたり平均対応員数(計"&amp;P76&amp;"人)＊品目毎の患者１名あたり使用数で算出されます。"</f>
        <v>補助対象期間中の患者数(28人、N95・ハイラックマスクは24人)＊患者１名あたり平均対応員数(計2人)＊品目毎の患者１名あたり使用数で算出されます。</v>
      </c>
      <c r="AJ75" s="1161"/>
      <c r="AK75" s="1161"/>
      <c r="AL75" s="1161"/>
      <c r="AM75" s="1161"/>
      <c r="AN75" s="1161"/>
      <c r="AO75" s="1161"/>
      <c r="AP75" s="1161"/>
      <c r="AQ75" s="1161"/>
      <c r="AR75" s="1161"/>
      <c r="AS75" s="1161"/>
      <c r="AT75" s="1161"/>
      <c r="AU75" s="1161"/>
      <c r="AV75" s="1161"/>
      <c r="AW75" s="1161"/>
      <c r="AX75" s="1162"/>
      <c r="AY75" s="289"/>
      <c r="AZ75" s="358"/>
      <c r="BA75" s="371"/>
      <c r="BB75" s="371"/>
      <c r="BC75" s="371"/>
      <c r="BD75" s="359"/>
      <c r="BE75" s="360"/>
      <c r="BF75" s="361"/>
      <c r="BG75" s="360"/>
      <c r="BH75" s="362"/>
      <c r="BI75" s="362"/>
      <c r="BJ75" s="363"/>
      <c r="BK75" s="362"/>
      <c r="BL75" s="362"/>
      <c r="BM75" s="360"/>
      <c r="BN75" s="364"/>
      <c r="CA75" s="321"/>
    </row>
    <row r="76" spans="1:79" ht="24" customHeight="1" x14ac:dyDescent="0.35">
      <c r="A76" s="289"/>
      <c r="B76" s="920" t="s">
        <v>1126</v>
      </c>
      <c r="C76" s="921"/>
      <c r="D76" s="921"/>
      <c r="E76" s="921"/>
      <c r="F76" s="921"/>
      <c r="G76" s="921"/>
      <c r="H76" s="922">
        <v>1</v>
      </c>
      <c r="I76" s="923"/>
      <c r="J76" s="923"/>
      <c r="K76" s="924"/>
      <c r="L76" s="922">
        <v>1</v>
      </c>
      <c r="M76" s="923"/>
      <c r="N76" s="923"/>
      <c r="O76" s="924"/>
      <c r="P76" s="929">
        <f>SUM(H76:O77)</f>
        <v>2</v>
      </c>
      <c r="Q76" s="930"/>
      <c r="R76" s="930"/>
      <c r="S76" s="930"/>
      <c r="T76" s="935" t="str">
        <f>IF(AND(H76&lt;=AS32,L76&lt;=AS35,COUNTA(H76:O77)=2),"○","×")</f>
        <v>○</v>
      </c>
      <c r="U76" s="936"/>
      <c r="V76" s="287"/>
      <c r="W76" s="287"/>
      <c r="X76" s="916">
        <f>AU52</f>
        <v>28</v>
      </c>
      <c r="Y76" s="917"/>
      <c r="Z76" s="917"/>
      <c r="AA76" s="917"/>
      <c r="AB76" s="917"/>
      <c r="AC76" s="916">
        <f>AU53</f>
        <v>24</v>
      </c>
      <c r="AD76" s="917"/>
      <c r="AE76" s="917"/>
      <c r="AF76" s="917"/>
      <c r="AG76" s="917"/>
      <c r="AH76" s="287"/>
      <c r="AI76" s="1163"/>
      <c r="AJ76" s="1164"/>
      <c r="AK76" s="1164"/>
      <c r="AL76" s="1164"/>
      <c r="AM76" s="1164"/>
      <c r="AN76" s="1164"/>
      <c r="AO76" s="1164"/>
      <c r="AP76" s="1164"/>
      <c r="AQ76" s="1164"/>
      <c r="AR76" s="1164"/>
      <c r="AS76" s="1164"/>
      <c r="AT76" s="1164"/>
      <c r="AU76" s="1164"/>
      <c r="AV76" s="1164"/>
      <c r="AW76" s="1164"/>
      <c r="AX76" s="1165"/>
      <c r="AY76" s="289"/>
      <c r="AZ76" s="358"/>
      <c r="BA76" s="371"/>
      <c r="BB76" s="371"/>
      <c r="BC76" s="371"/>
      <c r="BD76" s="359"/>
      <c r="BE76" s="360"/>
      <c r="BF76" s="361"/>
      <c r="BG76" s="360"/>
      <c r="BH76" s="362"/>
      <c r="BI76" s="362"/>
      <c r="BJ76" s="363"/>
      <c r="BK76" s="362"/>
      <c r="BL76" s="362"/>
      <c r="BM76" s="360"/>
      <c r="BN76" s="364"/>
      <c r="CA76" s="321"/>
    </row>
    <row r="77" spans="1:79" ht="24" customHeight="1" thickBot="1" x14ac:dyDescent="0.4">
      <c r="A77" s="289"/>
      <c r="B77" s="921"/>
      <c r="C77" s="921"/>
      <c r="D77" s="921"/>
      <c r="E77" s="921"/>
      <c r="F77" s="921"/>
      <c r="G77" s="921"/>
      <c r="H77" s="925"/>
      <c r="I77" s="926"/>
      <c r="J77" s="926"/>
      <c r="K77" s="927"/>
      <c r="L77" s="925"/>
      <c r="M77" s="926"/>
      <c r="N77" s="926"/>
      <c r="O77" s="927"/>
      <c r="P77" s="931"/>
      <c r="Q77" s="932"/>
      <c r="R77" s="932"/>
      <c r="S77" s="932"/>
      <c r="T77" s="937"/>
      <c r="U77" s="938"/>
      <c r="V77" s="287"/>
      <c r="W77" s="287"/>
      <c r="X77" s="917"/>
      <c r="Y77" s="917"/>
      <c r="Z77" s="917"/>
      <c r="AA77" s="917"/>
      <c r="AB77" s="917"/>
      <c r="AC77" s="917"/>
      <c r="AD77" s="917"/>
      <c r="AE77" s="917"/>
      <c r="AF77" s="917"/>
      <c r="AG77" s="917"/>
      <c r="AH77" s="287"/>
      <c r="AI77" s="1166"/>
      <c r="AJ77" s="1167"/>
      <c r="AK77" s="1167"/>
      <c r="AL77" s="1167"/>
      <c r="AM77" s="1167"/>
      <c r="AN77" s="1167"/>
      <c r="AO77" s="1167"/>
      <c r="AP77" s="1167"/>
      <c r="AQ77" s="1167"/>
      <c r="AR77" s="1167"/>
      <c r="AS77" s="1167"/>
      <c r="AT77" s="1167"/>
      <c r="AU77" s="1167"/>
      <c r="AV77" s="1167"/>
      <c r="AW77" s="1167"/>
      <c r="AX77" s="1168"/>
      <c r="AY77" s="289"/>
      <c r="AZ77" s="358"/>
      <c r="BA77" s="371"/>
      <c r="BB77" s="371"/>
      <c r="BC77" s="371"/>
      <c r="BD77" s="359"/>
      <c r="BE77" s="360"/>
      <c r="BF77" s="361"/>
      <c r="BG77" s="360"/>
      <c r="BH77" s="362"/>
      <c r="BI77" s="362"/>
      <c r="BJ77" s="363"/>
      <c r="BK77" s="362"/>
      <c r="BL77" s="362"/>
      <c r="BM77" s="360"/>
      <c r="BN77" s="364"/>
      <c r="CA77" s="321"/>
    </row>
    <row r="78" spans="1:79" ht="15" customHeight="1" thickTop="1" thickBot="1" x14ac:dyDescent="0.45">
      <c r="B78" s="287"/>
      <c r="C78" s="287"/>
      <c r="D78" s="287"/>
      <c r="E78" s="372"/>
      <c r="F78" s="373"/>
      <c r="G78" s="373"/>
      <c r="H78" s="373"/>
      <c r="I78" s="373"/>
      <c r="J78" s="373"/>
      <c r="K78" s="373"/>
      <c r="L78" s="373"/>
      <c r="M78" s="373"/>
      <c r="N78" s="373"/>
      <c r="O78" s="373"/>
      <c r="P78" s="373"/>
      <c r="AI78" s="287"/>
      <c r="AJ78" s="287"/>
      <c r="AK78" s="287"/>
      <c r="AL78" s="287"/>
      <c r="AM78" s="287"/>
      <c r="AN78" s="287"/>
      <c r="AO78" s="287"/>
      <c r="CA78" s="321"/>
    </row>
    <row r="79" spans="1:79" ht="18" customHeight="1" thickTop="1" x14ac:dyDescent="0.35">
      <c r="B79" s="1088" t="s">
        <v>1120</v>
      </c>
      <c r="C79" s="1089"/>
      <c r="D79" s="1089"/>
      <c r="E79" s="1089"/>
      <c r="F79" s="1089"/>
      <c r="G79" s="1089"/>
      <c r="H79" s="1089"/>
      <c r="I79" s="1089"/>
      <c r="J79" s="1089"/>
      <c r="K79" s="1089"/>
      <c r="L79" s="1089"/>
      <c r="M79" s="1089"/>
      <c r="N79" s="1074" t="s">
        <v>1121</v>
      </c>
      <c r="O79" s="1075"/>
      <c r="P79" s="1075"/>
      <c r="Q79" s="1075"/>
      <c r="R79" s="1075"/>
      <c r="S79" s="1075"/>
      <c r="T79" s="1075"/>
      <c r="U79" s="1075"/>
      <c r="V79" s="1075"/>
      <c r="W79" s="1075"/>
      <c r="X79" s="1075"/>
      <c r="Y79" s="1076"/>
      <c r="Z79" s="1080" t="s">
        <v>998</v>
      </c>
      <c r="AA79" s="1073"/>
      <c r="AB79" s="1073"/>
      <c r="AC79" s="1081"/>
      <c r="AD79" s="1064" t="s">
        <v>1122</v>
      </c>
      <c r="AE79" s="1065"/>
      <c r="AF79" s="1207" t="s">
        <v>1123</v>
      </c>
      <c r="AG79" s="1207"/>
      <c r="AH79" s="1207"/>
      <c r="AI79" s="1207"/>
      <c r="AJ79" s="1207"/>
      <c r="AK79" s="1207"/>
      <c r="AL79" s="1207"/>
      <c r="AM79" s="1207"/>
      <c r="AN79" s="1207"/>
      <c r="AO79" s="1207"/>
      <c r="AP79" s="1208"/>
      <c r="AQ79" s="1208"/>
      <c r="AR79" s="1208"/>
      <c r="AS79" s="1208"/>
      <c r="AT79" s="1208"/>
      <c r="AU79" s="1208"/>
      <c r="AV79" s="1208"/>
      <c r="AW79" s="1208"/>
      <c r="AX79" s="1082"/>
    </row>
    <row r="80" spans="1:79" ht="18" customHeight="1" thickBot="1" x14ac:dyDescent="0.4">
      <c r="B80" s="1090"/>
      <c r="C80" s="1091"/>
      <c r="D80" s="1091"/>
      <c r="E80" s="1091"/>
      <c r="F80" s="1091"/>
      <c r="G80" s="1091"/>
      <c r="H80" s="1091"/>
      <c r="I80" s="1091"/>
      <c r="J80" s="1091"/>
      <c r="K80" s="1091"/>
      <c r="L80" s="1091"/>
      <c r="M80" s="1091"/>
      <c r="N80" s="1077"/>
      <c r="O80" s="1078"/>
      <c r="P80" s="1078"/>
      <c r="Q80" s="1078"/>
      <c r="R80" s="1078"/>
      <c r="S80" s="1078"/>
      <c r="T80" s="1078"/>
      <c r="U80" s="1078"/>
      <c r="V80" s="1078"/>
      <c r="W80" s="1078"/>
      <c r="X80" s="1078"/>
      <c r="Y80" s="1079"/>
      <c r="Z80" s="1082"/>
      <c r="AA80" s="1073"/>
      <c r="AB80" s="1073"/>
      <c r="AC80" s="1081"/>
      <c r="AD80" s="1066"/>
      <c r="AE80" s="1067"/>
      <c r="AF80" s="1207"/>
      <c r="AG80" s="1207"/>
      <c r="AH80" s="1207"/>
      <c r="AI80" s="1207"/>
      <c r="AJ80" s="1207"/>
      <c r="AK80" s="1207"/>
      <c r="AL80" s="1207"/>
      <c r="AM80" s="1207"/>
      <c r="AN80" s="1207"/>
      <c r="AO80" s="1207"/>
      <c r="AP80" s="1208"/>
      <c r="AQ80" s="1208"/>
      <c r="AR80" s="1208"/>
      <c r="AS80" s="1208"/>
      <c r="AT80" s="1208"/>
      <c r="AU80" s="1208"/>
      <c r="AV80" s="1208"/>
      <c r="AW80" s="1208"/>
      <c r="AX80" s="1082"/>
    </row>
    <row r="81" spans="2:81" ht="18.75" customHeight="1" thickTop="1" x14ac:dyDescent="0.35">
      <c r="B81" s="1092"/>
      <c r="C81" s="1093"/>
      <c r="D81" s="1093"/>
      <c r="E81" s="1093"/>
      <c r="F81" s="1093"/>
      <c r="G81" s="1093"/>
      <c r="H81" s="1093"/>
      <c r="I81" s="1093"/>
      <c r="J81" s="1093"/>
      <c r="K81" s="1093"/>
      <c r="L81" s="1093"/>
      <c r="M81" s="1091"/>
      <c r="N81" s="1071" t="s">
        <v>996</v>
      </c>
      <c r="O81" s="1072"/>
      <c r="P81" s="1072"/>
      <c r="Q81" s="1072"/>
      <c r="R81" s="1071" t="s">
        <v>997</v>
      </c>
      <c r="S81" s="1072"/>
      <c r="T81" s="1072"/>
      <c r="U81" s="1072"/>
      <c r="V81" s="1071" t="s">
        <v>64</v>
      </c>
      <c r="W81" s="1072"/>
      <c r="X81" s="1072"/>
      <c r="Y81" s="1072"/>
      <c r="Z81" s="1073"/>
      <c r="AA81" s="1073"/>
      <c r="AB81" s="1073"/>
      <c r="AC81" s="1081"/>
      <c r="AD81" s="1068"/>
      <c r="AE81" s="1067"/>
      <c r="AF81" s="1207"/>
      <c r="AG81" s="1207"/>
      <c r="AH81" s="1207"/>
      <c r="AI81" s="1207"/>
      <c r="AJ81" s="1207"/>
      <c r="AK81" s="1207"/>
      <c r="AL81" s="1207"/>
      <c r="AM81" s="1207"/>
      <c r="AN81" s="1207"/>
      <c r="AO81" s="1207"/>
      <c r="AP81" s="1208"/>
      <c r="AQ81" s="1208"/>
      <c r="AR81" s="1208"/>
      <c r="AS81" s="1208"/>
      <c r="AT81" s="1208"/>
      <c r="AU81" s="1208"/>
      <c r="AV81" s="1208"/>
      <c r="AW81" s="1208"/>
      <c r="AX81" s="1082"/>
    </row>
    <row r="82" spans="2:81" ht="18.75" customHeight="1" x14ac:dyDescent="0.35">
      <c r="B82" s="1094"/>
      <c r="C82" s="1095"/>
      <c r="D82" s="1095"/>
      <c r="E82" s="1095"/>
      <c r="F82" s="1095"/>
      <c r="G82" s="1095"/>
      <c r="H82" s="1095"/>
      <c r="I82" s="1095"/>
      <c r="J82" s="1095"/>
      <c r="K82" s="1095"/>
      <c r="L82" s="1095"/>
      <c r="M82" s="1095"/>
      <c r="N82" s="1073"/>
      <c r="O82" s="1073"/>
      <c r="P82" s="1073"/>
      <c r="Q82" s="1073"/>
      <c r="R82" s="1073"/>
      <c r="S82" s="1073"/>
      <c r="T82" s="1073"/>
      <c r="U82" s="1073"/>
      <c r="V82" s="1073"/>
      <c r="W82" s="1073"/>
      <c r="X82" s="1073"/>
      <c r="Y82" s="1073"/>
      <c r="Z82" s="1073"/>
      <c r="AA82" s="1073"/>
      <c r="AB82" s="1073"/>
      <c r="AC82" s="1081"/>
      <c r="AD82" s="1068"/>
      <c r="AE82" s="1067"/>
      <c r="AF82" s="1207"/>
      <c r="AG82" s="1207"/>
      <c r="AH82" s="1207"/>
      <c r="AI82" s="1207"/>
      <c r="AJ82" s="1207"/>
      <c r="AK82" s="1207"/>
      <c r="AL82" s="1207"/>
      <c r="AM82" s="1207"/>
      <c r="AN82" s="1207"/>
      <c r="AO82" s="1207"/>
      <c r="AP82" s="1208"/>
      <c r="AQ82" s="1208"/>
      <c r="AR82" s="1208"/>
      <c r="AS82" s="1208"/>
      <c r="AT82" s="1208"/>
      <c r="AU82" s="1208"/>
      <c r="AV82" s="1208"/>
      <c r="AW82" s="1208"/>
      <c r="AX82" s="1082"/>
    </row>
    <row r="83" spans="2:81" ht="18" customHeight="1" x14ac:dyDescent="0.35">
      <c r="B83" s="1088" t="s">
        <v>1118</v>
      </c>
      <c r="C83" s="1098"/>
      <c r="D83" s="1098"/>
      <c r="E83" s="1099"/>
      <c r="F83" s="1106" t="s">
        <v>1039</v>
      </c>
      <c r="G83" s="1098"/>
      <c r="H83" s="1098"/>
      <c r="I83" s="1098"/>
      <c r="J83" s="1098"/>
      <c r="K83" s="1098"/>
      <c r="L83" s="1098"/>
      <c r="M83" s="1099"/>
      <c r="N83" s="1060">
        <v>1</v>
      </c>
      <c r="O83" s="1061"/>
      <c r="P83" s="1061"/>
      <c r="Q83" s="1061"/>
      <c r="R83" s="1060">
        <v>1</v>
      </c>
      <c r="S83" s="1063"/>
      <c r="T83" s="1063"/>
      <c r="U83" s="1063"/>
      <c r="V83" s="1097">
        <f>SUM(IF($H$76="",0,$H$76)*N83,IF($L$76="",0,$L$76)*R83)</f>
        <v>2</v>
      </c>
      <c r="W83" s="1084"/>
      <c r="X83" s="1084"/>
      <c r="Y83" s="1084"/>
      <c r="Z83" s="1083">
        <f>IFERROR(V83*$X$76,0)</f>
        <v>56</v>
      </c>
      <c r="AA83" s="1084"/>
      <c r="AB83" s="1084"/>
      <c r="AC83" s="1085"/>
      <c r="AD83" s="1066" t="str">
        <f>IF(COUNTA(N83:U85)=2,"○","×")</f>
        <v>○</v>
      </c>
      <c r="AE83" s="1069"/>
      <c r="AF83" s="1110" t="str">
        <f xml:space="preserve">
IF(COUNTA(N83:U85)&lt;2,"各職種の使用数を入力してください。(０の場合は０を入力)",
IF(AND(COUNTA(N83:U85)=2,N83&lt;=2,R83&lt;=2),"適切に入力されました。",
IF(AND(COUNTA(N83:U85)=2,OR(N83&gt;2,R83&gt;2)),"患者１人あたりスタッフ１名が２枚を超える使用量が入力されているため、着脱を行う手順及び手順毎の数量を下段の欄に記入してください。")))</f>
        <v>適切に入力されました。</v>
      </c>
      <c r="AG83" s="1111"/>
      <c r="AH83" s="1111"/>
      <c r="AI83" s="1111"/>
      <c r="AJ83" s="1111"/>
      <c r="AK83" s="1111"/>
      <c r="AL83" s="1111"/>
      <c r="AM83" s="1111"/>
      <c r="AN83" s="1111"/>
      <c r="AO83" s="1111"/>
      <c r="AP83" s="1112"/>
      <c r="AQ83" s="1113"/>
      <c r="AR83" s="1113"/>
      <c r="AS83" s="1113"/>
      <c r="AT83" s="1113"/>
      <c r="AU83" s="1113"/>
      <c r="AV83" s="1113"/>
      <c r="AW83" s="1113"/>
      <c r="AX83" s="1114"/>
    </row>
    <row r="84" spans="2:81" ht="18" customHeight="1" x14ac:dyDescent="0.35">
      <c r="B84" s="1100"/>
      <c r="C84" s="1101"/>
      <c r="D84" s="1101"/>
      <c r="E84" s="1102"/>
      <c r="F84" s="1100"/>
      <c r="G84" s="1101"/>
      <c r="H84" s="1101"/>
      <c r="I84" s="1101"/>
      <c r="J84" s="1101"/>
      <c r="K84" s="1101"/>
      <c r="L84" s="1101"/>
      <c r="M84" s="1102"/>
      <c r="N84" s="1060"/>
      <c r="O84" s="1061"/>
      <c r="P84" s="1061"/>
      <c r="Q84" s="1061"/>
      <c r="R84" s="1060"/>
      <c r="S84" s="1063"/>
      <c r="T84" s="1063"/>
      <c r="U84" s="1063"/>
      <c r="V84" s="1097"/>
      <c r="W84" s="1084"/>
      <c r="X84" s="1084"/>
      <c r="Y84" s="1084"/>
      <c r="Z84" s="1083"/>
      <c r="AA84" s="1084"/>
      <c r="AB84" s="1084"/>
      <c r="AC84" s="1085"/>
      <c r="AD84" s="1066"/>
      <c r="AE84" s="1069"/>
      <c r="AF84" s="1110"/>
      <c r="AG84" s="1111"/>
      <c r="AH84" s="1111"/>
      <c r="AI84" s="1111"/>
      <c r="AJ84" s="1111"/>
      <c r="AK84" s="1111"/>
      <c r="AL84" s="1111"/>
      <c r="AM84" s="1111"/>
      <c r="AN84" s="1111"/>
      <c r="AO84" s="1111"/>
      <c r="AP84" s="1112"/>
      <c r="AQ84" s="1113"/>
      <c r="AR84" s="1113"/>
      <c r="AS84" s="1113"/>
      <c r="AT84" s="1113"/>
      <c r="AU84" s="1113"/>
      <c r="AV84" s="1113"/>
      <c r="AW84" s="1113"/>
      <c r="AX84" s="1114"/>
    </row>
    <row r="85" spans="2:81" ht="18" customHeight="1" x14ac:dyDescent="0.35">
      <c r="B85" s="1100"/>
      <c r="C85" s="1101"/>
      <c r="D85" s="1101"/>
      <c r="E85" s="1102"/>
      <c r="F85" s="1103"/>
      <c r="G85" s="1104"/>
      <c r="H85" s="1104"/>
      <c r="I85" s="1104"/>
      <c r="J85" s="1104"/>
      <c r="K85" s="1104"/>
      <c r="L85" s="1104"/>
      <c r="M85" s="1105"/>
      <c r="N85" s="1061"/>
      <c r="O85" s="1061"/>
      <c r="P85" s="1061"/>
      <c r="Q85" s="1061"/>
      <c r="R85" s="1063"/>
      <c r="S85" s="1063"/>
      <c r="T85" s="1063"/>
      <c r="U85" s="1063"/>
      <c r="V85" s="1084"/>
      <c r="W85" s="1084"/>
      <c r="X85" s="1084"/>
      <c r="Y85" s="1084"/>
      <c r="Z85" s="1084"/>
      <c r="AA85" s="1084"/>
      <c r="AB85" s="1084"/>
      <c r="AC85" s="1085"/>
      <c r="AD85" s="1070"/>
      <c r="AE85" s="1069"/>
      <c r="AF85" s="1111"/>
      <c r="AG85" s="1111"/>
      <c r="AH85" s="1111"/>
      <c r="AI85" s="1111"/>
      <c r="AJ85" s="1111"/>
      <c r="AK85" s="1111"/>
      <c r="AL85" s="1111"/>
      <c r="AM85" s="1111"/>
      <c r="AN85" s="1111"/>
      <c r="AO85" s="1111"/>
      <c r="AP85" s="1112"/>
      <c r="AQ85" s="1113"/>
      <c r="AR85" s="1113"/>
      <c r="AS85" s="1113"/>
      <c r="AT85" s="1113"/>
      <c r="AU85" s="1113"/>
      <c r="AV85" s="1113"/>
      <c r="AW85" s="1113"/>
      <c r="AX85" s="1114"/>
    </row>
    <row r="86" spans="2:81" ht="18" customHeight="1" x14ac:dyDescent="0.35">
      <c r="B86" s="1100"/>
      <c r="C86" s="1101"/>
      <c r="D86" s="1101"/>
      <c r="E86" s="1102"/>
      <c r="F86" s="1106" t="s">
        <v>1040</v>
      </c>
      <c r="G86" s="1098"/>
      <c r="H86" s="1098"/>
      <c r="I86" s="1098"/>
      <c r="J86" s="1098"/>
      <c r="K86" s="1098"/>
      <c r="L86" s="1098"/>
      <c r="M86" s="1099"/>
      <c r="N86" s="1060">
        <v>1</v>
      </c>
      <c r="O86" s="1061"/>
      <c r="P86" s="1061"/>
      <c r="Q86" s="1061"/>
      <c r="R86" s="1060">
        <v>1</v>
      </c>
      <c r="S86" s="1063"/>
      <c r="T86" s="1063"/>
      <c r="U86" s="1063"/>
      <c r="V86" s="1097">
        <f>SUM(IF($H$76="",0,$H$76)*N86,IF($L$76="",0,$L$76)*R86)</f>
        <v>2</v>
      </c>
      <c r="W86" s="1084"/>
      <c r="X86" s="1084"/>
      <c r="Y86" s="1084"/>
      <c r="Z86" s="1083">
        <f>IFERROR(V86*$X$76,0)</f>
        <v>56</v>
      </c>
      <c r="AA86" s="1084"/>
      <c r="AB86" s="1084"/>
      <c r="AC86" s="1085"/>
      <c r="AD86" s="1066" t="str">
        <f t="shared" ref="AD86" si="20">IF(COUNTA(N86:U88)=2,"○","×")</f>
        <v>○</v>
      </c>
      <c r="AE86" s="1069"/>
      <c r="AF86" s="1110" t="str">
        <f xml:space="preserve">
IF(COUNTA(N86:U88)&lt;2,"各職種の使用数を入力してください。(０の場合は０を入力)",
IF(AND(COUNTA(N86:U88)=2,N86&lt;=2,R86&lt;=2),"適切に入力されました。",
IF(AND(COUNTA(N86:U88)=2,OR(N86&gt;2,R86&gt;2)),"患者１人あたりスタッフ１名が２枚を超える使用量が入力されているため、着脱を行う手順及び手順毎の数量を下段の欄に記入してください。")))</f>
        <v>適切に入力されました。</v>
      </c>
      <c r="AG86" s="1111"/>
      <c r="AH86" s="1111"/>
      <c r="AI86" s="1111"/>
      <c r="AJ86" s="1111"/>
      <c r="AK86" s="1111"/>
      <c r="AL86" s="1111"/>
      <c r="AM86" s="1111"/>
      <c r="AN86" s="1111"/>
      <c r="AO86" s="1111"/>
      <c r="AP86" s="1112"/>
      <c r="AQ86" s="1113"/>
      <c r="AR86" s="1113"/>
      <c r="AS86" s="1113"/>
      <c r="AT86" s="1113"/>
      <c r="AU86" s="1113"/>
      <c r="AV86" s="1113"/>
      <c r="AW86" s="1113"/>
      <c r="AX86" s="1114"/>
    </row>
    <row r="87" spans="2:81" ht="18" customHeight="1" x14ac:dyDescent="0.35">
      <c r="B87" s="1100"/>
      <c r="C87" s="1101"/>
      <c r="D87" s="1101"/>
      <c r="E87" s="1102"/>
      <c r="F87" s="1100"/>
      <c r="G87" s="1101"/>
      <c r="H87" s="1101"/>
      <c r="I87" s="1101"/>
      <c r="J87" s="1101"/>
      <c r="K87" s="1101"/>
      <c r="L87" s="1101"/>
      <c r="M87" s="1102"/>
      <c r="N87" s="1060"/>
      <c r="O87" s="1061"/>
      <c r="P87" s="1061"/>
      <c r="Q87" s="1061"/>
      <c r="R87" s="1060"/>
      <c r="S87" s="1063"/>
      <c r="T87" s="1063"/>
      <c r="U87" s="1063"/>
      <c r="V87" s="1097"/>
      <c r="W87" s="1084"/>
      <c r="X87" s="1084"/>
      <c r="Y87" s="1084"/>
      <c r="Z87" s="1083"/>
      <c r="AA87" s="1084"/>
      <c r="AB87" s="1084"/>
      <c r="AC87" s="1085"/>
      <c r="AD87" s="1066"/>
      <c r="AE87" s="1069"/>
      <c r="AF87" s="1110"/>
      <c r="AG87" s="1111"/>
      <c r="AH87" s="1111"/>
      <c r="AI87" s="1111"/>
      <c r="AJ87" s="1111"/>
      <c r="AK87" s="1111"/>
      <c r="AL87" s="1111"/>
      <c r="AM87" s="1111"/>
      <c r="AN87" s="1111"/>
      <c r="AO87" s="1111"/>
      <c r="AP87" s="1112"/>
      <c r="AQ87" s="1113"/>
      <c r="AR87" s="1113"/>
      <c r="AS87" s="1113"/>
      <c r="AT87" s="1113"/>
      <c r="AU87" s="1113"/>
      <c r="AV87" s="1113"/>
      <c r="AW87" s="1113"/>
      <c r="AX87" s="1114"/>
    </row>
    <row r="88" spans="2:81" ht="18" customHeight="1" x14ac:dyDescent="0.35">
      <c r="B88" s="1100"/>
      <c r="C88" s="1101"/>
      <c r="D88" s="1101"/>
      <c r="E88" s="1102"/>
      <c r="F88" s="1103"/>
      <c r="G88" s="1104"/>
      <c r="H88" s="1104"/>
      <c r="I88" s="1104"/>
      <c r="J88" s="1104"/>
      <c r="K88" s="1104"/>
      <c r="L88" s="1104"/>
      <c r="M88" s="1105"/>
      <c r="N88" s="1061"/>
      <c r="O88" s="1061"/>
      <c r="P88" s="1061"/>
      <c r="Q88" s="1061"/>
      <c r="R88" s="1063"/>
      <c r="S88" s="1063"/>
      <c r="T88" s="1063"/>
      <c r="U88" s="1063"/>
      <c r="V88" s="1084"/>
      <c r="W88" s="1084"/>
      <c r="X88" s="1084"/>
      <c r="Y88" s="1084"/>
      <c r="Z88" s="1084"/>
      <c r="AA88" s="1084"/>
      <c r="AB88" s="1084"/>
      <c r="AC88" s="1085"/>
      <c r="AD88" s="1070"/>
      <c r="AE88" s="1069"/>
      <c r="AF88" s="1111"/>
      <c r="AG88" s="1111"/>
      <c r="AH88" s="1111"/>
      <c r="AI88" s="1111"/>
      <c r="AJ88" s="1111"/>
      <c r="AK88" s="1111"/>
      <c r="AL88" s="1111"/>
      <c r="AM88" s="1111"/>
      <c r="AN88" s="1111"/>
      <c r="AO88" s="1111"/>
      <c r="AP88" s="1112"/>
      <c r="AQ88" s="1113"/>
      <c r="AR88" s="1113"/>
      <c r="AS88" s="1113"/>
      <c r="AT88" s="1113"/>
      <c r="AU88" s="1113"/>
      <c r="AV88" s="1113"/>
      <c r="AW88" s="1113"/>
      <c r="AX88" s="1114"/>
      <c r="CC88" s="288"/>
    </row>
    <row r="89" spans="2:81" ht="18" customHeight="1" x14ac:dyDescent="0.35">
      <c r="B89" s="1100"/>
      <c r="C89" s="1101"/>
      <c r="D89" s="1101"/>
      <c r="E89" s="1102"/>
      <c r="F89" s="1107" t="s">
        <v>1142</v>
      </c>
      <c r="G89" s="1098"/>
      <c r="H89" s="1098"/>
      <c r="I89" s="1098"/>
      <c r="J89" s="1098"/>
      <c r="K89" s="1098"/>
      <c r="L89" s="1098"/>
      <c r="M89" s="1099"/>
      <c r="N89" s="1060">
        <v>1</v>
      </c>
      <c r="O89" s="1061"/>
      <c r="P89" s="1061"/>
      <c r="Q89" s="1061"/>
      <c r="R89" s="1060">
        <v>1</v>
      </c>
      <c r="S89" s="1063"/>
      <c r="T89" s="1063"/>
      <c r="U89" s="1063"/>
      <c r="V89" s="1097">
        <f>SUM(IF($H$76="",0,$H$76)*N89,IF($L$76="",0,$L$76)*R89)</f>
        <v>2</v>
      </c>
      <c r="W89" s="1084"/>
      <c r="X89" s="1084"/>
      <c r="Y89" s="1084"/>
      <c r="Z89" s="1083">
        <f>IFERROR(V89*$AC$76,0)</f>
        <v>48</v>
      </c>
      <c r="AA89" s="1084"/>
      <c r="AB89" s="1084"/>
      <c r="AC89" s="1085"/>
      <c r="AD89" s="1066" t="str">
        <f t="shared" ref="AD89" si="21">IF(COUNTA(N89:U91)=2,"○","×")</f>
        <v>○</v>
      </c>
      <c r="AE89" s="1069"/>
      <c r="AF89" s="1110" t="str">
        <f xml:space="preserve">
IF(COUNTA(N89:U91)&lt;2,"各職種の使用数を入力してください。(０の場合は０を入力)",
IF(AND(COUNTA(N89:U91)=2,N89&lt;=2,R89&lt;=2),"適切に入力されました。",
IF(AND(COUNTA(N89:U91)=2,OR(N89&gt;2,R89&gt;2)),"患者１人あたりスタッフ１名が２枚を超える使用量が入力されているため、着脱を行う手順及び手順毎の数量を下段の欄に記入してください。")))</f>
        <v>適切に入力されました。</v>
      </c>
      <c r="AG89" s="1111"/>
      <c r="AH89" s="1111"/>
      <c r="AI89" s="1111"/>
      <c r="AJ89" s="1111"/>
      <c r="AK89" s="1111"/>
      <c r="AL89" s="1111"/>
      <c r="AM89" s="1111"/>
      <c r="AN89" s="1111"/>
      <c r="AO89" s="1111"/>
      <c r="AP89" s="1112"/>
      <c r="AQ89" s="1113"/>
      <c r="AR89" s="1113"/>
      <c r="AS89" s="1113"/>
      <c r="AT89" s="1113"/>
      <c r="AU89" s="1113"/>
      <c r="AV89" s="1113"/>
      <c r="AW89" s="1113"/>
      <c r="AX89" s="1114"/>
    </row>
    <row r="90" spans="2:81" ht="18" customHeight="1" x14ac:dyDescent="0.35">
      <c r="B90" s="1100"/>
      <c r="C90" s="1101"/>
      <c r="D90" s="1101"/>
      <c r="E90" s="1102"/>
      <c r="F90" s="1100"/>
      <c r="G90" s="1101"/>
      <c r="H90" s="1101"/>
      <c r="I90" s="1101"/>
      <c r="J90" s="1101"/>
      <c r="K90" s="1101"/>
      <c r="L90" s="1101"/>
      <c r="M90" s="1102"/>
      <c r="N90" s="1060"/>
      <c r="O90" s="1061"/>
      <c r="P90" s="1061"/>
      <c r="Q90" s="1061"/>
      <c r="R90" s="1060"/>
      <c r="S90" s="1063"/>
      <c r="T90" s="1063"/>
      <c r="U90" s="1063"/>
      <c r="V90" s="1097"/>
      <c r="W90" s="1084"/>
      <c r="X90" s="1084"/>
      <c r="Y90" s="1084"/>
      <c r="Z90" s="1083"/>
      <c r="AA90" s="1084"/>
      <c r="AB90" s="1084"/>
      <c r="AC90" s="1085"/>
      <c r="AD90" s="1066"/>
      <c r="AE90" s="1069"/>
      <c r="AF90" s="1110"/>
      <c r="AG90" s="1111"/>
      <c r="AH90" s="1111"/>
      <c r="AI90" s="1111"/>
      <c r="AJ90" s="1111"/>
      <c r="AK90" s="1111"/>
      <c r="AL90" s="1111"/>
      <c r="AM90" s="1111"/>
      <c r="AN90" s="1111"/>
      <c r="AO90" s="1111"/>
      <c r="AP90" s="1112"/>
      <c r="AQ90" s="1113"/>
      <c r="AR90" s="1113"/>
      <c r="AS90" s="1113"/>
      <c r="AT90" s="1113"/>
      <c r="AU90" s="1113"/>
      <c r="AV90" s="1113"/>
      <c r="AW90" s="1113"/>
      <c r="AX90" s="1114"/>
    </row>
    <row r="91" spans="2:81" ht="18.75" customHeight="1" x14ac:dyDescent="0.35">
      <c r="B91" s="1103"/>
      <c r="C91" s="1104"/>
      <c r="D91" s="1104"/>
      <c r="E91" s="1105"/>
      <c r="F91" s="1103"/>
      <c r="G91" s="1104"/>
      <c r="H91" s="1104"/>
      <c r="I91" s="1104"/>
      <c r="J91" s="1104"/>
      <c r="K91" s="1104"/>
      <c r="L91" s="1104"/>
      <c r="M91" s="1105"/>
      <c r="N91" s="1061"/>
      <c r="O91" s="1061"/>
      <c r="P91" s="1061"/>
      <c r="Q91" s="1061"/>
      <c r="R91" s="1063"/>
      <c r="S91" s="1063"/>
      <c r="T91" s="1063"/>
      <c r="U91" s="1063"/>
      <c r="V91" s="1084"/>
      <c r="W91" s="1084"/>
      <c r="X91" s="1084"/>
      <c r="Y91" s="1084"/>
      <c r="Z91" s="1084"/>
      <c r="AA91" s="1084"/>
      <c r="AB91" s="1084"/>
      <c r="AC91" s="1085"/>
      <c r="AD91" s="1070"/>
      <c r="AE91" s="1069"/>
      <c r="AF91" s="1111"/>
      <c r="AG91" s="1111"/>
      <c r="AH91" s="1111"/>
      <c r="AI91" s="1111"/>
      <c r="AJ91" s="1111"/>
      <c r="AK91" s="1111"/>
      <c r="AL91" s="1111"/>
      <c r="AM91" s="1111"/>
      <c r="AN91" s="1111"/>
      <c r="AO91" s="1111"/>
      <c r="AP91" s="1112"/>
      <c r="AQ91" s="1113"/>
      <c r="AR91" s="1113"/>
      <c r="AS91" s="1113"/>
      <c r="AT91" s="1113"/>
      <c r="AU91" s="1113"/>
      <c r="AV91" s="1113"/>
      <c r="AW91" s="1113"/>
      <c r="AX91" s="1114"/>
    </row>
    <row r="92" spans="2:81" ht="18.75" customHeight="1" x14ac:dyDescent="0.35">
      <c r="B92" s="1108" t="s">
        <v>232</v>
      </c>
      <c r="C92" s="1098"/>
      <c r="D92" s="1098"/>
      <c r="E92" s="1098"/>
      <c r="F92" s="1098"/>
      <c r="G92" s="1098"/>
      <c r="H92" s="1098"/>
      <c r="I92" s="1098"/>
      <c r="J92" s="1098"/>
      <c r="K92" s="1098"/>
      <c r="L92" s="1098"/>
      <c r="M92" s="1098"/>
      <c r="N92" s="1087">
        <v>1</v>
      </c>
      <c r="O92" s="1061"/>
      <c r="P92" s="1061"/>
      <c r="Q92" s="1061"/>
      <c r="R92" s="1087">
        <v>1</v>
      </c>
      <c r="S92" s="1063"/>
      <c r="T92" s="1063"/>
      <c r="U92" s="1063"/>
      <c r="V92" s="1144">
        <f>SUM(IF($H$76="",0,$H$76)*N92,IF($L$76="",0,$L$76)*R92)</f>
        <v>2</v>
      </c>
      <c r="W92" s="1084"/>
      <c r="X92" s="1084"/>
      <c r="Y92" s="1084"/>
      <c r="Z92" s="1086">
        <f>IFERROR(V92*$X$76,0)</f>
        <v>56</v>
      </c>
      <c r="AA92" s="1084"/>
      <c r="AB92" s="1084"/>
      <c r="AC92" s="1085"/>
      <c r="AD92" s="1066" t="str">
        <f t="shared" ref="AD92" si="22">IF(COUNTA(N92:U94)=2,"○","×")</f>
        <v>○</v>
      </c>
      <c r="AE92" s="1069"/>
      <c r="AF92" s="1110" t="str">
        <f xml:space="preserve">
IF(COUNTA(N92:U94)&lt;2,"各職種の使用数を入力してください。(０の場合は０を入力)",
IF(AND(COUNTA(N92:U94)=2,N92&lt;=1,R92&lt;=1),"適切に入力されました。",
IF(AND(COUNTA(N92:U94)=2,OR(N92&gt;1,R92&gt;1)),"患者１人あたりスタッフ１名が１着を超える使用量が入力されているため、着脱を行う手順及び手順毎の数量を下段の欄に記入してください。")))</f>
        <v>適切に入力されました。</v>
      </c>
      <c r="AG92" s="1111"/>
      <c r="AH92" s="1111"/>
      <c r="AI92" s="1111"/>
      <c r="AJ92" s="1111"/>
      <c r="AK92" s="1111"/>
      <c r="AL92" s="1111"/>
      <c r="AM92" s="1111"/>
      <c r="AN92" s="1111"/>
      <c r="AO92" s="1111"/>
      <c r="AP92" s="1112"/>
      <c r="AQ92" s="1113"/>
      <c r="AR92" s="1113"/>
      <c r="AS92" s="1113"/>
      <c r="AT92" s="1113"/>
      <c r="AU92" s="1113"/>
      <c r="AV92" s="1113"/>
      <c r="AW92" s="1113"/>
      <c r="AX92" s="1114"/>
    </row>
    <row r="93" spans="2:81" ht="18.75" customHeight="1" x14ac:dyDescent="0.35">
      <c r="B93" s="1090"/>
      <c r="C93" s="1109"/>
      <c r="D93" s="1109"/>
      <c r="E93" s="1109"/>
      <c r="F93" s="1109"/>
      <c r="G93" s="1109"/>
      <c r="H93" s="1109"/>
      <c r="I93" s="1109"/>
      <c r="J93" s="1109"/>
      <c r="K93" s="1109"/>
      <c r="L93" s="1109"/>
      <c r="M93" s="1109"/>
      <c r="N93" s="1087"/>
      <c r="O93" s="1061"/>
      <c r="P93" s="1061"/>
      <c r="Q93" s="1061"/>
      <c r="R93" s="1087"/>
      <c r="S93" s="1063"/>
      <c r="T93" s="1063"/>
      <c r="U93" s="1063"/>
      <c r="V93" s="1144"/>
      <c r="W93" s="1084"/>
      <c r="X93" s="1084"/>
      <c r="Y93" s="1084"/>
      <c r="Z93" s="1086"/>
      <c r="AA93" s="1084"/>
      <c r="AB93" s="1084"/>
      <c r="AC93" s="1085"/>
      <c r="AD93" s="1066"/>
      <c r="AE93" s="1069"/>
      <c r="AF93" s="1110"/>
      <c r="AG93" s="1111"/>
      <c r="AH93" s="1111"/>
      <c r="AI93" s="1111"/>
      <c r="AJ93" s="1111"/>
      <c r="AK93" s="1111"/>
      <c r="AL93" s="1111"/>
      <c r="AM93" s="1111"/>
      <c r="AN93" s="1111"/>
      <c r="AO93" s="1111"/>
      <c r="AP93" s="1112"/>
      <c r="AQ93" s="1113"/>
      <c r="AR93" s="1113"/>
      <c r="AS93" s="1113"/>
      <c r="AT93" s="1113"/>
      <c r="AU93" s="1113"/>
      <c r="AV93" s="1113"/>
      <c r="AW93" s="1113"/>
      <c r="AX93" s="1114"/>
    </row>
    <row r="94" spans="2:81" ht="18" customHeight="1" x14ac:dyDescent="0.35">
      <c r="B94" s="1103"/>
      <c r="C94" s="1104"/>
      <c r="D94" s="1104"/>
      <c r="E94" s="1104"/>
      <c r="F94" s="1104"/>
      <c r="G94" s="1104"/>
      <c r="H94" s="1104"/>
      <c r="I94" s="1104"/>
      <c r="J94" s="1104"/>
      <c r="K94" s="1104"/>
      <c r="L94" s="1104"/>
      <c r="M94" s="1104"/>
      <c r="N94" s="1061"/>
      <c r="O94" s="1061"/>
      <c r="P94" s="1061"/>
      <c r="Q94" s="1061"/>
      <c r="R94" s="1063"/>
      <c r="S94" s="1063"/>
      <c r="T94" s="1063"/>
      <c r="U94" s="1063"/>
      <c r="V94" s="1084"/>
      <c r="W94" s="1084"/>
      <c r="X94" s="1084"/>
      <c r="Y94" s="1084"/>
      <c r="Z94" s="1084"/>
      <c r="AA94" s="1084"/>
      <c r="AB94" s="1084"/>
      <c r="AC94" s="1085"/>
      <c r="AD94" s="1070"/>
      <c r="AE94" s="1069"/>
      <c r="AF94" s="1111"/>
      <c r="AG94" s="1111"/>
      <c r="AH94" s="1111"/>
      <c r="AI94" s="1111"/>
      <c r="AJ94" s="1111"/>
      <c r="AK94" s="1111"/>
      <c r="AL94" s="1111"/>
      <c r="AM94" s="1111"/>
      <c r="AN94" s="1111"/>
      <c r="AO94" s="1111"/>
      <c r="AP94" s="1112"/>
      <c r="AQ94" s="1113"/>
      <c r="AR94" s="1113"/>
      <c r="AS94" s="1113"/>
      <c r="AT94" s="1113"/>
      <c r="AU94" s="1113"/>
      <c r="AV94" s="1113"/>
      <c r="AW94" s="1113"/>
      <c r="AX94" s="1114"/>
    </row>
    <row r="95" spans="2:81" ht="18" customHeight="1" x14ac:dyDescent="0.35">
      <c r="B95" s="1108" t="s">
        <v>233</v>
      </c>
      <c r="C95" s="1098"/>
      <c r="D95" s="1098"/>
      <c r="E95" s="1098"/>
      <c r="F95" s="1098"/>
      <c r="G95" s="1098"/>
      <c r="H95" s="1098"/>
      <c r="I95" s="1098"/>
      <c r="J95" s="1098"/>
      <c r="K95" s="1098"/>
      <c r="L95" s="1098"/>
      <c r="M95" s="1098"/>
      <c r="N95" s="1060">
        <v>1</v>
      </c>
      <c r="O95" s="1061"/>
      <c r="P95" s="1061"/>
      <c r="Q95" s="1061"/>
      <c r="R95" s="1060">
        <v>1</v>
      </c>
      <c r="S95" s="1063"/>
      <c r="T95" s="1063"/>
      <c r="U95" s="1063"/>
      <c r="V95" s="1097">
        <f>SUM(IF($H$76="",0,$H$76)*N95,IF($L$76="",0,$L$76)*R95)</f>
        <v>2</v>
      </c>
      <c r="W95" s="1084"/>
      <c r="X95" s="1084"/>
      <c r="Y95" s="1084"/>
      <c r="Z95" s="1083">
        <f>IFERROR(V95*$X$76,0)</f>
        <v>56</v>
      </c>
      <c r="AA95" s="1084"/>
      <c r="AB95" s="1084"/>
      <c r="AC95" s="1085"/>
      <c r="AD95" s="1066" t="str">
        <f t="shared" ref="AD95" si="23">IF(COUNTA(N95:U97)=2,"○","×")</f>
        <v>○</v>
      </c>
      <c r="AE95" s="1069"/>
      <c r="AF95" s="1110" t="str">
        <f xml:space="preserve">
IF(COUNTA(N95:U97)&lt;2,"各職種の使用数を入力してください。(０の場合は０を入力)",
IF(AND(COUNTA(N95:U97)=2,N95&lt;=8,R95&lt;=8),"適切に入力されました。",
IF(AND(COUNTA(N95:U97)=2,OR(N95&gt;8,R95&gt;8)),"患者１人あたりスタッフ１名が４双(8枚)を超える使用量が入力されているため、着脱を行う手順及び手順毎の数量を下段の欄に記入してください。")))</f>
        <v>適切に入力されました。</v>
      </c>
      <c r="AG95" s="1111"/>
      <c r="AH95" s="1111"/>
      <c r="AI95" s="1111"/>
      <c r="AJ95" s="1111"/>
      <c r="AK95" s="1111"/>
      <c r="AL95" s="1111"/>
      <c r="AM95" s="1111"/>
      <c r="AN95" s="1111"/>
      <c r="AO95" s="1111"/>
      <c r="AP95" s="1112"/>
      <c r="AQ95" s="1113"/>
      <c r="AR95" s="1113"/>
      <c r="AS95" s="1113"/>
      <c r="AT95" s="1113"/>
      <c r="AU95" s="1113"/>
      <c r="AV95" s="1113"/>
      <c r="AW95" s="1113"/>
      <c r="AX95" s="1114"/>
    </row>
    <row r="96" spans="2:81" ht="18" customHeight="1" x14ac:dyDescent="0.35">
      <c r="B96" s="1090"/>
      <c r="C96" s="1109"/>
      <c r="D96" s="1109"/>
      <c r="E96" s="1109"/>
      <c r="F96" s="1109"/>
      <c r="G96" s="1109"/>
      <c r="H96" s="1109"/>
      <c r="I96" s="1109"/>
      <c r="J96" s="1109"/>
      <c r="K96" s="1109"/>
      <c r="L96" s="1109"/>
      <c r="M96" s="1109"/>
      <c r="N96" s="1060"/>
      <c r="O96" s="1061"/>
      <c r="P96" s="1061"/>
      <c r="Q96" s="1061"/>
      <c r="R96" s="1060"/>
      <c r="S96" s="1063"/>
      <c r="T96" s="1063"/>
      <c r="U96" s="1063"/>
      <c r="V96" s="1097"/>
      <c r="W96" s="1084"/>
      <c r="X96" s="1084"/>
      <c r="Y96" s="1084"/>
      <c r="Z96" s="1083"/>
      <c r="AA96" s="1084"/>
      <c r="AB96" s="1084"/>
      <c r="AC96" s="1085"/>
      <c r="AD96" s="1066"/>
      <c r="AE96" s="1069"/>
      <c r="AF96" s="1110"/>
      <c r="AG96" s="1111"/>
      <c r="AH96" s="1111"/>
      <c r="AI96" s="1111"/>
      <c r="AJ96" s="1111"/>
      <c r="AK96" s="1111"/>
      <c r="AL96" s="1111"/>
      <c r="AM96" s="1111"/>
      <c r="AN96" s="1111"/>
      <c r="AO96" s="1111"/>
      <c r="AP96" s="1112"/>
      <c r="AQ96" s="1113"/>
      <c r="AR96" s="1113"/>
      <c r="AS96" s="1113"/>
      <c r="AT96" s="1113"/>
      <c r="AU96" s="1113"/>
      <c r="AV96" s="1113"/>
      <c r="AW96" s="1113"/>
      <c r="AX96" s="1114"/>
    </row>
    <row r="97" spans="2:50" ht="18" customHeight="1" x14ac:dyDescent="0.35">
      <c r="B97" s="1103"/>
      <c r="C97" s="1104"/>
      <c r="D97" s="1104"/>
      <c r="E97" s="1104"/>
      <c r="F97" s="1104"/>
      <c r="G97" s="1104"/>
      <c r="H97" s="1104"/>
      <c r="I97" s="1104"/>
      <c r="J97" s="1104"/>
      <c r="K97" s="1104"/>
      <c r="L97" s="1104"/>
      <c r="M97" s="1104"/>
      <c r="N97" s="1061"/>
      <c r="O97" s="1061"/>
      <c r="P97" s="1061"/>
      <c r="Q97" s="1061"/>
      <c r="R97" s="1063"/>
      <c r="S97" s="1063"/>
      <c r="T97" s="1063"/>
      <c r="U97" s="1063"/>
      <c r="V97" s="1084"/>
      <c r="W97" s="1084"/>
      <c r="X97" s="1084"/>
      <c r="Y97" s="1084"/>
      <c r="Z97" s="1084"/>
      <c r="AA97" s="1084"/>
      <c r="AB97" s="1084"/>
      <c r="AC97" s="1085"/>
      <c r="AD97" s="1070"/>
      <c r="AE97" s="1069"/>
      <c r="AF97" s="1111"/>
      <c r="AG97" s="1111"/>
      <c r="AH97" s="1111"/>
      <c r="AI97" s="1111"/>
      <c r="AJ97" s="1111"/>
      <c r="AK97" s="1111"/>
      <c r="AL97" s="1111"/>
      <c r="AM97" s="1111"/>
      <c r="AN97" s="1111"/>
      <c r="AO97" s="1111"/>
      <c r="AP97" s="1112"/>
      <c r="AQ97" s="1113"/>
      <c r="AR97" s="1113"/>
      <c r="AS97" s="1113"/>
      <c r="AT97" s="1113"/>
      <c r="AU97" s="1113"/>
      <c r="AV97" s="1113"/>
      <c r="AW97" s="1113"/>
      <c r="AX97" s="1114"/>
    </row>
    <row r="98" spans="2:50" ht="18" customHeight="1" x14ac:dyDescent="0.35">
      <c r="B98" s="1088" t="s">
        <v>1119</v>
      </c>
      <c r="C98" s="1098"/>
      <c r="D98" s="1098"/>
      <c r="E98" s="1099"/>
      <c r="F98" s="1107" t="s">
        <v>1131</v>
      </c>
      <c r="G98" s="1098"/>
      <c r="H98" s="1098"/>
      <c r="I98" s="1098"/>
      <c r="J98" s="1098"/>
      <c r="K98" s="1098"/>
      <c r="L98" s="1098"/>
      <c r="M98" s="1099"/>
      <c r="N98" s="1062">
        <v>0.1</v>
      </c>
      <c r="O98" s="1061"/>
      <c r="P98" s="1061"/>
      <c r="Q98" s="1061"/>
      <c r="R98" s="1062">
        <v>0.1</v>
      </c>
      <c r="S98" s="1063"/>
      <c r="T98" s="1063"/>
      <c r="U98" s="1063"/>
      <c r="V98" s="1096">
        <f>SUM(IF($H$76="",0,$H$76)*N98,IF($L$76="",0,$L$76)*R98)</f>
        <v>0.2</v>
      </c>
      <c r="W98" s="1084"/>
      <c r="X98" s="1084"/>
      <c r="Y98" s="1084"/>
      <c r="Z98" s="1117">
        <f>IFERROR(V98*$X$76,0)</f>
        <v>5.6000000000000005</v>
      </c>
      <c r="AA98" s="1084"/>
      <c r="AB98" s="1084"/>
      <c r="AC98" s="1085"/>
      <c r="AD98" s="1066" t="str">
        <f t="shared" ref="AD98" si="24">IF(COUNTA(N98:U100)=2,"○","×")</f>
        <v>○</v>
      </c>
      <c r="AE98" s="1069"/>
      <c r="AF98" s="1110" t="str">
        <f xml:space="preserve">
IF(COUNTA(N98:U100)&lt;2,"各職種の使用数を入力してください。(０の場合は０を入力)",
IF(AND(COUNTA(N98:U100)=2,N98&lt;=0.5,R98&lt;=0.5),"適切に入力されました。",
IF(AND(COUNTA(N98:U100)=2,OR(N98&gt;0.5,R98&gt;0.5)),"リユーサブル品の使い捨てに近い使用のため、着脱を行う手順及び手順毎の数量を下段の欄に記入してください。")))</f>
        <v>適切に入力されました。</v>
      </c>
      <c r="AG98" s="1111"/>
      <c r="AH98" s="1111"/>
      <c r="AI98" s="1111"/>
      <c r="AJ98" s="1111"/>
      <c r="AK98" s="1111"/>
      <c r="AL98" s="1111"/>
      <c r="AM98" s="1111"/>
      <c r="AN98" s="1111"/>
      <c r="AO98" s="1111"/>
      <c r="AP98" s="1112"/>
      <c r="AQ98" s="1113"/>
      <c r="AR98" s="1113"/>
      <c r="AS98" s="1113"/>
      <c r="AT98" s="1113"/>
      <c r="AU98" s="1113"/>
      <c r="AV98" s="1113"/>
      <c r="AW98" s="1113"/>
      <c r="AX98" s="1114"/>
    </row>
    <row r="99" spans="2:50" ht="18" customHeight="1" x14ac:dyDescent="0.35">
      <c r="B99" s="1100"/>
      <c r="C99" s="1101"/>
      <c r="D99" s="1101"/>
      <c r="E99" s="1102"/>
      <c r="F99" s="1100"/>
      <c r="G99" s="1101"/>
      <c r="H99" s="1101"/>
      <c r="I99" s="1101"/>
      <c r="J99" s="1101"/>
      <c r="K99" s="1101"/>
      <c r="L99" s="1101"/>
      <c r="M99" s="1102"/>
      <c r="N99" s="1062"/>
      <c r="O99" s="1061"/>
      <c r="P99" s="1061"/>
      <c r="Q99" s="1061"/>
      <c r="R99" s="1062"/>
      <c r="S99" s="1063"/>
      <c r="T99" s="1063"/>
      <c r="U99" s="1063"/>
      <c r="V99" s="1096"/>
      <c r="W99" s="1084"/>
      <c r="X99" s="1084"/>
      <c r="Y99" s="1084"/>
      <c r="Z99" s="1117"/>
      <c r="AA99" s="1084"/>
      <c r="AB99" s="1084"/>
      <c r="AC99" s="1085"/>
      <c r="AD99" s="1066"/>
      <c r="AE99" s="1069"/>
      <c r="AF99" s="1110"/>
      <c r="AG99" s="1111"/>
      <c r="AH99" s="1111"/>
      <c r="AI99" s="1111"/>
      <c r="AJ99" s="1111"/>
      <c r="AK99" s="1111"/>
      <c r="AL99" s="1111"/>
      <c r="AM99" s="1111"/>
      <c r="AN99" s="1111"/>
      <c r="AO99" s="1111"/>
      <c r="AP99" s="1112"/>
      <c r="AQ99" s="1113"/>
      <c r="AR99" s="1113"/>
      <c r="AS99" s="1113"/>
      <c r="AT99" s="1113"/>
      <c r="AU99" s="1113"/>
      <c r="AV99" s="1113"/>
      <c r="AW99" s="1113"/>
      <c r="AX99" s="1114"/>
    </row>
    <row r="100" spans="2:50" ht="18" customHeight="1" x14ac:dyDescent="0.35">
      <c r="B100" s="1100"/>
      <c r="C100" s="1101"/>
      <c r="D100" s="1101"/>
      <c r="E100" s="1102"/>
      <c r="F100" s="1103"/>
      <c r="G100" s="1104"/>
      <c r="H100" s="1104"/>
      <c r="I100" s="1104"/>
      <c r="J100" s="1104"/>
      <c r="K100" s="1104"/>
      <c r="L100" s="1104"/>
      <c r="M100" s="1105"/>
      <c r="N100" s="1061"/>
      <c r="O100" s="1061"/>
      <c r="P100" s="1061"/>
      <c r="Q100" s="1061"/>
      <c r="R100" s="1063"/>
      <c r="S100" s="1063"/>
      <c r="T100" s="1063"/>
      <c r="U100" s="1063"/>
      <c r="V100" s="1084"/>
      <c r="W100" s="1084"/>
      <c r="X100" s="1084"/>
      <c r="Y100" s="1084"/>
      <c r="Z100" s="1084"/>
      <c r="AA100" s="1084"/>
      <c r="AB100" s="1084"/>
      <c r="AC100" s="1085"/>
      <c r="AD100" s="1070"/>
      <c r="AE100" s="1069"/>
      <c r="AF100" s="1111"/>
      <c r="AG100" s="1111"/>
      <c r="AH100" s="1111"/>
      <c r="AI100" s="1111"/>
      <c r="AJ100" s="1111"/>
      <c r="AK100" s="1111"/>
      <c r="AL100" s="1111"/>
      <c r="AM100" s="1111"/>
      <c r="AN100" s="1111"/>
      <c r="AO100" s="1111"/>
      <c r="AP100" s="1112"/>
      <c r="AQ100" s="1113"/>
      <c r="AR100" s="1113"/>
      <c r="AS100" s="1113"/>
      <c r="AT100" s="1113"/>
      <c r="AU100" s="1113"/>
      <c r="AV100" s="1113"/>
      <c r="AW100" s="1113"/>
      <c r="AX100" s="1114"/>
    </row>
    <row r="101" spans="2:50" ht="18" customHeight="1" x14ac:dyDescent="0.35">
      <c r="B101" s="1100"/>
      <c r="C101" s="1101"/>
      <c r="D101" s="1101"/>
      <c r="E101" s="1102"/>
      <c r="F101" s="1107" t="s">
        <v>1132</v>
      </c>
      <c r="G101" s="1098"/>
      <c r="H101" s="1098"/>
      <c r="I101" s="1098"/>
      <c r="J101" s="1098"/>
      <c r="K101" s="1098"/>
      <c r="L101" s="1098"/>
      <c r="M101" s="1099"/>
      <c r="N101" s="1062">
        <v>0.1</v>
      </c>
      <c r="O101" s="1061"/>
      <c r="P101" s="1061"/>
      <c r="Q101" s="1061"/>
      <c r="R101" s="1062">
        <v>0.1</v>
      </c>
      <c r="S101" s="1063"/>
      <c r="T101" s="1063"/>
      <c r="U101" s="1063"/>
      <c r="V101" s="1096">
        <f>SUM(IF($H$76="",0,$H$76)*N101,IF($L$76="",0,$L$76)*R101)</f>
        <v>0.2</v>
      </c>
      <c r="W101" s="1084"/>
      <c r="X101" s="1084"/>
      <c r="Y101" s="1084"/>
      <c r="Z101" s="1117">
        <f>IFERROR(V101*$X$76,0)</f>
        <v>5.6000000000000005</v>
      </c>
      <c r="AA101" s="1084"/>
      <c r="AB101" s="1084"/>
      <c r="AC101" s="1085"/>
      <c r="AD101" s="1066" t="str">
        <f t="shared" ref="AD101" si="25">IF(COUNTA(N101:U103)=2,"○","×")</f>
        <v>○</v>
      </c>
      <c r="AE101" s="1069"/>
      <c r="AF101" s="1110" t="str">
        <f xml:space="preserve">
IF(COUNTA(N101:U103)&lt;2,"各職種の使用数を入力してください。(０の場合は０を入力)",
IF(AND(COUNTA(N101:U103)=2,N101&lt;=0.5,R101&lt;=0.5),"適切に入力されました。",
IF(AND(COUNTA(N101:U103)=2,OR(N101&gt;0.5,R101&gt;0.5)),"リユーサブル品の使い捨てに近い使用のため、着脱を行う手順及び手順毎の数量を下段の欄に記入してください。")))</f>
        <v>適切に入力されました。</v>
      </c>
      <c r="AG101" s="1111"/>
      <c r="AH101" s="1111"/>
      <c r="AI101" s="1111"/>
      <c r="AJ101" s="1111"/>
      <c r="AK101" s="1111"/>
      <c r="AL101" s="1111"/>
      <c r="AM101" s="1111"/>
      <c r="AN101" s="1111"/>
      <c r="AO101" s="1111"/>
      <c r="AP101" s="1112"/>
      <c r="AQ101" s="1113"/>
      <c r="AR101" s="1113"/>
      <c r="AS101" s="1113"/>
      <c r="AT101" s="1113"/>
      <c r="AU101" s="1113"/>
      <c r="AV101" s="1113"/>
      <c r="AW101" s="1113"/>
      <c r="AX101" s="1114"/>
    </row>
    <row r="102" spans="2:50" ht="18" customHeight="1" x14ac:dyDescent="0.35">
      <c r="B102" s="1100"/>
      <c r="C102" s="1101"/>
      <c r="D102" s="1101"/>
      <c r="E102" s="1102"/>
      <c r="F102" s="1100"/>
      <c r="G102" s="1101"/>
      <c r="H102" s="1101"/>
      <c r="I102" s="1101"/>
      <c r="J102" s="1101"/>
      <c r="K102" s="1101"/>
      <c r="L102" s="1101"/>
      <c r="M102" s="1102"/>
      <c r="N102" s="1062"/>
      <c r="O102" s="1061"/>
      <c r="P102" s="1061"/>
      <c r="Q102" s="1061"/>
      <c r="R102" s="1062"/>
      <c r="S102" s="1063"/>
      <c r="T102" s="1063"/>
      <c r="U102" s="1063"/>
      <c r="V102" s="1096"/>
      <c r="W102" s="1084"/>
      <c r="X102" s="1084"/>
      <c r="Y102" s="1084"/>
      <c r="Z102" s="1117"/>
      <c r="AA102" s="1084"/>
      <c r="AB102" s="1084"/>
      <c r="AC102" s="1085"/>
      <c r="AD102" s="1066"/>
      <c r="AE102" s="1069"/>
      <c r="AF102" s="1110"/>
      <c r="AG102" s="1111"/>
      <c r="AH102" s="1111"/>
      <c r="AI102" s="1111"/>
      <c r="AJ102" s="1111"/>
      <c r="AK102" s="1111"/>
      <c r="AL102" s="1111"/>
      <c r="AM102" s="1111"/>
      <c r="AN102" s="1111"/>
      <c r="AO102" s="1111"/>
      <c r="AP102" s="1112"/>
      <c r="AQ102" s="1113"/>
      <c r="AR102" s="1113"/>
      <c r="AS102" s="1113"/>
      <c r="AT102" s="1113"/>
      <c r="AU102" s="1113"/>
      <c r="AV102" s="1113"/>
      <c r="AW102" s="1113"/>
      <c r="AX102" s="1114"/>
    </row>
    <row r="103" spans="2:50" ht="18" customHeight="1" x14ac:dyDescent="0.35">
      <c r="B103" s="1100"/>
      <c r="C103" s="1101"/>
      <c r="D103" s="1101"/>
      <c r="E103" s="1102"/>
      <c r="F103" s="1103"/>
      <c r="G103" s="1104"/>
      <c r="H103" s="1104"/>
      <c r="I103" s="1104"/>
      <c r="J103" s="1104"/>
      <c r="K103" s="1104"/>
      <c r="L103" s="1104"/>
      <c r="M103" s="1105"/>
      <c r="N103" s="1061"/>
      <c r="O103" s="1061"/>
      <c r="P103" s="1061"/>
      <c r="Q103" s="1061"/>
      <c r="R103" s="1063"/>
      <c r="S103" s="1063"/>
      <c r="T103" s="1063"/>
      <c r="U103" s="1063"/>
      <c r="V103" s="1084"/>
      <c r="W103" s="1084"/>
      <c r="X103" s="1084"/>
      <c r="Y103" s="1084"/>
      <c r="Z103" s="1084"/>
      <c r="AA103" s="1084"/>
      <c r="AB103" s="1084"/>
      <c r="AC103" s="1085"/>
      <c r="AD103" s="1070"/>
      <c r="AE103" s="1069"/>
      <c r="AF103" s="1111"/>
      <c r="AG103" s="1111"/>
      <c r="AH103" s="1111"/>
      <c r="AI103" s="1111"/>
      <c r="AJ103" s="1111"/>
      <c r="AK103" s="1111"/>
      <c r="AL103" s="1111"/>
      <c r="AM103" s="1111"/>
      <c r="AN103" s="1111"/>
      <c r="AO103" s="1111"/>
      <c r="AP103" s="1112"/>
      <c r="AQ103" s="1113"/>
      <c r="AR103" s="1113"/>
      <c r="AS103" s="1113"/>
      <c r="AT103" s="1113"/>
      <c r="AU103" s="1113"/>
      <c r="AV103" s="1113"/>
      <c r="AW103" s="1113"/>
      <c r="AX103" s="1114"/>
    </row>
    <row r="104" spans="2:50" ht="18" customHeight="1" x14ac:dyDescent="0.35">
      <c r="B104" s="1100"/>
      <c r="C104" s="1101"/>
      <c r="D104" s="1101"/>
      <c r="E104" s="1102"/>
      <c r="F104" s="1106" t="s">
        <v>1041</v>
      </c>
      <c r="G104" s="1098"/>
      <c r="H104" s="1098"/>
      <c r="I104" s="1098"/>
      <c r="J104" s="1098"/>
      <c r="K104" s="1098"/>
      <c r="L104" s="1098"/>
      <c r="M104" s="1099"/>
      <c r="N104" s="1062">
        <v>1</v>
      </c>
      <c r="O104" s="1061"/>
      <c r="P104" s="1061"/>
      <c r="Q104" s="1061"/>
      <c r="R104" s="1062">
        <v>1</v>
      </c>
      <c r="S104" s="1063"/>
      <c r="T104" s="1063"/>
      <c r="U104" s="1063"/>
      <c r="V104" s="1096">
        <f>SUM(IF($H$76="",0,$H$76)*N104,IF($L$76="",0,$L$76)*R104)</f>
        <v>2</v>
      </c>
      <c r="W104" s="1084"/>
      <c r="X104" s="1084"/>
      <c r="Y104" s="1084"/>
      <c r="Z104" s="1117">
        <f>IFERROR(V104*$X$76,0)</f>
        <v>56</v>
      </c>
      <c r="AA104" s="1084"/>
      <c r="AB104" s="1084"/>
      <c r="AC104" s="1085"/>
      <c r="AD104" s="1066" t="str">
        <f t="shared" ref="AD104" si="26">IF(COUNTA(N104:U106)=2,"○","×")</f>
        <v>○</v>
      </c>
      <c r="AE104" s="1069"/>
      <c r="AF104" s="1110" t="str">
        <f xml:space="preserve">
IF(COUNTA(N104:U106)&lt;2,"各職種の使用数を入力してください。(０の場合は０を入力)",
IF(AND(COUNTA(N104:U106)=2,N104&lt;=1,R104&lt;=1),"適切に入力されました。",
IF(AND(COUNTA(N104:U106)=2,OR(N104&gt;1,R104&gt;1)),"患者１人あたりスタッフ１名が１個を超える使用量が入力されているため、着脱を行う手順及び手順毎の数量を下段の欄に記入してください。")))</f>
        <v>適切に入力されました。</v>
      </c>
      <c r="AG104" s="1111"/>
      <c r="AH104" s="1111"/>
      <c r="AI104" s="1111"/>
      <c r="AJ104" s="1111"/>
      <c r="AK104" s="1111"/>
      <c r="AL104" s="1111"/>
      <c r="AM104" s="1111"/>
      <c r="AN104" s="1111"/>
      <c r="AO104" s="1111"/>
      <c r="AP104" s="1112"/>
      <c r="AQ104" s="1113"/>
      <c r="AR104" s="1113"/>
      <c r="AS104" s="1113"/>
      <c r="AT104" s="1113"/>
      <c r="AU104" s="1113"/>
      <c r="AV104" s="1113"/>
      <c r="AW104" s="1113"/>
      <c r="AX104" s="1114"/>
    </row>
    <row r="105" spans="2:50" ht="18" customHeight="1" x14ac:dyDescent="0.35">
      <c r="B105" s="1100"/>
      <c r="C105" s="1101"/>
      <c r="D105" s="1101"/>
      <c r="E105" s="1102"/>
      <c r="F105" s="1100"/>
      <c r="G105" s="1101"/>
      <c r="H105" s="1101"/>
      <c r="I105" s="1101"/>
      <c r="J105" s="1101"/>
      <c r="K105" s="1101"/>
      <c r="L105" s="1101"/>
      <c r="M105" s="1102"/>
      <c r="N105" s="1062"/>
      <c r="O105" s="1061"/>
      <c r="P105" s="1061"/>
      <c r="Q105" s="1061"/>
      <c r="R105" s="1062"/>
      <c r="S105" s="1063"/>
      <c r="T105" s="1063"/>
      <c r="U105" s="1063"/>
      <c r="V105" s="1096"/>
      <c r="W105" s="1084"/>
      <c r="X105" s="1084"/>
      <c r="Y105" s="1084"/>
      <c r="Z105" s="1117"/>
      <c r="AA105" s="1084"/>
      <c r="AB105" s="1084"/>
      <c r="AC105" s="1085"/>
      <c r="AD105" s="1066"/>
      <c r="AE105" s="1069"/>
      <c r="AF105" s="1110"/>
      <c r="AG105" s="1111"/>
      <c r="AH105" s="1111"/>
      <c r="AI105" s="1111"/>
      <c r="AJ105" s="1111"/>
      <c r="AK105" s="1111"/>
      <c r="AL105" s="1111"/>
      <c r="AM105" s="1111"/>
      <c r="AN105" s="1111"/>
      <c r="AO105" s="1111"/>
      <c r="AP105" s="1112"/>
      <c r="AQ105" s="1113"/>
      <c r="AR105" s="1113"/>
      <c r="AS105" s="1113"/>
      <c r="AT105" s="1113"/>
      <c r="AU105" s="1113"/>
      <c r="AV105" s="1113"/>
      <c r="AW105" s="1113"/>
      <c r="AX105" s="1114"/>
    </row>
    <row r="106" spans="2:50" ht="18" customHeight="1" x14ac:dyDescent="0.35">
      <c r="B106" s="1103"/>
      <c r="C106" s="1104"/>
      <c r="D106" s="1104"/>
      <c r="E106" s="1105"/>
      <c r="F106" s="1103"/>
      <c r="G106" s="1104"/>
      <c r="H106" s="1104"/>
      <c r="I106" s="1104"/>
      <c r="J106" s="1104"/>
      <c r="K106" s="1104"/>
      <c r="L106" s="1104"/>
      <c r="M106" s="1105"/>
      <c r="N106" s="1061"/>
      <c r="O106" s="1061"/>
      <c r="P106" s="1061"/>
      <c r="Q106" s="1061"/>
      <c r="R106" s="1063"/>
      <c r="S106" s="1063"/>
      <c r="T106" s="1063"/>
      <c r="U106" s="1063"/>
      <c r="V106" s="1084"/>
      <c r="W106" s="1084"/>
      <c r="X106" s="1084"/>
      <c r="Y106" s="1084"/>
      <c r="Z106" s="1084"/>
      <c r="AA106" s="1084"/>
      <c r="AB106" s="1084"/>
      <c r="AC106" s="1085"/>
      <c r="AD106" s="1070"/>
      <c r="AE106" s="1069"/>
      <c r="AF106" s="1111"/>
      <c r="AG106" s="1111"/>
      <c r="AH106" s="1111"/>
      <c r="AI106" s="1111"/>
      <c r="AJ106" s="1111"/>
      <c r="AK106" s="1111"/>
      <c r="AL106" s="1111"/>
      <c r="AM106" s="1111"/>
      <c r="AN106" s="1111"/>
      <c r="AO106" s="1111"/>
      <c r="AP106" s="1112"/>
      <c r="AQ106" s="1113"/>
      <c r="AR106" s="1113"/>
      <c r="AS106" s="1113"/>
      <c r="AT106" s="1113"/>
      <c r="AU106" s="1113"/>
      <c r="AV106" s="1113"/>
      <c r="AW106" s="1113"/>
      <c r="AX106" s="1114"/>
    </row>
    <row r="107" spans="2:50" ht="18" customHeight="1" x14ac:dyDescent="0.35">
      <c r="B107" s="1108" t="s">
        <v>234</v>
      </c>
      <c r="C107" s="1098"/>
      <c r="D107" s="1098"/>
      <c r="E107" s="1098"/>
      <c r="F107" s="1098"/>
      <c r="G107" s="1098"/>
      <c r="H107" s="1098"/>
      <c r="I107" s="1098"/>
      <c r="J107" s="1098"/>
      <c r="K107" s="1098"/>
      <c r="L107" s="1098"/>
      <c r="M107" s="1098"/>
      <c r="N107" s="1060">
        <v>1</v>
      </c>
      <c r="O107" s="1061"/>
      <c r="P107" s="1061"/>
      <c r="Q107" s="1061"/>
      <c r="R107" s="1060">
        <v>1</v>
      </c>
      <c r="S107" s="1063"/>
      <c r="T107" s="1063"/>
      <c r="U107" s="1063"/>
      <c r="V107" s="1097">
        <f>SUM(IF($H$76="",0,$H$76)*N107,IF($L$76="",0,$L$76)*R107)</f>
        <v>2</v>
      </c>
      <c r="W107" s="1084"/>
      <c r="X107" s="1084"/>
      <c r="Y107" s="1084"/>
      <c r="Z107" s="1083">
        <f>IFERROR(V107*$X$76,0)</f>
        <v>56</v>
      </c>
      <c r="AA107" s="1084"/>
      <c r="AB107" s="1084"/>
      <c r="AC107" s="1085"/>
      <c r="AD107" s="1066" t="str">
        <f t="shared" ref="AD107" si="27">IF(COUNTA(N107:U109)=2,"○","×")</f>
        <v>○</v>
      </c>
      <c r="AE107" s="1069"/>
      <c r="AF107" s="1110" t="str">
        <f xml:space="preserve">
IF(COUNTA(N107:U109)&lt;2,"各職種の使用数を入力してください。(０の場合は０を入力)",
IF(AND(COUNTA(N107:U109)=2,N107&lt;=1,R107&lt;=1),"適切に入力されました。",
IF(AND(COUNTA(N107:U109)=2,OR(N107&gt;1,R107&gt;1)),"患者１人あたりスタッフ１名が１枚を超える使用量が入力されているため、着脱を行う手順及び手順毎の数量を下段の欄に記入してください。")))</f>
        <v>適切に入力されました。</v>
      </c>
      <c r="AG107" s="1111"/>
      <c r="AH107" s="1111"/>
      <c r="AI107" s="1111"/>
      <c r="AJ107" s="1111"/>
      <c r="AK107" s="1111"/>
      <c r="AL107" s="1111"/>
      <c r="AM107" s="1111"/>
      <c r="AN107" s="1111"/>
      <c r="AO107" s="1111"/>
      <c r="AP107" s="1112"/>
      <c r="AQ107" s="1113"/>
      <c r="AR107" s="1113"/>
      <c r="AS107" s="1113"/>
      <c r="AT107" s="1113"/>
      <c r="AU107" s="1113"/>
      <c r="AV107" s="1113"/>
      <c r="AW107" s="1113"/>
      <c r="AX107" s="1114"/>
    </row>
    <row r="108" spans="2:50" ht="18" customHeight="1" x14ac:dyDescent="0.35">
      <c r="B108" s="1090"/>
      <c r="C108" s="1109"/>
      <c r="D108" s="1109"/>
      <c r="E108" s="1109"/>
      <c r="F108" s="1109"/>
      <c r="G108" s="1109"/>
      <c r="H108" s="1109"/>
      <c r="I108" s="1109"/>
      <c r="J108" s="1109"/>
      <c r="K108" s="1109"/>
      <c r="L108" s="1109"/>
      <c r="M108" s="1109"/>
      <c r="N108" s="1060"/>
      <c r="O108" s="1061"/>
      <c r="P108" s="1061"/>
      <c r="Q108" s="1061"/>
      <c r="R108" s="1060"/>
      <c r="S108" s="1063"/>
      <c r="T108" s="1063"/>
      <c r="U108" s="1063"/>
      <c r="V108" s="1097"/>
      <c r="W108" s="1084"/>
      <c r="X108" s="1084"/>
      <c r="Y108" s="1084"/>
      <c r="Z108" s="1083"/>
      <c r="AA108" s="1084"/>
      <c r="AB108" s="1084"/>
      <c r="AC108" s="1085"/>
      <c r="AD108" s="1066"/>
      <c r="AE108" s="1069"/>
      <c r="AF108" s="1110"/>
      <c r="AG108" s="1111"/>
      <c r="AH108" s="1111"/>
      <c r="AI108" s="1111"/>
      <c r="AJ108" s="1111"/>
      <c r="AK108" s="1111"/>
      <c r="AL108" s="1111"/>
      <c r="AM108" s="1111"/>
      <c r="AN108" s="1111"/>
      <c r="AO108" s="1111"/>
      <c r="AP108" s="1112"/>
      <c r="AQ108" s="1113"/>
      <c r="AR108" s="1113"/>
      <c r="AS108" s="1113"/>
      <c r="AT108" s="1113"/>
      <c r="AU108" s="1113"/>
      <c r="AV108" s="1113"/>
      <c r="AW108" s="1113"/>
      <c r="AX108" s="1114"/>
    </row>
    <row r="109" spans="2:50" ht="18" customHeight="1" x14ac:dyDescent="0.35">
      <c r="B109" s="1103"/>
      <c r="C109" s="1104"/>
      <c r="D109" s="1104"/>
      <c r="E109" s="1104"/>
      <c r="F109" s="1104"/>
      <c r="G109" s="1104"/>
      <c r="H109" s="1104"/>
      <c r="I109" s="1104"/>
      <c r="J109" s="1104"/>
      <c r="K109" s="1104"/>
      <c r="L109" s="1104"/>
      <c r="M109" s="1104"/>
      <c r="N109" s="1061"/>
      <c r="O109" s="1061"/>
      <c r="P109" s="1061"/>
      <c r="Q109" s="1061"/>
      <c r="R109" s="1063"/>
      <c r="S109" s="1063"/>
      <c r="T109" s="1063"/>
      <c r="U109" s="1063"/>
      <c r="V109" s="1084"/>
      <c r="W109" s="1084"/>
      <c r="X109" s="1084"/>
      <c r="Y109" s="1084"/>
      <c r="Z109" s="1084"/>
      <c r="AA109" s="1084"/>
      <c r="AB109" s="1084"/>
      <c r="AC109" s="1085"/>
      <c r="AD109" s="1070"/>
      <c r="AE109" s="1069"/>
      <c r="AF109" s="1111"/>
      <c r="AG109" s="1111"/>
      <c r="AH109" s="1111"/>
      <c r="AI109" s="1111"/>
      <c r="AJ109" s="1111"/>
      <c r="AK109" s="1111"/>
      <c r="AL109" s="1111"/>
      <c r="AM109" s="1111"/>
      <c r="AN109" s="1111"/>
      <c r="AO109" s="1111"/>
      <c r="AP109" s="1112"/>
      <c r="AQ109" s="1113"/>
      <c r="AR109" s="1113"/>
      <c r="AS109" s="1113"/>
      <c r="AT109" s="1113"/>
      <c r="AU109" s="1113"/>
      <c r="AV109" s="1113"/>
      <c r="AW109" s="1113"/>
      <c r="AX109" s="1114"/>
    </row>
    <row r="110" spans="2:50" ht="18" customHeight="1" x14ac:dyDescent="0.35">
      <c r="B110" s="1108" t="s">
        <v>1027</v>
      </c>
      <c r="C110" s="1098"/>
      <c r="D110" s="1098"/>
      <c r="E110" s="1099"/>
      <c r="F110" s="1106" t="s">
        <v>1042</v>
      </c>
      <c r="G110" s="1098"/>
      <c r="H110" s="1098"/>
      <c r="I110" s="1098"/>
      <c r="J110" s="1098"/>
      <c r="K110" s="1098"/>
      <c r="L110" s="1098"/>
      <c r="M110" s="1099"/>
      <c r="N110" s="1060">
        <v>1</v>
      </c>
      <c r="O110" s="1061"/>
      <c r="P110" s="1061"/>
      <c r="Q110" s="1061"/>
      <c r="R110" s="1060">
        <v>1</v>
      </c>
      <c r="S110" s="1063"/>
      <c r="T110" s="1063"/>
      <c r="U110" s="1063"/>
      <c r="V110" s="1097">
        <f>SUM(IF($H$76="",0,$H$76)*N110,IF($L$76="",0,$L$76)*R110)</f>
        <v>2</v>
      </c>
      <c r="W110" s="1084"/>
      <c r="X110" s="1084"/>
      <c r="Y110" s="1084"/>
      <c r="Z110" s="1083">
        <f>IFERROR(V110*$X$76,0)</f>
        <v>56</v>
      </c>
      <c r="AA110" s="1084"/>
      <c r="AB110" s="1084"/>
      <c r="AC110" s="1085"/>
      <c r="AD110" s="1066" t="str">
        <f t="shared" ref="AD110" si="28">IF(COUNTA(N110:U112)=2,"○","×")</f>
        <v>○</v>
      </c>
      <c r="AE110" s="1069"/>
      <c r="AF110" s="1110" t="str">
        <f xml:space="preserve">
IF(COUNTA(N110:U112)&lt;2,"各職種の使用数を入力してください。(０の場合は０を入力)",
IF(AND(COUNTA(N110:U112)=2,N110&lt;=1,R110&lt;=1),"適切に入力されました。",
IF(AND(COUNTA(N110:U112)=2,OR(N110&gt;1,R110&gt;1)),"患者１人あたりスタッフ１名が１枚を超える使用量が入力されているため、着脱を行う手順及び手順毎の数量を下段の欄に記入してください。")))</f>
        <v>適切に入力されました。</v>
      </c>
      <c r="AG110" s="1111"/>
      <c r="AH110" s="1111"/>
      <c r="AI110" s="1111"/>
      <c r="AJ110" s="1111"/>
      <c r="AK110" s="1111"/>
      <c r="AL110" s="1111"/>
      <c r="AM110" s="1111"/>
      <c r="AN110" s="1111"/>
      <c r="AO110" s="1111"/>
      <c r="AP110" s="1112"/>
      <c r="AQ110" s="1113"/>
      <c r="AR110" s="1113"/>
      <c r="AS110" s="1113"/>
      <c r="AT110" s="1113"/>
      <c r="AU110" s="1113"/>
      <c r="AV110" s="1113"/>
      <c r="AW110" s="1113"/>
      <c r="AX110" s="1114"/>
    </row>
    <row r="111" spans="2:50" ht="18" customHeight="1" x14ac:dyDescent="0.35">
      <c r="B111" s="1100"/>
      <c r="C111" s="1101"/>
      <c r="D111" s="1101"/>
      <c r="E111" s="1102"/>
      <c r="F111" s="1100"/>
      <c r="G111" s="1101"/>
      <c r="H111" s="1101"/>
      <c r="I111" s="1101"/>
      <c r="J111" s="1101"/>
      <c r="K111" s="1101"/>
      <c r="L111" s="1101"/>
      <c r="M111" s="1102"/>
      <c r="N111" s="1060"/>
      <c r="O111" s="1061"/>
      <c r="P111" s="1061"/>
      <c r="Q111" s="1061"/>
      <c r="R111" s="1060"/>
      <c r="S111" s="1063"/>
      <c r="T111" s="1063"/>
      <c r="U111" s="1063"/>
      <c r="V111" s="1097"/>
      <c r="W111" s="1084"/>
      <c r="X111" s="1084"/>
      <c r="Y111" s="1084"/>
      <c r="Z111" s="1083"/>
      <c r="AA111" s="1084"/>
      <c r="AB111" s="1084"/>
      <c r="AC111" s="1085"/>
      <c r="AD111" s="1066"/>
      <c r="AE111" s="1069"/>
      <c r="AF111" s="1110"/>
      <c r="AG111" s="1111"/>
      <c r="AH111" s="1111"/>
      <c r="AI111" s="1111"/>
      <c r="AJ111" s="1111"/>
      <c r="AK111" s="1111"/>
      <c r="AL111" s="1111"/>
      <c r="AM111" s="1111"/>
      <c r="AN111" s="1111"/>
      <c r="AO111" s="1111"/>
      <c r="AP111" s="1112"/>
      <c r="AQ111" s="1113"/>
      <c r="AR111" s="1113"/>
      <c r="AS111" s="1113"/>
      <c r="AT111" s="1113"/>
      <c r="AU111" s="1113"/>
      <c r="AV111" s="1113"/>
      <c r="AW111" s="1113"/>
      <c r="AX111" s="1114"/>
    </row>
    <row r="112" spans="2:50" ht="18" customHeight="1" x14ac:dyDescent="0.35">
      <c r="B112" s="1100"/>
      <c r="C112" s="1101"/>
      <c r="D112" s="1101"/>
      <c r="E112" s="1102"/>
      <c r="F112" s="1103"/>
      <c r="G112" s="1104"/>
      <c r="H112" s="1104"/>
      <c r="I112" s="1104"/>
      <c r="J112" s="1104"/>
      <c r="K112" s="1104"/>
      <c r="L112" s="1104"/>
      <c r="M112" s="1105"/>
      <c r="N112" s="1061"/>
      <c r="O112" s="1061"/>
      <c r="P112" s="1061"/>
      <c r="Q112" s="1061"/>
      <c r="R112" s="1063"/>
      <c r="S112" s="1063"/>
      <c r="T112" s="1063"/>
      <c r="U112" s="1063"/>
      <c r="V112" s="1084"/>
      <c r="W112" s="1084"/>
      <c r="X112" s="1084"/>
      <c r="Y112" s="1084"/>
      <c r="Z112" s="1084"/>
      <c r="AA112" s="1084"/>
      <c r="AB112" s="1084"/>
      <c r="AC112" s="1085"/>
      <c r="AD112" s="1070"/>
      <c r="AE112" s="1069"/>
      <c r="AF112" s="1111"/>
      <c r="AG112" s="1111"/>
      <c r="AH112" s="1111"/>
      <c r="AI112" s="1111"/>
      <c r="AJ112" s="1111"/>
      <c r="AK112" s="1111"/>
      <c r="AL112" s="1111"/>
      <c r="AM112" s="1111"/>
      <c r="AN112" s="1111"/>
      <c r="AO112" s="1111"/>
      <c r="AP112" s="1112"/>
      <c r="AQ112" s="1113"/>
      <c r="AR112" s="1113"/>
      <c r="AS112" s="1113"/>
      <c r="AT112" s="1113"/>
      <c r="AU112" s="1113"/>
      <c r="AV112" s="1113"/>
      <c r="AW112" s="1113"/>
      <c r="AX112" s="1114"/>
    </row>
    <row r="113" spans="2:80" ht="18" customHeight="1" x14ac:dyDescent="0.35">
      <c r="B113" s="1100"/>
      <c r="C113" s="1101"/>
      <c r="D113" s="1101"/>
      <c r="E113" s="1102"/>
      <c r="F113" s="1107" t="s">
        <v>1134</v>
      </c>
      <c r="G113" s="1098"/>
      <c r="H113" s="1098"/>
      <c r="I113" s="1098"/>
      <c r="J113" s="1098"/>
      <c r="K113" s="1098"/>
      <c r="L113" s="1098"/>
      <c r="M113" s="1099"/>
      <c r="N113" s="1062">
        <v>0.1</v>
      </c>
      <c r="O113" s="1061"/>
      <c r="P113" s="1061"/>
      <c r="Q113" s="1061"/>
      <c r="R113" s="1062">
        <v>0.1</v>
      </c>
      <c r="S113" s="1063"/>
      <c r="T113" s="1063"/>
      <c r="U113" s="1063"/>
      <c r="V113" s="1096">
        <f>SUM(IF($H$76="",0,$H$76)*N113,IF($L$76="",0,$L$76)*R113)</f>
        <v>0.2</v>
      </c>
      <c r="W113" s="1084"/>
      <c r="X113" s="1084"/>
      <c r="Y113" s="1084"/>
      <c r="Z113" s="1117">
        <f>IFERROR(V113*$X$76,0)</f>
        <v>5.6000000000000005</v>
      </c>
      <c r="AA113" s="1084"/>
      <c r="AB113" s="1084"/>
      <c r="AC113" s="1085"/>
      <c r="AD113" s="1066" t="str">
        <f t="shared" ref="AD113" si="29">IF(COUNTA(N113:U115)=2,"○","×")</f>
        <v>○</v>
      </c>
      <c r="AE113" s="1069"/>
      <c r="AF113" s="1110" t="str">
        <f xml:space="preserve">
IF(COUNTA(N113:U115)&lt;2,"各職種の使用数を入力してください。(０の場合は０を入力)",
IF(AND(COUNTA(N113:U115)=2,N113&lt;=0.5,R113&lt;=0.5),"適切に入力されました。",
IF(AND(COUNTA(N113:U115)=2,OR(N113&gt;0.5,R113&gt;0.5)),"リユーサブル品の使い捨てに近い使用のため、着脱を行う手順及び手順毎の数量を下段の欄に記入してください。")))</f>
        <v>適切に入力されました。</v>
      </c>
      <c r="AG113" s="1111"/>
      <c r="AH113" s="1111"/>
      <c r="AI113" s="1111"/>
      <c r="AJ113" s="1111"/>
      <c r="AK113" s="1111"/>
      <c r="AL113" s="1111"/>
      <c r="AM113" s="1111"/>
      <c r="AN113" s="1111"/>
      <c r="AO113" s="1111"/>
      <c r="AP113" s="1112"/>
      <c r="AQ113" s="1113"/>
      <c r="AR113" s="1113"/>
      <c r="AS113" s="1113"/>
      <c r="AT113" s="1113"/>
      <c r="AU113" s="1113"/>
      <c r="AV113" s="1113"/>
      <c r="AW113" s="1113"/>
      <c r="AX113" s="1114"/>
    </row>
    <row r="114" spans="2:80" ht="18" customHeight="1" x14ac:dyDescent="0.35">
      <c r="B114" s="1100"/>
      <c r="C114" s="1101"/>
      <c r="D114" s="1101"/>
      <c r="E114" s="1102"/>
      <c r="F114" s="1100"/>
      <c r="G114" s="1101"/>
      <c r="H114" s="1101"/>
      <c r="I114" s="1101"/>
      <c r="J114" s="1101"/>
      <c r="K114" s="1101"/>
      <c r="L114" s="1101"/>
      <c r="M114" s="1102"/>
      <c r="N114" s="1062"/>
      <c r="O114" s="1061"/>
      <c r="P114" s="1061"/>
      <c r="Q114" s="1061"/>
      <c r="R114" s="1062"/>
      <c r="S114" s="1063"/>
      <c r="T114" s="1063"/>
      <c r="U114" s="1063"/>
      <c r="V114" s="1096"/>
      <c r="W114" s="1084"/>
      <c r="X114" s="1084"/>
      <c r="Y114" s="1084"/>
      <c r="Z114" s="1117"/>
      <c r="AA114" s="1084"/>
      <c r="AB114" s="1084"/>
      <c r="AC114" s="1085"/>
      <c r="AD114" s="1066"/>
      <c r="AE114" s="1069"/>
      <c r="AF114" s="1110"/>
      <c r="AG114" s="1111"/>
      <c r="AH114" s="1111"/>
      <c r="AI114" s="1111"/>
      <c r="AJ114" s="1111"/>
      <c r="AK114" s="1111"/>
      <c r="AL114" s="1111"/>
      <c r="AM114" s="1111"/>
      <c r="AN114" s="1111"/>
      <c r="AO114" s="1111"/>
      <c r="AP114" s="1112"/>
      <c r="AQ114" s="1113"/>
      <c r="AR114" s="1113"/>
      <c r="AS114" s="1113"/>
      <c r="AT114" s="1113"/>
      <c r="AU114" s="1113"/>
      <c r="AV114" s="1113"/>
      <c r="AW114" s="1113"/>
      <c r="AX114" s="1114"/>
    </row>
    <row r="115" spans="2:80" ht="18" customHeight="1" x14ac:dyDescent="0.35">
      <c r="B115" s="1100"/>
      <c r="C115" s="1101"/>
      <c r="D115" s="1101"/>
      <c r="E115" s="1102"/>
      <c r="F115" s="1103"/>
      <c r="G115" s="1104"/>
      <c r="H115" s="1104"/>
      <c r="I115" s="1104"/>
      <c r="J115" s="1104"/>
      <c r="K115" s="1104"/>
      <c r="L115" s="1104"/>
      <c r="M115" s="1105"/>
      <c r="N115" s="1061"/>
      <c r="O115" s="1061"/>
      <c r="P115" s="1061"/>
      <c r="Q115" s="1061"/>
      <c r="R115" s="1063"/>
      <c r="S115" s="1063"/>
      <c r="T115" s="1063"/>
      <c r="U115" s="1063"/>
      <c r="V115" s="1084"/>
      <c r="W115" s="1084"/>
      <c r="X115" s="1084"/>
      <c r="Y115" s="1084"/>
      <c r="Z115" s="1084"/>
      <c r="AA115" s="1084"/>
      <c r="AB115" s="1084"/>
      <c r="AC115" s="1085"/>
      <c r="AD115" s="1070"/>
      <c r="AE115" s="1069"/>
      <c r="AF115" s="1111"/>
      <c r="AG115" s="1111"/>
      <c r="AH115" s="1111"/>
      <c r="AI115" s="1111"/>
      <c r="AJ115" s="1111"/>
      <c r="AK115" s="1111"/>
      <c r="AL115" s="1111"/>
      <c r="AM115" s="1111"/>
      <c r="AN115" s="1111"/>
      <c r="AO115" s="1111"/>
      <c r="AP115" s="1112"/>
      <c r="AQ115" s="1113"/>
      <c r="AR115" s="1113"/>
      <c r="AS115" s="1113"/>
      <c r="AT115" s="1113"/>
      <c r="AU115" s="1113"/>
      <c r="AV115" s="1113"/>
      <c r="AW115" s="1113"/>
      <c r="AX115" s="1114"/>
    </row>
    <row r="116" spans="2:80" ht="18" customHeight="1" x14ac:dyDescent="0.35">
      <c r="B116" s="1100"/>
      <c r="C116" s="1101"/>
      <c r="D116" s="1101"/>
      <c r="E116" s="1102"/>
      <c r="F116" s="1106" t="s">
        <v>1043</v>
      </c>
      <c r="G116" s="1098"/>
      <c r="H116" s="1098"/>
      <c r="I116" s="1098"/>
      <c r="J116" s="1098"/>
      <c r="K116" s="1098"/>
      <c r="L116" s="1098"/>
      <c r="M116" s="1099"/>
      <c r="N116" s="1060">
        <v>0.1</v>
      </c>
      <c r="O116" s="1061"/>
      <c r="P116" s="1061"/>
      <c r="Q116" s="1061"/>
      <c r="R116" s="1060">
        <v>0.1</v>
      </c>
      <c r="S116" s="1063"/>
      <c r="T116" s="1063"/>
      <c r="U116" s="1063"/>
      <c r="V116" s="1097">
        <f>SUM(IF($H$76="",0,$H$76)*N116,IF($L$76="",0,$L$76)*R116)</f>
        <v>0.2</v>
      </c>
      <c r="W116" s="1084"/>
      <c r="X116" s="1084"/>
      <c r="Y116" s="1084"/>
      <c r="Z116" s="1083">
        <f>IFERROR(V116*$X$76,0)</f>
        <v>5.6000000000000005</v>
      </c>
      <c r="AA116" s="1084"/>
      <c r="AB116" s="1084"/>
      <c r="AC116" s="1085"/>
      <c r="AD116" s="1066" t="str">
        <f>IF(COUNTA(N116:U118)=2,"○","×")</f>
        <v>○</v>
      </c>
      <c r="AE116" s="1069"/>
      <c r="AF116" s="1110" t="str">
        <f xml:space="preserve">
IF(COUNTA(N116:U118)&lt;2,"各職種の使用数を入力してください。(０の場合は０を入力)",
IF(AND(COUNTA(N116:U118)=2,N116&lt;=1,R116&lt;=1),"適切に入力されました。",
IF(AND(COUNTA(N116:U118)=2,OR(N116&gt;1,R116&gt;1)),"患者１人あたりスタッフ１名が１枚を超える使用量が入力されているため、着脱を行う手順及び手順毎の数量を下段の欄に記入してください。")))</f>
        <v>適切に入力されました。</v>
      </c>
      <c r="AG116" s="1111"/>
      <c r="AH116" s="1111"/>
      <c r="AI116" s="1111"/>
      <c r="AJ116" s="1111"/>
      <c r="AK116" s="1111"/>
      <c r="AL116" s="1111"/>
      <c r="AM116" s="1111"/>
      <c r="AN116" s="1111"/>
      <c r="AO116" s="1111"/>
      <c r="AP116" s="1112"/>
      <c r="AQ116" s="1113"/>
      <c r="AR116" s="1113"/>
      <c r="AS116" s="1113"/>
      <c r="AT116" s="1113"/>
      <c r="AU116" s="1113"/>
      <c r="AV116" s="1113"/>
      <c r="AW116" s="1113"/>
      <c r="AX116" s="1114"/>
    </row>
    <row r="117" spans="2:80" ht="18" customHeight="1" x14ac:dyDescent="0.35">
      <c r="B117" s="1100"/>
      <c r="C117" s="1101"/>
      <c r="D117" s="1101"/>
      <c r="E117" s="1102"/>
      <c r="F117" s="1100"/>
      <c r="G117" s="1101"/>
      <c r="H117" s="1101"/>
      <c r="I117" s="1101"/>
      <c r="J117" s="1101"/>
      <c r="K117" s="1101"/>
      <c r="L117" s="1101"/>
      <c r="M117" s="1102"/>
      <c r="N117" s="1060"/>
      <c r="O117" s="1061"/>
      <c r="P117" s="1061"/>
      <c r="Q117" s="1061"/>
      <c r="R117" s="1060"/>
      <c r="S117" s="1063"/>
      <c r="T117" s="1063"/>
      <c r="U117" s="1063"/>
      <c r="V117" s="1097"/>
      <c r="W117" s="1084"/>
      <c r="X117" s="1084"/>
      <c r="Y117" s="1084"/>
      <c r="Z117" s="1083"/>
      <c r="AA117" s="1084"/>
      <c r="AB117" s="1084"/>
      <c r="AC117" s="1085"/>
      <c r="AD117" s="1066"/>
      <c r="AE117" s="1069"/>
      <c r="AF117" s="1110"/>
      <c r="AG117" s="1111"/>
      <c r="AH117" s="1111"/>
      <c r="AI117" s="1111"/>
      <c r="AJ117" s="1111"/>
      <c r="AK117" s="1111"/>
      <c r="AL117" s="1111"/>
      <c r="AM117" s="1111"/>
      <c r="AN117" s="1111"/>
      <c r="AO117" s="1111"/>
      <c r="AP117" s="1112"/>
      <c r="AQ117" s="1113"/>
      <c r="AR117" s="1113"/>
      <c r="AS117" s="1113"/>
      <c r="AT117" s="1113"/>
      <c r="AU117" s="1113"/>
      <c r="AV117" s="1113"/>
      <c r="AW117" s="1113"/>
      <c r="AX117" s="1114"/>
    </row>
    <row r="118" spans="2:80" ht="18" customHeight="1" x14ac:dyDescent="0.35">
      <c r="B118" s="1100"/>
      <c r="C118" s="1101"/>
      <c r="D118" s="1101"/>
      <c r="E118" s="1102"/>
      <c r="F118" s="1103"/>
      <c r="G118" s="1104"/>
      <c r="H118" s="1104"/>
      <c r="I118" s="1104"/>
      <c r="J118" s="1104"/>
      <c r="K118" s="1104"/>
      <c r="L118" s="1104"/>
      <c r="M118" s="1105"/>
      <c r="N118" s="1061"/>
      <c r="O118" s="1061"/>
      <c r="P118" s="1061"/>
      <c r="Q118" s="1061"/>
      <c r="R118" s="1063"/>
      <c r="S118" s="1063"/>
      <c r="T118" s="1063"/>
      <c r="U118" s="1063"/>
      <c r="V118" s="1084"/>
      <c r="W118" s="1084"/>
      <c r="X118" s="1084"/>
      <c r="Y118" s="1084"/>
      <c r="Z118" s="1084"/>
      <c r="AA118" s="1084"/>
      <c r="AB118" s="1084"/>
      <c r="AC118" s="1085"/>
      <c r="AD118" s="1070"/>
      <c r="AE118" s="1069"/>
      <c r="AF118" s="1111"/>
      <c r="AG118" s="1111"/>
      <c r="AH118" s="1111"/>
      <c r="AI118" s="1111"/>
      <c r="AJ118" s="1111"/>
      <c r="AK118" s="1111"/>
      <c r="AL118" s="1111"/>
      <c r="AM118" s="1111"/>
      <c r="AN118" s="1111"/>
      <c r="AO118" s="1111"/>
      <c r="AP118" s="1112"/>
      <c r="AQ118" s="1113"/>
      <c r="AR118" s="1113"/>
      <c r="AS118" s="1113"/>
      <c r="AT118" s="1113"/>
      <c r="AU118" s="1113"/>
      <c r="AV118" s="1113"/>
      <c r="AW118" s="1113"/>
      <c r="AX118" s="1114"/>
    </row>
    <row r="119" spans="2:80" ht="18" customHeight="1" x14ac:dyDescent="0.35">
      <c r="B119" s="1100"/>
      <c r="C119" s="1101"/>
      <c r="D119" s="1101"/>
      <c r="E119" s="1102"/>
      <c r="F119" s="1107" t="s">
        <v>1133</v>
      </c>
      <c r="G119" s="1098"/>
      <c r="H119" s="1098"/>
      <c r="I119" s="1098"/>
      <c r="J119" s="1098"/>
      <c r="K119" s="1098"/>
      <c r="L119" s="1098"/>
      <c r="M119" s="1099"/>
      <c r="N119" s="1060">
        <v>0.1</v>
      </c>
      <c r="O119" s="1061"/>
      <c r="P119" s="1061"/>
      <c r="Q119" s="1061"/>
      <c r="R119" s="1060">
        <v>0.1</v>
      </c>
      <c r="S119" s="1063"/>
      <c r="T119" s="1063"/>
      <c r="U119" s="1063"/>
      <c r="V119" s="1097">
        <f>SUM(IF($H$76="",0,$H$76)*N119,IF($L$76="",0,$L$76)*R119)</f>
        <v>0.2</v>
      </c>
      <c r="W119" s="1084"/>
      <c r="X119" s="1084"/>
      <c r="Y119" s="1084"/>
      <c r="Z119" s="1083">
        <f>IFERROR(V119*$X$76,0)</f>
        <v>5.6000000000000005</v>
      </c>
      <c r="AA119" s="1084"/>
      <c r="AB119" s="1084"/>
      <c r="AC119" s="1085"/>
      <c r="AD119" s="1066" t="str">
        <f t="shared" ref="AD119" si="30">IF(COUNTA(N119:U121)=2,"○","×")</f>
        <v>○</v>
      </c>
      <c r="AE119" s="1069"/>
      <c r="AF119" s="1110" t="str">
        <f xml:space="preserve">
IF(COUNTA(N119:U121)&lt;2,"各職種の使用数を入力してください。(０の場合は０を入力)",
IF(AND(COUNTA(N119:U121)=2,N119&lt;=0.5,R119&lt;=0.5),"適切に入力されました。",
IF(AND(COUNTA(N119:U121)=2,OR(N119&gt;0.5,R119&gt;0.5)),"リユーサブル品の使い捨てに近い使用のため、着脱を行う手順及び手順毎の数量を下段の欄に記入してください。")))</f>
        <v>適切に入力されました。</v>
      </c>
      <c r="AG119" s="1111"/>
      <c r="AH119" s="1111"/>
      <c r="AI119" s="1111"/>
      <c r="AJ119" s="1111"/>
      <c r="AK119" s="1111"/>
      <c r="AL119" s="1111"/>
      <c r="AM119" s="1111"/>
      <c r="AN119" s="1111"/>
      <c r="AO119" s="1111"/>
      <c r="AP119" s="1112"/>
      <c r="AQ119" s="1113"/>
      <c r="AR119" s="1113"/>
      <c r="AS119" s="1113"/>
      <c r="AT119" s="1113"/>
      <c r="AU119" s="1113"/>
      <c r="AV119" s="1113"/>
      <c r="AW119" s="1113"/>
      <c r="AX119" s="1114"/>
    </row>
    <row r="120" spans="2:80" ht="18" customHeight="1" x14ac:dyDescent="0.35">
      <c r="B120" s="1100"/>
      <c r="C120" s="1101"/>
      <c r="D120" s="1101"/>
      <c r="E120" s="1102"/>
      <c r="F120" s="1100"/>
      <c r="G120" s="1101"/>
      <c r="H120" s="1101"/>
      <c r="I120" s="1101"/>
      <c r="J120" s="1101"/>
      <c r="K120" s="1101"/>
      <c r="L120" s="1101"/>
      <c r="M120" s="1102"/>
      <c r="N120" s="1060"/>
      <c r="O120" s="1061"/>
      <c r="P120" s="1061"/>
      <c r="Q120" s="1061"/>
      <c r="R120" s="1060"/>
      <c r="S120" s="1063"/>
      <c r="T120" s="1063"/>
      <c r="U120" s="1063"/>
      <c r="V120" s="1097"/>
      <c r="W120" s="1084"/>
      <c r="X120" s="1084"/>
      <c r="Y120" s="1084"/>
      <c r="Z120" s="1083"/>
      <c r="AA120" s="1084"/>
      <c r="AB120" s="1084"/>
      <c r="AC120" s="1085"/>
      <c r="AD120" s="1066"/>
      <c r="AE120" s="1069"/>
      <c r="AF120" s="1110"/>
      <c r="AG120" s="1111"/>
      <c r="AH120" s="1111"/>
      <c r="AI120" s="1111"/>
      <c r="AJ120" s="1111"/>
      <c r="AK120" s="1111"/>
      <c r="AL120" s="1111"/>
      <c r="AM120" s="1111"/>
      <c r="AN120" s="1111"/>
      <c r="AO120" s="1111"/>
      <c r="AP120" s="1112"/>
      <c r="AQ120" s="1113"/>
      <c r="AR120" s="1113"/>
      <c r="AS120" s="1113"/>
      <c r="AT120" s="1113"/>
      <c r="AU120" s="1113"/>
      <c r="AV120" s="1113"/>
      <c r="AW120" s="1113"/>
      <c r="AX120" s="1114"/>
    </row>
    <row r="121" spans="2:80" ht="18" customHeight="1" thickBot="1" x14ac:dyDescent="0.4">
      <c r="B121" s="1103"/>
      <c r="C121" s="1104"/>
      <c r="D121" s="1104"/>
      <c r="E121" s="1105"/>
      <c r="F121" s="1103"/>
      <c r="G121" s="1104"/>
      <c r="H121" s="1104"/>
      <c r="I121" s="1104"/>
      <c r="J121" s="1104"/>
      <c r="K121" s="1104"/>
      <c r="L121" s="1104"/>
      <c r="M121" s="1105"/>
      <c r="N121" s="1061"/>
      <c r="O121" s="1061"/>
      <c r="P121" s="1061"/>
      <c r="Q121" s="1061"/>
      <c r="R121" s="1063"/>
      <c r="S121" s="1063"/>
      <c r="T121" s="1063"/>
      <c r="U121" s="1063"/>
      <c r="V121" s="1084"/>
      <c r="W121" s="1084"/>
      <c r="X121" s="1084"/>
      <c r="Y121" s="1084"/>
      <c r="Z121" s="1084"/>
      <c r="AA121" s="1084"/>
      <c r="AB121" s="1084"/>
      <c r="AC121" s="1085"/>
      <c r="AD121" s="1115"/>
      <c r="AE121" s="1116"/>
      <c r="AF121" s="1111"/>
      <c r="AG121" s="1111"/>
      <c r="AH121" s="1111"/>
      <c r="AI121" s="1111"/>
      <c r="AJ121" s="1111"/>
      <c r="AK121" s="1111"/>
      <c r="AL121" s="1111"/>
      <c r="AM121" s="1111"/>
      <c r="AN121" s="1111"/>
      <c r="AO121" s="1111"/>
      <c r="AP121" s="1112"/>
      <c r="AQ121" s="1113"/>
      <c r="AR121" s="1113"/>
      <c r="AS121" s="1113"/>
      <c r="AT121" s="1113"/>
      <c r="AU121" s="1113"/>
      <c r="AV121" s="1113"/>
      <c r="AW121" s="1113"/>
      <c r="AX121" s="1114"/>
    </row>
    <row r="122" spans="2:80" ht="18.75" thickTop="1" x14ac:dyDescent="0.35"/>
    <row r="123" spans="2:80" ht="24" x14ac:dyDescent="0.5">
      <c r="B123" s="1235" t="s">
        <v>1162</v>
      </c>
      <c r="C123" s="1236"/>
      <c r="D123" s="1236"/>
      <c r="E123" s="1236"/>
      <c r="F123" s="1236"/>
      <c r="G123" s="1236"/>
      <c r="H123" s="1236"/>
      <c r="I123" s="1236"/>
      <c r="J123" s="1236"/>
      <c r="K123" s="1236"/>
      <c r="L123" s="1236"/>
      <c r="M123" s="1236"/>
      <c r="N123" s="1236"/>
      <c r="O123" s="1236"/>
      <c r="P123" s="1236"/>
      <c r="Q123" s="1236"/>
      <c r="R123" s="1236"/>
      <c r="S123" s="1236"/>
      <c r="T123" s="1236"/>
      <c r="U123" s="1236"/>
      <c r="V123" s="1236"/>
      <c r="W123" s="1236"/>
      <c r="X123" s="1236"/>
      <c r="Y123" s="1236"/>
      <c r="Z123" s="1236"/>
      <c r="AA123" s="1236"/>
      <c r="AB123" s="1236"/>
      <c r="AC123" s="1236"/>
      <c r="AD123" s="1236"/>
      <c r="AE123" s="1236"/>
      <c r="AF123" s="1236"/>
      <c r="AG123" s="1236"/>
      <c r="AH123" s="1236"/>
      <c r="AI123" s="1236"/>
      <c r="AJ123" s="1236"/>
      <c r="AK123" s="1236"/>
      <c r="AL123" s="1236"/>
      <c r="AM123" s="1236"/>
      <c r="AN123" s="1236"/>
      <c r="AO123" s="1236"/>
      <c r="AP123" s="1236"/>
      <c r="AQ123" s="1236"/>
      <c r="AR123" s="1236"/>
      <c r="AS123" s="1236"/>
      <c r="AT123" s="1236"/>
      <c r="AU123" s="1236"/>
      <c r="AV123" s="1236"/>
      <c r="AW123" s="1236"/>
      <c r="AX123" s="1236"/>
    </row>
    <row r="124" spans="2:80" ht="19.5" thickBot="1" x14ac:dyDescent="0.45">
      <c r="B124" s="1237" t="s">
        <v>1150</v>
      </c>
      <c r="C124" s="1238"/>
      <c r="D124" s="1238"/>
      <c r="E124" s="1238"/>
      <c r="F124" s="1238"/>
      <c r="G124" s="1239" t="s">
        <v>1143</v>
      </c>
      <c r="H124" s="921"/>
      <c r="I124" s="921"/>
      <c r="J124" s="1240"/>
      <c r="K124" s="1240"/>
      <c r="L124" s="1240"/>
      <c r="M124" s="1240"/>
      <c r="N124" s="1240"/>
      <c r="O124" s="1240"/>
      <c r="P124" s="1240"/>
      <c r="Q124" s="1240"/>
      <c r="R124" s="1240"/>
      <c r="S124" s="1240"/>
      <c r="T124" s="1240"/>
      <c r="U124" s="1240"/>
      <c r="V124" s="1240"/>
      <c r="W124" s="1240"/>
      <c r="X124" s="1240"/>
      <c r="Y124" s="1240"/>
      <c r="Z124" s="1240"/>
      <c r="AA124" s="1240"/>
      <c r="AB124" s="1240"/>
      <c r="AC124" s="1239" t="s">
        <v>1144</v>
      </c>
      <c r="AD124" s="921"/>
      <c r="AE124" s="921"/>
      <c r="AF124" s="1240"/>
      <c r="AG124" s="1240"/>
      <c r="AH124" s="1240"/>
      <c r="AI124" s="1240"/>
      <c r="AJ124" s="1240"/>
      <c r="AK124" s="1240"/>
      <c r="AL124" s="1240"/>
      <c r="AM124" s="1240"/>
      <c r="AN124" s="1240"/>
      <c r="AO124" s="1240"/>
      <c r="AP124" s="1240"/>
      <c r="AQ124" s="1240"/>
      <c r="AR124" s="1240"/>
      <c r="AS124" s="1240"/>
      <c r="AT124" s="1240"/>
      <c r="AU124" s="1240"/>
      <c r="AV124" s="1240"/>
      <c r="AW124" s="1240"/>
      <c r="AX124" s="1240"/>
    </row>
    <row r="125" spans="2:80" ht="19.5" thickTop="1" x14ac:dyDescent="0.4">
      <c r="B125" s="1238"/>
      <c r="C125" s="1238"/>
      <c r="D125" s="1238"/>
      <c r="E125" s="1238"/>
      <c r="F125" s="1238"/>
      <c r="G125" s="1239" t="s">
        <v>1149</v>
      </c>
      <c r="H125" s="921"/>
      <c r="I125" s="921"/>
      <c r="J125" s="1241" t="s">
        <v>1159</v>
      </c>
      <c r="K125" s="1242"/>
      <c r="L125" s="1242"/>
      <c r="M125" s="1242"/>
      <c r="N125" s="1242"/>
      <c r="O125" s="1242"/>
      <c r="P125" s="1242"/>
      <c r="Q125" s="1242"/>
      <c r="R125" s="1242"/>
      <c r="S125" s="1242"/>
      <c r="T125" s="1242"/>
      <c r="U125" s="1242"/>
      <c r="V125" s="1242"/>
      <c r="W125" s="1242"/>
      <c r="X125" s="1242"/>
      <c r="Y125" s="1242"/>
      <c r="Z125" s="1243"/>
      <c r="AA125" s="1169" t="s">
        <v>1160</v>
      </c>
      <c r="AB125" s="1170"/>
      <c r="AC125" s="1244" t="s">
        <v>1149</v>
      </c>
      <c r="AD125" s="921"/>
      <c r="AE125" s="921"/>
      <c r="AF125" s="1241" t="s">
        <v>1159</v>
      </c>
      <c r="AG125" s="1242"/>
      <c r="AH125" s="1242"/>
      <c r="AI125" s="1242"/>
      <c r="AJ125" s="1242"/>
      <c r="AK125" s="1242"/>
      <c r="AL125" s="1242"/>
      <c r="AM125" s="1242"/>
      <c r="AN125" s="1242"/>
      <c r="AO125" s="1242"/>
      <c r="AP125" s="1242"/>
      <c r="AQ125" s="1242"/>
      <c r="AR125" s="1242"/>
      <c r="AS125" s="1242"/>
      <c r="AT125" s="1242"/>
      <c r="AU125" s="1242"/>
      <c r="AV125" s="1243"/>
      <c r="AW125" s="1169" t="s">
        <v>1160</v>
      </c>
      <c r="AX125" s="1170"/>
      <c r="BO125" s="374"/>
      <c r="BP125" s="374"/>
      <c r="BQ125" s="375" t="s">
        <v>948</v>
      </c>
      <c r="BR125" s="375" t="s">
        <v>939</v>
      </c>
      <c r="BS125" s="375" t="s">
        <v>947</v>
      </c>
      <c r="BT125" s="375" t="s">
        <v>1031</v>
      </c>
      <c r="BU125" s="375" t="s">
        <v>1032</v>
      </c>
      <c r="BV125" s="374"/>
      <c r="BW125" s="374"/>
      <c r="BX125" s="374"/>
      <c r="BY125" s="374" t="e">
        <f>#REF!</f>
        <v>#REF!</v>
      </c>
      <c r="BZ125" s="374"/>
      <c r="CA125" s="376">
        <v>7</v>
      </c>
      <c r="CB125" s="376" t="s">
        <v>965</v>
      </c>
    </row>
    <row r="126" spans="2:80" x14ac:dyDescent="0.35">
      <c r="B126" s="1217" t="s">
        <v>1145</v>
      </c>
      <c r="C126" s="1218"/>
      <c r="D126" s="1218"/>
      <c r="E126" s="1218"/>
      <c r="F126" s="1219"/>
      <c r="G126" s="1223">
        <f>SUM(N83:Q88)</f>
        <v>2</v>
      </c>
      <c r="H126" s="1224"/>
      <c r="I126" s="1225"/>
      <c r="J126" s="1229"/>
      <c r="K126" s="1230"/>
      <c r="L126" s="1230"/>
      <c r="M126" s="1230"/>
      <c r="N126" s="1230"/>
      <c r="O126" s="1230"/>
      <c r="P126" s="1230"/>
      <c r="Q126" s="1230"/>
      <c r="R126" s="1230"/>
      <c r="S126" s="1230"/>
      <c r="T126" s="1230"/>
      <c r="U126" s="1230"/>
      <c r="V126" s="1230"/>
      <c r="W126" s="1230"/>
      <c r="X126" s="1230"/>
      <c r="Y126" s="1230"/>
      <c r="Z126" s="1231"/>
      <c r="AA126" s="1232" t="str">
        <f xml:space="preserve">
IF(AND(G126&gt;2,COUNTA(J126)&lt;&gt;1),"要入力",
IF(AND(G126&gt;2,COUNTA(J126)=1),"入力済",
IF(G126&lt;=2,"入力"&amp;CHAR(10)&amp;"不要")))</f>
        <v>入力
不要</v>
      </c>
      <c r="AB126" s="1233"/>
      <c r="AC126" s="1234">
        <f>SUM(R83:U88)</f>
        <v>2</v>
      </c>
      <c r="AD126" s="1224"/>
      <c r="AE126" s="1225"/>
      <c r="AF126" s="1229"/>
      <c r="AG126" s="1230"/>
      <c r="AH126" s="1230"/>
      <c r="AI126" s="1230"/>
      <c r="AJ126" s="1230"/>
      <c r="AK126" s="1230"/>
      <c r="AL126" s="1230"/>
      <c r="AM126" s="1230"/>
      <c r="AN126" s="1230"/>
      <c r="AO126" s="1230"/>
      <c r="AP126" s="1230"/>
      <c r="AQ126" s="1230"/>
      <c r="AR126" s="1230"/>
      <c r="AS126" s="1230"/>
      <c r="AT126" s="1230"/>
      <c r="AU126" s="1230"/>
      <c r="AV126" s="1231"/>
      <c r="AW126" s="1232" t="str">
        <f xml:space="preserve">
IF(AND(AC126&gt;2,COUNTA(AF126)&lt;&gt;1),"要入力",
IF(AND(AC126&gt;2,COUNTA(AF126)=1),"入力済",
IF(AC126&lt;=2,"入力"&amp;CHAR(10)&amp;"不要")))</f>
        <v>入力
不要</v>
      </c>
      <c r="AX126" s="1233"/>
      <c r="BO126" s="374" t="s">
        <v>949</v>
      </c>
      <c r="BP126" s="374"/>
      <c r="BQ126" s="377">
        <v>45017</v>
      </c>
      <c r="BR126" s="375" t="str">
        <f>TEXT(BQ126,"aaaa")</f>
        <v>土曜日</v>
      </c>
      <c r="BS126" s="375" t="str">
        <f t="shared" ref="BS126:BS163" si="31">VLOOKUP(BR126,$BV$126:$BW$132,2,FALSE)</f>
        <v>診療日</v>
      </c>
      <c r="BT126" s="374"/>
      <c r="BU126" s="374"/>
      <c r="BV126" s="375" t="s">
        <v>950</v>
      </c>
      <c r="BW126" s="375" t="str">
        <f t="shared" ref="BW126:BW132" si="32">E22</f>
        <v>診療日</v>
      </c>
      <c r="BX126" s="374"/>
      <c r="BY126" s="374" t="e">
        <f>#REF!</f>
        <v>#REF!</v>
      </c>
      <c r="BZ126" s="374"/>
      <c r="CA126" s="376">
        <v>8</v>
      </c>
      <c r="CB126" s="376">
        <v>15</v>
      </c>
    </row>
    <row r="127" spans="2:80" x14ac:dyDescent="0.35">
      <c r="B127" s="1220"/>
      <c r="C127" s="1221"/>
      <c r="D127" s="1221"/>
      <c r="E127" s="1221"/>
      <c r="F127" s="1222"/>
      <c r="G127" s="1226"/>
      <c r="H127" s="1227"/>
      <c r="I127" s="1228"/>
      <c r="J127" s="1230"/>
      <c r="K127" s="1230"/>
      <c r="L127" s="1230"/>
      <c r="M127" s="1230"/>
      <c r="N127" s="1230"/>
      <c r="O127" s="1230"/>
      <c r="P127" s="1230"/>
      <c r="Q127" s="1230"/>
      <c r="R127" s="1230"/>
      <c r="S127" s="1230"/>
      <c r="T127" s="1230"/>
      <c r="U127" s="1230"/>
      <c r="V127" s="1230"/>
      <c r="W127" s="1230"/>
      <c r="X127" s="1230"/>
      <c r="Y127" s="1230"/>
      <c r="Z127" s="1231"/>
      <c r="AA127" s="1232"/>
      <c r="AB127" s="1233"/>
      <c r="AC127" s="1227"/>
      <c r="AD127" s="1227"/>
      <c r="AE127" s="1228"/>
      <c r="AF127" s="1230"/>
      <c r="AG127" s="1230"/>
      <c r="AH127" s="1230"/>
      <c r="AI127" s="1230"/>
      <c r="AJ127" s="1230"/>
      <c r="AK127" s="1230"/>
      <c r="AL127" s="1230"/>
      <c r="AM127" s="1230"/>
      <c r="AN127" s="1230"/>
      <c r="AO127" s="1230"/>
      <c r="AP127" s="1230"/>
      <c r="AQ127" s="1230"/>
      <c r="AR127" s="1230"/>
      <c r="AS127" s="1230"/>
      <c r="AT127" s="1230"/>
      <c r="AU127" s="1230"/>
      <c r="AV127" s="1231"/>
      <c r="AW127" s="1232"/>
      <c r="AX127" s="1233"/>
      <c r="BO127" s="374" t="s">
        <v>951</v>
      </c>
      <c r="BP127" s="374"/>
      <c r="BQ127" s="377">
        <v>45018</v>
      </c>
      <c r="BR127" s="375" t="str">
        <f t="shared" ref="BR127:BR170" si="33">TEXT(BQ127,"aaaa")</f>
        <v>日曜日</v>
      </c>
      <c r="BS127" s="375" t="str">
        <f t="shared" si="31"/>
        <v>休診日</v>
      </c>
      <c r="BT127" s="374"/>
      <c r="BU127" s="374"/>
      <c r="BV127" s="375" t="s">
        <v>941</v>
      </c>
      <c r="BW127" s="375" t="str">
        <f t="shared" si="32"/>
        <v>診療日</v>
      </c>
      <c r="BX127" s="374"/>
      <c r="BY127" s="374" t="e">
        <f>#REF!</f>
        <v>#REF!</v>
      </c>
      <c r="BZ127" s="374"/>
      <c r="CA127" s="376">
        <v>9</v>
      </c>
      <c r="CB127" s="376">
        <v>30</v>
      </c>
    </row>
    <row r="128" spans="2:80" x14ac:dyDescent="0.35">
      <c r="B128" s="1245" t="s">
        <v>1146</v>
      </c>
      <c r="C128" s="1218"/>
      <c r="D128" s="1218"/>
      <c r="E128" s="1218"/>
      <c r="F128" s="1219"/>
      <c r="G128" s="1223">
        <f>N89</f>
        <v>1</v>
      </c>
      <c r="H128" s="1224"/>
      <c r="I128" s="1225"/>
      <c r="J128" s="1229"/>
      <c r="K128" s="1230"/>
      <c r="L128" s="1230"/>
      <c r="M128" s="1230"/>
      <c r="N128" s="1230"/>
      <c r="O128" s="1230"/>
      <c r="P128" s="1230"/>
      <c r="Q128" s="1230"/>
      <c r="R128" s="1230"/>
      <c r="S128" s="1230"/>
      <c r="T128" s="1230"/>
      <c r="U128" s="1230"/>
      <c r="V128" s="1230"/>
      <c r="W128" s="1230"/>
      <c r="X128" s="1230"/>
      <c r="Y128" s="1230"/>
      <c r="Z128" s="1231"/>
      <c r="AA128" s="1232" t="str">
        <f xml:space="preserve">
IF(AND(G128&gt;2,COUNTA(J128)&lt;&gt;1),"要入力",
IF(AND(G128&gt;2,COUNTA(J128)=1),"入力済",
IF(G128&lt;=2,"入力"&amp;CHAR(10)&amp;"不要")))</f>
        <v>入力
不要</v>
      </c>
      <c r="AB128" s="1233"/>
      <c r="AC128" s="1234">
        <f>R89</f>
        <v>1</v>
      </c>
      <c r="AD128" s="1224"/>
      <c r="AE128" s="1225"/>
      <c r="AF128" s="1229"/>
      <c r="AG128" s="1230"/>
      <c r="AH128" s="1230"/>
      <c r="AI128" s="1230"/>
      <c r="AJ128" s="1230"/>
      <c r="AK128" s="1230"/>
      <c r="AL128" s="1230"/>
      <c r="AM128" s="1230"/>
      <c r="AN128" s="1230"/>
      <c r="AO128" s="1230"/>
      <c r="AP128" s="1230"/>
      <c r="AQ128" s="1230"/>
      <c r="AR128" s="1230"/>
      <c r="AS128" s="1230"/>
      <c r="AT128" s="1230"/>
      <c r="AU128" s="1230"/>
      <c r="AV128" s="1231"/>
      <c r="AW128" s="1232" t="str">
        <f xml:space="preserve">
IF(AND(AC128&gt;2,COUNTA(AF128)&lt;&gt;1),"要入力",
IF(AND(AC128&gt;2,COUNTA(AF128)=1),"入力済",
IF(AC128&lt;=2,"入力"&amp;CHAR(10)&amp;"不要")))</f>
        <v>入力
不要</v>
      </c>
      <c r="AX128" s="1233"/>
      <c r="BO128" s="374"/>
      <c r="BP128" s="374"/>
      <c r="BQ128" s="377">
        <v>45019</v>
      </c>
      <c r="BR128" s="375" t="str">
        <f t="shared" si="33"/>
        <v>月曜日</v>
      </c>
      <c r="BS128" s="375" t="str">
        <f t="shared" si="31"/>
        <v>診療日</v>
      </c>
      <c r="BT128" s="374"/>
      <c r="BU128" s="374"/>
      <c r="BV128" s="375" t="s">
        <v>942</v>
      </c>
      <c r="BW128" s="375" t="str">
        <f t="shared" si="32"/>
        <v>診療日</v>
      </c>
      <c r="BX128" s="374"/>
      <c r="BY128" s="374" t="e">
        <f>#REF!</f>
        <v>#REF!</v>
      </c>
      <c r="BZ128" s="374"/>
      <c r="CA128" s="376">
        <v>10</v>
      </c>
      <c r="CB128" s="376">
        <v>45</v>
      </c>
    </row>
    <row r="129" spans="2:80" x14ac:dyDescent="0.35">
      <c r="B129" s="1220"/>
      <c r="C129" s="1221"/>
      <c r="D129" s="1221"/>
      <c r="E129" s="1221"/>
      <c r="F129" s="1222"/>
      <c r="G129" s="1226"/>
      <c r="H129" s="1227"/>
      <c r="I129" s="1228"/>
      <c r="J129" s="1230"/>
      <c r="K129" s="1230"/>
      <c r="L129" s="1230"/>
      <c r="M129" s="1230"/>
      <c r="N129" s="1230"/>
      <c r="O129" s="1230"/>
      <c r="P129" s="1230"/>
      <c r="Q129" s="1230"/>
      <c r="R129" s="1230"/>
      <c r="S129" s="1230"/>
      <c r="T129" s="1230"/>
      <c r="U129" s="1230"/>
      <c r="V129" s="1230"/>
      <c r="W129" s="1230"/>
      <c r="X129" s="1230"/>
      <c r="Y129" s="1230"/>
      <c r="Z129" s="1231"/>
      <c r="AA129" s="1232"/>
      <c r="AB129" s="1233"/>
      <c r="AC129" s="1227"/>
      <c r="AD129" s="1227"/>
      <c r="AE129" s="1228"/>
      <c r="AF129" s="1230"/>
      <c r="AG129" s="1230"/>
      <c r="AH129" s="1230"/>
      <c r="AI129" s="1230"/>
      <c r="AJ129" s="1230"/>
      <c r="AK129" s="1230"/>
      <c r="AL129" s="1230"/>
      <c r="AM129" s="1230"/>
      <c r="AN129" s="1230"/>
      <c r="AO129" s="1230"/>
      <c r="AP129" s="1230"/>
      <c r="AQ129" s="1230"/>
      <c r="AR129" s="1230"/>
      <c r="AS129" s="1230"/>
      <c r="AT129" s="1230"/>
      <c r="AU129" s="1230"/>
      <c r="AV129" s="1231"/>
      <c r="AW129" s="1232"/>
      <c r="AX129" s="1233"/>
      <c r="BO129" s="374" t="s">
        <v>952</v>
      </c>
      <c r="BP129" s="374"/>
      <c r="BQ129" s="377">
        <v>45020</v>
      </c>
      <c r="BR129" s="375" t="str">
        <f t="shared" si="33"/>
        <v>火曜日</v>
      </c>
      <c r="BS129" s="375" t="str">
        <f t="shared" si="31"/>
        <v>診療日</v>
      </c>
      <c r="BT129" s="374"/>
      <c r="BU129" s="374"/>
      <c r="BV129" s="375" t="s">
        <v>943</v>
      </c>
      <c r="BW129" s="375" t="str">
        <f t="shared" si="32"/>
        <v>診療日</v>
      </c>
      <c r="BX129" s="374"/>
      <c r="BY129" s="374" t="e">
        <f>#REF!</f>
        <v>#REF!</v>
      </c>
      <c r="BZ129" s="374"/>
      <c r="CA129" s="376">
        <v>11</v>
      </c>
      <c r="CB129" s="375"/>
    </row>
    <row r="130" spans="2:80" x14ac:dyDescent="0.35">
      <c r="B130" s="1246" t="s">
        <v>1147</v>
      </c>
      <c r="C130" s="1218"/>
      <c r="D130" s="1218"/>
      <c r="E130" s="1218"/>
      <c r="F130" s="1219"/>
      <c r="G130" s="1247">
        <f>N92</f>
        <v>1</v>
      </c>
      <c r="H130" s="1248"/>
      <c r="I130" s="1249"/>
      <c r="J130" s="1229"/>
      <c r="K130" s="1230"/>
      <c r="L130" s="1230"/>
      <c r="M130" s="1230"/>
      <c r="N130" s="1230"/>
      <c r="O130" s="1230"/>
      <c r="P130" s="1230"/>
      <c r="Q130" s="1230"/>
      <c r="R130" s="1230"/>
      <c r="S130" s="1230"/>
      <c r="T130" s="1230"/>
      <c r="U130" s="1230"/>
      <c r="V130" s="1230"/>
      <c r="W130" s="1230"/>
      <c r="X130" s="1230"/>
      <c r="Y130" s="1230"/>
      <c r="Z130" s="1231"/>
      <c r="AA130" s="1232" t="str">
        <f xml:space="preserve">
IF(AND(G130&gt;2,COUNTA(J130)&lt;&gt;1),"要入力",
IF(AND(G130&gt;2,COUNTA(J130)=1),"入力済",
IF(G130&lt;=2,"入力"&amp;CHAR(10)&amp;"不要")))</f>
        <v>入力
不要</v>
      </c>
      <c r="AB130" s="1233"/>
      <c r="AC130" s="1253">
        <f>R92</f>
        <v>1</v>
      </c>
      <c r="AD130" s="1248"/>
      <c r="AE130" s="1249"/>
      <c r="AF130" s="1229"/>
      <c r="AG130" s="1230"/>
      <c r="AH130" s="1230"/>
      <c r="AI130" s="1230"/>
      <c r="AJ130" s="1230"/>
      <c r="AK130" s="1230"/>
      <c r="AL130" s="1230"/>
      <c r="AM130" s="1230"/>
      <c r="AN130" s="1230"/>
      <c r="AO130" s="1230"/>
      <c r="AP130" s="1230"/>
      <c r="AQ130" s="1230"/>
      <c r="AR130" s="1230"/>
      <c r="AS130" s="1230"/>
      <c r="AT130" s="1230"/>
      <c r="AU130" s="1230"/>
      <c r="AV130" s="1231"/>
      <c r="AW130" s="1232" t="str">
        <f xml:space="preserve">
IF(AND(AC130&gt;2,COUNTA(AF130)&lt;&gt;1),"要入力",
IF(AND(AC130&gt;2,COUNTA(AF130)=1),"入力済",
IF(AC130&lt;=2,"入力"&amp;CHAR(10)&amp;"不要")))</f>
        <v>入力
不要</v>
      </c>
      <c r="AX130" s="1233"/>
      <c r="BO130" s="378" t="s">
        <v>953</v>
      </c>
      <c r="BP130" s="375"/>
      <c r="BQ130" s="377">
        <v>45021</v>
      </c>
      <c r="BR130" s="375" t="str">
        <f t="shared" si="33"/>
        <v>水曜日</v>
      </c>
      <c r="BS130" s="375" t="str">
        <f t="shared" si="31"/>
        <v>診療日</v>
      </c>
      <c r="BT130" s="375"/>
      <c r="BU130" s="375"/>
      <c r="BV130" s="375" t="s">
        <v>944</v>
      </c>
      <c r="BW130" s="375" t="str">
        <f t="shared" si="32"/>
        <v>診療日</v>
      </c>
      <c r="BX130" s="375"/>
      <c r="BY130" s="374" t="e">
        <f>#REF!</f>
        <v>#REF!</v>
      </c>
      <c r="BZ130" s="375"/>
      <c r="CA130" s="376">
        <v>12</v>
      </c>
      <c r="CB130" s="375"/>
    </row>
    <row r="131" spans="2:80" x14ac:dyDescent="0.35">
      <c r="B131" s="1220"/>
      <c r="C131" s="1221"/>
      <c r="D131" s="1221"/>
      <c r="E131" s="1221"/>
      <c r="F131" s="1222"/>
      <c r="G131" s="1250"/>
      <c r="H131" s="1251"/>
      <c r="I131" s="1252"/>
      <c r="J131" s="1230"/>
      <c r="K131" s="1230"/>
      <c r="L131" s="1230"/>
      <c r="M131" s="1230"/>
      <c r="N131" s="1230"/>
      <c r="O131" s="1230"/>
      <c r="P131" s="1230"/>
      <c r="Q131" s="1230"/>
      <c r="R131" s="1230"/>
      <c r="S131" s="1230"/>
      <c r="T131" s="1230"/>
      <c r="U131" s="1230"/>
      <c r="V131" s="1230"/>
      <c r="W131" s="1230"/>
      <c r="X131" s="1230"/>
      <c r="Y131" s="1230"/>
      <c r="Z131" s="1231"/>
      <c r="AA131" s="1232"/>
      <c r="AB131" s="1233"/>
      <c r="AC131" s="1251"/>
      <c r="AD131" s="1251"/>
      <c r="AE131" s="1252"/>
      <c r="AF131" s="1230"/>
      <c r="AG131" s="1230"/>
      <c r="AH131" s="1230"/>
      <c r="AI131" s="1230"/>
      <c r="AJ131" s="1230"/>
      <c r="AK131" s="1230"/>
      <c r="AL131" s="1230"/>
      <c r="AM131" s="1230"/>
      <c r="AN131" s="1230"/>
      <c r="AO131" s="1230"/>
      <c r="AP131" s="1230"/>
      <c r="AQ131" s="1230"/>
      <c r="AR131" s="1230"/>
      <c r="AS131" s="1230"/>
      <c r="AT131" s="1230"/>
      <c r="AU131" s="1230"/>
      <c r="AV131" s="1231"/>
      <c r="AW131" s="1232"/>
      <c r="AX131" s="1233"/>
      <c r="BO131" s="374" t="s">
        <v>954</v>
      </c>
      <c r="BP131" s="374"/>
      <c r="BQ131" s="377">
        <v>45022</v>
      </c>
      <c r="BR131" s="375" t="str">
        <f t="shared" si="33"/>
        <v>木曜日</v>
      </c>
      <c r="BS131" s="375" t="str">
        <f t="shared" si="31"/>
        <v>診療日</v>
      </c>
      <c r="BT131" s="374"/>
      <c r="BU131" s="374"/>
      <c r="BV131" s="375" t="s">
        <v>945</v>
      </c>
      <c r="BW131" s="375" t="str">
        <f t="shared" si="32"/>
        <v>診療日</v>
      </c>
      <c r="BX131" s="374"/>
      <c r="BY131" s="374" t="e">
        <f>#REF!</f>
        <v>#REF!</v>
      </c>
      <c r="BZ131" s="374"/>
      <c r="CA131" s="376">
        <v>13</v>
      </c>
      <c r="CB131" s="375"/>
    </row>
    <row r="132" spans="2:80" x14ac:dyDescent="0.35">
      <c r="B132" s="1254" t="s">
        <v>1148</v>
      </c>
      <c r="C132" s="1218"/>
      <c r="D132" s="1218"/>
      <c r="E132" s="1218"/>
      <c r="F132" s="1219"/>
      <c r="G132" s="1223">
        <f>N95</f>
        <v>1</v>
      </c>
      <c r="H132" s="1224"/>
      <c r="I132" s="1225"/>
      <c r="J132" s="1229"/>
      <c r="K132" s="1230"/>
      <c r="L132" s="1230"/>
      <c r="M132" s="1230"/>
      <c r="N132" s="1230"/>
      <c r="O132" s="1230"/>
      <c r="P132" s="1230"/>
      <c r="Q132" s="1230"/>
      <c r="R132" s="1230"/>
      <c r="S132" s="1230"/>
      <c r="T132" s="1230"/>
      <c r="U132" s="1230"/>
      <c r="V132" s="1230"/>
      <c r="W132" s="1230"/>
      <c r="X132" s="1230"/>
      <c r="Y132" s="1230"/>
      <c r="Z132" s="1231"/>
      <c r="AA132" s="1232" t="str">
        <f xml:space="preserve">
IF(AND(G132&gt;8,COUNTA(J132)&lt;&gt;1),"要入力",
IF(AND(G132&gt;8,COUNTA(J132)=1),"入力済",
IF(G132&lt;=8,"入力"&amp;CHAR(10)&amp;"不要")))</f>
        <v>入力
不要</v>
      </c>
      <c r="AB132" s="1233"/>
      <c r="AC132" s="1234">
        <f>R95</f>
        <v>1</v>
      </c>
      <c r="AD132" s="1224"/>
      <c r="AE132" s="1225"/>
      <c r="AF132" s="1229"/>
      <c r="AG132" s="1230"/>
      <c r="AH132" s="1230"/>
      <c r="AI132" s="1230"/>
      <c r="AJ132" s="1230"/>
      <c r="AK132" s="1230"/>
      <c r="AL132" s="1230"/>
      <c r="AM132" s="1230"/>
      <c r="AN132" s="1230"/>
      <c r="AO132" s="1230"/>
      <c r="AP132" s="1230"/>
      <c r="AQ132" s="1230"/>
      <c r="AR132" s="1230"/>
      <c r="AS132" s="1230"/>
      <c r="AT132" s="1230"/>
      <c r="AU132" s="1230"/>
      <c r="AV132" s="1231"/>
      <c r="AW132" s="1232" t="str">
        <f xml:space="preserve">
IF(AND(AC132&gt;8,COUNTA(AF132)&lt;&gt;1),"要入力",
IF(AND(AC132&gt;8,COUNTA(AF132)=1),"入力済",
IF(AC132&lt;=8,"入力"&amp;CHAR(10)&amp;"不要")))</f>
        <v>入力
不要</v>
      </c>
      <c r="AX132" s="1233"/>
      <c r="BO132" s="374" t="s">
        <v>955</v>
      </c>
      <c r="BP132" s="379"/>
      <c r="BQ132" s="377">
        <v>45023</v>
      </c>
      <c r="BR132" s="375" t="str">
        <f t="shared" si="33"/>
        <v>金曜日</v>
      </c>
      <c r="BS132" s="375" t="str">
        <f t="shared" si="31"/>
        <v>診療日</v>
      </c>
      <c r="BT132" s="374"/>
      <c r="BU132" s="374"/>
      <c r="BV132" s="375" t="s">
        <v>946</v>
      </c>
      <c r="BW132" s="375" t="str">
        <f t="shared" si="32"/>
        <v>休診日</v>
      </c>
      <c r="BX132" s="374"/>
      <c r="BY132" s="374" t="e">
        <f>#REF!</f>
        <v>#REF!</v>
      </c>
      <c r="BZ132" s="374"/>
      <c r="CA132" s="376">
        <v>14</v>
      </c>
      <c r="CB132" s="375"/>
    </row>
    <row r="133" spans="2:80" x14ac:dyDescent="0.35">
      <c r="B133" s="1220"/>
      <c r="C133" s="1221"/>
      <c r="D133" s="1221"/>
      <c r="E133" s="1221"/>
      <c r="F133" s="1222"/>
      <c r="G133" s="1226"/>
      <c r="H133" s="1227"/>
      <c r="I133" s="1228"/>
      <c r="J133" s="1230"/>
      <c r="K133" s="1230"/>
      <c r="L133" s="1230"/>
      <c r="M133" s="1230"/>
      <c r="N133" s="1230"/>
      <c r="O133" s="1230"/>
      <c r="P133" s="1230"/>
      <c r="Q133" s="1230"/>
      <c r="R133" s="1230"/>
      <c r="S133" s="1230"/>
      <c r="T133" s="1230"/>
      <c r="U133" s="1230"/>
      <c r="V133" s="1230"/>
      <c r="W133" s="1230"/>
      <c r="X133" s="1230"/>
      <c r="Y133" s="1230"/>
      <c r="Z133" s="1231"/>
      <c r="AA133" s="1232"/>
      <c r="AB133" s="1233"/>
      <c r="AC133" s="1227"/>
      <c r="AD133" s="1227"/>
      <c r="AE133" s="1228"/>
      <c r="AF133" s="1230"/>
      <c r="AG133" s="1230"/>
      <c r="AH133" s="1230"/>
      <c r="AI133" s="1230"/>
      <c r="AJ133" s="1230"/>
      <c r="AK133" s="1230"/>
      <c r="AL133" s="1230"/>
      <c r="AM133" s="1230"/>
      <c r="AN133" s="1230"/>
      <c r="AO133" s="1230"/>
      <c r="AP133" s="1230"/>
      <c r="AQ133" s="1230"/>
      <c r="AR133" s="1230"/>
      <c r="AS133" s="1230"/>
      <c r="AT133" s="1230"/>
      <c r="AU133" s="1230"/>
      <c r="AV133" s="1231"/>
      <c r="AW133" s="1232"/>
      <c r="AX133" s="1233"/>
      <c r="BO133" s="374" t="s">
        <v>956</v>
      </c>
      <c r="BP133" s="374"/>
      <c r="BQ133" s="377">
        <v>45024</v>
      </c>
      <c r="BR133" s="375" t="str">
        <f t="shared" si="33"/>
        <v>土曜日</v>
      </c>
      <c r="BS133" s="375" t="str">
        <f t="shared" si="31"/>
        <v>診療日</v>
      </c>
      <c r="BT133" s="374"/>
      <c r="BU133" s="374"/>
      <c r="BV133" s="374"/>
      <c r="BW133" s="374"/>
      <c r="BX133" s="374"/>
      <c r="BY133" s="374" t="e">
        <f>#REF!</f>
        <v>#REF!</v>
      </c>
      <c r="BZ133" s="374"/>
      <c r="CA133" s="376">
        <v>15</v>
      </c>
      <c r="CB133" s="375"/>
    </row>
    <row r="134" spans="2:80" x14ac:dyDescent="0.35">
      <c r="B134" s="1217" t="s">
        <v>1151</v>
      </c>
      <c r="C134" s="1218"/>
      <c r="D134" s="1218"/>
      <c r="E134" s="1218"/>
      <c r="F134" s="1219"/>
      <c r="G134" s="1255">
        <f>N98</f>
        <v>0.1</v>
      </c>
      <c r="H134" s="1256"/>
      <c r="I134" s="1257"/>
      <c r="J134" s="1229"/>
      <c r="K134" s="1230"/>
      <c r="L134" s="1230"/>
      <c r="M134" s="1230"/>
      <c r="N134" s="1230"/>
      <c r="O134" s="1230"/>
      <c r="P134" s="1230"/>
      <c r="Q134" s="1230"/>
      <c r="R134" s="1230"/>
      <c r="S134" s="1230"/>
      <c r="T134" s="1230"/>
      <c r="U134" s="1230"/>
      <c r="V134" s="1230"/>
      <c r="W134" s="1230"/>
      <c r="X134" s="1230"/>
      <c r="Y134" s="1230"/>
      <c r="Z134" s="1231"/>
      <c r="AA134" s="1232" t="str">
        <f xml:space="preserve">
IF(AND(G134&gt;0.5,COUNTA(J134)&lt;&gt;1),"要入力",
IF(AND(G134&gt;0.5,COUNTA(J134)=1),"入力済",
IF(G134&lt;=0.5,"入力"&amp;CHAR(10)&amp;"不要")))</f>
        <v>入力
不要</v>
      </c>
      <c r="AB134" s="1233"/>
      <c r="AC134" s="1261">
        <f>R98</f>
        <v>0.1</v>
      </c>
      <c r="AD134" s="1256"/>
      <c r="AE134" s="1257"/>
      <c r="AF134" s="1229"/>
      <c r="AG134" s="1230"/>
      <c r="AH134" s="1230"/>
      <c r="AI134" s="1230"/>
      <c r="AJ134" s="1230"/>
      <c r="AK134" s="1230"/>
      <c r="AL134" s="1230"/>
      <c r="AM134" s="1230"/>
      <c r="AN134" s="1230"/>
      <c r="AO134" s="1230"/>
      <c r="AP134" s="1230"/>
      <c r="AQ134" s="1230"/>
      <c r="AR134" s="1230"/>
      <c r="AS134" s="1230"/>
      <c r="AT134" s="1230"/>
      <c r="AU134" s="1230"/>
      <c r="AV134" s="1231"/>
      <c r="AW134" s="1232" t="str">
        <f xml:space="preserve">
IF(AND(AC134&gt;0.5,COUNTA(AF134)&lt;&gt;1),"要入力",
IF(AND(AC134&gt;0.5,COUNTA(AF134)=1),"入力済",
IF(AC134&lt;=0.5,"入力"&amp;CHAR(10)&amp;"不要")))</f>
        <v>入力
不要</v>
      </c>
      <c r="AX134" s="1233"/>
      <c r="BO134" s="374"/>
      <c r="BP134" s="374"/>
      <c r="BQ134" s="377">
        <v>45025</v>
      </c>
      <c r="BR134" s="375" t="str">
        <f t="shared" si="33"/>
        <v>日曜日</v>
      </c>
      <c r="BS134" s="375" t="str">
        <f t="shared" si="31"/>
        <v>休診日</v>
      </c>
      <c r="BT134" s="374"/>
      <c r="BU134" s="374"/>
      <c r="BV134" s="375" t="s">
        <v>957</v>
      </c>
      <c r="BW134" s="374"/>
      <c r="BX134" s="374"/>
      <c r="BY134" s="374" t="e">
        <f>#REF!</f>
        <v>#REF!</v>
      </c>
      <c r="BZ134" s="374"/>
      <c r="CA134" s="376">
        <v>16</v>
      </c>
      <c r="CB134" s="375"/>
    </row>
    <row r="135" spans="2:80" x14ac:dyDescent="0.35">
      <c r="B135" s="1220"/>
      <c r="C135" s="1221"/>
      <c r="D135" s="1221"/>
      <c r="E135" s="1221"/>
      <c r="F135" s="1222"/>
      <c r="G135" s="1258"/>
      <c r="H135" s="1259"/>
      <c r="I135" s="1260"/>
      <c r="J135" s="1230"/>
      <c r="K135" s="1230"/>
      <c r="L135" s="1230"/>
      <c r="M135" s="1230"/>
      <c r="N135" s="1230"/>
      <c r="O135" s="1230"/>
      <c r="P135" s="1230"/>
      <c r="Q135" s="1230"/>
      <c r="R135" s="1230"/>
      <c r="S135" s="1230"/>
      <c r="T135" s="1230"/>
      <c r="U135" s="1230"/>
      <c r="V135" s="1230"/>
      <c r="W135" s="1230"/>
      <c r="X135" s="1230"/>
      <c r="Y135" s="1230"/>
      <c r="Z135" s="1231"/>
      <c r="AA135" s="1232"/>
      <c r="AB135" s="1233"/>
      <c r="AC135" s="1259"/>
      <c r="AD135" s="1259"/>
      <c r="AE135" s="1260"/>
      <c r="AF135" s="1230"/>
      <c r="AG135" s="1230"/>
      <c r="AH135" s="1230"/>
      <c r="AI135" s="1230"/>
      <c r="AJ135" s="1230"/>
      <c r="AK135" s="1230"/>
      <c r="AL135" s="1230"/>
      <c r="AM135" s="1230"/>
      <c r="AN135" s="1230"/>
      <c r="AO135" s="1230"/>
      <c r="AP135" s="1230"/>
      <c r="AQ135" s="1230"/>
      <c r="AR135" s="1230"/>
      <c r="AS135" s="1230"/>
      <c r="AT135" s="1230"/>
      <c r="AU135" s="1230"/>
      <c r="AV135" s="1231"/>
      <c r="AW135" s="1232"/>
      <c r="AX135" s="1233"/>
      <c r="BO135" s="374"/>
      <c r="BP135" s="374"/>
      <c r="BQ135" s="377">
        <v>45026</v>
      </c>
      <c r="BR135" s="375" t="str">
        <f t="shared" si="33"/>
        <v>月曜日</v>
      </c>
      <c r="BS135" s="375" t="str">
        <f t="shared" si="31"/>
        <v>診療日</v>
      </c>
      <c r="BT135" s="374"/>
      <c r="BU135" s="374"/>
      <c r="BV135" s="375" t="s">
        <v>958</v>
      </c>
      <c r="BW135" s="374"/>
      <c r="BX135" s="374"/>
      <c r="BY135" s="374" t="e">
        <f>#REF!</f>
        <v>#REF!</v>
      </c>
      <c r="BZ135" s="374"/>
      <c r="CA135" s="376">
        <v>17</v>
      </c>
      <c r="CB135" s="375"/>
    </row>
    <row r="136" spans="2:80" x14ac:dyDescent="0.35">
      <c r="B136" s="1245" t="s">
        <v>1152</v>
      </c>
      <c r="C136" s="1218"/>
      <c r="D136" s="1218"/>
      <c r="E136" s="1218"/>
      <c r="F136" s="1219"/>
      <c r="G136" s="1255">
        <f>N101</f>
        <v>0.1</v>
      </c>
      <c r="H136" s="1256"/>
      <c r="I136" s="1257"/>
      <c r="J136" s="1229"/>
      <c r="K136" s="1230"/>
      <c r="L136" s="1230"/>
      <c r="M136" s="1230"/>
      <c r="N136" s="1230"/>
      <c r="O136" s="1230"/>
      <c r="P136" s="1230"/>
      <c r="Q136" s="1230"/>
      <c r="R136" s="1230"/>
      <c r="S136" s="1230"/>
      <c r="T136" s="1230"/>
      <c r="U136" s="1230"/>
      <c r="V136" s="1230"/>
      <c r="W136" s="1230"/>
      <c r="X136" s="1230"/>
      <c r="Y136" s="1230"/>
      <c r="Z136" s="1231"/>
      <c r="AA136" s="1232" t="str">
        <f xml:space="preserve">
IF(AND(G136&gt;0.5,COUNTA(J136)&lt;&gt;1),"要入力",
IF(AND(G136&gt;0.5,COUNTA(J136)=1),"入力済",
IF(G136&lt;=0.5,"入力"&amp;CHAR(10)&amp;"不要")))</f>
        <v>入力
不要</v>
      </c>
      <c r="AB136" s="1233"/>
      <c r="AC136" s="1261">
        <f>R101</f>
        <v>0.1</v>
      </c>
      <c r="AD136" s="1256"/>
      <c r="AE136" s="1257"/>
      <c r="AF136" s="1229"/>
      <c r="AG136" s="1230"/>
      <c r="AH136" s="1230"/>
      <c r="AI136" s="1230"/>
      <c r="AJ136" s="1230"/>
      <c r="AK136" s="1230"/>
      <c r="AL136" s="1230"/>
      <c r="AM136" s="1230"/>
      <c r="AN136" s="1230"/>
      <c r="AO136" s="1230"/>
      <c r="AP136" s="1230"/>
      <c r="AQ136" s="1230"/>
      <c r="AR136" s="1230"/>
      <c r="AS136" s="1230"/>
      <c r="AT136" s="1230"/>
      <c r="AU136" s="1230"/>
      <c r="AV136" s="1231"/>
      <c r="AW136" s="1232" t="str">
        <f xml:space="preserve">
IF(AND(AC136&gt;0.5,COUNTA(AF136)&lt;&gt;1),"要入力",
IF(AND(AC136&gt;0.5,COUNTA(AF136)=1),"入力済",
IF(AC136&lt;=0.5,"入力"&amp;CHAR(10)&amp;"不要")))</f>
        <v>入力
不要</v>
      </c>
      <c r="AX136" s="1233"/>
      <c r="BO136" s="374"/>
      <c r="BP136" s="374"/>
      <c r="BQ136" s="377">
        <v>45027</v>
      </c>
      <c r="BR136" s="375" t="str">
        <f t="shared" si="33"/>
        <v>火曜日</v>
      </c>
      <c r="BS136" s="375" t="str">
        <f t="shared" si="31"/>
        <v>診療日</v>
      </c>
      <c r="BT136" s="374"/>
      <c r="BU136" s="374"/>
      <c r="BV136" s="375"/>
      <c r="BW136" s="374"/>
      <c r="BX136" s="374"/>
      <c r="BY136" s="374" t="e">
        <f>#REF!</f>
        <v>#REF!</v>
      </c>
      <c r="BZ136" s="374"/>
      <c r="CA136" s="376">
        <v>18</v>
      </c>
      <c r="CB136" s="375"/>
    </row>
    <row r="137" spans="2:80" x14ac:dyDescent="0.35">
      <c r="B137" s="1220"/>
      <c r="C137" s="1221"/>
      <c r="D137" s="1221"/>
      <c r="E137" s="1221"/>
      <c r="F137" s="1222"/>
      <c r="G137" s="1258"/>
      <c r="H137" s="1259"/>
      <c r="I137" s="1260"/>
      <c r="J137" s="1230"/>
      <c r="K137" s="1230"/>
      <c r="L137" s="1230"/>
      <c r="M137" s="1230"/>
      <c r="N137" s="1230"/>
      <c r="O137" s="1230"/>
      <c r="P137" s="1230"/>
      <c r="Q137" s="1230"/>
      <c r="R137" s="1230"/>
      <c r="S137" s="1230"/>
      <c r="T137" s="1230"/>
      <c r="U137" s="1230"/>
      <c r="V137" s="1230"/>
      <c r="W137" s="1230"/>
      <c r="X137" s="1230"/>
      <c r="Y137" s="1230"/>
      <c r="Z137" s="1231"/>
      <c r="AA137" s="1232"/>
      <c r="AB137" s="1233"/>
      <c r="AC137" s="1259"/>
      <c r="AD137" s="1259"/>
      <c r="AE137" s="1260"/>
      <c r="AF137" s="1230"/>
      <c r="AG137" s="1230"/>
      <c r="AH137" s="1230"/>
      <c r="AI137" s="1230"/>
      <c r="AJ137" s="1230"/>
      <c r="AK137" s="1230"/>
      <c r="AL137" s="1230"/>
      <c r="AM137" s="1230"/>
      <c r="AN137" s="1230"/>
      <c r="AO137" s="1230"/>
      <c r="AP137" s="1230"/>
      <c r="AQ137" s="1230"/>
      <c r="AR137" s="1230"/>
      <c r="AS137" s="1230"/>
      <c r="AT137" s="1230"/>
      <c r="AU137" s="1230"/>
      <c r="AV137" s="1231"/>
      <c r="AW137" s="1232"/>
      <c r="AX137" s="1233"/>
      <c r="BO137" s="374"/>
      <c r="BP137" s="374"/>
      <c r="BQ137" s="377">
        <v>45028</v>
      </c>
      <c r="BR137" s="375" t="str">
        <f t="shared" si="33"/>
        <v>水曜日</v>
      </c>
      <c r="BS137" s="375" t="str">
        <f t="shared" si="31"/>
        <v>診療日</v>
      </c>
      <c r="BT137" s="374"/>
      <c r="BU137" s="374"/>
      <c r="BV137" s="374"/>
      <c r="BW137" s="374"/>
      <c r="BX137" s="374"/>
      <c r="BY137" s="374"/>
      <c r="BZ137" s="374"/>
      <c r="CA137" s="376">
        <v>19</v>
      </c>
      <c r="CB137" s="375"/>
    </row>
    <row r="138" spans="2:80" x14ac:dyDescent="0.35">
      <c r="B138" s="1245" t="s">
        <v>1153</v>
      </c>
      <c r="C138" s="1218"/>
      <c r="D138" s="1218"/>
      <c r="E138" s="1218"/>
      <c r="F138" s="1219"/>
      <c r="G138" s="1255">
        <f>N104</f>
        <v>1</v>
      </c>
      <c r="H138" s="1256"/>
      <c r="I138" s="1257"/>
      <c r="J138" s="1229"/>
      <c r="K138" s="1230"/>
      <c r="L138" s="1230"/>
      <c r="M138" s="1230"/>
      <c r="N138" s="1230"/>
      <c r="O138" s="1230"/>
      <c r="P138" s="1230"/>
      <c r="Q138" s="1230"/>
      <c r="R138" s="1230"/>
      <c r="S138" s="1230"/>
      <c r="T138" s="1230"/>
      <c r="U138" s="1230"/>
      <c r="V138" s="1230"/>
      <c r="W138" s="1230"/>
      <c r="X138" s="1230"/>
      <c r="Y138" s="1230"/>
      <c r="Z138" s="1231"/>
      <c r="AA138" s="1232" t="str">
        <f xml:space="preserve">
IF(AND(G138&gt;2,COUNTA(J138)&lt;&gt;1),"要入力",
IF(AND(G138&gt;2,COUNTA(J138)=1),"入力済",
IF(G138&lt;=2,"入力"&amp;CHAR(10)&amp;"不要")))</f>
        <v>入力
不要</v>
      </c>
      <c r="AB138" s="1233"/>
      <c r="AC138" s="1261">
        <f>R104</f>
        <v>1</v>
      </c>
      <c r="AD138" s="1256"/>
      <c r="AE138" s="1257"/>
      <c r="AF138" s="1229"/>
      <c r="AG138" s="1230"/>
      <c r="AH138" s="1230"/>
      <c r="AI138" s="1230"/>
      <c r="AJ138" s="1230"/>
      <c r="AK138" s="1230"/>
      <c r="AL138" s="1230"/>
      <c r="AM138" s="1230"/>
      <c r="AN138" s="1230"/>
      <c r="AO138" s="1230"/>
      <c r="AP138" s="1230"/>
      <c r="AQ138" s="1230"/>
      <c r="AR138" s="1230"/>
      <c r="AS138" s="1230"/>
      <c r="AT138" s="1230"/>
      <c r="AU138" s="1230"/>
      <c r="AV138" s="1231"/>
      <c r="AW138" s="1232" t="str">
        <f xml:space="preserve">
IF(AND(AC138&gt;2,COUNTA(AF138)&lt;&gt;1),"要入力",
IF(AND(AC138&gt;2,COUNTA(AF138)=1),"入力済",
IF(AC138&lt;=2,"入力"&amp;CHAR(10)&amp;"不要")))</f>
        <v>入力
不要</v>
      </c>
      <c r="AX138" s="1233"/>
      <c r="BO138" s="374"/>
      <c r="BP138" s="374"/>
      <c r="BQ138" s="377">
        <v>45029</v>
      </c>
      <c r="BR138" s="375" t="str">
        <f t="shared" si="33"/>
        <v>木曜日</v>
      </c>
      <c r="BS138" s="375" t="str">
        <f t="shared" si="31"/>
        <v>診療日</v>
      </c>
      <c r="BT138" s="374"/>
      <c r="BU138" s="374"/>
      <c r="BV138" s="374"/>
      <c r="BW138" s="374"/>
      <c r="BX138" s="374"/>
      <c r="BY138" s="374"/>
      <c r="BZ138" s="374"/>
      <c r="CA138" s="376">
        <v>20</v>
      </c>
      <c r="CB138" s="375"/>
    </row>
    <row r="139" spans="2:80" x14ac:dyDescent="0.35">
      <c r="B139" s="1220"/>
      <c r="C139" s="1221"/>
      <c r="D139" s="1221"/>
      <c r="E139" s="1221"/>
      <c r="F139" s="1222"/>
      <c r="G139" s="1258"/>
      <c r="H139" s="1259"/>
      <c r="I139" s="1260"/>
      <c r="J139" s="1230"/>
      <c r="K139" s="1230"/>
      <c r="L139" s="1230"/>
      <c r="M139" s="1230"/>
      <c r="N139" s="1230"/>
      <c r="O139" s="1230"/>
      <c r="P139" s="1230"/>
      <c r="Q139" s="1230"/>
      <c r="R139" s="1230"/>
      <c r="S139" s="1230"/>
      <c r="T139" s="1230"/>
      <c r="U139" s="1230"/>
      <c r="V139" s="1230"/>
      <c r="W139" s="1230"/>
      <c r="X139" s="1230"/>
      <c r="Y139" s="1230"/>
      <c r="Z139" s="1231"/>
      <c r="AA139" s="1232"/>
      <c r="AB139" s="1233"/>
      <c r="AC139" s="1259"/>
      <c r="AD139" s="1259"/>
      <c r="AE139" s="1260"/>
      <c r="AF139" s="1230"/>
      <c r="AG139" s="1230"/>
      <c r="AH139" s="1230"/>
      <c r="AI139" s="1230"/>
      <c r="AJ139" s="1230"/>
      <c r="AK139" s="1230"/>
      <c r="AL139" s="1230"/>
      <c r="AM139" s="1230"/>
      <c r="AN139" s="1230"/>
      <c r="AO139" s="1230"/>
      <c r="AP139" s="1230"/>
      <c r="AQ139" s="1230"/>
      <c r="AR139" s="1230"/>
      <c r="AS139" s="1230"/>
      <c r="AT139" s="1230"/>
      <c r="AU139" s="1230"/>
      <c r="AV139" s="1231"/>
      <c r="AW139" s="1232"/>
      <c r="AX139" s="1233"/>
      <c r="BO139" s="374"/>
      <c r="BP139" s="374"/>
      <c r="BQ139" s="377">
        <v>45030</v>
      </c>
      <c r="BR139" s="375" t="str">
        <f t="shared" si="33"/>
        <v>金曜日</v>
      </c>
      <c r="BS139" s="375" t="str">
        <f t="shared" si="31"/>
        <v>診療日</v>
      </c>
      <c r="BT139" s="374"/>
      <c r="BU139" s="374"/>
      <c r="BV139" s="374"/>
      <c r="BW139" s="374"/>
      <c r="BX139" s="374"/>
      <c r="BY139" s="374"/>
      <c r="BZ139" s="374"/>
      <c r="CA139" s="376">
        <v>21</v>
      </c>
      <c r="CB139" s="375"/>
    </row>
    <row r="140" spans="2:80" x14ac:dyDescent="0.35">
      <c r="B140" s="1254" t="s">
        <v>1154</v>
      </c>
      <c r="C140" s="1218"/>
      <c r="D140" s="1218"/>
      <c r="E140" s="1218"/>
      <c r="F140" s="1219"/>
      <c r="G140" s="1223">
        <f>N107</f>
        <v>1</v>
      </c>
      <c r="H140" s="1224"/>
      <c r="I140" s="1225"/>
      <c r="J140" s="1229"/>
      <c r="K140" s="1230"/>
      <c r="L140" s="1230"/>
      <c r="M140" s="1230"/>
      <c r="N140" s="1230"/>
      <c r="O140" s="1230"/>
      <c r="P140" s="1230"/>
      <c r="Q140" s="1230"/>
      <c r="R140" s="1230"/>
      <c r="S140" s="1230"/>
      <c r="T140" s="1230"/>
      <c r="U140" s="1230"/>
      <c r="V140" s="1230"/>
      <c r="W140" s="1230"/>
      <c r="X140" s="1230"/>
      <c r="Y140" s="1230"/>
      <c r="Z140" s="1231"/>
      <c r="AA140" s="1232" t="str">
        <f xml:space="preserve">
IF(AND(G140&gt;2,COUNTA(J140)&lt;&gt;1),"要入力",
IF(AND(G140&gt;2,COUNTA(J140)=1),"入力済",
IF(G140&lt;=2,"入力"&amp;CHAR(10)&amp;"不要")))</f>
        <v>入力
不要</v>
      </c>
      <c r="AB140" s="1233"/>
      <c r="AC140" s="1234">
        <f>R107</f>
        <v>1</v>
      </c>
      <c r="AD140" s="1224"/>
      <c r="AE140" s="1225"/>
      <c r="AF140" s="1229"/>
      <c r="AG140" s="1230"/>
      <c r="AH140" s="1230"/>
      <c r="AI140" s="1230"/>
      <c r="AJ140" s="1230"/>
      <c r="AK140" s="1230"/>
      <c r="AL140" s="1230"/>
      <c r="AM140" s="1230"/>
      <c r="AN140" s="1230"/>
      <c r="AO140" s="1230"/>
      <c r="AP140" s="1230"/>
      <c r="AQ140" s="1230"/>
      <c r="AR140" s="1230"/>
      <c r="AS140" s="1230"/>
      <c r="AT140" s="1230"/>
      <c r="AU140" s="1230"/>
      <c r="AV140" s="1231"/>
      <c r="AW140" s="1232" t="str">
        <f xml:space="preserve">
IF(AND(AC140&gt;2,COUNTA(AF140)&lt;&gt;1),"要入力",
IF(AND(AC140&gt;2,COUNTA(AF140)=1),"入力済",
IF(AC140&lt;=2,"入力"&amp;CHAR(10)&amp;"不要")))</f>
        <v>入力
不要</v>
      </c>
      <c r="AX140" s="1233"/>
      <c r="BO140" s="374"/>
      <c r="BP140" s="374"/>
      <c r="BQ140" s="377">
        <v>45031</v>
      </c>
      <c r="BR140" s="375" t="str">
        <f t="shared" si="33"/>
        <v>土曜日</v>
      </c>
      <c r="BS140" s="375" t="str">
        <f t="shared" si="31"/>
        <v>診療日</v>
      </c>
      <c r="BT140" s="374"/>
      <c r="BU140" s="374"/>
      <c r="BV140" s="374"/>
      <c r="BW140" s="374"/>
      <c r="BX140" s="374"/>
      <c r="BY140" s="374"/>
      <c r="BZ140" s="374"/>
      <c r="CA140" s="376">
        <v>22</v>
      </c>
      <c r="CB140" s="375"/>
    </row>
    <row r="141" spans="2:80" x14ac:dyDescent="0.35">
      <c r="B141" s="1220"/>
      <c r="C141" s="1221"/>
      <c r="D141" s="1221"/>
      <c r="E141" s="1221"/>
      <c r="F141" s="1222"/>
      <c r="G141" s="1226"/>
      <c r="H141" s="1227"/>
      <c r="I141" s="1228"/>
      <c r="J141" s="1230"/>
      <c r="K141" s="1230"/>
      <c r="L141" s="1230"/>
      <c r="M141" s="1230"/>
      <c r="N141" s="1230"/>
      <c r="O141" s="1230"/>
      <c r="P141" s="1230"/>
      <c r="Q141" s="1230"/>
      <c r="R141" s="1230"/>
      <c r="S141" s="1230"/>
      <c r="T141" s="1230"/>
      <c r="U141" s="1230"/>
      <c r="V141" s="1230"/>
      <c r="W141" s="1230"/>
      <c r="X141" s="1230"/>
      <c r="Y141" s="1230"/>
      <c r="Z141" s="1231"/>
      <c r="AA141" s="1232"/>
      <c r="AB141" s="1233"/>
      <c r="AC141" s="1227"/>
      <c r="AD141" s="1227"/>
      <c r="AE141" s="1228"/>
      <c r="AF141" s="1230"/>
      <c r="AG141" s="1230"/>
      <c r="AH141" s="1230"/>
      <c r="AI141" s="1230"/>
      <c r="AJ141" s="1230"/>
      <c r="AK141" s="1230"/>
      <c r="AL141" s="1230"/>
      <c r="AM141" s="1230"/>
      <c r="AN141" s="1230"/>
      <c r="AO141" s="1230"/>
      <c r="AP141" s="1230"/>
      <c r="AQ141" s="1230"/>
      <c r="AR141" s="1230"/>
      <c r="AS141" s="1230"/>
      <c r="AT141" s="1230"/>
      <c r="AU141" s="1230"/>
      <c r="AV141" s="1231"/>
      <c r="AW141" s="1232"/>
      <c r="AX141" s="1233"/>
      <c r="BO141" s="374"/>
      <c r="BP141" s="374"/>
      <c r="BQ141" s="377">
        <v>45032</v>
      </c>
      <c r="BR141" s="375" t="str">
        <f t="shared" si="33"/>
        <v>日曜日</v>
      </c>
      <c r="BS141" s="375" t="str">
        <f t="shared" si="31"/>
        <v>休診日</v>
      </c>
      <c r="BT141" s="374"/>
      <c r="BU141" s="374"/>
      <c r="BV141" s="374"/>
      <c r="BW141" s="374"/>
      <c r="BX141" s="374"/>
      <c r="BY141" s="374"/>
      <c r="BZ141" s="374"/>
      <c r="CA141" s="376">
        <v>23</v>
      </c>
      <c r="CB141" s="375"/>
    </row>
    <row r="142" spans="2:80" x14ac:dyDescent="0.35">
      <c r="B142" s="1245" t="s">
        <v>1155</v>
      </c>
      <c r="C142" s="1218"/>
      <c r="D142" s="1218"/>
      <c r="E142" s="1218"/>
      <c r="F142" s="1219"/>
      <c r="G142" s="1223">
        <f>N110</f>
        <v>1</v>
      </c>
      <c r="H142" s="1224"/>
      <c r="I142" s="1225"/>
      <c r="J142" s="1229"/>
      <c r="K142" s="1230"/>
      <c r="L142" s="1230"/>
      <c r="M142" s="1230"/>
      <c r="N142" s="1230"/>
      <c r="O142" s="1230"/>
      <c r="P142" s="1230"/>
      <c r="Q142" s="1230"/>
      <c r="R142" s="1230"/>
      <c r="S142" s="1230"/>
      <c r="T142" s="1230"/>
      <c r="U142" s="1230"/>
      <c r="V142" s="1230"/>
      <c r="W142" s="1230"/>
      <c r="X142" s="1230"/>
      <c r="Y142" s="1230"/>
      <c r="Z142" s="1231"/>
      <c r="AA142" s="1232" t="str">
        <f xml:space="preserve">
IF(AND(G142&gt;2,COUNTA(J142)&lt;&gt;1),"要入力",
IF(AND(G142&gt;2,COUNTA(J142)=1),"入力済",
IF(G142&lt;=2,"入力"&amp;CHAR(10)&amp;"不要")))</f>
        <v>入力
不要</v>
      </c>
      <c r="AB142" s="1233"/>
      <c r="AC142" s="1234">
        <f>R110</f>
        <v>1</v>
      </c>
      <c r="AD142" s="1224"/>
      <c r="AE142" s="1225"/>
      <c r="AF142" s="1229"/>
      <c r="AG142" s="1230"/>
      <c r="AH142" s="1230"/>
      <c r="AI142" s="1230"/>
      <c r="AJ142" s="1230"/>
      <c r="AK142" s="1230"/>
      <c r="AL142" s="1230"/>
      <c r="AM142" s="1230"/>
      <c r="AN142" s="1230"/>
      <c r="AO142" s="1230"/>
      <c r="AP142" s="1230"/>
      <c r="AQ142" s="1230"/>
      <c r="AR142" s="1230"/>
      <c r="AS142" s="1230"/>
      <c r="AT142" s="1230"/>
      <c r="AU142" s="1230"/>
      <c r="AV142" s="1231"/>
      <c r="AW142" s="1232" t="str">
        <f xml:space="preserve">
IF(AND(AC142&gt;2,COUNTA(AF142)&lt;&gt;1),"要入力",
IF(AND(AC142&gt;2,COUNTA(AF142)=1),"入力済",
IF(AC142&lt;=2,"入力"&amp;CHAR(10)&amp;"不要")))</f>
        <v>入力
不要</v>
      </c>
      <c r="AX142" s="1233"/>
      <c r="BO142" s="374"/>
      <c r="BP142" s="374"/>
      <c r="BQ142" s="377">
        <v>45033</v>
      </c>
      <c r="BR142" s="375" t="str">
        <f t="shared" si="33"/>
        <v>月曜日</v>
      </c>
      <c r="BS142" s="375" t="str">
        <f t="shared" si="31"/>
        <v>診療日</v>
      </c>
      <c r="BT142" s="374"/>
      <c r="BU142" s="374"/>
      <c r="BV142" s="374"/>
      <c r="BW142" s="374"/>
      <c r="BX142" s="374"/>
      <c r="BY142" s="374"/>
      <c r="BZ142" s="374"/>
      <c r="CA142" s="376">
        <v>24</v>
      </c>
      <c r="CB142" s="375"/>
    </row>
    <row r="143" spans="2:80" x14ac:dyDescent="0.35">
      <c r="B143" s="1220"/>
      <c r="C143" s="1221"/>
      <c r="D143" s="1221"/>
      <c r="E143" s="1221"/>
      <c r="F143" s="1222"/>
      <c r="G143" s="1226"/>
      <c r="H143" s="1227"/>
      <c r="I143" s="1228"/>
      <c r="J143" s="1230"/>
      <c r="K143" s="1230"/>
      <c r="L143" s="1230"/>
      <c r="M143" s="1230"/>
      <c r="N143" s="1230"/>
      <c r="O143" s="1230"/>
      <c r="P143" s="1230"/>
      <c r="Q143" s="1230"/>
      <c r="R143" s="1230"/>
      <c r="S143" s="1230"/>
      <c r="T143" s="1230"/>
      <c r="U143" s="1230"/>
      <c r="V143" s="1230"/>
      <c r="W143" s="1230"/>
      <c r="X143" s="1230"/>
      <c r="Y143" s="1230"/>
      <c r="Z143" s="1231"/>
      <c r="AA143" s="1232"/>
      <c r="AB143" s="1233"/>
      <c r="AC143" s="1227"/>
      <c r="AD143" s="1227"/>
      <c r="AE143" s="1228"/>
      <c r="AF143" s="1230"/>
      <c r="AG143" s="1230"/>
      <c r="AH143" s="1230"/>
      <c r="AI143" s="1230"/>
      <c r="AJ143" s="1230"/>
      <c r="AK143" s="1230"/>
      <c r="AL143" s="1230"/>
      <c r="AM143" s="1230"/>
      <c r="AN143" s="1230"/>
      <c r="AO143" s="1230"/>
      <c r="AP143" s="1230"/>
      <c r="AQ143" s="1230"/>
      <c r="AR143" s="1230"/>
      <c r="AS143" s="1230"/>
      <c r="AT143" s="1230"/>
      <c r="AU143" s="1230"/>
      <c r="AV143" s="1231"/>
      <c r="AW143" s="1232"/>
      <c r="AX143" s="1233"/>
      <c r="BO143" s="374"/>
      <c r="BP143" s="374"/>
      <c r="BQ143" s="377">
        <v>45034</v>
      </c>
      <c r="BR143" s="375" t="str">
        <f t="shared" si="33"/>
        <v>火曜日</v>
      </c>
      <c r="BS143" s="375" t="str">
        <f t="shared" si="31"/>
        <v>診療日</v>
      </c>
      <c r="BT143" s="374"/>
      <c r="BU143" s="374"/>
      <c r="BV143" s="374"/>
      <c r="BW143" s="374"/>
      <c r="BX143" s="374"/>
      <c r="BY143" s="374"/>
      <c r="BZ143" s="374"/>
      <c r="CA143" s="376">
        <v>25</v>
      </c>
      <c r="CB143" s="375"/>
    </row>
    <row r="144" spans="2:80" x14ac:dyDescent="0.35">
      <c r="B144" s="1245" t="s">
        <v>1156</v>
      </c>
      <c r="C144" s="1218"/>
      <c r="D144" s="1218"/>
      <c r="E144" s="1218"/>
      <c r="F144" s="1219"/>
      <c r="G144" s="1255">
        <f>N113</f>
        <v>0.1</v>
      </c>
      <c r="H144" s="1256"/>
      <c r="I144" s="1257"/>
      <c r="J144" s="1229"/>
      <c r="K144" s="1230"/>
      <c r="L144" s="1230"/>
      <c r="M144" s="1230"/>
      <c r="N144" s="1230"/>
      <c r="O144" s="1230"/>
      <c r="P144" s="1230"/>
      <c r="Q144" s="1230"/>
      <c r="R144" s="1230"/>
      <c r="S144" s="1230"/>
      <c r="T144" s="1230"/>
      <c r="U144" s="1230"/>
      <c r="V144" s="1230"/>
      <c r="W144" s="1230"/>
      <c r="X144" s="1230"/>
      <c r="Y144" s="1230"/>
      <c r="Z144" s="1231"/>
      <c r="AA144" s="1232" t="str">
        <f xml:space="preserve">
IF(AND(G144&gt;0.5,COUNTA(J144)&lt;&gt;1),"要入力",
IF(AND(G144&gt;0.5,COUNTA(J144)=1),"入力済",
IF(G144&lt;=0.5,"入力"&amp;CHAR(10)&amp;"不要")))</f>
        <v>入力
不要</v>
      </c>
      <c r="AB144" s="1233"/>
      <c r="AC144" s="1261">
        <f>R113</f>
        <v>0.1</v>
      </c>
      <c r="AD144" s="1256"/>
      <c r="AE144" s="1257"/>
      <c r="AF144" s="1229"/>
      <c r="AG144" s="1230"/>
      <c r="AH144" s="1230"/>
      <c r="AI144" s="1230"/>
      <c r="AJ144" s="1230"/>
      <c r="AK144" s="1230"/>
      <c r="AL144" s="1230"/>
      <c r="AM144" s="1230"/>
      <c r="AN144" s="1230"/>
      <c r="AO144" s="1230"/>
      <c r="AP144" s="1230"/>
      <c r="AQ144" s="1230"/>
      <c r="AR144" s="1230"/>
      <c r="AS144" s="1230"/>
      <c r="AT144" s="1230"/>
      <c r="AU144" s="1230"/>
      <c r="AV144" s="1231"/>
      <c r="AW144" s="1232" t="str">
        <f xml:space="preserve">
IF(AND(AC144&gt;0.5,COUNTA(AF144)&lt;&gt;1),"要入力",
IF(AND(AC144&gt;0.5,COUNTA(AF144)=1),"入力済",
IF(AC144&lt;=0.5,"入力"&amp;CHAR(10)&amp;"不要")))</f>
        <v>入力
不要</v>
      </c>
      <c r="AX144" s="1233"/>
      <c r="BO144" s="374"/>
      <c r="BP144" s="374"/>
      <c r="BQ144" s="377">
        <v>45035</v>
      </c>
      <c r="BR144" s="375" t="str">
        <f t="shared" si="33"/>
        <v>水曜日</v>
      </c>
      <c r="BS144" s="375" t="str">
        <f t="shared" si="31"/>
        <v>診療日</v>
      </c>
      <c r="BT144" s="374"/>
      <c r="BU144" s="374"/>
      <c r="BV144" s="374"/>
      <c r="BW144" s="374"/>
      <c r="BX144" s="374"/>
      <c r="BY144" s="374"/>
      <c r="BZ144" s="374"/>
      <c r="CA144" s="376">
        <v>26</v>
      </c>
      <c r="CB144" s="375"/>
    </row>
    <row r="145" spans="2:80" x14ac:dyDescent="0.35">
      <c r="B145" s="1220"/>
      <c r="C145" s="1221"/>
      <c r="D145" s="1221"/>
      <c r="E145" s="1221"/>
      <c r="F145" s="1222"/>
      <c r="G145" s="1258"/>
      <c r="H145" s="1259"/>
      <c r="I145" s="1260"/>
      <c r="J145" s="1230"/>
      <c r="K145" s="1230"/>
      <c r="L145" s="1230"/>
      <c r="M145" s="1230"/>
      <c r="N145" s="1230"/>
      <c r="O145" s="1230"/>
      <c r="P145" s="1230"/>
      <c r="Q145" s="1230"/>
      <c r="R145" s="1230"/>
      <c r="S145" s="1230"/>
      <c r="T145" s="1230"/>
      <c r="U145" s="1230"/>
      <c r="V145" s="1230"/>
      <c r="W145" s="1230"/>
      <c r="X145" s="1230"/>
      <c r="Y145" s="1230"/>
      <c r="Z145" s="1231"/>
      <c r="AA145" s="1232"/>
      <c r="AB145" s="1233"/>
      <c r="AC145" s="1259"/>
      <c r="AD145" s="1259"/>
      <c r="AE145" s="1260"/>
      <c r="AF145" s="1230"/>
      <c r="AG145" s="1230"/>
      <c r="AH145" s="1230"/>
      <c r="AI145" s="1230"/>
      <c r="AJ145" s="1230"/>
      <c r="AK145" s="1230"/>
      <c r="AL145" s="1230"/>
      <c r="AM145" s="1230"/>
      <c r="AN145" s="1230"/>
      <c r="AO145" s="1230"/>
      <c r="AP145" s="1230"/>
      <c r="AQ145" s="1230"/>
      <c r="AR145" s="1230"/>
      <c r="AS145" s="1230"/>
      <c r="AT145" s="1230"/>
      <c r="AU145" s="1230"/>
      <c r="AV145" s="1231"/>
      <c r="AW145" s="1232"/>
      <c r="AX145" s="1233"/>
      <c r="BO145" s="374"/>
      <c r="BP145" s="374"/>
      <c r="BQ145" s="377">
        <v>45036</v>
      </c>
      <c r="BR145" s="375" t="str">
        <f t="shared" si="33"/>
        <v>木曜日</v>
      </c>
      <c r="BS145" s="375" t="str">
        <f t="shared" si="31"/>
        <v>診療日</v>
      </c>
      <c r="BT145" s="374"/>
      <c r="BU145" s="374"/>
      <c r="BV145" s="374"/>
      <c r="BW145" s="374"/>
      <c r="BX145" s="374"/>
      <c r="BY145" s="374"/>
      <c r="BZ145" s="374"/>
      <c r="CA145" s="376">
        <v>27</v>
      </c>
      <c r="CB145" s="375"/>
    </row>
    <row r="146" spans="2:80" x14ac:dyDescent="0.35">
      <c r="B146" s="1245" t="s">
        <v>1157</v>
      </c>
      <c r="C146" s="1218"/>
      <c r="D146" s="1218"/>
      <c r="E146" s="1218"/>
      <c r="F146" s="1219"/>
      <c r="G146" s="1223">
        <f>N116</f>
        <v>0.1</v>
      </c>
      <c r="H146" s="1224"/>
      <c r="I146" s="1225"/>
      <c r="J146" s="1229"/>
      <c r="K146" s="1230"/>
      <c r="L146" s="1230"/>
      <c r="M146" s="1230"/>
      <c r="N146" s="1230"/>
      <c r="O146" s="1230"/>
      <c r="P146" s="1230"/>
      <c r="Q146" s="1230"/>
      <c r="R146" s="1230"/>
      <c r="S146" s="1230"/>
      <c r="T146" s="1230"/>
      <c r="U146" s="1230"/>
      <c r="V146" s="1230"/>
      <c r="W146" s="1230"/>
      <c r="X146" s="1230"/>
      <c r="Y146" s="1230"/>
      <c r="Z146" s="1231"/>
      <c r="AA146" s="1232" t="str">
        <f xml:space="preserve">
IF(AND(G146&gt;2,COUNTA(J146)&lt;&gt;1),"要入力",
IF(AND(G146&gt;2,COUNTA(J146)=1),"入力済",
IF(G146&lt;=2,"入力"&amp;CHAR(10)&amp;"不要")))</f>
        <v>入力
不要</v>
      </c>
      <c r="AB146" s="1233"/>
      <c r="AC146" s="1234">
        <f>R116</f>
        <v>0.1</v>
      </c>
      <c r="AD146" s="1224"/>
      <c r="AE146" s="1225"/>
      <c r="AF146" s="1229"/>
      <c r="AG146" s="1230"/>
      <c r="AH146" s="1230"/>
      <c r="AI146" s="1230"/>
      <c r="AJ146" s="1230"/>
      <c r="AK146" s="1230"/>
      <c r="AL146" s="1230"/>
      <c r="AM146" s="1230"/>
      <c r="AN146" s="1230"/>
      <c r="AO146" s="1230"/>
      <c r="AP146" s="1230"/>
      <c r="AQ146" s="1230"/>
      <c r="AR146" s="1230"/>
      <c r="AS146" s="1230"/>
      <c r="AT146" s="1230"/>
      <c r="AU146" s="1230"/>
      <c r="AV146" s="1231"/>
      <c r="AW146" s="1232" t="str">
        <f xml:space="preserve">
IF(AND(AC146&gt;2,COUNTA(AF146)&lt;&gt;1),"要入力",
IF(AND(AC146&gt;2,COUNTA(AF146)=1),"入力済",
IF(AC146&lt;=2,"入力"&amp;CHAR(10)&amp;"不要")))</f>
        <v>入力
不要</v>
      </c>
      <c r="AX146" s="1233"/>
      <c r="BO146" s="374"/>
      <c r="BP146" s="374"/>
      <c r="BQ146" s="377">
        <v>45037</v>
      </c>
      <c r="BR146" s="375" t="str">
        <f t="shared" si="33"/>
        <v>金曜日</v>
      </c>
      <c r="BS146" s="375" t="str">
        <f t="shared" si="31"/>
        <v>診療日</v>
      </c>
      <c r="BT146" s="374"/>
      <c r="BU146" s="374"/>
      <c r="BV146" s="374"/>
      <c r="BW146" s="374"/>
      <c r="BX146" s="374"/>
      <c r="BY146" s="374"/>
      <c r="BZ146" s="374"/>
      <c r="CA146" s="376">
        <v>28</v>
      </c>
      <c r="CB146" s="375"/>
    </row>
    <row r="147" spans="2:80" x14ac:dyDescent="0.35">
      <c r="B147" s="1220"/>
      <c r="C147" s="1221"/>
      <c r="D147" s="1221"/>
      <c r="E147" s="1221"/>
      <c r="F147" s="1222"/>
      <c r="G147" s="1226"/>
      <c r="H147" s="1227"/>
      <c r="I147" s="1228"/>
      <c r="J147" s="1230"/>
      <c r="K147" s="1230"/>
      <c r="L147" s="1230"/>
      <c r="M147" s="1230"/>
      <c r="N147" s="1230"/>
      <c r="O147" s="1230"/>
      <c r="P147" s="1230"/>
      <c r="Q147" s="1230"/>
      <c r="R147" s="1230"/>
      <c r="S147" s="1230"/>
      <c r="T147" s="1230"/>
      <c r="U147" s="1230"/>
      <c r="V147" s="1230"/>
      <c r="W147" s="1230"/>
      <c r="X147" s="1230"/>
      <c r="Y147" s="1230"/>
      <c r="Z147" s="1231"/>
      <c r="AA147" s="1232"/>
      <c r="AB147" s="1233"/>
      <c r="AC147" s="1227"/>
      <c r="AD147" s="1227"/>
      <c r="AE147" s="1228"/>
      <c r="AF147" s="1230"/>
      <c r="AG147" s="1230"/>
      <c r="AH147" s="1230"/>
      <c r="AI147" s="1230"/>
      <c r="AJ147" s="1230"/>
      <c r="AK147" s="1230"/>
      <c r="AL147" s="1230"/>
      <c r="AM147" s="1230"/>
      <c r="AN147" s="1230"/>
      <c r="AO147" s="1230"/>
      <c r="AP147" s="1230"/>
      <c r="AQ147" s="1230"/>
      <c r="AR147" s="1230"/>
      <c r="AS147" s="1230"/>
      <c r="AT147" s="1230"/>
      <c r="AU147" s="1230"/>
      <c r="AV147" s="1231"/>
      <c r="AW147" s="1232"/>
      <c r="AX147" s="1233"/>
      <c r="BO147" s="374"/>
      <c r="BP147" s="374"/>
      <c r="BQ147" s="377">
        <v>45038</v>
      </c>
      <c r="BR147" s="375" t="str">
        <f t="shared" si="33"/>
        <v>土曜日</v>
      </c>
      <c r="BS147" s="375" t="str">
        <f t="shared" si="31"/>
        <v>診療日</v>
      </c>
      <c r="BT147" s="374"/>
      <c r="BU147" s="374"/>
      <c r="BV147" s="374"/>
      <c r="BW147" s="374"/>
      <c r="BX147" s="374"/>
      <c r="BY147" s="374"/>
      <c r="BZ147" s="374"/>
      <c r="CA147" s="376">
        <v>29</v>
      </c>
      <c r="CB147" s="375"/>
    </row>
    <row r="148" spans="2:80" x14ac:dyDescent="0.35">
      <c r="B148" s="1245" t="s">
        <v>1158</v>
      </c>
      <c r="C148" s="1218"/>
      <c r="D148" s="1218"/>
      <c r="E148" s="1218"/>
      <c r="F148" s="1219"/>
      <c r="G148" s="1223">
        <f>N119</f>
        <v>0.1</v>
      </c>
      <c r="H148" s="1224"/>
      <c r="I148" s="1225"/>
      <c r="J148" s="1229">
        <v>1</v>
      </c>
      <c r="K148" s="1230"/>
      <c r="L148" s="1230"/>
      <c r="M148" s="1230"/>
      <c r="N148" s="1230"/>
      <c r="O148" s="1230"/>
      <c r="P148" s="1230"/>
      <c r="Q148" s="1230"/>
      <c r="R148" s="1230"/>
      <c r="S148" s="1230"/>
      <c r="T148" s="1230"/>
      <c r="U148" s="1230"/>
      <c r="V148" s="1230"/>
      <c r="W148" s="1230"/>
      <c r="X148" s="1230"/>
      <c r="Y148" s="1230"/>
      <c r="Z148" s="1231"/>
      <c r="AA148" s="1232" t="str">
        <f xml:space="preserve">
IF(AND(G148&gt;0.5,COUNTA(J148)&lt;&gt;1),"要入力",
IF(AND(G148&gt;0.5,COUNTA(J148)=1),"入力済",
IF(G148&lt;=0.5,"入力"&amp;CHAR(10)&amp;"不要")))</f>
        <v>入力
不要</v>
      </c>
      <c r="AB148" s="1233"/>
      <c r="AC148" s="1234">
        <f>R119</f>
        <v>0.1</v>
      </c>
      <c r="AD148" s="1224"/>
      <c r="AE148" s="1225"/>
      <c r="AF148" s="1229"/>
      <c r="AG148" s="1230"/>
      <c r="AH148" s="1230"/>
      <c r="AI148" s="1230"/>
      <c r="AJ148" s="1230"/>
      <c r="AK148" s="1230"/>
      <c r="AL148" s="1230"/>
      <c r="AM148" s="1230"/>
      <c r="AN148" s="1230"/>
      <c r="AO148" s="1230"/>
      <c r="AP148" s="1230"/>
      <c r="AQ148" s="1230"/>
      <c r="AR148" s="1230"/>
      <c r="AS148" s="1230"/>
      <c r="AT148" s="1230"/>
      <c r="AU148" s="1230"/>
      <c r="AV148" s="1231"/>
      <c r="AW148" s="1232" t="str">
        <f xml:space="preserve">
IF(AND(AC148&gt;0.5,COUNTA(AF148)&lt;&gt;1),"要入力",
IF(AND(AC148&gt;0.5,COUNTA(AF148)=1),"入力済",
IF(AC148&lt;=0.5,"入力"&amp;CHAR(10)&amp;"不要")))</f>
        <v>入力
不要</v>
      </c>
      <c r="AX148" s="1233"/>
      <c r="BO148" s="374"/>
      <c r="BP148" s="374"/>
      <c r="BQ148" s="377">
        <v>45039</v>
      </c>
      <c r="BR148" s="375" t="str">
        <f t="shared" si="33"/>
        <v>日曜日</v>
      </c>
      <c r="BS148" s="375" t="str">
        <f t="shared" si="31"/>
        <v>休診日</v>
      </c>
      <c r="BT148" s="374"/>
      <c r="BU148" s="374"/>
      <c r="BV148" s="374"/>
      <c r="BW148" s="374"/>
      <c r="BX148" s="374"/>
      <c r="BY148" s="374"/>
      <c r="BZ148" s="374"/>
      <c r="CA148" s="376">
        <v>30</v>
      </c>
      <c r="CB148" s="375"/>
    </row>
    <row r="149" spans="2:80" ht="18.75" thickBot="1" x14ac:dyDescent="0.4">
      <c r="B149" s="1220"/>
      <c r="C149" s="1221"/>
      <c r="D149" s="1221"/>
      <c r="E149" s="1221"/>
      <c r="F149" s="1222"/>
      <c r="G149" s="1226"/>
      <c r="H149" s="1227"/>
      <c r="I149" s="1228"/>
      <c r="J149" s="1230"/>
      <c r="K149" s="1230"/>
      <c r="L149" s="1230"/>
      <c r="M149" s="1230"/>
      <c r="N149" s="1230"/>
      <c r="O149" s="1230"/>
      <c r="P149" s="1230"/>
      <c r="Q149" s="1230"/>
      <c r="R149" s="1230"/>
      <c r="S149" s="1230"/>
      <c r="T149" s="1230"/>
      <c r="U149" s="1230"/>
      <c r="V149" s="1230"/>
      <c r="W149" s="1230"/>
      <c r="X149" s="1230"/>
      <c r="Y149" s="1230"/>
      <c r="Z149" s="1231"/>
      <c r="AA149" s="1265"/>
      <c r="AB149" s="1266"/>
      <c r="AC149" s="1227"/>
      <c r="AD149" s="1227"/>
      <c r="AE149" s="1228"/>
      <c r="AF149" s="1230"/>
      <c r="AG149" s="1230"/>
      <c r="AH149" s="1230"/>
      <c r="AI149" s="1230"/>
      <c r="AJ149" s="1230"/>
      <c r="AK149" s="1230"/>
      <c r="AL149" s="1230"/>
      <c r="AM149" s="1230"/>
      <c r="AN149" s="1230"/>
      <c r="AO149" s="1230"/>
      <c r="AP149" s="1230"/>
      <c r="AQ149" s="1230"/>
      <c r="AR149" s="1230"/>
      <c r="AS149" s="1230"/>
      <c r="AT149" s="1230"/>
      <c r="AU149" s="1230"/>
      <c r="AV149" s="1231"/>
      <c r="AW149" s="1265"/>
      <c r="AX149" s="1266"/>
      <c r="BO149" s="374"/>
      <c r="BP149" s="374"/>
      <c r="BQ149" s="377">
        <v>45040</v>
      </c>
      <c r="BR149" s="375" t="str">
        <f t="shared" si="33"/>
        <v>月曜日</v>
      </c>
      <c r="BS149" s="375" t="str">
        <f t="shared" si="31"/>
        <v>診療日</v>
      </c>
      <c r="BT149" s="374"/>
      <c r="BU149" s="374"/>
      <c r="BV149" s="374"/>
      <c r="BW149" s="374"/>
      <c r="BX149" s="374"/>
      <c r="BY149" s="374"/>
      <c r="BZ149" s="374"/>
      <c r="CA149" s="380"/>
      <c r="CB149" s="374"/>
    </row>
    <row r="150" spans="2:80" ht="18.75" thickTop="1" x14ac:dyDescent="0.35">
      <c r="BO150" s="374"/>
      <c r="BP150" s="374"/>
      <c r="BQ150" s="377">
        <v>45041</v>
      </c>
      <c r="BR150" s="375" t="str">
        <f t="shared" si="33"/>
        <v>火曜日</v>
      </c>
      <c r="BS150" s="375" t="str">
        <f t="shared" si="31"/>
        <v>診療日</v>
      </c>
      <c r="BT150" s="374"/>
      <c r="BU150" s="374"/>
      <c r="BV150" s="374"/>
      <c r="BW150" s="374"/>
      <c r="BX150" s="374"/>
      <c r="BY150" s="374"/>
      <c r="BZ150" s="374"/>
      <c r="CA150" s="380"/>
      <c r="CB150" s="374"/>
    </row>
    <row r="151" spans="2:80" x14ac:dyDescent="0.35">
      <c r="BO151" s="374"/>
      <c r="BP151" s="374"/>
      <c r="BQ151" s="377">
        <v>45042</v>
      </c>
      <c r="BR151" s="375" t="str">
        <f t="shared" si="33"/>
        <v>水曜日</v>
      </c>
      <c r="BS151" s="375" t="str">
        <f t="shared" si="31"/>
        <v>診療日</v>
      </c>
      <c r="BT151" s="374"/>
      <c r="BU151" s="374"/>
      <c r="BV151" s="374"/>
      <c r="BW151" s="374"/>
      <c r="BX151" s="374"/>
      <c r="BY151" s="374"/>
      <c r="BZ151" s="374"/>
      <c r="CA151" s="380"/>
      <c r="CB151" s="374"/>
    </row>
    <row r="152" spans="2:80" x14ac:dyDescent="0.35">
      <c r="BO152" s="374"/>
      <c r="BP152" s="374"/>
      <c r="BQ152" s="377">
        <v>45043</v>
      </c>
      <c r="BR152" s="375" t="str">
        <f t="shared" si="33"/>
        <v>木曜日</v>
      </c>
      <c r="BS152" s="375" t="str">
        <f t="shared" si="31"/>
        <v>診療日</v>
      </c>
      <c r="BT152" s="374"/>
      <c r="BU152" s="374"/>
      <c r="BV152" s="374"/>
      <c r="BW152" s="374"/>
      <c r="BX152" s="374"/>
      <c r="BY152" s="374"/>
      <c r="BZ152" s="374"/>
      <c r="CA152" s="380"/>
      <c r="CB152" s="374"/>
    </row>
    <row r="153" spans="2:80" x14ac:dyDescent="0.35">
      <c r="BO153" s="374"/>
      <c r="BP153" s="374"/>
      <c r="BQ153" s="377">
        <v>45044</v>
      </c>
      <c r="BR153" s="375" t="str">
        <f t="shared" si="33"/>
        <v>金曜日</v>
      </c>
      <c r="BS153" s="375" t="str">
        <f t="shared" si="31"/>
        <v>診療日</v>
      </c>
      <c r="BT153" s="374"/>
      <c r="BU153" s="374"/>
      <c r="BV153" s="374"/>
      <c r="BW153" s="374"/>
      <c r="BX153" s="374"/>
      <c r="BY153" s="374"/>
      <c r="BZ153" s="374"/>
      <c r="CA153" s="380"/>
      <c r="CB153" s="374"/>
    </row>
    <row r="154" spans="2:80" x14ac:dyDescent="0.35">
      <c r="BO154" s="374"/>
      <c r="BP154" s="374"/>
      <c r="BQ154" s="377">
        <v>45045</v>
      </c>
      <c r="BR154" s="375" t="str">
        <f t="shared" si="33"/>
        <v>土曜日</v>
      </c>
      <c r="BS154" s="375" t="str">
        <f t="shared" si="31"/>
        <v>診療日</v>
      </c>
      <c r="BT154" s="374"/>
      <c r="BU154" s="374"/>
      <c r="BV154" s="374"/>
      <c r="BW154" s="374"/>
      <c r="BX154" s="374"/>
      <c r="BY154" s="374"/>
      <c r="BZ154" s="374"/>
      <c r="CA154" s="380"/>
      <c r="CB154" s="374"/>
    </row>
    <row r="155" spans="2:80" x14ac:dyDescent="0.35">
      <c r="BO155" s="374"/>
      <c r="BP155" s="374"/>
      <c r="BQ155" s="377">
        <v>45046</v>
      </c>
      <c r="BR155" s="375" t="str">
        <f t="shared" si="33"/>
        <v>日曜日</v>
      </c>
      <c r="BS155" s="375" t="str">
        <f t="shared" si="31"/>
        <v>休診日</v>
      </c>
      <c r="BT155" s="374"/>
      <c r="BU155" s="374"/>
      <c r="BV155" s="374"/>
      <c r="BW155" s="374"/>
      <c r="BX155" s="374"/>
      <c r="BY155" s="374"/>
      <c r="BZ155" s="374"/>
      <c r="CA155" s="380"/>
      <c r="CB155" s="374"/>
    </row>
    <row r="156" spans="2:80" x14ac:dyDescent="0.35">
      <c r="BO156" s="374"/>
      <c r="BP156" s="374"/>
      <c r="BQ156" s="377">
        <v>45047</v>
      </c>
      <c r="BR156" s="375" t="str">
        <f t="shared" si="33"/>
        <v>月曜日</v>
      </c>
      <c r="BS156" s="375" t="str">
        <f t="shared" si="31"/>
        <v>診療日</v>
      </c>
      <c r="BT156" s="374"/>
      <c r="BU156" s="374"/>
      <c r="BV156" s="374"/>
      <c r="BW156" s="374"/>
      <c r="BX156" s="374"/>
      <c r="BY156" s="374"/>
      <c r="BZ156" s="374"/>
      <c r="CA156" s="380"/>
      <c r="CB156" s="374"/>
    </row>
    <row r="157" spans="2:80" x14ac:dyDescent="0.35">
      <c r="BO157" s="374"/>
      <c r="BP157" s="374"/>
      <c r="BQ157" s="377">
        <v>45048</v>
      </c>
      <c r="BR157" s="375" t="str">
        <f t="shared" si="33"/>
        <v>火曜日</v>
      </c>
      <c r="BS157" s="375" t="str">
        <f t="shared" si="31"/>
        <v>診療日</v>
      </c>
      <c r="BT157" s="374"/>
      <c r="BU157" s="374"/>
      <c r="BV157" s="374"/>
      <c r="BW157" s="374"/>
      <c r="BX157" s="374"/>
      <c r="BY157" s="374"/>
      <c r="BZ157" s="374"/>
      <c r="CA157" s="380"/>
      <c r="CB157" s="374"/>
    </row>
    <row r="158" spans="2:80" x14ac:dyDescent="0.35">
      <c r="BO158" s="374"/>
      <c r="BP158" s="374"/>
      <c r="BQ158" s="377">
        <v>45049</v>
      </c>
      <c r="BR158" s="375" t="str">
        <f t="shared" si="33"/>
        <v>水曜日</v>
      </c>
      <c r="BS158" s="375" t="str">
        <f t="shared" si="31"/>
        <v>診療日</v>
      </c>
      <c r="BT158" s="374"/>
      <c r="BU158" s="374"/>
      <c r="BV158" s="374"/>
      <c r="BW158" s="374"/>
      <c r="BX158" s="374"/>
      <c r="BY158" s="374"/>
      <c r="BZ158" s="374"/>
      <c r="CA158" s="380"/>
      <c r="CB158" s="374"/>
    </row>
    <row r="159" spans="2:80" x14ac:dyDescent="0.35">
      <c r="BO159" s="374"/>
      <c r="BP159" s="374"/>
      <c r="BQ159" s="377">
        <v>45050</v>
      </c>
      <c r="BR159" s="375" t="str">
        <f t="shared" si="33"/>
        <v>木曜日</v>
      </c>
      <c r="BS159" s="375" t="str">
        <f t="shared" si="31"/>
        <v>診療日</v>
      </c>
      <c r="BT159" s="374"/>
      <c r="BU159" s="374"/>
      <c r="BV159" s="374"/>
      <c r="BW159" s="374"/>
      <c r="BX159" s="374"/>
      <c r="BY159" s="374"/>
      <c r="BZ159" s="374"/>
      <c r="CA159" s="380"/>
      <c r="CB159" s="374"/>
    </row>
    <row r="160" spans="2:80" x14ac:dyDescent="0.35">
      <c r="BO160" s="374"/>
      <c r="BP160" s="374"/>
      <c r="BQ160" s="377">
        <v>45051</v>
      </c>
      <c r="BR160" s="375" t="str">
        <f t="shared" si="33"/>
        <v>金曜日</v>
      </c>
      <c r="BS160" s="375" t="str">
        <f t="shared" si="31"/>
        <v>診療日</v>
      </c>
      <c r="BT160" s="374"/>
      <c r="BU160" s="374"/>
      <c r="BV160" s="374"/>
      <c r="BW160" s="374"/>
      <c r="BX160" s="374"/>
      <c r="BY160" s="374"/>
      <c r="BZ160" s="374"/>
      <c r="CA160" s="380"/>
      <c r="CB160" s="374"/>
    </row>
    <row r="161" spans="67:80" x14ac:dyDescent="0.35">
      <c r="BO161" s="374"/>
      <c r="BP161" s="374"/>
      <c r="BQ161" s="377">
        <v>45052</v>
      </c>
      <c r="BR161" s="375" t="str">
        <f t="shared" si="33"/>
        <v>土曜日</v>
      </c>
      <c r="BS161" s="375" t="str">
        <f t="shared" si="31"/>
        <v>診療日</v>
      </c>
      <c r="BT161" s="374"/>
      <c r="BU161" s="374"/>
      <c r="BV161" s="374"/>
      <c r="BW161" s="374"/>
      <c r="BX161" s="374"/>
      <c r="BY161" s="374"/>
      <c r="BZ161" s="374"/>
      <c r="CA161" s="380"/>
      <c r="CB161" s="374"/>
    </row>
    <row r="162" spans="67:80" x14ac:dyDescent="0.35">
      <c r="BO162" s="374"/>
      <c r="BP162" s="374"/>
      <c r="BQ162" s="377">
        <v>45053</v>
      </c>
      <c r="BR162" s="375" t="str">
        <f t="shared" si="33"/>
        <v>日曜日</v>
      </c>
      <c r="BS162" s="375" t="str">
        <f t="shared" si="31"/>
        <v>休診日</v>
      </c>
      <c r="BT162" s="374"/>
      <c r="BU162" s="374"/>
      <c r="BV162" s="374"/>
      <c r="BW162" s="374"/>
      <c r="BX162" s="374"/>
      <c r="BY162" s="374"/>
      <c r="BZ162" s="374"/>
      <c r="CA162" s="380"/>
      <c r="CB162" s="374"/>
    </row>
    <row r="163" spans="67:80" x14ac:dyDescent="0.35">
      <c r="BO163" s="374"/>
      <c r="BP163" s="374"/>
      <c r="BQ163" s="377"/>
      <c r="BR163" s="375" t="str">
        <f>TEXT(BQ163,"aaaa")</f>
        <v>土曜日</v>
      </c>
      <c r="BS163" s="375" t="str">
        <f t="shared" si="31"/>
        <v>診療日</v>
      </c>
      <c r="BT163" s="374"/>
      <c r="BU163" s="374"/>
      <c r="BV163" s="374"/>
      <c r="BW163" s="374"/>
      <c r="BX163" s="374"/>
      <c r="BY163" s="374"/>
      <c r="BZ163" s="374"/>
      <c r="CA163" s="380"/>
      <c r="CB163" s="374"/>
    </row>
    <row r="164" spans="67:80" x14ac:dyDescent="0.35">
      <c r="BO164" s="374"/>
      <c r="BP164" s="374"/>
      <c r="BQ164" s="377"/>
      <c r="BR164" s="375"/>
      <c r="BS164" s="375"/>
      <c r="BT164" s="374"/>
      <c r="BU164" s="374"/>
      <c r="BV164" s="374"/>
      <c r="BW164" s="374"/>
      <c r="BX164" s="374"/>
      <c r="BY164" s="374"/>
      <c r="BZ164" s="374"/>
      <c r="CA164" s="380"/>
      <c r="CB164" s="374"/>
    </row>
    <row r="165" spans="67:80" x14ac:dyDescent="0.35">
      <c r="BO165" s="374"/>
      <c r="BP165" s="374"/>
      <c r="BQ165" s="377"/>
      <c r="BR165" s="375" t="str">
        <f t="shared" si="33"/>
        <v>土曜日</v>
      </c>
      <c r="BS165" s="375" t="str">
        <f t="shared" ref="BS165:BS170" si="34">VLOOKUP(BR165,$BV$126:$BW$132,2,FALSE)</f>
        <v>診療日</v>
      </c>
      <c r="BT165" s="374"/>
      <c r="BU165" s="374"/>
      <c r="BV165" s="374"/>
      <c r="BW165" s="374"/>
      <c r="BX165" s="374"/>
      <c r="BY165" s="374"/>
      <c r="BZ165" s="374"/>
      <c r="CA165" s="380"/>
      <c r="CB165" s="374"/>
    </row>
    <row r="166" spans="67:80" x14ac:dyDescent="0.35">
      <c r="BO166" s="374"/>
      <c r="BP166" s="374"/>
      <c r="BQ166" s="377"/>
      <c r="BR166" s="375" t="str">
        <f t="shared" si="33"/>
        <v>土曜日</v>
      </c>
      <c r="BS166" s="375" t="str">
        <f t="shared" si="34"/>
        <v>診療日</v>
      </c>
      <c r="BT166" s="374"/>
      <c r="BU166" s="374"/>
      <c r="BV166" s="374"/>
      <c r="BW166" s="374"/>
      <c r="BX166" s="374"/>
      <c r="BY166" s="374"/>
      <c r="BZ166" s="374"/>
      <c r="CA166" s="380"/>
      <c r="CB166" s="374"/>
    </row>
    <row r="167" spans="67:80" x14ac:dyDescent="0.35">
      <c r="BO167" s="374"/>
      <c r="BP167" s="374"/>
      <c r="BQ167" s="377"/>
      <c r="BR167" s="375" t="str">
        <f t="shared" si="33"/>
        <v>土曜日</v>
      </c>
      <c r="BS167" s="375" t="str">
        <f t="shared" si="34"/>
        <v>診療日</v>
      </c>
      <c r="BT167" s="374"/>
      <c r="BU167" s="374"/>
      <c r="BV167" s="374"/>
      <c r="BW167" s="374"/>
      <c r="BX167" s="374"/>
      <c r="BY167" s="374"/>
      <c r="BZ167" s="374"/>
      <c r="CA167" s="380"/>
      <c r="CB167" s="374"/>
    </row>
    <row r="168" spans="67:80" x14ac:dyDescent="0.35">
      <c r="BO168" s="374"/>
      <c r="BP168" s="374"/>
      <c r="BQ168" s="377"/>
      <c r="BR168" s="375" t="str">
        <f t="shared" si="33"/>
        <v>土曜日</v>
      </c>
      <c r="BS168" s="375" t="str">
        <f t="shared" si="34"/>
        <v>診療日</v>
      </c>
      <c r="BT168" s="374"/>
      <c r="BU168" s="374"/>
      <c r="BV168" s="374"/>
      <c r="BW168" s="374"/>
      <c r="BX168" s="374"/>
      <c r="BY168" s="374"/>
      <c r="BZ168" s="374"/>
      <c r="CA168" s="380"/>
      <c r="CB168" s="374"/>
    </row>
    <row r="169" spans="67:80" x14ac:dyDescent="0.35">
      <c r="BO169" s="374"/>
      <c r="BP169" s="374"/>
      <c r="BQ169" s="377"/>
      <c r="BR169" s="375" t="str">
        <f t="shared" si="33"/>
        <v>土曜日</v>
      </c>
      <c r="BS169" s="375" t="str">
        <f t="shared" si="34"/>
        <v>診療日</v>
      </c>
      <c r="BT169" s="374"/>
      <c r="BU169" s="374"/>
      <c r="BV169" s="374"/>
      <c r="BW169" s="374"/>
      <c r="BX169" s="374"/>
      <c r="BY169" s="374"/>
      <c r="BZ169" s="374"/>
      <c r="CA169" s="380"/>
      <c r="CB169" s="374"/>
    </row>
    <row r="170" spans="67:80" x14ac:dyDescent="0.35">
      <c r="BO170" s="374"/>
      <c r="BP170" s="374"/>
      <c r="BQ170" s="377"/>
      <c r="BR170" s="375" t="str">
        <f t="shared" si="33"/>
        <v>土曜日</v>
      </c>
      <c r="BS170" s="375" t="str">
        <f t="shared" si="34"/>
        <v>診療日</v>
      </c>
      <c r="BT170" s="374"/>
      <c r="BU170" s="374"/>
      <c r="BV170" s="374"/>
      <c r="BW170" s="374"/>
      <c r="BX170" s="374"/>
      <c r="BY170" s="374"/>
      <c r="BZ170" s="374"/>
      <c r="CA170" s="380"/>
      <c r="CB170" s="374"/>
    </row>
  </sheetData>
  <mergeCells count="483">
    <mergeCell ref="BA21:BB21"/>
    <mergeCell ref="BC21:BD21"/>
    <mergeCell ref="BE21:BF21"/>
    <mergeCell ref="B148:F149"/>
    <mergeCell ref="G148:I149"/>
    <mergeCell ref="J148:Z149"/>
    <mergeCell ref="AA148:AB149"/>
    <mergeCell ref="AC148:AE149"/>
    <mergeCell ref="AF148:AV149"/>
    <mergeCell ref="AW148:AX149"/>
    <mergeCell ref="B144:F145"/>
    <mergeCell ref="G144:I145"/>
    <mergeCell ref="J144:Z145"/>
    <mergeCell ref="AA144:AB145"/>
    <mergeCell ref="AC144:AE145"/>
    <mergeCell ref="AF144:AV145"/>
    <mergeCell ref="AW144:AX145"/>
    <mergeCell ref="B146:F147"/>
    <mergeCell ref="G146:I147"/>
    <mergeCell ref="J146:Z147"/>
    <mergeCell ref="AA146:AB147"/>
    <mergeCell ref="AC146:AE147"/>
    <mergeCell ref="AF146:AV147"/>
    <mergeCell ref="AW146:AX147"/>
    <mergeCell ref="B140:F141"/>
    <mergeCell ref="G140:I141"/>
    <mergeCell ref="J140:Z141"/>
    <mergeCell ref="AA140:AB141"/>
    <mergeCell ref="AC140:AE141"/>
    <mergeCell ref="AF140:AV141"/>
    <mergeCell ref="AW140:AX141"/>
    <mergeCell ref="B142:F143"/>
    <mergeCell ref="G142:I143"/>
    <mergeCell ref="J142:Z143"/>
    <mergeCell ref="AA142:AB143"/>
    <mergeCell ref="AC142:AE143"/>
    <mergeCell ref="AF142:AV143"/>
    <mergeCell ref="AW142:AX143"/>
    <mergeCell ref="B136:F137"/>
    <mergeCell ref="G136:I137"/>
    <mergeCell ref="J136:Z137"/>
    <mergeCell ref="AA136:AB137"/>
    <mergeCell ref="AC136:AE137"/>
    <mergeCell ref="AF136:AV137"/>
    <mergeCell ref="AW136:AX137"/>
    <mergeCell ref="B138:F139"/>
    <mergeCell ref="G138:I139"/>
    <mergeCell ref="J138:Z139"/>
    <mergeCell ref="AA138:AB139"/>
    <mergeCell ref="AC138:AE139"/>
    <mergeCell ref="AF138:AV139"/>
    <mergeCell ref="AW138:AX139"/>
    <mergeCell ref="B132:F133"/>
    <mergeCell ref="G132:I133"/>
    <mergeCell ref="J132:Z133"/>
    <mergeCell ref="AA132:AB133"/>
    <mergeCell ref="AC132:AE133"/>
    <mergeCell ref="AF132:AV133"/>
    <mergeCell ref="AW132:AX133"/>
    <mergeCell ref="B134:F135"/>
    <mergeCell ref="G134:I135"/>
    <mergeCell ref="J134:Z135"/>
    <mergeCell ref="AA134:AB135"/>
    <mergeCell ref="AC134:AE135"/>
    <mergeCell ref="AF134:AV135"/>
    <mergeCell ref="AW134:AX135"/>
    <mergeCell ref="B128:F129"/>
    <mergeCell ref="G128:I129"/>
    <mergeCell ref="J128:Z129"/>
    <mergeCell ref="AA128:AB129"/>
    <mergeCell ref="AC128:AE129"/>
    <mergeCell ref="AF128:AV129"/>
    <mergeCell ref="AW128:AX129"/>
    <mergeCell ref="B130:F131"/>
    <mergeCell ref="G130:I131"/>
    <mergeCell ref="J130:Z131"/>
    <mergeCell ref="AA130:AB131"/>
    <mergeCell ref="AC130:AE131"/>
    <mergeCell ref="AF130:AV131"/>
    <mergeCell ref="AW130:AX131"/>
    <mergeCell ref="B52:I52"/>
    <mergeCell ref="AZ59:BP59"/>
    <mergeCell ref="AZ61:BP61"/>
    <mergeCell ref="AZ62:BP62"/>
    <mergeCell ref="AZ63:BP63"/>
    <mergeCell ref="AZ53:BP53"/>
    <mergeCell ref="AZ55:BP55"/>
    <mergeCell ref="AZ56:BP56"/>
    <mergeCell ref="B126:F127"/>
    <mergeCell ref="G126:I127"/>
    <mergeCell ref="J126:Z127"/>
    <mergeCell ref="AA126:AB127"/>
    <mergeCell ref="AC126:AE127"/>
    <mergeCell ref="AF126:AV127"/>
    <mergeCell ref="AW126:AX127"/>
    <mergeCell ref="B123:AX123"/>
    <mergeCell ref="B124:F125"/>
    <mergeCell ref="G124:AB124"/>
    <mergeCell ref="AC124:AX124"/>
    <mergeCell ref="G125:I125"/>
    <mergeCell ref="J125:Z125"/>
    <mergeCell ref="AA125:AB125"/>
    <mergeCell ref="AC125:AE125"/>
    <mergeCell ref="AF125:AV125"/>
    <mergeCell ref="AW125:AX125"/>
    <mergeCell ref="AZ31:BP31"/>
    <mergeCell ref="AZ32:BP34"/>
    <mergeCell ref="AU52:AW52"/>
    <mergeCell ref="AU53:AW53"/>
    <mergeCell ref="AU55:AW55"/>
    <mergeCell ref="AU57:AW57"/>
    <mergeCell ref="AU56:AW56"/>
    <mergeCell ref="AU58:AW58"/>
    <mergeCell ref="AS31:AV31"/>
    <mergeCell ref="AS32:AV34"/>
    <mergeCell ref="AS35:AV42"/>
    <mergeCell ref="AW31:AX31"/>
    <mergeCell ref="AW32:AX34"/>
    <mergeCell ref="AW35:AX42"/>
    <mergeCell ref="AZ48:BP50"/>
    <mergeCell ref="AZ51:BP51"/>
    <mergeCell ref="AZ52:BP52"/>
    <mergeCell ref="AZ35:BP42"/>
    <mergeCell ref="AX57:AX60"/>
    <mergeCell ref="AZ60:BP60"/>
    <mergeCell ref="AX52:AX54"/>
    <mergeCell ref="AF83:AX85"/>
    <mergeCell ref="AF79:AX82"/>
    <mergeCell ref="AF86:AX88"/>
    <mergeCell ref="AF89:AX91"/>
    <mergeCell ref="AF92:AX94"/>
    <mergeCell ref="AZ57:BP57"/>
    <mergeCell ref="AZ58:BP58"/>
    <mergeCell ref="AX48:AX50"/>
    <mergeCell ref="AU48:AW50"/>
    <mergeCell ref="AU51:AW51"/>
    <mergeCell ref="AX61:AX64"/>
    <mergeCell ref="AZ64:BP64"/>
    <mergeCell ref="BA74:BC74"/>
    <mergeCell ref="AI75:AX77"/>
    <mergeCell ref="V83:Y85"/>
    <mergeCell ref="V86:Y88"/>
    <mergeCell ref="V89:Y91"/>
    <mergeCell ref="V92:Y94"/>
    <mergeCell ref="V95:Y97"/>
    <mergeCell ref="V98:Y100"/>
    <mergeCell ref="V101:Y103"/>
    <mergeCell ref="N83:Q85"/>
    <mergeCell ref="N86:Q88"/>
    <mergeCell ref="B54:I54"/>
    <mergeCell ref="AU54:AW54"/>
    <mergeCell ref="AU60:AW60"/>
    <mergeCell ref="B60:I60"/>
    <mergeCell ref="B64:I64"/>
    <mergeCell ref="AU64:AW64"/>
    <mergeCell ref="F61:I61"/>
    <mergeCell ref="B57:E59"/>
    <mergeCell ref="B61:E63"/>
    <mergeCell ref="F57:I57"/>
    <mergeCell ref="AU59:AW59"/>
    <mergeCell ref="AU61:AW61"/>
    <mergeCell ref="AU62:AW62"/>
    <mergeCell ref="AU63:AW63"/>
    <mergeCell ref="AD104:AE106"/>
    <mergeCell ref="AD107:AE109"/>
    <mergeCell ref="AD110:AE112"/>
    <mergeCell ref="AD113:AE115"/>
    <mergeCell ref="AD116:AE118"/>
    <mergeCell ref="AD119:AE121"/>
    <mergeCell ref="AF104:AX106"/>
    <mergeCell ref="Z95:AC97"/>
    <mergeCell ref="Z98:AC100"/>
    <mergeCell ref="Z101:AC103"/>
    <mergeCell ref="Z104:AC106"/>
    <mergeCell ref="Z107:AC109"/>
    <mergeCell ref="Z110:AC112"/>
    <mergeCell ref="Z113:AC115"/>
    <mergeCell ref="Z116:AC118"/>
    <mergeCell ref="Z119:AC121"/>
    <mergeCell ref="AF95:AX97"/>
    <mergeCell ref="AF98:AX100"/>
    <mergeCell ref="AF101:AX103"/>
    <mergeCell ref="AD98:AE100"/>
    <mergeCell ref="AD101:AE103"/>
    <mergeCell ref="V110:Y112"/>
    <mergeCell ref="V113:Y115"/>
    <mergeCell ref="V116:Y118"/>
    <mergeCell ref="V119:Y121"/>
    <mergeCell ref="AF107:AX109"/>
    <mergeCell ref="AF110:AX112"/>
    <mergeCell ref="AF113:AX115"/>
    <mergeCell ref="AF116:AX118"/>
    <mergeCell ref="AF119:AX121"/>
    <mergeCell ref="V104:Y106"/>
    <mergeCell ref="V107:Y109"/>
    <mergeCell ref="R110:U112"/>
    <mergeCell ref="B83:E91"/>
    <mergeCell ref="F83:M85"/>
    <mergeCell ref="F86:M88"/>
    <mergeCell ref="F89:M91"/>
    <mergeCell ref="B110:E121"/>
    <mergeCell ref="F110:M112"/>
    <mergeCell ref="F113:M115"/>
    <mergeCell ref="F116:M118"/>
    <mergeCell ref="F119:M121"/>
    <mergeCell ref="B98:E106"/>
    <mergeCell ref="F98:M100"/>
    <mergeCell ref="F101:M103"/>
    <mergeCell ref="F104:M106"/>
    <mergeCell ref="R95:U97"/>
    <mergeCell ref="R98:U100"/>
    <mergeCell ref="R113:U115"/>
    <mergeCell ref="R116:U118"/>
    <mergeCell ref="R119:U121"/>
    <mergeCell ref="B92:M94"/>
    <mergeCell ref="B95:M97"/>
    <mergeCell ref="B107:M109"/>
    <mergeCell ref="N113:Q115"/>
    <mergeCell ref="N116:Q118"/>
    <mergeCell ref="B79:M82"/>
    <mergeCell ref="N89:Q91"/>
    <mergeCell ref="N92:Q94"/>
    <mergeCell ref="N95:Q97"/>
    <mergeCell ref="N98:Q100"/>
    <mergeCell ref="N101:Q103"/>
    <mergeCell ref="N104:Q106"/>
    <mergeCell ref="N81:Q82"/>
    <mergeCell ref="N119:Q121"/>
    <mergeCell ref="R101:U103"/>
    <mergeCell ref="R104:U106"/>
    <mergeCell ref="R107:U109"/>
    <mergeCell ref="AD79:AE82"/>
    <mergeCell ref="AD83:AE85"/>
    <mergeCell ref="AD86:AE88"/>
    <mergeCell ref="AD89:AE91"/>
    <mergeCell ref="AD92:AE94"/>
    <mergeCell ref="V81:Y82"/>
    <mergeCell ref="N79:Y80"/>
    <mergeCell ref="Z79:AC82"/>
    <mergeCell ref="Z83:AC85"/>
    <mergeCell ref="Z86:AC88"/>
    <mergeCell ref="Z89:AC91"/>
    <mergeCell ref="Z92:AC94"/>
    <mergeCell ref="AD95:AE97"/>
    <mergeCell ref="R81:U82"/>
    <mergeCell ref="R83:U85"/>
    <mergeCell ref="R86:U88"/>
    <mergeCell ref="R89:U91"/>
    <mergeCell ref="R92:U94"/>
    <mergeCell ref="N107:Q109"/>
    <mergeCell ref="N110:Q112"/>
    <mergeCell ref="AQ25:AX25"/>
    <mergeCell ref="AQ26:AX26"/>
    <mergeCell ref="BA18:BE18"/>
    <mergeCell ref="BA19:BE19"/>
    <mergeCell ref="BA20:BE20"/>
    <mergeCell ref="B19:AX19"/>
    <mergeCell ref="AG36:AJ36"/>
    <mergeCell ref="F59:I59"/>
    <mergeCell ref="M37:P37"/>
    <mergeCell ref="Q37:T37"/>
    <mergeCell ref="U37:X37"/>
    <mergeCell ref="Y37:AB37"/>
    <mergeCell ref="AC37:AF37"/>
    <mergeCell ref="AG37:AJ37"/>
    <mergeCell ref="Y36:AB36"/>
    <mergeCell ref="AC36:AF36"/>
    <mergeCell ref="E34:H34"/>
    <mergeCell ref="E35:H35"/>
    <mergeCell ref="F58:I58"/>
    <mergeCell ref="AK36:AN36"/>
    <mergeCell ref="AO36:AR36"/>
    <mergeCell ref="M40:P40"/>
    <mergeCell ref="Q40:T40"/>
    <mergeCell ref="AK38:AN38"/>
    <mergeCell ref="BA16:BD16"/>
    <mergeCell ref="BA15:BD15"/>
    <mergeCell ref="Y16:Z16"/>
    <mergeCell ref="AB16:AX16"/>
    <mergeCell ref="Y18:Z18"/>
    <mergeCell ref="AB18:AX18"/>
    <mergeCell ref="B15:AX15"/>
    <mergeCell ref="B17:AX17"/>
    <mergeCell ref="D18:W18"/>
    <mergeCell ref="D16:W16"/>
    <mergeCell ref="E38:H38"/>
    <mergeCell ref="AK40:AN40"/>
    <mergeCell ref="E36:H36"/>
    <mergeCell ref="I36:L36"/>
    <mergeCell ref="M36:P36"/>
    <mergeCell ref="Q36:T36"/>
    <mergeCell ref="U36:X36"/>
    <mergeCell ref="Y38:AB38"/>
    <mergeCell ref="AC38:AF38"/>
    <mergeCell ref="AG42:AJ42"/>
    <mergeCell ref="AK42:AN42"/>
    <mergeCell ref="AK35:AN35"/>
    <mergeCell ref="I35:L35"/>
    <mergeCell ref="M35:P35"/>
    <mergeCell ref="Q35:T35"/>
    <mergeCell ref="U35:X35"/>
    <mergeCell ref="Y35:AB35"/>
    <mergeCell ref="AC35:AF35"/>
    <mergeCell ref="U40:X40"/>
    <mergeCell ref="Y40:AB40"/>
    <mergeCell ref="M39:P39"/>
    <mergeCell ref="Q39:T39"/>
    <mergeCell ref="U39:X39"/>
    <mergeCell ref="AC40:AF40"/>
    <mergeCell ref="Y39:AB39"/>
    <mergeCell ref="M38:P38"/>
    <mergeCell ref="Q38:T38"/>
    <mergeCell ref="U38:X38"/>
    <mergeCell ref="AG33:AJ33"/>
    <mergeCell ref="AK33:AN33"/>
    <mergeCell ref="AO33:AR33"/>
    <mergeCell ref="Y41:AB41"/>
    <mergeCell ref="AC41:AF41"/>
    <mergeCell ref="AC39:AF39"/>
    <mergeCell ref="AG39:AJ39"/>
    <mergeCell ref="AK39:AN39"/>
    <mergeCell ref="AO35:AR35"/>
    <mergeCell ref="AG38:AJ38"/>
    <mergeCell ref="AK34:AN34"/>
    <mergeCell ref="AO34:AR34"/>
    <mergeCell ref="AG40:AJ40"/>
    <mergeCell ref="AG34:AJ34"/>
    <mergeCell ref="AG35:AJ35"/>
    <mergeCell ref="AO38:AR38"/>
    <mergeCell ref="AO40:AR40"/>
    <mergeCell ref="AK41:AN41"/>
    <mergeCell ref="AO41:AR41"/>
    <mergeCell ref="AO39:AR39"/>
    <mergeCell ref="B35:D42"/>
    <mergeCell ref="BA72:BC72"/>
    <mergeCell ref="BA73:BC73"/>
    <mergeCell ref="AG32:AJ32"/>
    <mergeCell ref="AK32:AN32"/>
    <mergeCell ref="AO32:AR32"/>
    <mergeCell ref="I34:L34"/>
    <mergeCell ref="M34:P34"/>
    <mergeCell ref="Q34:T34"/>
    <mergeCell ref="U34:X34"/>
    <mergeCell ref="Y34:AB34"/>
    <mergeCell ref="AC34:AF34"/>
    <mergeCell ref="I32:L32"/>
    <mergeCell ref="I33:L33"/>
    <mergeCell ref="M33:P33"/>
    <mergeCell ref="U32:X32"/>
    <mergeCell ref="Y32:AB32"/>
    <mergeCell ref="B48:I51"/>
    <mergeCell ref="AC32:AF32"/>
    <mergeCell ref="F63:I63"/>
    <mergeCell ref="F62:I62"/>
    <mergeCell ref="B70:AX73"/>
    <mergeCell ref="AG41:AJ41"/>
    <mergeCell ref="I42:L42"/>
    <mergeCell ref="E31:AR31"/>
    <mergeCell ref="AM24:AO24"/>
    <mergeCell ref="E33:H33"/>
    <mergeCell ref="BA65:BC65"/>
    <mergeCell ref="BA66:BC66"/>
    <mergeCell ref="AO42:AR42"/>
    <mergeCell ref="AM28:AO28"/>
    <mergeCell ref="J48:AM48"/>
    <mergeCell ref="AN48:AT48"/>
    <mergeCell ref="AK37:AN37"/>
    <mergeCell ref="AO37:AR37"/>
    <mergeCell ref="B53:I53"/>
    <mergeCell ref="B55:I55"/>
    <mergeCell ref="B56:I56"/>
    <mergeCell ref="AC28:AD28"/>
    <mergeCell ref="AE28:AF28"/>
    <mergeCell ref="AG28:AH28"/>
    <mergeCell ref="AI28:AJ28"/>
    <mergeCell ref="E40:H40"/>
    <mergeCell ref="B31:D31"/>
    <mergeCell ref="B28:D28"/>
    <mergeCell ref="E28:G28"/>
    <mergeCell ref="AZ54:BP54"/>
    <mergeCell ref="B32:D34"/>
    <mergeCell ref="E41:H41"/>
    <mergeCell ref="E42:H42"/>
    <mergeCell ref="U41:X41"/>
    <mergeCell ref="M32:P32"/>
    <mergeCell ref="Q32:T32"/>
    <mergeCell ref="Q33:T33"/>
    <mergeCell ref="U33:X33"/>
    <mergeCell ref="Y33:AB33"/>
    <mergeCell ref="AC33:AF33"/>
    <mergeCell ref="M42:P42"/>
    <mergeCell ref="Q42:T42"/>
    <mergeCell ref="U42:X42"/>
    <mergeCell ref="Y42:AB42"/>
    <mergeCell ref="AC42:AF42"/>
    <mergeCell ref="I41:L41"/>
    <mergeCell ref="M41:P41"/>
    <mergeCell ref="Q41:T41"/>
    <mergeCell ref="I40:L40"/>
    <mergeCell ref="I37:L37"/>
    <mergeCell ref="E37:H37"/>
    <mergeCell ref="E39:H39"/>
    <mergeCell ref="I38:L38"/>
    <mergeCell ref="I39:L39"/>
    <mergeCell ref="E32:H32"/>
    <mergeCell ref="B25:D25"/>
    <mergeCell ref="E25:G25"/>
    <mergeCell ref="AC25:AD25"/>
    <mergeCell ref="AM26:AO26"/>
    <mergeCell ref="B27:D27"/>
    <mergeCell ref="E27:G27"/>
    <mergeCell ref="AC27:AD27"/>
    <mergeCell ref="AE27:AF27"/>
    <mergeCell ref="AG27:AH27"/>
    <mergeCell ref="AI27:AJ27"/>
    <mergeCell ref="AM27:AO27"/>
    <mergeCell ref="B26:D26"/>
    <mergeCell ref="E26:G26"/>
    <mergeCell ref="AC26:AD26"/>
    <mergeCell ref="AE25:AF25"/>
    <mergeCell ref="AG25:AH25"/>
    <mergeCell ref="AI25:AJ25"/>
    <mergeCell ref="AM25:AO25"/>
    <mergeCell ref="AE26:AF26"/>
    <mergeCell ref="AG26:AH26"/>
    <mergeCell ref="AI26:AJ26"/>
    <mergeCell ref="AM23:AO23"/>
    <mergeCell ref="B22:D22"/>
    <mergeCell ref="E22:G22"/>
    <mergeCell ref="AC22:AD22"/>
    <mergeCell ref="AE22:AF22"/>
    <mergeCell ref="AG22:AH22"/>
    <mergeCell ref="AI22:AJ22"/>
    <mergeCell ref="AM20:AX21"/>
    <mergeCell ref="B24:D24"/>
    <mergeCell ref="E24:G24"/>
    <mergeCell ref="AC24:AD24"/>
    <mergeCell ref="AE24:AF24"/>
    <mergeCell ref="AG24:AH24"/>
    <mergeCell ref="B23:D23"/>
    <mergeCell ref="E23:G23"/>
    <mergeCell ref="AC23:AD23"/>
    <mergeCell ref="AE23:AF23"/>
    <mergeCell ref="AG23:AH23"/>
    <mergeCell ref="AI24:AJ24"/>
    <mergeCell ref="B4:AX4"/>
    <mergeCell ref="A2:AY2"/>
    <mergeCell ref="B47:AX47"/>
    <mergeCell ref="B67:AX67"/>
    <mergeCell ref="B68:AX68"/>
    <mergeCell ref="B14:AY14"/>
    <mergeCell ref="B30:AY30"/>
    <mergeCell ref="B44:AY44"/>
    <mergeCell ref="B66:AY66"/>
    <mergeCell ref="B10:AX11"/>
    <mergeCell ref="B12:AX12"/>
    <mergeCell ref="B7:AX7"/>
    <mergeCell ref="B8:AX8"/>
    <mergeCell ref="B9:AX9"/>
    <mergeCell ref="B6:AX6"/>
    <mergeCell ref="B5:AX5"/>
    <mergeCell ref="B20:D21"/>
    <mergeCell ref="E20:G21"/>
    <mergeCell ref="AK20:AK21"/>
    <mergeCell ref="AI21:AJ21"/>
    <mergeCell ref="B45:AW45"/>
    <mergeCell ref="B46:AW46"/>
    <mergeCell ref="AM22:AO22"/>
    <mergeCell ref="AI23:AJ23"/>
    <mergeCell ref="X75:AB75"/>
    <mergeCell ref="AC75:AG75"/>
    <mergeCell ref="X76:AB77"/>
    <mergeCell ref="AC76:AG77"/>
    <mergeCell ref="H75:K75"/>
    <mergeCell ref="L75:O75"/>
    <mergeCell ref="B76:G77"/>
    <mergeCell ref="B75:G75"/>
    <mergeCell ref="H76:K77"/>
    <mergeCell ref="L76:O77"/>
    <mergeCell ref="P75:S75"/>
    <mergeCell ref="P76:S77"/>
    <mergeCell ref="T75:U75"/>
    <mergeCell ref="T76:U77"/>
  </mergeCells>
  <phoneticPr fontId="1"/>
  <conditionalFormatting sqref="AC22:AH28">
    <cfRule type="containsText" dxfId="367" priority="335" operator="containsText" text="要修正">
      <formula>NOT(ISERROR(SEARCH("要修正",AC22)))</formula>
    </cfRule>
  </conditionalFormatting>
  <conditionalFormatting sqref="J51:AT51">
    <cfRule type="containsText" dxfId="366" priority="334" operator="containsText" text="休">
      <formula>NOT(ISERROR(SEARCH("休",J51)))</formula>
    </cfRule>
  </conditionalFormatting>
  <conditionalFormatting sqref="J49:J51">
    <cfRule type="expression" dxfId="365" priority="327">
      <formula>$J$51="休"</formula>
    </cfRule>
    <cfRule type="expression" dxfId="364" priority="333">
      <formula>$J$51="休"</formula>
    </cfRule>
  </conditionalFormatting>
  <conditionalFormatting sqref="K49:K51">
    <cfRule type="expression" dxfId="363" priority="332">
      <formula>$K$51="休"</formula>
    </cfRule>
  </conditionalFormatting>
  <conditionalFormatting sqref="L49:L51">
    <cfRule type="expression" dxfId="362" priority="328">
      <formula>$L$51="休"</formula>
    </cfRule>
    <cfRule type="expression" priority="331">
      <formula>$L$51="休"</formula>
    </cfRule>
  </conditionalFormatting>
  <conditionalFormatting sqref="M49:M51">
    <cfRule type="expression" dxfId="361" priority="326">
      <formula>$M$51="休"</formula>
    </cfRule>
  </conditionalFormatting>
  <conditionalFormatting sqref="N49:N51">
    <cfRule type="expression" dxfId="360" priority="330">
      <formula>$N$51="休"</formula>
    </cfRule>
  </conditionalFormatting>
  <conditionalFormatting sqref="O49:O51">
    <cfRule type="expression" dxfId="359" priority="329">
      <formula>$O$51="休"</formula>
    </cfRule>
  </conditionalFormatting>
  <conditionalFormatting sqref="P49:P51">
    <cfRule type="expression" dxfId="358" priority="325">
      <formula>$P$51="休"</formula>
    </cfRule>
  </conditionalFormatting>
  <conditionalFormatting sqref="Q49:Q51">
    <cfRule type="expression" dxfId="357" priority="324">
      <formula>$Q$51="休"</formula>
    </cfRule>
  </conditionalFormatting>
  <conditionalFormatting sqref="R49:R51">
    <cfRule type="expression" dxfId="356" priority="323">
      <formula>$R$51="休"</formula>
    </cfRule>
  </conditionalFormatting>
  <conditionalFormatting sqref="S49:S51">
    <cfRule type="expression" dxfId="355" priority="322">
      <formula>$S$51="休"</formula>
    </cfRule>
  </conditionalFormatting>
  <conditionalFormatting sqref="T49:T51">
    <cfRule type="expression" dxfId="354" priority="321">
      <formula>$T$51="休"</formula>
    </cfRule>
  </conditionalFormatting>
  <conditionalFormatting sqref="U49:U51">
    <cfRule type="expression" dxfId="353" priority="320">
      <formula>$U$51="休"</formula>
    </cfRule>
  </conditionalFormatting>
  <conditionalFormatting sqref="V49:V51">
    <cfRule type="expression" dxfId="352" priority="319">
      <formula>$V$51="休"</formula>
    </cfRule>
  </conditionalFormatting>
  <conditionalFormatting sqref="W49:W51">
    <cfRule type="expression" dxfId="351" priority="318">
      <formula>$W$51="休"</formula>
    </cfRule>
  </conditionalFormatting>
  <conditionalFormatting sqref="X49:X51">
    <cfRule type="expression" dxfId="350" priority="317">
      <formula>$X$51="休"</formula>
    </cfRule>
  </conditionalFormatting>
  <conditionalFormatting sqref="Y49:Y51">
    <cfRule type="expression" dxfId="349" priority="316">
      <formula>$Y$51="休"</formula>
    </cfRule>
  </conditionalFormatting>
  <conditionalFormatting sqref="Z49:Z51">
    <cfRule type="expression" dxfId="348" priority="315">
      <formula>$Z$51="休"</formula>
    </cfRule>
  </conditionalFormatting>
  <conditionalFormatting sqref="AA49:AA51">
    <cfRule type="expression" dxfId="347" priority="314">
      <formula>$AA$51="休"</formula>
    </cfRule>
  </conditionalFormatting>
  <conditionalFormatting sqref="AB49:AB51">
    <cfRule type="expression" dxfId="346" priority="313">
      <formula>$AB$51="休"</formula>
    </cfRule>
  </conditionalFormatting>
  <conditionalFormatting sqref="AC49:AC51">
    <cfRule type="expression" dxfId="345" priority="312">
      <formula>$AC$51="休"</formula>
    </cfRule>
  </conditionalFormatting>
  <conditionalFormatting sqref="AD49:AD51">
    <cfRule type="expression" dxfId="344" priority="311">
      <formula>$AD$51="休"</formula>
    </cfRule>
  </conditionalFormatting>
  <conditionalFormatting sqref="AE49:AE51">
    <cfRule type="expression" dxfId="343" priority="310">
      <formula>$AE$51="休"</formula>
    </cfRule>
  </conditionalFormatting>
  <conditionalFormatting sqref="AF49:AF51">
    <cfRule type="expression" dxfId="342" priority="309">
      <formula>$AF$51="休"</formula>
    </cfRule>
  </conditionalFormatting>
  <conditionalFormatting sqref="AG49:AG51">
    <cfRule type="expression" dxfId="341" priority="308">
      <formula>$AG$51="休"</formula>
    </cfRule>
  </conditionalFormatting>
  <conditionalFormatting sqref="AH49:AH51">
    <cfRule type="expression" dxfId="340" priority="307">
      <formula>$AH$51="休"</formula>
    </cfRule>
  </conditionalFormatting>
  <conditionalFormatting sqref="AI49:AI51">
    <cfRule type="expression" dxfId="339" priority="306">
      <formula>$AI$51="休"</formula>
    </cfRule>
  </conditionalFormatting>
  <conditionalFormatting sqref="AJ49:AJ51">
    <cfRule type="expression" dxfId="338" priority="305">
      <formula>$AJ$51="休"</formula>
    </cfRule>
  </conditionalFormatting>
  <conditionalFormatting sqref="AK49:AK51">
    <cfRule type="expression" dxfId="337" priority="304">
      <formula>$AK$51="休"</formula>
    </cfRule>
  </conditionalFormatting>
  <conditionalFormatting sqref="AL49:AL51">
    <cfRule type="expression" dxfId="336" priority="303">
      <formula>$AL$51="休"</formula>
    </cfRule>
  </conditionalFormatting>
  <conditionalFormatting sqref="AM49:AM51">
    <cfRule type="expression" dxfId="335" priority="302">
      <formula>$AM$51="休"</formula>
    </cfRule>
  </conditionalFormatting>
  <conditionalFormatting sqref="AN49:AN51">
    <cfRule type="expression" dxfId="334" priority="301">
      <formula>$AN$51="休"</formula>
    </cfRule>
  </conditionalFormatting>
  <conditionalFormatting sqref="AO49:AO51">
    <cfRule type="expression" dxfId="333" priority="300">
      <formula>$AO$51="休"</formula>
    </cfRule>
  </conditionalFormatting>
  <conditionalFormatting sqref="AP49:AP51">
    <cfRule type="expression" dxfId="332" priority="299">
      <formula>$AP$51="休"</formula>
    </cfRule>
  </conditionalFormatting>
  <conditionalFormatting sqref="AQ49:AQ51">
    <cfRule type="expression" dxfId="331" priority="298">
      <formula>$AQ$51="休"</formula>
    </cfRule>
  </conditionalFormatting>
  <conditionalFormatting sqref="AR49:AR51">
    <cfRule type="expression" dxfId="330" priority="297">
      <formula>$AR$51="休"</formula>
    </cfRule>
  </conditionalFormatting>
  <conditionalFormatting sqref="AS49:AS51">
    <cfRule type="expression" dxfId="329" priority="296">
      <formula>$AS$51="休"</formula>
    </cfRule>
  </conditionalFormatting>
  <conditionalFormatting sqref="AT49:AT51">
    <cfRule type="expression" dxfId="328" priority="295">
      <formula>$AT$51="休"</formula>
    </cfRule>
  </conditionalFormatting>
  <conditionalFormatting sqref="AK22:AK28 AX55:AX56 AX51:AX52 AW32:AX42">
    <cfRule type="containsText" dxfId="327" priority="294" operator="containsText" text="×">
      <formula>NOT(ISERROR(SEARCH("×",AK22)))</formula>
    </cfRule>
  </conditionalFormatting>
  <conditionalFormatting sqref="AA16">
    <cfRule type="containsText" dxfId="326" priority="249" operator="containsText" text="×">
      <formula>NOT(ISERROR(SEARCH("×",AA16)))</formula>
    </cfRule>
  </conditionalFormatting>
  <conditionalFormatting sqref="AA18">
    <cfRule type="containsText" dxfId="325" priority="248" operator="containsText" text="×">
      <formula>NOT(ISERROR(SEARCH("×",AA18)))</formula>
    </cfRule>
  </conditionalFormatting>
  <conditionalFormatting sqref="B14:AY14">
    <cfRule type="containsText" dxfId="324" priority="246" operator="containsText" text="×">
      <formula>NOT(ISERROR(SEARCH("×",B14)))</formula>
    </cfRule>
  </conditionalFormatting>
  <conditionalFormatting sqref="B30:AY30">
    <cfRule type="containsText" dxfId="323" priority="245" operator="containsText" text="×">
      <formula>NOT(ISERROR(SEARCH("×",B30)))</formula>
    </cfRule>
  </conditionalFormatting>
  <conditionalFormatting sqref="B44:AY44">
    <cfRule type="containsText" dxfId="322" priority="244" operator="containsText" text="×">
      <formula>NOT(ISERROR(SEARCH("×",B44)))</formula>
    </cfRule>
  </conditionalFormatting>
  <conditionalFormatting sqref="AM22:AO28">
    <cfRule type="containsText" dxfId="321" priority="243" operator="containsText" text="表示不可">
      <formula>NOT(ISERROR(SEARCH("表示不可",AM22)))</formula>
    </cfRule>
  </conditionalFormatting>
  <conditionalFormatting sqref="AQ26:AW26">
    <cfRule type="containsText" dxfId="320" priority="242" operator="containsText" text="表示不可">
      <formula>NOT(ISERROR(SEARCH("表示不可",AQ26)))</formula>
    </cfRule>
  </conditionalFormatting>
  <conditionalFormatting sqref="AI22:AJ28">
    <cfRule type="containsText" dxfId="319" priority="241" operator="containsText" text="表示不可">
      <formula>NOT(ISERROR(SEARCH("表示不可",AI22)))</formula>
    </cfRule>
  </conditionalFormatting>
  <conditionalFormatting sqref="AD83:AE121">
    <cfRule type="containsText" dxfId="318" priority="237" operator="containsText" text="×">
      <formula>NOT(ISERROR(SEARCH("×",AD83)))</formula>
    </cfRule>
  </conditionalFormatting>
  <conditionalFormatting sqref="N83:U85">
    <cfRule type="cellIs" dxfId="317" priority="216" operator="greaterThan">
      <formula>2</formula>
    </cfRule>
  </conditionalFormatting>
  <conditionalFormatting sqref="N86:U88">
    <cfRule type="cellIs" dxfId="316" priority="215" operator="greaterThan">
      <formula>2</formula>
    </cfRule>
  </conditionalFormatting>
  <conditionalFormatting sqref="N89:U91">
    <cfRule type="cellIs" dxfId="315" priority="214" operator="greaterThan">
      <formula>2</formula>
    </cfRule>
  </conditionalFormatting>
  <conditionalFormatting sqref="N95:U97">
    <cfRule type="cellIs" dxfId="314" priority="213" operator="greaterThan">
      <formula>8</formula>
    </cfRule>
  </conditionalFormatting>
  <conditionalFormatting sqref="N98:U100">
    <cfRule type="cellIs" dxfId="313" priority="212" operator="greaterThan">
      <formula>0.5</formula>
    </cfRule>
  </conditionalFormatting>
  <conditionalFormatting sqref="N101:U103">
    <cfRule type="cellIs" dxfId="312" priority="211" operator="greaterThan">
      <formula>0.5</formula>
    </cfRule>
  </conditionalFormatting>
  <conditionalFormatting sqref="N104:U106">
    <cfRule type="cellIs" dxfId="311" priority="210" operator="greaterThan">
      <formula>1</formula>
    </cfRule>
  </conditionalFormatting>
  <conditionalFormatting sqref="N107:U109">
    <cfRule type="cellIs" dxfId="310" priority="209" operator="greaterThan">
      <formula>2</formula>
    </cfRule>
  </conditionalFormatting>
  <conditionalFormatting sqref="N110:U112">
    <cfRule type="cellIs" dxfId="309" priority="208" operator="greaterThan">
      <formula>2</formula>
    </cfRule>
  </conditionalFormatting>
  <conditionalFormatting sqref="N113:U115">
    <cfRule type="cellIs" dxfId="308" priority="207" operator="greaterThan">
      <formula>0.5</formula>
    </cfRule>
  </conditionalFormatting>
  <conditionalFormatting sqref="N116:U118">
    <cfRule type="cellIs" dxfId="307" priority="206" operator="greaterThan">
      <formula>1</formula>
    </cfRule>
  </conditionalFormatting>
  <conditionalFormatting sqref="N119:U121">
    <cfRule type="cellIs" dxfId="306" priority="205" operator="greaterThan">
      <formula>0.5</formula>
    </cfRule>
  </conditionalFormatting>
  <conditionalFormatting sqref="N92:U94">
    <cfRule type="cellIs" dxfId="305" priority="204" operator="greaterThan">
      <formula>1</formula>
    </cfRule>
  </conditionalFormatting>
  <conditionalFormatting sqref="T76:U77">
    <cfRule type="containsText" dxfId="304" priority="202" operator="containsText" text="×">
      <formula>NOT(ISERROR(SEARCH("×",T76)))</formula>
    </cfRule>
  </conditionalFormatting>
  <conditionalFormatting sqref="J52:J63">
    <cfRule type="expression" dxfId="303" priority="193">
      <formula>$J$51="休"</formula>
    </cfRule>
  </conditionalFormatting>
  <conditionalFormatting sqref="K52:K63">
    <cfRule type="expression" dxfId="302" priority="192">
      <formula>$K$51="休"</formula>
    </cfRule>
  </conditionalFormatting>
  <conditionalFormatting sqref="L52:L63">
    <cfRule type="expression" dxfId="301" priority="191">
      <formula>$L$51="休"</formula>
    </cfRule>
  </conditionalFormatting>
  <conditionalFormatting sqref="M52:M63">
    <cfRule type="expression" dxfId="300" priority="190">
      <formula>$M$51="休"</formula>
    </cfRule>
  </conditionalFormatting>
  <conditionalFormatting sqref="N52:N63">
    <cfRule type="expression" dxfId="299" priority="189">
      <formula>$N$51="休"</formula>
    </cfRule>
  </conditionalFormatting>
  <conditionalFormatting sqref="O52:O63">
    <cfRule type="expression" dxfId="298" priority="188">
      <formula>$O$51="休"</formula>
    </cfRule>
  </conditionalFormatting>
  <conditionalFormatting sqref="P52:P63">
    <cfRule type="expression" dxfId="297" priority="187">
      <formula>$P$51="休"</formula>
    </cfRule>
  </conditionalFormatting>
  <conditionalFormatting sqref="Q52:Q63">
    <cfRule type="expression" dxfId="296" priority="186">
      <formula>$Q$51="休"</formula>
    </cfRule>
  </conditionalFormatting>
  <conditionalFormatting sqref="R52:R63">
    <cfRule type="expression" dxfId="295" priority="185">
      <formula>$R$51="休"</formula>
    </cfRule>
  </conditionalFormatting>
  <conditionalFormatting sqref="S52:S63">
    <cfRule type="expression" dxfId="294" priority="184">
      <formula>$S$51="休"</formula>
    </cfRule>
  </conditionalFormatting>
  <conditionalFormatting sqref="T52:T63">
    <cfRule type="expression" dxfId="293" priority="183">
      <formula>$T$51="休"</formula>
    </cfRule>
  </conditionalFormatting>
  <conditionalFormatting sqref="U52:U63">
    <cfRule type="expression" dxfId="292" priority="182">
      <formula>$U$51="休"</formula>
    </cfRule>
  </conditionalFormatting>
  <conditionalFormatting sqref="V52:V63">
    <cfRule type="expression" dxfId="291" priority="181">
      <formula>$V$51="休"</formula>
    </cfRule>
  </conditionalFormatting>
  <conditionalFormatting sqref="W52:W63">
    <cfRule type="expression" dxfId="290" priority="180">
      <formula>$W$51="休"</formula>
    </cfRule>
  </conditionalFormatting>
  <conditionalFormatting sqref="X52:X63">
    <cfRule type="expression" dxfId="289" priority="179">
      <formula>$X$51="休"</formula>
    </cfRule>
  </conditionalFormatting>
  <conditionalFormatting sqref="Y52:Y63">
    <cfRule type="expression" dxfId="288" priority="178">
      <formula>$Y$51="休"</formula>
    </cfRule>
  </conditionalFormatting>
  <conditionalFormatting sqref="Z52:Z63">
    <cfRule type="expression" dxfId="287" priority="177">
      <formula>$Z$51="休"</formula>
    </cfRule>
  </conditionalFormatting>
  <conditionalFormatting sqref="AA52:AA63">
    <cfRule type="expression" dxfId="286" priority="176">
      <formula>$AA$51="休"</formula>
    </cfRule>
  </conditionalFormatting>
  <conditionalFormatting sqref="AB52:AB63">
    <cfRule type="expression" dxfId="285" priority="175">
      <formula>$AB$51="休"</formula>
    </cfRule>
  </conditionalFormatting>
  <conditionalFormatting sqref="AC52:AC63">
    <cfRule type="expression" dxfId="284" priority="174">
      <formula>$AC$51="休"</formula>
    </cfRule>
  </conditionalFormatting>
  <conditionalFormatting sqref="AD52:AD63">
    <cfRule type="expression" dxfId="283" priority="173">
      <formula>$AD$51="休"</formula>
    </cfRule>
  </conditionalFormatting>
  <conditionalFormatting sqref="AE52:AE63">
    <cfRule type="expression" dxfId="282" priority="172">
      <formula>$AE$51="休"</formula>
    </cfRule>
  </conditionalFormatting>
  <conditionalFormatting sqref="AF52:AF63">
    <cfRule type="expression" dxfId="281" priority="171">
      <formula>$AF$51="休"</formula>
    </cfRule>
  </conditionalFormatting>
  <conditionalFormatting sqref="AG52:AG63">
    <cfRule type="expression" dxfId="280" priority="170">
      <formula>$AG$51="休"</formula>
    </cfRule>
  </conditionalFormatting>
  <conditionalFormatting sqref="AH52:AH63">
    <cfRule type="expression" dxfId="279" priority="169">
      <formula>$AH$51="休"</formula>
    </cfRule>
  </conditionalFormatting>
  <conditionalFormatting sqref="AI52:AI63">
    <cfRule type="expression" dxfId="278" priority="168">
      <formula>$AI$51="休"</formula>
    </cfRule>
  </conditionalFormatting>
  <conditionalFormatting sqref="AJ52:AJ63">
    <cfRule type="expression" dxfId="277" priority="167">
      <formula>$AJ$51="休"</formula>
    </cfRule>
  </conditionalFormatting>
  <conditionalFormatting sqref="AK52:AK63">
    <cfRule type="expression" dxfId="276" priority="166">
      <formula>$AK$51="休"</formula>
    </cfRule>
  </conditionalFormatting>
  <conditionalFormatting sqref="AL52:AL63">
    <cfRule type="expression" dxfId="275" priority="165">
      <formula>$AL$51="休"</formula>
    </cfRule>
  </conditionalFormatting>
  <conditionalFormatting sqref="AM52:AM63">
    <cfRule type="expression" dxfId="274" priority="164">
      <formula>$AM$51="休"</formula>
    </cfRule>
  </conditionalFormatting>
  <conditionalFormatting sqref="AN52:AN63">
    <cfRule type="expression" dxfId="273" priority="163">
      <formula>$AN$51="休"</formula>
    </cfRule>
  </conditionalFormatting>
  <conditionalFormatting sqref="AO52:AO63">
    <cfRule type="expression" dxfId="272" priority="162">
      <formula>$AO$51="休"</formula>
    </cfRule>
  </conditionalFormatting>
  <conditionalFormatting sqref="AP52:AP63">
    <cfRule type="expression" dxfId="271" priority="161">
      <formula>$AP$51="休"</formula>
    </cfRule>
  </conditionalFormatting>
  <conditionalFormatting sqref="AQ52:AQ63">
    <cfRule type="expression" dxfId="270" priority="160">
      <formula>$AQ$51="休"</formula>
    </cfRule>
  </conditionalFormatting>
  <conditionalFormatting sqref="AR52:AR63">
    <cfRule type="expression" dxfId="269" priority="159">
      <formula>$AR$51="休"</formula>
    </cfRule>
  </conditionalFormatting>
  <conditionalFormatting sqref="AS52:AS63">
    <cfRule type="expression" dxfId="268" priority="158">
      <formula>$AS$51="休"</formula>
    </cfRule>
  </conditionalFormatting>
  <conditionalFormatting sqref="AT52:AT63">
    <cfRule type="expression" dxfId="267" priority="157">
      <formula>$AT$51="休"</formula>
    </cfRule>
  </conditionalFormatting>
  <conditionalFormatting sqref="J53:AT53">
    <cfRule type="cellIs" dxfId="266" priority="154" operator="greaterThan">
      <formula>IF(J52="",0,J52)</formula>
    </cfRule>
  </conditionalFormatting>
  <conditionalFormatting sqref="J54:AT54">
    <cfRule type="containsText" dxfId="265" priority="153" operator="containsText" text="×">
      <formula>NOT(ISERROR(SEARCH("×",J54)))</formula>
    </cfRule>
  </conditionalFormatting>
  <conditionalFormatting sqref="J57:AT57">
    <cfRule type="expression" dxfId="264" priority="45">
      <formula>AND(J51="休",J57&gt;0)</formula>
    </cfRule>
    <cfRule type="cellIs" dxfId="263" priority="152" operator="greaterThan">
      <formula>$AS$32</formula>
    </cfRule>
  </conditionalFormatting>
  <conditionalFormatting sqref="J61:AT61">
    <cfRule type="cellIs" dxfId="262" priority="151" operator="greaterThan">
      <formula>$AS$35</formula>
    </cfRule>
  </conditionalFormatting>
  <conditionalFormatting sqref="J60:AT60">
    <cfRule type="containsText" dxfId="261" priority="150" operator="containsText" text="×">
      <formula>NOT(ISERROR(SEARCH("×",J60)))</formula>
    </cfRule>
  </conditionalFormatting>
  <conditionalFormatting sqref="J59:AT59">
    <cfRule type="cellIs" dxfId="260" priority="149" operator="greaterThan">
      <formula>J58</formula>
    </cfRule>
  </conditionalFormatting>
  <conditionalFormatting sqref="J63:AT63">
    <cfRule type="cellIs" dxfId="259" priority="148" operator="greaterThan">
      <formula>J62</formula>
    </cfRule>
  </conditionalFormatting>
  <conditionalFormatting sqref="J64">
    <cfRule type="expression" dxfId="258" priority="108">
      <formula>$J$51="休"</formula>
    </cfRule>
  </conditionalFormatting>
  <conditionalFormatting sqref="K64">
    <cfRule type="expression" dxfId="257" priority="107">
      <formula>$K$51="休"</formula>
    </cfRule>
  </conditionalFormatting>
  <conditionalFormatting sqref="L64">
    <cfRule type="expression" dxfId="256" priority="106">
      <formula>$L$51="休"</formula>
    </cfRule>
  </conditionalFormatting>
  <conditionalFormatting sqref="M64">
    <cfRule type="expression" dxfId="255" priority="105">
      <formula>$M$51="休"</formula>
    </cfRule>
  </conditionalFormatting>
  <conditionalFormatting sqref="N64">
    <cfRule type="expression" dxfId="254" priority="104">
      <formula>$N$51="休"</formula>
    </cfRule>
  </conditionalFormatting>
  <conditionalFormatting sqref="O64">
    <cfRule type="expression" dxfId="253" priority="103">
      <formula>$O$51="休"</formula>
    </cfRule>
  </conditionalFormatting>
  <conditionalFormatting sqref="P64">
    <cfRule type="expression" dxfId="252" priority="102">
      <formula>$P$51="休"</formula>
    </cfRule>
  </conditionalFormatting>
  <conditionalFormatting sqref="Q64">
    <cfRule type="expression" dxfId="251" priority="101">
      <formula>$Q$51="休"</formula>
    </cfRule>
  </conditionalFormatting>
  <conditionalFormatting sqref="R64">
    <cfRule type="expression" dxfId="250" priority="100">
      <formula>$R$51="休"</formula>
    </cfRule>
  </conditionalFormatting>
  <conditionalFormatting sqref="S64">
    <cfRule type="expression" dxfId="249" priority="99">
      <formula>$S$51="休"</formula>
    </cfRule>
  </conditionalFormatting>
  <conditionalFormatting sqref="T64">
    <cfRule type="expression" dxfId="248" priority="98">
      <formula>$T$51="休"</formula>
    </cfRule>
  </conditionalFormatting>
  <conditionalFormatting sqref="U64">
    <cfRule type="expression" dxfId="247" priority="97">
      <formula>$U$51="休"</formula>
    </cfRule>
  </conditionalFormatting>
  <conditionalFormatting sqref="V64">
    <cfRule type="expression" dxfId="246" priority="96">
      <formula>$V$51="休"</formula>
    </cfRule>
  </conditionalFormatting>
  <conditionalFormatting sqref="W64">
    <cfRule type="expression" dxfId="245" priority="95">
      <formula>$W$51="休"</formula>
    </cfRule>
  </conditionalFormatting>
  <conditionalFormatting sqref="X64">
    <cfRule type="expression" dxfId="244" priority="94">
      <formula>$X$51="休"</formula>
    </cfRule>
  </conditionalFormatting>
  <conditionalFormatting sqref="Y64">
    <cfRule type="expression" dxfId="243" priority="93">
      <formula>$Y$51="休"</formula>
    </cfRule>
  </conditionalFormatting>
  <conditionalFormatting sqref="Z64">
    <cfRule type="expression" dxfId="242" priority="92">
      <formula>$Z$51="休"</formula>
    </cfRule>
  </conditionalFormatting>
  <conditionalFormatting sqref="AA64">
    <cfRule type="expression" dxfId="241" priority="91">
      <formula>$AA$51="休"</formula>
    </cfRule>
  </conditionalFormatting>
  <conditionalFormatting sqref="AB64">
    <cfRule type="expression" dxfId="240" priority="90">
      <formula>$AB$51="休"</formula>
    </cfRule>
  </conditionalFormatting>
  <conditionalFormatting sqref="AC64">
    <cfRule type="expression" dxfId="239" priority="89">
      <formula>$AC$51="休"</formula>
    </cfRule>
  </conditionalFormatting>
  <conditionalFormatting sqref="AD64">
    <cfRule type="expression" dxfId="238" priority="88">
      <formula>$AD$51="休"</formula>
    </cfRule>
  </conditionalFormatting>
  <conditionalFormatting sqref="AE64">
    <cfRule type="expression" dxfId="237" priority="87">
      <formula>$AE$51="休"</formula>
    </cfRule>
  </conditionalFormatting>
  <conditionalFormatting sqref="AF64">
    <cfRule type="expression" dxfId="236" priority="86">
      <formula>$AF$51="休"</formula>
    </cfRule>
  </conditionalFormatting>
  <conditionalFormatting sqref="AG64">
    <cfRule type="expression" dxfId="235" priority="85">
      <formula>$AG$51="休"</formula>
    </cfRule>
  </conditionalFormatting>
  <conditionalFormatting sqref="AH64">
    <cfRule type="expression" dxfId="234" priority="84">
      <formula>$AH$51="休"</formula>
    </cfRule>
  </conditionalFormatting>
  <conditionalFormatting sqref="AI64">
    <cfRule type="expression" dxfId="233" priority="83">
      <formula>$AI$51="休"</formula>
    </cfRule>
  </conditionalFormatting>
  <conditionalFormatting sqref="AJ64">
    <cfRule type="expression" dxfId="232" priority="82">
      <formula>$AJ$51="休"</formula>
    </cfRule>
  </conditionalFormatting>
  <conditionalFormatting sqref="AK64">
    <cfRule type="expression" dxfId="231" priority="81">
      <formula>$AK$51="休"</formula>
    </cfRule>
  </conditionalFormatting>
  <conditionalFormatting sqref="AL64">
    <cfRule type="expression" dxfId="230" priority="80">
      <formula>$AL$51="休"</formula>
    </cfRule>
  </conditionalFormatting>
  <conditionalFormatting sqref="AM64">
    <cfRule type="expression" dxfId="229" priority="79">
      <formula>$AM$51="休"</formula>
    </cfRule>
  </conditionalFormatting>
  <conditionalFormatting sqref="AN64">
    <cfRule type="expression" dxfId="228" priority="78">
      <formula>$AN$51="休"</formula>
    </cfRule>
  </conditionalFormatting>
  <conditionalFormatting sqref="AO64">
    <cfRule type="expression" dxfId="227" priority="77">
      <formula>$AO$51="休"</formula>
    </cfRule>
  </conditionalFormatting>
  <conditionalFormatting sqref="AP64">
    <cfRule type="expression" dxfId="226" priority="76">
      <formula>$AP$51="休"</formula>
    </cfRule>
  </conditionalFormatting>
  <conditionalFormatting sqref="AQ64">
    <cfRule type="expression" dxfId="225" priority="75">
      <formula>$AQ$51="休"</formula>
    </cfRule>
  </conditionalFormatting>
  <conditionalFormatting sqref="AR64">
    <cfRule type="expression" dxfId="224" priority="74">
      <formula>$AR$51="休"</formula>
    </cfRule>
  </conditionalFormatting>
  <conditionalFormatting sqref="AS64">
    <cfRule type="expression" dxfId="223" priority="73">
      <formula>$AS$51="休"</formula>
    </cfRule>
  </conditionalFormatting>
  <conditionalFormatting sqref="AT64">
    <cfRule type="expression" dxfId="222" priority="72">
      <formula>$AT$51="休"</formula>
    </cfRule>
  </conditionalFormatting>
  <conditionalFormatting sqref="J64:AT64">
    <cfRule type="containsText" dxfId="221" priority="71" operator="containsText" text="×">
      <formula>NOT(ISERROR(SEARCH("×",J64)))</formula>
    </cfRule>
  </conditionalFormatting>
  <conditionalFormatting sqref="AX57">
    <cfRule type="containsText" dxfId="220" priority="70" operator="containsText" text="×">
      <formula>NOT(ISERROR(SEARCH("×",AX57)))</formula>
    </cfRule>
  </conditionalFormatting>
  <conditionalFormatting sqref="AX61">
    <cfRule type="containsText" dxfId="219" priority="69" operator="containsText" text="×">
      <formula>NOT(ISERROR(SEARCH("×",AX61)))</formula>
    </cfRule>
  </conditionalFormatting>
  <conditionalFormatting sqref="B66:AY66">
    <cfRule type="containsText" dxfId="218" priority="68" operator="containsText" text="×">
      <formula>NOT(ISERROR(SEARCH("×",B66)))</formula>
    </cfRule>
  </conditionalFormatting>
  <conditionalFormatting sqref="G126:I127 AC126:AE127">
    <cfRule type="cellIs" dxfId="217" priority="66" operator="greaterThan">
      <formula>2</formula>
    </cfRule>
  </conditionalFormatting>
  <conditionalFormatting sqref="G128:I129 AC128:AE129">
    <cfRule type="cellIs" dxfId="216" priority="65" operator="greaterThan">
      <formula>2</formula>
    </cfRule>
  </conditionalFormatting>
  <conditionalFormatting sqref="G130:I131 AC130:AE131">
    <cfRule type="cellIs" dxfId="215" priority="64" operator="greaterThan">
      <formula>2</formula>
    </cfRule>
  </conditionalFormatting>
  <conditionalFormatting sqref="G132:I133 AC132:AE133">
    <cfRule type="cellIs" dxfId="214" priority="63" operator="greaterThan">
      <formula>8</formula>
    </cfRule>
  </conditionalFormatting>
  <conditionalFormatting sqref="G134:I135 AC134:AE135">
    <cfRule type="cellIs" dxfId="213" priority="62" operator="greaterThan">
      <formula>0.5</formula>
    </cfRule>
  </conditionalFormatting>
  <conditionalFormatting sqref="G136:I137 AC136:AE137">
    <cfRule type="cellIs" dxfId="212" priority="61" operator="greaterThan">
      <formula>0.5</formula>
    </cfRule>
  </conditionalFormatting>
  <conditionalFormatting sqref="G138:I139 AC138:AE139">
    <cfRule type="cellIs" dxfId="211" priority="60" operator="greaterThan">
      <formula>2</formula>
    </cfRule>
  </conditionalFormatting>
  <conditionalFormatting sqref="G140:I141 AC140:AE141">
    <cfRule type="cellIs" dxfId="210" priority="59" operator="greaterThan">
      <formula>2</formula>
    </cfRule>
  </conditionalFormatting>
  <conditionalFormatting sqref="G142:I143 AC142:AE143">
    <cfRule type="cellIs" dxfId="209" priority="55" operator="greaterThan">
      <formula>2</formula>
    </cfRule>
    <cfRule type="cellIs" dxfId="208" priority="57" operator="greaterThan">
      <formula>2</formula>
    </cfRule>
    <cfRule type="cellIs" dxfId="207" priority="58" operator="greaterThan">
      <formula>1</formula>
    </cfRule>
  </conditionalFormatting>
  <conditionalFormatting sqref="G144:I145 AC144:AE145">
    <cfRule type="cellIs" dxfId="206" priority="56" operator="greaterThan">
      <formula>0.5</formula>
    </cfRule>
  </conditionalFormatting>
  <conditionalFormatting sqref="G146:I147 AC146:AE147">
    <cfRule type="cellIs" dxfId="205" priority="54" operator="greaterThan">
      <formula>2</formula>
    </cfRule>
  </conditionalFormatting>
  <conditionalFormatting sqref="G148:I149 AC148:AE149">
    <cfRule type="cellIs" dxfId="204" priority="53" operator="greaterThan">
      <formula>0.5</formula>
    </cfRule>
  </conditionalFormatting>
  <conditionalFormatting sqref="AA126:AB149 AW126:AX149">
    <cfRule type="cellIs" dxfId="203" priority="52" operator="greaterThan">
      <formula>"要入力"</formula>
    </cfRule>
  </conditionalFormatting>
  <conditionalFormatting sqref="AA126:AB149 AW126:AX149">
    <cfRule type="containsText" dxfId="202" priority="51" operator="containsText" text="要入力">
      <formula>NOT(ISERROR(SEARCH("要入力",AA126)))</formula>
    </cfRule>
  </conditionalFormatting>
  <conditionalFormatting sqref="J126:Z149 AF126:AT149">
    <cfRule type="expression" dxfId="201" priority="50">
      <formula>AA126="入力"&amp;CHAR(10)&amp;"不要"</formula>
    </cfRule>
  </conditionalFormatting>
  <conditionalFormatting sqref="AF92:AS121">
    <cfRule type="containsText" dxfId="200" priority="47" operator="containsText" text="してください">
      <formula>NOT(ISERROR(SEARCH("してください",AF92)))</formula>
    </cfRule>
    <cfRule type="containsText" dxfId="199" priority="48" operator="containsText" text="理由">
      <formula>NOT(ISERROR(SEARCH("理由",AF92)))</formula>
    </cfRule>
  </conditionalFormatting>
  <conditionalFormatting sqref="J52:AT52">
    <cfRule type="expression" dxfId="198" priority="46">
      <formula>AND(J51="休",J52&gt;0)</formula>
    </cfRule>
  </conditionalFormatting>
  <conditionalFormatting sqref="AZ64:BP64 AZ60:BP60 AZ54:BP54">
    <cfRule type="containsText" dxfId="197" priority="44" operator="containsText" text="要修正">
      <formula>NOT(ISERROR(SEARCH("要修正",AZ54)))</formula>
    </cfRule>
  </conditionalFormatting>
  <conditionalFormatting sqref="AU126:AV149">
    <cfRule type="expression" dxfId="196" priority="337">
      <formula>BM126="入力"&amp;CHAR(10)&amp;"不要"</formula>
    </cfRule>
  </conditionalFormatting>
  <conditionalFormatting sqref="AZ32:BP42">
    <cfRule type="containsText" dxfId="195" priority="43" operator="containsText" text="要修正">
      <formula>NOT(ISERROR(SEARCH("要修正",AZ32)))</formula>
    </cfRule>
  </conditionalFormatting>
  <conditionalFormatting sqref="AS32:AV42">
    <cfRule type="cellIs" dxfId="194" priority="42" operator="equal">
      <formula>0</formula>
    </cfRule>
  </conditionalFormatting>
  <conditionalFormatting sqref="AW126:AX149 AA126:AB149">
    <cfRule type="containsText" dxfId="193" priority="41" operator="containsText" text="入力済">
      <formula>NOT(ISERROR(SEARCH("入力済",AA126)))</formula>
    </cfRule>
  </conditionalFormatting>
  <conditionalFormatting sqref="AB16:AX16 AB18:AX18">
    <cfRule type="containsText" dxfId="192" priority="40" operator="containsText" text="要修正">
      <formula>NOT(ISERROR(SEARCH("要修正",AB16)))</formula>
    </cfRule>
  </conditionalFormatting>
  <conditionalFormatting sqref="L60">
    <cfRule type="expression" dxfId="191" priority="39">
      <formula>$J$51="休"</formula>
    </cfRule>
  </conditionalFormatting>
  <conditionalFormatting sqref="M60">
    <cfRule type="expression" dxfId="190" priority="38">
      <formula>$J$51="休"</formula>
    </cfRule>
  </conditionalFormatting>
  <conditionalFormatting sqref="N60">
    <cfRule type="expression" dxfId="189" priority="37">
      <formula>$J$51="休"</formula>
    </cfRule>
  </conditionalFormatting>
  <conditionalFormatting sqref="O60">
    <cfRule type="expression" dxfId="188" priority="36">
      <formula>$J$51="休"</formula>
    </cfRule>
  </conditionalFormatting>
  <conditionalFormatting sqref="P60">
    <cfRule type="expression" dxfId="187" priority="35">
      <formula>$J$51="休"</formula>
    </cfRule>
  </conditionalFormatting>
  <conditionalFormatting sqref="Q60">
    <cfRule type="expression" dxfId="186" priority="34">
      <formula>$J$51="休"</formula>
    </cfRule>
  </conditionalFormatting>
  <conditionalFormatting sqref="R60">
    <cfRule type="expression" dxfId="185" priority="33">
      <formula>$J$51="休"</formula>
    </cfRule>
  </conditionalFormatting>
  <conditionalFormatting sqref="S60">
    <cfRule type="expression" dxfId="184" priority="32">
      <formula>$J$51="休"</formula>
    </cfRule>
  </conditionalFormatting>
  <conditionalFormatting sqref="T60">
    <cfRule type="expression" dxfId="183" priority="31">
      <formula>$J$51="休"</formula>
    </cfRule>
  </conditionalFormatting>
  <conditionalFormatting sqref="U60">
    <cfRule type="expression" dxfId="182" priority="30">
      <formula>$J$51="休"</formula>
    </cfRule>
  </conditionalFormatting>
  <conditionalFormatting sqref="V60">
    <cfRule type="expression" dxfId="181" priority="29">
      <formula>$J$51="休"</formula>
    </cfRule>
  </conditionalFormatting>
  <conditionalFormatting sqref="W60">
    <cfRule type="expression" dxfId="180" priority="28">
      <formula>$J$51="休"</formula>
    </cfRule>
  </conditionalFormatting>
  <conditionalFormatting sqref="X60">
    <cfRule type="expression" dxfId="179" priority="27">
      <formula>$J$51="休"</formula>
    </cfRule>
  </conditionalFormatting>
  <conditionalFormatting sqref="Y60">
    <cfRule type="expression" dxfId="178" priority="26">
      <formula>$J$51="休"</formula>
    </cfRule>
  </conditionalFormatting>
  <conditionalFormatting sqref="Z60">
    <cfRule type="expression" dxfId="177" priority="25">
      <formula>$J$51="休"</formula>
    </cfRule>
  </conditionalFormatting>
  <conditionalFormatting sqref="AA60">
    <cfRule type="expression" dxfId="176" priority="24">
      <formula>$J$51="休"</formula>
    </cfRule>
  </conditionalFormatting>
  <conditionalFormatting sqref="AB60">
    <cfRule type="expression" dxfId="175" priority="23">
      <formula>$J$51="休"</formula>
    </cfRule>
  </conditionalFormatting>
  <conditionalFormatting sqref="AC60">
    <cfRule type="expression" dxfId="174" priority="22">
      <formula>$J$51="休"</formula>
    </cfRule>
  </conditionalFormatting>
  <conditionalFormatting sqref="AD60">
    <cfRule type="expression" dxfId="173" priority="21">
      <formula>$J$51="休"</formula>
    </cfRule>
  </conditionalFormatting>
  <conditionalFormatting sqref="AE60">
    <cfRule type="expression" dxfId="172" priority="20">
      <formula>$J$51="休"</formula>
    </cfRule>
  </conditionalFormatting>
  <conditionalFormatting sqref="AF60">
    <cfRule type="expression" dxfId="171" priority="19">
      <formula>$J$51="休"</formula>
    </cfRule>
  </conditionalFormatting>
  <conditionalFormatting sqref="AG60">
    <cfRule type="expression" dxfId="170" priority="18">
      <formula>$J$51="休"</formula>
    </cfRule>
  </conditionalFormatting>
  <conditionalFormatting sqref="AH60">
    <cfRule type="expression" dxfId="169" priority="17">
      <formula>$J$51="休"</formula>
    </cfRule>
  </conditionalFormatting>
  <conditionalFormatting sqref="AI60">
    <cfRule type="expression" dxfId="168" priority="16">
      <formula>$J$51="休"</formula>
    </cfRule>
  </conditionalFormatting>
  <conditionalFormatting sqref="AJ60">
    <cfRule type="expression" dxfId="167" priority="15">
      <formula>$J$51="休"</formula>
    </cfRule>
  </conditionalFormatting>
  <conditionalFormatting sqref="AK60">
    <cfRule type="expression" dxfId="166" priority="14">
      <formula>$J$51="休"</formula>
    </cfRule>
  </conditionalFormatting>
  <conditionalFormatting sqref="AL60">
    <cfRule type="expression" dxfId="165" priority="13">
      <formula>$J$51="休"</formula>
    </cfRule>
  </conditionalFormatting>
  <conditionalFormatting sqref="AM60">
    <cfRule type="expression" dxfId="164" priority="12">
      <formula>$J$51="休"</formula>
    </cfRule>
  </conditionalFormatting>
  <conditionalFormatting sqref="AN60">
    <cfRule type="expression" dxfId="163" priority="11">
      <formula>$J$51="休"</formula>
    </cfRule>
  </conditionalFormatting>
  <conditionalFormatting sqref="AO60">
    <cfRule type="expression" dxfId="162" priority="10">
      <formula>$J$51="休"</formula>
    </cfRule>
  </conditionalFormatting>
  <conditionalFormatting sqref="AP60">
    <cfRule type="expression" dxfId="161" priority="9">
      <formula>$J$51="休"</formula>
    </cfRule>
  </conditionalFormatting>
  <conditionalFormatting sqref="AQ60">
    <cfRule type="expression" dxfId="160" priority="8">
      <formula>$J$51="休"</formula>
    </cfRule>
  </conditionalFormatting>
  <conditionalFormatting sqref="AR60">
    <cfRule type="expression" dxfId="159" priority="7">
      <formula>$J$51="休"</formula>
    </cfRule>
  </conditionalFormatting>
  <conditionalFormatting sqref="AS60">
    <cfRule type="expression" dxfId="158" priority="6">
      <formula>$J$51="休"</formula>
    </cfRule>
  </conditionalFormatting>
  <conditionalFormatting sqref="AT60">
    <cfRule type="expression" dxfId="157" priority="5">
      <formula>$J$51="休"</formula>
    </cfRule>
  </conditionalFormatting>
  <conditionalFormatting sqref="H76:K77">
    <cfRule type="cellIs" dxfId="156" priority="4" operator="greaterThan">
      <formula>$AS$32</formula>
    </cfRule>
  </conditionalFormatting>
  <conditionalFormatting sqref="L76:O77">
    <cfRule type="cellIs" dxfId="155" priority="3" operator="greaterThan">
      <formula>$AS$35</formula>
    </cfRule>
  </conditionalFormatting>
  <conditionalFormatting sqref="AF83:AS91">
    <cfRule type="containsText" dxfId="154" priority="1" operator="containsText" text="してください">
      <formula>NOT(ISERROR(SEARCH("してください",AF83)))</formula>
    </cfRule>
    <cfRule type="containsText" dxfId="153" priority="2" operator="containsText" text="理由">
      <formula>NOT(ISERROR(SEARCH("理由",AF83)))</formula>
    </cfRule>
  </conditionalFormatting>
  <dataValidations count="16">
    <dataValidation type="custom" allowBlank="1" showInputMessage="1" showErrorMessage="1" errorTitle="購入箱数を超過した値の入力" error="購入箱数の範囲内の数値を入力してください。" sqref="BJ65:BJ68 BJ72:BJ77" xr:uid="{BDA2A681-AD8A-4600-A22D-5FF34581C9FD}">
      <formula1>BJ65&lt;=BF65</formula1>
    </dataValidation>
    <dataValidation type="decimal" operator="greaterThanOrEqual" allowBlank="1" showInputMessage="1" showErrorMessage="1" sqref="J56" xr:uid="{457754BB-AD2F-4316-B35C-778876940929}">
      <formula1>0</formula1>
    </dataValidation>
    <dataValidation type="whole" operator="greaterThanOrEqual" allowBlank="1" showInputMessage="1" showErrorMessage="1" sqref="AL56:AT56 K56:AJ56" xr:uid="{0E59F5F4-DA64-4343-8BC6-7672D64C2F49}">
      <formula1>0</formula1>
    </dataValidation>
    <dataValidation type="decimal" operator="lessThanOrEqual" allowBlank="1" showInputMessage="1" showErrorMessage="1" error="上段の「２．職員情報」で入力した医師の員数の範囲内の数値を入力してください。_x000a_また、休診日の日は入力しないでください。" sqref="J57:AT57" xr:uid="{34D37787-48F4-4249-9F20-1AEC7CA41181}">
      <formula1>IF(J51="休",0,$AS$32)</formula1>
    </dataValidation>
    <dataValidation type="decimal" operator="lessThanOrEqual" allowBlank="1" showInputMessage="1" showErrorMessage="1" error="上段に記載の最大勤務時間数（配置員数＊曜日毎の診療時間数）の範囲内の数値を入力してください。" sqref="J59:AT59 J63:AT63" xr:uid="{6999DDB4-0198-4D1B-9A9A-CED56DCD12FF}">
      <formula1>J58</formula1>
    </dataValidation>
    <dataValidation type="decimal" operator="lessThanOrEqual" allowBlank="1" showInputMessage="1" showErrorMessage="1" sqref="AK56" xr:uid="{B1EB48FF-0D21-441D-B68F-668A150A042F}">
      <formula1>VLOOKUP($AK$50,$A$22:$AL$28,38,FALSE)</formula1>
    </dataValidation>
    <dataValidation type="list" allowBlank="1" showInputMessage="1" showErrorMessage="1" sqref="D16:L16" xr:uid="{C0F2F14B-5002-4525-863F-38441B4B47A5}">
      <formula1>$BA$15:$BA$16</formula1>
    </dataValidation>
    <dataValidation type="list" allowBlank="1" showInputMessage="1" showErrorMessage="1" sqref="D18:Q18" xr:uid="{DA16848C-B990-411D-83E0-404B2AACB3AE}">
      <formula1>$BA$18:$BA$20</formula1>
    </dataValidation>
    <dataValidation type="decimal" operator="lessThanOrEqual" allowBlank="1" showInputMessage="1" showErrorMessage="1" error="上段の「２．職員情報」で入力した看護師の員数の範囲内の数値を入力してください。" sqref="J61:AT61" xr:uid="{67CAE586-B4F2-4107-8EEA-9AA3542700CC}">
      <formula1>$AS$35</formula1>
    </dataValidation>
    <dataValidation type="list" allowBlank="1" showInputMessage="1" showErrorMessage="1" sqref="U22:U28 N22:N28 J22:J28 Q22:Q28 AB22:AB28 X22:X28" xr:uid="{1FFC0072-0C44-4A19-9409-1D37195647A7}">
      <formula1>$CB$125:$CB$128</formula1>
    </dataValidation>
    <dataValidation type="list" allowBlank="1" showInputMessage="1" showErrorMessage="1" sqref="O22:O28 L22:L28 H22:H28 S22:S28 Z22:Z28 V22:V28" xr:uid="{70582D46-B8BD-4530-869D-96104411DCBC}">
      <formula1>$CA$125:$CA$148</formula1>
    </dataValidation>
    <dataValidation type="list" allowBlank="1" showInputMessage="1" showErrorMessage="1" sqref="BG23:BG28 BG47 BG44 BD44:BF47 E22:E28" xr:uid="{B62BA322-1BA1-4178-A14D-4F2F2C8C6F2F}">
      <formula1>$BO$126:$BO$127</formula1>
    </dataValidation>
    <dataValidation type="whole" operator="lessThanOrEqual" allowBlank="1" showInputMessage="1" showErrorMessage="1" error="休診日とされている日には外来患者数は入力しないでください。_x000a_整数値のみ入力し、「人」等の単位は入力しないでください。" sqref="J52:AT52" xr:uid="{6F457D95-6926-45A7-808D-90ACA888941B}">
      <formula1>IF(J51="休",0)</formula1>
    </dataValidation>
    <dataValidation type="whole" operator="lessThanOrEqual" allowBlank="1" showInputMessage="1" showErrorMessage="1" error="上段の疑い患者数の範囲内の人数を入力してください。（診療日で上段が未入力の場合は最初に上段を入力してください。休診日の場合は何も入力しないでください。）" sqref="J53:AT53" xr:uid="{E57E8CBD-478A-4015-8485-A658EC4C8429}">
      <formula1>IF(J51="休",0,IF(J51="診",J52))</formula1>
    </dataValidation>
    <dataValidation type="decimal" operator="lessThanOrEqual" allowBlank="1" showInputMessage="1" showErrorMessage="1" error="「２．職員情報」で入力した医師の員数の範囲内の数値を入力してください。" sqref="H76:K77" xr:uid="{A5630B00-A7DF-4C85-BB16-9010D8B7E5A9}">
      <formula1>AS32</formula1>
    </dataValidation>
    <dataValidation type="decimal" operator="lessThanOrEqual" allowBlank="1" showInputMessage="1" showErrorMessage="1" error="「２．職員情報」で入力した看護師の員数の範囲内の数値を入力してください。" sqref="L76:O77" xr:uid="{0A811707-0D44-4339-B0D1-30447791B5DB}">
      <formula1>AS35</formula1>
    </dataValidation>
  </dataValidations>
  <printOptions horizontalCentered="1"/>
  <pageMargins left="0.70866141732283472" right="0.70866141732283472" top="0.74803149606299213" bottom="0.74803149606299213" header="0.31496062992125984" footer="0.31496062992125984"/>
  <pageSetup paperSize="9" scale="43" fitToHeight="0" orientation="portrait" r:id="rId1"/>
  <rowBreaks count="1" manualBreakCount="1">
    <brk id="65" max="50" man="1"/>
  </rowBreaks>
  <colBreaks count="1" manualBreakCount="1">
    <brk id="65" max="104857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03877-8237-4859-B717-9F9A8D6097FC}">
  <sheetPr>
    <tabColor rgb="FFFFC000"/>
    <pageSetUpPr fitToPage="1"/>
  </sheetPr>
  <dimension ref="A2:CB268"/>
  <sheetViews>
    <sheetView showGridLines="0" view="pageBreakPreview" zoomScale="55" zoomScaleNormal="85" zoomScaleSheetLayoutView="55" workbookViewId="0">
      <selection activeCell="BH16" sqref="BH16"/>
    </sheetView>
  </sheetViews>
  <sheetFormatPr defaultColWidth="9" defaultRowHeight="18" x14ac:dyDescent="0.35"/>
  <cols>
    <col min="1" max="51" width="3.625" style="288" customWidth="1"/>
    <col min="52" max="52" width="10.625" style="288" customWidth="1"/>
    <col min="53" max="55" width="10.625" style="287" hidden="1" customWidth="1"/>
    <col min="56" max="56" width="10.625" style="318" hidden="1" customWidth="1"/>
    <col min="57" max="57" width="10.625" style="319" hidden="1" customWidth="1"/>
    <col min="58" max="58" width="10.625" style="287" hidden="1" customWidth="1"/>
    <col min="59" max="59" width="10.625" style="320" customWidth="1"/>
    <col min="60" max="66" width="10.625" style="287" customWidth="1"/>
    <col min="67" max="67" width="9" style="287"/>
    <col min="68" max="68" width="11.75" style="496" bestFit="1" customWidth="1"/>
    <col min="69" max="70" width="9" style="496"/>
    <col min="71" max="71" width="10.5" style="496" bestFit="1" customWidth="1"/>
    <col min="72" max="16384" width="9" style="287"/>
  </cols>
  <sheetData>
    <row r="2" spans="1:71" ht="24" x14ac:dyDescent="0.4">
      <c r="A2" s="941" t="s">
        <v>1049</v>
      </c>
      <c r="B2" s="942"/>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c r="AX2" s="942"/>
      <c r="AY2" s="942"/>
      <c r="AZ2" s="600" t="str">
        <f>AZ14</f>
        <v>×</v>
      </c>
      <c r="BA2" s="684"/>
      <c r="BB2" s="684"/>
      <c r="BC2" s="684"/>
      <c r="BD2" s="684"/>
      <c r="BE2" s="684"/>
      <c r="BF2" s="684"/>
      <c r="BG2" s="684"/>
      <c r="BH2" s="684"/>
      <c r="BI2" s="684"/>
      <c r="BJ2" s="684"/>
      <c r="BK2" s="684"/>
      <c r="BL2" s="684"/>
    </row>
    <row r="3" spans="1:71" ht="19.5" x14ac:dyDescent="0.4">
      <c r="AZ3" s="601" t="str">
        <f>AZ30</f>
        <v>×</v>
      </c>
      <c r="BB3" s="289"/>
      <c r="BC3" s="289"/>
      <c r="BD3" s="289"/>
      <c r="BE3" s="289"/>
      <c r="BF3" s="289"/>
      <c r="BG3" s="289"/>
    </row>
    <row r="4" spans="1:71" ht="24" customHeight="1" x14ac:dyDescent="0.5">
      <c r="B4" s="939" t="s">
        <v>1087</v>
      </c>
      <c r="C4" s="940"/>
      <c r="D4" s="940"/>
      <c r="E4" s="940"/>
      <c r="F4" s="940"/>
      <c r="G4" s="940"/>
      <c r="H4" s="940"/>
      <c r="I4" s="940"/>
      <c r="J4" s="940"/>
      <c r="K4" s="940"/>
      <c r="L4" s="940"/>
      <c r="M4" s="940"/>
      <c r="N4" s="940"/>
      <c r="O4" s="940"/>
      <c r="P4" s="940"/>
      <c r="Q4" s="940"/>
      <c r="R4" s="940"/>
      <c r="S4" s="940"/>
      <c r="T4" s="940"/>
      <c r="U4" s="940"/>
      <c r="V4" s="940"/>
      <c r="W4" s="940"/>
      <c r="X4" s="940"/>
      <c r="Y4" s="940"/>
      <c r="Z4" s="940"/>
      <c r="AA4" s="940"/>
      <c r="AB4" s="940"/>
      <c r="AC4" s="940"/>
      <c r="AD4" s="940"/>
      <c r="AE4" s="940"/>
      <c r="AF4" s="940"/>
      <c r="AG4" s="940"/>
      <c r="AH4" s="940"/>
      <c r="AI4" s="940"/>
      <c r="AJ4" s="940"/>
      <c r="AK4" s="940"/>
      <c r="AL4" s="940"/>
      <c r="AM4" s="940"/>
      <c r="AN4" s="940"/>
      <c r="AO4" s="940"/>
      <c r="AP4" s="940"/>
      <c r="AQ4" s="940"/>
      <c r="AR4" s="940"/>
      <c r="AS4" s="940"/>
      <c r="AT4" s="940"/>
      <c r="AU4" s="940"/>
      <c r="AV4" s="940"/>
      <c r="AW4" s="940"/>
      <c r="AX4" s="940"/>
      <c r="AZ4" s="601" t="str">
        <f>AZ44</f>
        <v>×</v>
      </c>
      <c r="BD4" s="287"/>
      <c r="BE4" s="287"/>
      <c r="BG4" s="287"/>
    </row>
    <row r="5" spans="1:71" ht="24" customHeight="1" thickBot="1" x14ac:dyDescent="0.55000000000000004">
      <c r="B5" s="944" t="str">
        <f xml:space="preserve">
IF(テーブル!B3="交付申請","○個人防護具及び消毒清掃経費の補助基準額は、以下により算定されます。",
IF(テーブル!B3="変更申請","○個人防護具及び消毒清掃経費の補助基準額は、以下により算定されます。",
IF(テーブル!B3="実績報告（１次）","○個人防護具及び消毒清掃経費の補助基準額は、以下により算定されます。",
IF(テーブル!B3="交付申請（２次）","○個人防護具の補助基準額は、以下により算定されます。",
IF(テーブル!B3="交付申請兼実績報告（２次）","○個人防護具の補助基準額は、以下により算定されます。",
IF(テーブル!B3="実績報告（２次）","○個人防護具の補助基準額は、以下により算定されます。"))))))</f>
        <v>○個人防護具の補助基準額は、以下により算定されます。</v>
      </c>
      <c r="C5" s="943"/>
      <c r="D5" s="943"/>
      <c r="E5" s="943"/>
      <c r="F5" s="943"/>
      <c r="G5" s="943"/>
      <c r="H5" s="943"/>
      <c r="I5" s="943"/>
      <c r="J5" s="943"/>
      <c r="K5" s="943"/>
      <c r="L5" s="943"/>
      <c r="M5" s="943"/>
      <c r="N5" s="943"/>
      <c r="O5" s="943"/>
      <c r="P5" s="943"/>
      <c r="Q5" s="943"/>
      <c r="R5" s="943"/>
      <c r="S5" s="943"/>
      <c r="T5" s="943"/>
      <c r="U5" s="943"/>
      <c r="V5" s="943"/>
      <c r="W5" s="943"/>
      <c r="X5" s="943"/>
      <c r="Y5" s="943"/>
      <c r="Z5" s="943"/>
      <c r="AA5" s="943"/>
      <c r="AB5" s="943"/>
      <c r="AC5" s="943"/>
      <c r="AD5" s="943"/>
      <c r="AE5" s="943"/>
      <c r="AF5" s="943"/>
      <c r="AG5" s="943"/>
      <c r="AH5" s="943"/>
      <c r="AI5" s="943"/>
      <c r="AJ5" s="943"/>
      <c r="AK5" s="943"/>
      <c r="AL5" s="943"/>
      <c r="AM5" s="943"/>
      <c r="AN5" s="943"/>
      <c r="AO5" s="943"/>
      <c r="AP5" s="943"/>
      <c r="AQ5" s="943"/>
      <c r="AR5" s="943"/>
      <c r="AS5" s="943"/>
      <c r="AT5" s="943"/>
      <c r="AU5" s="943"/>
      <c r="AV5" s="943"/>
      <c r="AW5" s="943"/>
      <c r="AX5" s="943"/>
      <c r="AZ5" s="601" t="str">
        <f>AZ66</f>
        <v>×</v>
      </c>
      <c r="BD5" s="287"/>
      <c r="BE5" s="287"/>
      <c r="BG5" s="287"/>
    </row>
    <row r="6" spans="1:71" ht="24" customHeight="1" thickTop="1" thickBot="1" x14ac:dyDescent="0.55000000000000004">
      <c r="B6" s="2059" t="s">
        <v>1078</v>
      </c>
      <c r="C6" s="2060"/>
      <c r="D6" s="2060"/>
      <c r="E6" s="2060"/>
      <c r="F6" s="2060"/>
      <c r="G6" s="2060"/>
      <c r="H6" s="2060"/>
      <c r="I6" s="2060"/>
      <c r="J6" s="2060"/>
      <c r="K6" s="2060"/>
      <c r="L6" s="2060"/>
      <c r="M6" s="2060"/>
      <c r="N6" s="2060"/>
      <c r="O6" s="2060"/>
      <c r="P6" s="2060"/>
      <c r="Q6" s="2060"/>
      <c r="R6" s="2060"/>
      <c r="S6" s="2060"/>
      <c r="T6" s="2060"/>
      <c r="U6" s="2060"/>
      <c r="V6" s="2060"/>
      <c r="W6" s="2060"/>
      <c r="X6" s="2060"/>
      <c r="Y6" s="2060"/>
      <c r="Z6" s="2060"/>
      <c r="AA6" s="2060"/>
      <c r="AB6" s="2060"/>
      <c r="AC6" s="2060"/>
      <c r="AD6" s="2060"/>
      <c r="AE6" s="2060"/>
      <c r="AF6" s="2060"/>
      <c r="AG6" s="2060"/>
      <c r="AH6" s="2060"/>
      <c r="AI6" s="2060"/>
      <c r="AJ6" s="2060"/>
      <c r="AK6" s="2060"/>
      <c r="AL6" s="2060"/>
      <c r="AM6" s="2060"/>
      <c r="AN6" s="2060"/>
      <c r="AO6" s="2060"/>
      <c r="AP6" s="2060"/>
      <c r="AQ6" s="2060"/>
      <c r="AR6" s="2060"/>
      <c r="AS6" s="2060"/>
      <c r="AT6" s="2060"/>
      <c r="AU6" s="2060"/>
      <c r="AV6" s="2060"/>
      <c r="AW6" s="2060"/>
      <c r="AX6" s="2061"/>
      <c r="AZ6" s="287"/>
      <c r="BD6" s="287"/>
      <c r="BE6" s="287"/>
      <c r="BG6" s="287"/>
    </row>
    <row r="7" spans="1:71" s="291" customFormat="1" ht="48" hidden="1" customHeight="1" thickBot="1" x14ac:dyDescent="0.55000000000000004">
      <c r="A7" s="290"/>
      <c r="B7" s="949" t="str">
        <f xml:space="preserve">
IF(テーブル!B3="交付申請",
"・消毒清掃費：コロナ疑い発熱外来患者数＊400円/患者１人
（単価については、１外来対応における手指消毒及び消毒清掃にかかる経費等を評価。直営、外部委託による場合いずれも共通。）",
IF(テーブル!B3="変更申請","",
IF(テーブル!B3="実績報告（１次）",
"・消毒清掃費：コロナ疑い発熱外来患者数＊400円/患者１人
（単価については、１外来対応における手指消毒及び消毒清掃にかかる経費等を評価。直営、外部委託による場合いずれも共通。）",
IF(テーブル!B3="交付申請（２次）","",
IF(テーブル!B3="交付申請兼実績報告（２次）","",
IF(テーブル!B3="実績報告（２次）",""))))))</f>
        <v/>
      </c>
      <c r="C7" s="950"/>
      <c r="D7" s="950"/>
      <c r="E7" s="950"/>
      <c r="F7" s="950"/>
      <c r="G7" s="950"/>
      <c r="H7" s="950"/>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0"/>
      <c r="AL7" s="950"/>
      <c r="AM7" s="950"/>
      <c r="AN7" s="950"/>
      <c r="AO7" s="950"/>
      <c r="AP7" s="950"/>
      <c r="AQ7" s="950"/>
      <c r="AR7" s="950"/>
      <c r="AS7" s="950"/>
      <c r="AT7" s="950"/>
      <c r="AU7" s="950"/>
      <c r="AV7" s="950"/>
      <c r="AW7" s="950"/>
      <c r="AX7" s="951"/>
      <c r="AY7" s="290"/>
      <c r="BP7" s="497"/>
      <c r="BQ7" s="497"/>
      <c r="BR7" s="497"/>
      <c r="BS7" s="497"/>
    </row>
    <row r="8" spans="1:71" ht="24" customHeight="1" thickTop="1" x14ac:dyDescent="0.5">
      <c r="B8" s="944" t="s">
        <v>1077</v>
      </c>
      <c r="C8" s="943"/>
      <c r="D8" s="943"/>
      <c r="E8" s="943"/>
      <c r="F8" s="943"/>
      <c r="G8" s="943"/>
      <c r="H8" s="943"/>
      <c r="I8" s="943"/>
      <c r="J8" s="943"/>
      <c r="K8" s="943"/>
      <c r="L8" s="943"/>
      <c r="M8" s="943"/>
      <c r="N8" s="943"/>
      <c r="O8" s="943"/>
      <c r="P8" s="943"/>
      <c r="Q8" s="943"/>
      <c r="R8" s="943"/>
      <c r="S8" s="943"/>
      <c r="T8" s="943"/>
      <c r="U8" s="943"/>
      <c r="V8" s="943"/>
      <c r="W8" s="943"/>
      <c r="X8" s="943"/>
      <c r="Y8" s="943"/>
      <c r="Z8" s="943"/>
      <c r="AA8" s="943"/>
      <c r="AB8" s="943"/>
      <c r="AC8" s="943"/>
      <c r="AD8" s="943"/>
      <c r="AE8" s="943"/>
      <c r="AF8" s="943"/>
      <c r="AG8" s="943"/>
      <c r="AH8" s="943"/>
      <c r="AI8" s="943"/>
      <c r="AJ8" s="943"/>
      <c r="AK8" s="943"/>
      <c r="AL8" s="943"/>
      <c r="AM8" s="943"/>
      <c r="AN8" s="943"/>
      <c r="AO8" s="943"/>
      <c r="AP8" s="943"/>
      <c r="AQ8" s="943"/>
      <c r="AR8" s="943"/>
      <c r="AS8" s="943"/>
      <c r="AT8" s="943"/>
      <c r="AU8" s="943"/>
      <c r="AV8" s="943"/>
      <c r="AW8" s="943"/>
      <c r="AX8" s="943"/>
      <c r="AZ8" s="287"/>
      <c r="BD8" s="287"/>
      <c r="BE8" s="287"/>
      <c r="BF8" s="292"/>
      <c r="BG8" s="287"/>
    </row>
    <row r="9" spans="1:71" ht="24" customHeight="1" x14ac:dyDescent="0.5">
      <c r="B9" s="944" t="s">
        <v>938</v>
      </c>
      <c r="C9" s="943"/>
      <c r="D9" s="943"/>
      <c r="E9" s="943"/>
      <c r="F9" s="943"/>
      <c r="G9" s="943"/>
      <c r="H9" s="943"/>
      <c r="I9" s="943"/>
      <c r="J9" s="943"/>
      <c r="K9" s="943"/>
      <c r="L9" s="943"/>
      <c r="M9" s="943"/>
      <c r="N9" s="943"/>
      <c r="O9" s="943"/>
      <c r="P9" s="943"/>
      <c r="Q9" s="943"/>
      <c r="R9" s="943"/>
      <c r="S9" s="943"/>
      <c r="T9" s="943"/>
      <c r="U9" s="943"/>
      <c r="V9" s="943"/>
      <c r="W9" s="943"/>
      <c r="X9" s="943"/>
      <c r="Y9" s="943"/>
      <c r="Z9" s="943"/>
      <c r="AA9" s="943"/>
      <c r="AB9" s="943"/>
      <c r="AC9" s="943"/>
      <c r="AD9" s="943"/>
      <c r="AE9" s="943"/>
      <c r="AF9" s="943"/>
      <c r="AG9" s="943"/>
      <c r="AH9" s="943"/>
      <c r="AI9" s="943"/>
      <c r="AJ9" s="943"/>
      <c r="AK9" s="943"/>
      <c r="AL9" s="943"/>
      <c r="AM9" s="943"/>
      <c r="AN9" s="943"/>
      <c r="AO9" s="943"/>
      <c r="AP9" s="943"/>
      <c r="AQ9" s="943"/>
      <c r="AR9" s="943"/>
      <c r="AS9" s="943"/>
      <c r="AT9" s="943"/>
      <c r="AU9" s="943"/>
      <c r="AV9" s="943"/>
      <c r="AW9" s="943"/>
      <c r="AX9" s="943"/>
      <c r="AZ9" s="287"/>
      <c r="BD9" s="287"/>
      <c r="BE9" s="287"/>
      <c r="BG9" s="287"/>
    </row>
    <row r="10" spans="1:71" ht="36" customHeight="1" x14ac:dyDescent="0.35">
      <c r="B10" s="939" t="s">
        <v>1222</v>
      </c>
      <c r="C10" s="940"/>
      <c r="D10" s="940"/>
      <c r="E10" s="940"/>
      <c r="F10" s="940"/>
      <c r="G10" s="940"/>
      <c r="H10" s="940"/>
      <c r="I10" s="940"/>
      <c r="J10" s="940"/>
      <c r="K10" s="940"/>
      <c r="L10" s="940"/>
      <c r="M10" s="940"/>
      <c r="N10" s="940"/>
      <c r="O10" s="940"/>
      <c r="P10" s="940"/>
      <c r="Q10" s="940"/>
      <c r="R10" s="940"/>
      <c r="S10" s="940"/>
      <c r="T10" s="940"/>
      <c r="U10" s="940"/>
      <c r="V10" s="940"/>
      <c r="W10" s="940"/>
      <c r="X10" s="940"/>
      <c r="Y10" s="940"/>
      <c r="Z10" s="940"/>
      <c r="AA10" s="940"/>
      <c r="AB10" s="940"/>
      <c r="AC10" s="940"/>
      <c r="AD10" s="940"/>
      <c r="AE10" s="940"/>
      <c r="AF10" s="940"/>
      <c r="AG10" s="940"/>
      <c r="AH10" s="940"/>
      <c r="AI10" s="940"/>
      <c r="AJ10" s="940"/>
      <c r="AK10" s="940"/>
      <c r="AL10" s="940"/>
      <c r="AM10" s="940"/>
      <c r="AN10" s="940"/>
      <c r="AO10" s="940"/>
      <c r="AP10" s="940"/>
      <c r="AQ10" s="940"/>
      <c r="AR10" s="940"/>
      <c r="AS10" s="940"/>
      <c r="AT10" s="940"/>
      <c r="AU10" s="940"/>
      <c r="AV10" s="943"/>
      <c r="AW10" s="943"/>
      <c r="AX10" s="943"/>
      <c r="AZ10" s="287"/>
      <c r="BD10" s="287"/>
      <c r="BE10" s="287"/>
      <c r="BG10" s="287"/>
    </row>
    <row r="11" spans="1:71" ht="36" customHeight="1" x14ac:dyDescent="0.35">
      <c r="B11" s="940"/>
      <c r="C11" s="940"/>
      <c r="D11" s="940"/>
      <c r="E11" s="940"/>
      <c r="F11" s="940"/>
      <c r="G11" s="940"/>
      <c r="H11" s="940"/>
      <c r="I11" s="940"/>
      <c r="J11" s="940"/>
      <c r="K11" s="940"/>
      <c r="L11" s="940"/>
      <c r="M11" s="940"/>
      <c r="N11" s="940"/>
      <c r="O11" s="940"/>
      <c r="P11" s="940"/>
      <c r="Q11" s="940"/>
      <c r="R11" s="940"/>
      <c r="S11" s="940"/>
      <c r="T11" s="940"/>
      <c r="U11" s="940"/>
      <c r="V11" s="940"/>
      <c r="W11" s="940"/>
      <c r="X11" s="940"/>
      <c r="Y11" s="940"/>
      <c r="Z11" s="940"/>
      <c r="AA11" s="940"/>
      <c r="AB11" s="940"/>
      <c r="AC11" s="940"/>
      <c r="AD11" s="940"/>
      <c r="AE11" s="940"/>
      <c r="AF11" s="940"/>
      <c r="AG11" s="940"/>
      <c r="AH11" s="940"/>
      <c r="AI11" s="940"/>
      <c r="AJ11" s="940"/>
      <c r="AK11" s="940"/>
      <c r="AL11" s="940"/>
      <c r="AM11" s="940"/>
      <c r="AN11" s="940"/>
      <c r="AO11" s="940"/>
      <c r="AP11" s="940"/>
      <c r="AQ11" s="940"/>
      <c r="AR11" s="940"/>
      <c r="AS11" s="940"/>
      <c r="AT11" s="940"/>
      <c r="AU11" s="940"/>
      <c r="AV11" s="943"/>
      <c r="AW11" s="943"/>
      <c r="AX11" s="943"/>
      <c r="AZ11" s="287"/>
      <c r="BD11" s="287"/>
      <c r="BE11" s="287"/>
      <c r="BG11" s="287"/>
    </row>
    <row r="12" spans="1:71" s="291" customFormat="1" ht="48" customHeight="1" x14ac:dyDescent="0.5">
      <c r="A12" s="290"/>
      <c r="B12" s="939" t="s">
        <v>1362</v>
      </c>
      <c r="C12" s="940"/>
      <c r="D12" s="940"/>
      <c r="E12" s="940"/>
      <c r="F12" s="940"/>
      <c r="G12" s="940"/>
      <c r="H12" s="940"/>
      <c r="I12" s="940"/>
      <c r="J12" s="940"/>
      <c r="K12" s="940"/>
      <c r="L12" s="940"/>
      <c r="M12" s="940"/>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940"/>
      <c r="AL12" s="940"/>
      <c r="AM12" s="940"/>
      <c r="AN12" s="940"/>
      <c r="AO12" s="940"/>
      <c r="AP12" s="940"/>
      <c r="AQ12" s="940"/>
      <c r="AR12" s="940"/>
      <c r="AS12" s="940"/>
      <c r="AT12" s="940"/>
      <c r="AU12" s="940"/>
      <c r="AV12" s="940"/>
      <c r="AW12" s="940"/>
      <c r="AX12" s="940"/>
      <c r="AY12" s="290"/>
      <c r="BP12" s="497"/>
      <c r="BQ12" s="497"/>
      <c r="BR12" s="497"/>
      <c r="BS12" s="497"/>
    </row>
    <row r="13" spans="1:71" x14ac:dyDescent="0.35">
      <c r="BB13" s="289"/>
      <c r="BC13" s="289"/>
      <c r="BD13" s="289"/>
      <c r="BE13" s="289"/>
      <c r="BF13" s="289"/>
      <c r="BG13" s="289"/>
    </row>
    <row r="14" spans="1:71" ht="45" customHeight="1" x14ac:dyDescent="0.35">
      <c r="B14" s="945" t="str">
        <f>"１．診察情報　　【総合判定】"&amp;AZ14&amp;CHAR(10)&amp;
"　（診察日、診療時間は疑い患者の発熱外来診療の実施日及び時間を入力し、他部門の実施時間等を含めないこと。）"</f>
        <v>１．診察情報　　【総合判定】×
　（診察日、診療時間は疑い患者の発熱外来診療の実施日及び時間を入力し、他部門の実施時間等を含めないこと。）</v>
      </c>
      <c r="C14" s="945"/>
      <c r="D14" s="945"/>
      <c r="E14" s="945"/>
      <c r="F14" s="945"/>
      <c r="G14" s="945"/>
      <c r="H14" s="945"/>
      <c r="I14" s="945"/>
      <c r="J14" s="945"/>
      <c r="K14" s="945"/>
      <c r="L14" s="945"/>
      <c r="M14" s="945"/>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293" t="str">
        <f>IF(SUM(COUNTIF(AA16,"○"),COUNTIF(AA18,"○"),COUNTIF(AK22:AK28,"○"))=9,"○","×")</f>
        <v>×</v>
      </c>
      <c r="BB14" s="288"/>
      <c r="BC14" s="294"/>
      <c r="BD14" s="289"/>
      <c r="BE14" s="289"/>
      <c r="BF14" s="289"/>
      <c r="BG14" s="289"/>
    </row>
    <row r="15" spans="1:71" ht="18.75" customHeight="1" x14ac:dyDescent="0.4">
      <c r="B15" s="1049" t="s">
        <v>1086</v>
      </c>
      <c r="C15" s="1050"/>
      <c r="D15" s="1050"/>
      <c r="E15" s="1050"/>
      <c r="F15" s="1050"/>
      <c r="G15" s="1050"/>
      <c r="H15" s="1050"/>
      <c r="I15" s="1050"/>
      <c r="J15" s="1050"/>
      <c r="K15" s="1050"/>
      <c r="L15" s="1050"/>
      <c r="M15" s="1050"/>
      <c r="N15" s="1050"/>
      <c r="O15" s="1050"/>
      <c r="P15" s="1050"/>
      <c r="Q15" s="1050"/>
      <c r="R15" s="1050"/>
      <c r="S15" s="1050"/>
      <c r="T15" s="1050"/>
      <c r="U15" s="1050"/>
      <c r="V15" s="1050"/>
      <c r="W15" s="1050"/>
      <c r="X15" s="1050"/>
      <c r="Y15" s="1050"/>
      <c r="Z15" s="1050"/>
      <c r="AA15" s="1050"/>
      <c r="AB15" s="1050"/>
      <c r="AC15" s="1050"/>
      <c r="AD15" s="1050"/>
      <c r="AE15" s="1050"/>
      <c r="AF15" s="1050"/>
      <c r="AG15" s="1050"/>
      <c r="AH15" s="1050"/>
      <c r="AI15" s="1050"/>
      <c r="AJ15" s="1050"/>
      <c r="AK15" s="1050"/>
      <c r="AL15" s="1050"/>
      <c r="AM15" s="1050"/>
      <c r="AN15" s="1050"/>
      <c r="AO15" s="1050"/>
      <c r="AP15" s="1050"/>
      <c r="AQ15" s="1050"/>
      <c r="AR15" s="1050"/>
      <c r="AS15" s="1050"/>
      <c r="AT15" s="1050"/>
      <c r="AU15" s="1050"/>
      <c r="AV15" s="1050"/>
      <c r="AW15" s="1050"/>
      <c r="AX15" s="1050"/>
      <c r="AY15" s="679"/>
      <c r="AZ15" s="287"/>
      <c r="BA15" s="1041" t="s">
        <v>1071</v>
      </c>
      <c r="BB15" s="1042"/>
      <c r="BC15" s="1042"/>
      <c r="BD15" s="1043"/>
      <c r="BE15" s="289"/>
      <c r="BF15" s="289"/>
      <c r="BG15" s="289"/>
    </row>
    <row r="16" spans="1:71" ht="18.75" customHeight="1" x14ac:dyDescent="0.4">
      <c r="B16" s="679"/>
      <c r="C16" s="679"/>
      <c r="D16" s="1051"/>
      <c r="E16" s="1052"/>
      <c r="F16" s="1052"/>
      <c r="G16" s="1052"/>
      <c r="H16" s="1052"/>
      <c r="I16" s="1052"/>
      <c r="J16" s="1052"/>
      <c r="K16" s="1052"/>
      <c r="L16" s="1052"/>
      <c r="M16" s="1053"/>
      <c r="N16" s="1053"/>
      <c r="O16" s="1053"/>
      <c r="P16" s="1053"/>
      <c r="Q16" s="1053"/>
      <c r="R16" s="1053"/>
      <c r="S16" s="1053"/>
      <c r="T16" s="1053"/>
      <c r="U16" s="1053"/>
      <c r="V16" s="1053"/>
      <c r="W16" s="1054"/>
      <c r="X16" s="679"/>
      <c r="Y16" s="1374" t="s">
        <v>66</v>
      </c>
      <c r="Z16" s="1375"/>
      <c r="AA16" s="687" t="str">
        <f>IF(COUNTA(D16)=1,"○","×")</f>
        <v>×</v>
      </c>
      <c r="AB16" s="1376" t="str">
        <f>IF(COUNTA(D16)=1,"適切に入力がされました","【要修正】プルダウンからいずれかを選択してください")</f>
        <v>【要修正】プルダウンからいずれかを選択してください</v>
      </c>
      <c r="AC16" s="1377"/>
      <c r="AD16" s="1377"/>
      <c r="AE16" s="1377"/>
      <c r="AF16" s="1377"/>
      <c r="AG16" s="1377"/>
      <c r="AH16" s="1377"/>
      <c r="AI16" s="1377"/>
      <c r="AJ16" s="1377"/>
      <c r="AK16" s="1377"/>
      <c r="AL16" s="1377"/>
      <c r="AM16" s="1377"/>
      <c r="AN16" s="1377"/>
      <c r="AO16" s="1377"/>
      <c r="AP16" s="1377"/>
      <c r="AQ16" s="1377"/>
      <c r="AR16" s="1377"/>
      <c r="AS16" s="1377"/>
      <c r="AT16" s="1377"/>
      <c r="AU16" s="1377"/>
      <c r="AV16" s="1377"/>
      <c r="AW16" s="1377"/>
      <c r="AX16" s="1377"/>
      <c r="AY16" s="679"/>
      <c r="AZ16" s="287"/>
      <c r="BA16" s="1041" t="s">
        <v>1072</v>
      </c>
      <c r="BB16" s="1042"/>
      <c r="BC16" s="1042"/>
      <c r="BD16" s="1043"/>
      <c r="BE16" s="289"/>
      <c r="BF16" s="289"/>
      <c r="BG16" s="289"/>
    </row>
    <row r="17" spans="1:78" ht="18.75" customHeight="1" x14ac:dyDescent="0.35">
      <c r="B17" s="1049" t="s">
        <v>1085</v>
      </c>
      <c r="C17" s="1050"/>
      <c r="D17" s="1050"/>
      <c r="E17" s="1050"/>
      <c r="F17" s="1050"/>
      <c r="G17" s="1050"/>
      <c r="H17" s="1050"/>
      <c r="I17" s="1050"/>
      <c r="J17" s="1050"/>
      <c r="K17" s="1050"/>
      <c r="L17" s="1050"/>
      <c r="M17" s="1050"/>
      <c r="N17" s="1050"/>
      <c r="O17" s="1050"/>
      <c r="P17" s="1050"/>
      <c r="Q17" s="1050"/>
      <c r="R17" s="1050"/>
      <c r="S17" s="1050"/>
      <c r="T17" s="1050"/>
      <c r="U17" s="1050"/>
      <c r="V17" s="1050"/>
      <c r="W17" s="1050"/>
      <c r="X17" s="1050"/>
      <c r="Y17" s="1050"/>
      <c r="Z17" s="1050"/>
      <c r="AA17" s="1050"/>
      <c r="AB17" s="1050"/>
      <c r="AC17" s="1050"/>
      <c r="AD17" s="1050"/>
      <c r="AE17" s="1050"/>
      <c r="AF17" s="1050"/>
      <c r="AG17" s="1050"/>
      <c r="AH17" s="1050"/>
      <c r="AI17" s="1050"/>
      <c r="AJ17" s="1050"/>
      <c r="AK17" s="1050"/>
      <c r="AL17" s="1050"/>
      <c r="AM17" s="1050"/>
      <c r="AN17" s="1050"/>
      <c r="AO17" s="1050"/>
      <c r="AP17" s="1050"/>
      <c r="AQ17" s="1050"/>
      <c r="AR17" s="1050"/>
      <c r="AS17" s="1050"/>
      <c r="AT17" s="1050"/>
      <c r="AU17" s="1050"/>
      <c r="AV17" s="1050"/>
      <c r="AW17" s="1050"/>
      <c r="AX17" s="1050"/>
      <c r="AY17" s="679"/>
      <c r="AZ17" s="287"/>
      <c r="BB17" s="288"/>
      <c r="BC17" s="294"/>
      <c r="BD17" s="289"/>
      <c r="BE17" s="289"/>
      <c r="BF17" s="289"/>
      <c r="BG17" s="289"/>
    </row>
    <row r="18" spans="1:78" ht="18.75" customHeight="1" x14ac:dyDescent="0.4">
      <c r="B18" s="679"/>
      <c r="C18" s="679"/>
      <c r="D18" s="1051"/>
      <c r="E18" s="1052"/>
      <c r="F18" s="1052"/>
      <c r="G18" s="1052"/>
      <c r="H18" s="1052"/>
      <c r="I18" s="1052"/>
      <c r="J18" s="1052"/>
      <c r="K18" s="1052"/>
      <c r="L18" s="1052"/>
      <c r="M18" s="1052"/>
      <c r="N18" s="1052"/>
      <c r="O18" s="1052"/>
      <c r="P18" s="1052"/>
      <c r="Q18" s="1052"/>
      <c r="R18" s="1053"/>
      <c r="S18" s="1053"/>
      <c r="T18" s="1053"/>
      <c r="U18" s="1053"/>
      <c r="V18" s="1053"/>
      <c r="W18" s="1054"/>
      <c r="X18" s="679"/>
      <c r="Y18" s="1374" t="s">
        <v>66</v>
      </c>
      <c r="Z18" s="1375"/>
      <c r="AA18" s="687" t="str">
        <f>IF(COUNTA(D18)=1,"○","×")</f>
        <v>×</v>
      </c>
      <c r="AB18" s="1376" t="str">
        <f>IF(COUNTA(D18)=1,"適切に入力がされました","【要修正】プルダウンからいずれかを選択してください")</f>
        <v>【要修正】プルダウンからいずれかを選択してください</v>
      </c>
      <c r="AC18" s="1377"/>
      <c r="AD18" s="1377"/>
      <c r="AE18" s="1377"/>
      <c r="AF18" s="1377"/>
      <c r="AG18" s="1377"/>
      <c r="AH18" s="1377"/>
      <c r="AI18" s="1377"/>
      <c r="AJ18" s="1377"/>
      <c r="AK18" s="1377"/>
      <c r="AL18" s="1377"/>
      <c r="AM18" s="1377"/>
      <c r="AN18" s="1377"/>
      <c r="AO18" s="1377"/>
      <c r="AP18" s="1377"/>
      <c r="AQ18" s="1377"/>
      <c r="AR18" s="1377"/>
      <c r="AS18" s="1377"/>
      <c r="AT18" s="1377"/>
      <c r="AU18" s="1377"/>
      <c r="AV18" s="1377"/>
      <c r="AW18" s="1377"/>
      <c r="AX18" s="1377"/>
      <c r="AY18" s="679"/>
      <c r="AZ18" s="287"/>
      <c r="BA18" s="1041" t="s">
        <v>1073</v>
      </c>
      <c r="BB18" s="1042"/>
      <c r="BC18" s="1042"/>
      <c r="BD18" s="1042"/>
      <c r="BE18" s="1043"/>
      <c r="BF18" s="289"/>
      <c r="BG18" s="289"/>
    </row>
    <row r="19" spans="1:78" ht="18.75" customHeight="1" thickBot="1" x14ac:dyDescent="0.45">
      <c r="B19" s="1049" t="s">
        <v>1109</v>
      </c>
      <c r="C19" s="1050"/>
      <c r="D19" s="1050"/>
      <c r="E19" s="1050"/>
      <c r="F19" s="1050"/>
      <c r="G19" s="1050"/>
      <c r="H19" s="1050"/>
      <c r="I19" s="1050"/>
      <c r="J19" s="1050"/>
      <c r="K19" s="1050"/>
      <c r="L19" s="1050"/>
      <c r="M19" s="1050"/>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679"/>
      <c r="AZ19" s="287"/>
      <c r="BA19" s="1041" t="s">
        <v>1075</v>
      </c>
      <c r="BB19" s="1042"/>
      <c r="BC19" s="1042"/>
      <c r="BD19" s="1042"/>
      <c r="BE19" s="1043"/>
      <c r="BF19" s="289"/>
      <c r="BG19" s="289"/>
    </row>
    <row r="20" spans="1:78" ht="24" customHeight="1" thickTop="1" x14ac:dyDescent="0.5">
      <c r="B20" s="1267" t="s">
        <v>939</v>
      </c>
      <c r="C20" s="1268"/>
      <c r="D20" s="1269"/>
      <c r="E20" s="1267" t="s">
        <v>947</v>
      </c>
      <c r="F20" s="1268"/>
      <c r="G20" s="1269"/>
      <c r="H20" s="1275" t="s">
        <v>1196</v>
      </c>
      <c r="I20" s="1263"/>
      <c r="J20" s="1263"/>
      <c r="K20" s="1263"/>
      <c r="L20" s="1263"/>
      <c r="M20" s="1263"/>
      <c r="N20" s="1263"/>
      <c r="O20" s="1263"/>
      <c r="P20" s="1263"/>
      <c r="Q20" s="1263"/>
      <c r="R20" s="1263"/>
      <c r="S20" s="1263"/>
      <c r="T20" s="1263"/>
      <c r="U20" s="1263"/>
      <c r="V20" s="1263"/>
      <c r="W20" s="1263"/>
      <c r="X20" s="1263"/>
      <c r="Y20" s="1263"/>
      <c r="Z20" s="1263"/>
      <c r="AA20" s="1263"/>
      <c r="AB20" s="1276"/>
      <c r="AC20" s="299" t="s">
        <v>966</v>
      </c>
      <c r="AD20" s="297"/>
      <c r="AE20" s="297"/>
      <c r="AF20" s="297"/>
      <c r="AG20" s="297"/>
      <c r="AH20" s="297"/>
      <c r="AI20" s="298"/>
      <c r="AJ20" s="300"/>
      <c r="AK20" s="1273" t="s">
        <v>66</v>
      </c>
      <c r="AL20" s="301" t="s">
        <v>983</v>
      </c>
      <c r="AM20" s="979" t="s">
        <v>1080</v>
      </c>
      <c r="AN20" s="980"/>
      <c r="AO20" s="980"/>
      <c r="AP20" s="980"/>
      <c r="AQ20" s="980"/>
      <c r="AR20" s="980"/>
      <c r="AS20" s="980"/>
      <c r="AT20" s="980"/>
      <c r="AU20" s="980"/>
      <c r="AV20" s="980"/>
      <c r="AW20" s="980"/>
      <c r="AX20" s="981"/>
      <c r="AY20" s="302"/>
      <c r="AZ20" s="287"/>
      <c r="BA20" s="1041" t="s">
        <v>1074</v>
      </c>
      <c r="BB20" s="1042"/>
      <c r="BC20" s="1042"/>
      <c r="BD20" s="1042"/>
      <c r="BE20" s="1043"/>
      <c r="BG20" s="287"/>
    </row>
    <row r="21" spans="1:78" ht="24" x14ac:dyDescent="0.5">
      <c r="B21" s="1270"/>
      <c r="C21" s="1271"/>
      <c r="D21" s="1272"/>
      <c r="E21" s="1270"/>
      <c r="F21" s="1271"/>
      <c r="G21" s="1272"/>
      <c r="H21" s="498" t="s">
        <v>200</v>
      </c>
      <c r="I21" s="499"/>
      <c r="J21" s="499"/>
      <c r="K21" s="499"/>
      <c r="L21" s="499"/>
      <c r="M21" s="499"/>
      <c r="N21" s="499"/>
      <c r="O21" s="500" t="s">
        <v>199</v>
      </c>
      <c r="P21" s="499"/>
      <c r="Q21" s="499"/>
      <c r="R21" s="499"/>
      <c r="S21" s="499"/>
      <c r="T21" s="499"/>
      <c r="U21" s="501"/>
      <c r="V21" s="499" t="s">
        <v>201</v>
      </c>
      <c r="W21" s="499"/>
      <c r="X21" s="499"/>
      <c r="Y21" s="499"/>
      <c r="Z21" s="499"/>
      <c r="AA21" s="499"/>
      <c r="AB21" s="501"/>
      <c r="AC21" s="299" t="s">
        <v>200</v>
      </c>
      <c r="AD21" s="297"/>
      <c r="AE21" s="297" t="s">
        <v>199</v>
      </c>
      <c r="AF21" s="297"/>
      <c r="AG21" s="297" t="s">
        <v>201</v>
      </c>
      <c r="AH21" s="297"/>
      <c r="AI21" s="963" t="s">
        <v>64</v>
      </c>
      <c r="AJ21" s="964"/>
      <c r="AK21" s="1274"/>
      <c r="AL21" s="677"/>
      <c r="AM21" s="980"/>
      <c r="AN21" s="980"/>
      <c r="AO21" s="980"/>
      <c r="AP21" s="980"/>
      <c r="AQ21" s="980"/>
      <c r="AR21" s="980"/>
      <c r="AS21" s="980"/>
      <c r="AT21" s="980"/>
      <c r="AU21" s="980"/>
      <c r="AV21" s="980"/>
      <c r="AW21" s="980"/>
      <c r="AX21" s="981"/>
      <c r="AY21" s="302"/>
      <c r="AZ21" s="287"/>
      <c r="BB21" s="288"/>
      <c r="BC21" s="502"/>
      <c r="BD21" s="287"/>
      <c r="BE21" s="287"/>
      <c r="BG21" s="287"/>
    </row>
    <row r="22" spans="1:78" ht="24" x14ac:dyDescent="0.5">
      <c r="A22" s="308" t="s">
        <v>978</v>
      </c>
      <c r="B22" s="1277" t="s">
        <v>940</v>
      </c>
      <c r="C22" s="1278"/>
      <c r="D22" s="1278"/>
      <c r="E22" s="1279"/>
      <c r="F22" s="1280"/>
      <c r="G22" s="1281"/>
      <c r="H22" s="680"/>
      <c r="I22" s="495" t="s">
        <v>963</v>
      </c>
      <c r="J22" s="381"/>
      <c r="K22" s="309" t="s">
        <v>961</v>
      </c>
      <c r="L22" s="680"/>
      <c r="M22" s="495" t="s">
        <v>963</v>
      </c>
      <c r="N22" s="382"/>
      <c r="O22" s="680"/>
      <c r="P22" s="495" t="s">
        <v>963</v>
      </c>
      <c r="Q22" s="381"/>
      <c r="R22" s="309" t="s">
        <v>961</v>
      </c>
      <c r="S22" s="680"/>
      <c r="T22" s="495" t="s">
        <v>963</v>
      </c>
      <c r="U22" s="382"/>
      <c r="V22" s="680"/>
      <c r="W22" s="495" t="s">
        <v>963</v>
      </c>
      <c r="X22" s="381"/>
      <c r="Y22" s="309" t="s">
        <v>961</v>
      </c>
      <c r="Z22" s="680"/>
      <c r="AA22" s="495" t="s">
        <v>963</v>
      </c>
      <c r="AB22" s="382"/>
      <c r="AC22" s="977" t="str">
        <f xml:space="preserve">
IF(E22="","要修正",
IF(E22="休診日",0,
IF(AND(E22="診療日",COUNTA(H22,J22,L22,N22)&gt;=0,COUNTA(H22,J22,L22,N22)&lt;4),"要修正",
IF(AND(E22="診療日",COUNTA(H22,J22,L22,N22)=4,BB22&lt;=BA22),"要修正",
IF(AND(E22="診療日",COUNTA(H22,J22,L22,N22)=4,BB22&gt;BA22),BB22-BA22)))))</f>
        <v>要修正</v>
      </c>
      <c r="AD22" s="978"/>
      <c r="AE22" s="977" t="str">
        <f xml:space="preserve">
IF(E22="","要修正",
IF(E22="休診日",0,
IF(AND(E22="診療日",COUNTA(O22,Q22,S22,U22)=0),0,
IF(AND(E22="診療日",COUNTA(O22,Q22,S22,U22)&gt;0,COUNTA(O22,Q22,S22,U22)&lt;4),"要修正",
IF(AND(E22="診療日",COUNTA(O22,Q22,S22,U22)=4,OR(BC22&lt;=BA22,BC22&lt;=BB22,BD22&lt;=BA22,BD22&lt;=BB22,BD22&lt;=BC22)),"要修正",
IF(AND(E22="診療日",COUNTA(O22,Q22,S22,U22)=4,BC22&gt;BA22,BC22&gt;BB22,BD22&gt;BA22,BD22&gt;BB22,BD22&gt;BC22),BD22-BC22))))))</f>
        <v>要修正</v>
      </c>
      <c r="AF22" s="978"/>
      <c r="AG22" s="977" t="str">
        <f xml:space="preserve">
IF(E22="","要修正",
IF(E22="休診日",0,
IF(AND(E22="診療日",COUNTA(V22,X22,Z22,AB22)=0),0,
IF(AND(E22="診療日",COUNTA(V22,X22,Z22,AB22)&gt;0,COUNTA(V22,X22,Z22,AB22)&lt;4),"要修正",
IF(AND(E22="診療日",COUNTA(V22,X22,Z22,AB22)=4,OR(BE22&lt;=BA22,BE22&lt;=BB22,BE22&lt;=BC22,BE22&lt;=BD22,BF22&lt;=BA22,BF22&lt;=BB22,BF22&lt;=BC22,BF22&lt;=BD22,BF22&lt;=BE22)),"要修正",
IF(AND(E22="診療日",COUNTA(V22,X22,Z22,AB22)=4,BE22&gt;BA22,BE22&gt;BB22,BE22&gt;BC22,BE22&gt;BD22,BF22&gt;BA22,BF22&gt;BB22,BF22&gt;BC22,BF22&gt;BD22,BF22&gt;BE22),BF22-BE22))))))</f>
        <v>要修正</v>
      </c>
      <c r="AH22" s="978"/>
      <c r="AI22" s="970" t="str">
        <f xml:space="preserve">
IF(AK22="×","表示不可",
IF(AK22="○",SUM(AC22:AH22)))</f>
        <v>表示不可</v>
      </c>
      <c r="AJ22" s="971"/>
      <c r="AK22" s="310" t="str">
        <f xml:space="preserve">
IF(E22="","×",
IF(E22="休診日","○",
IF(AND(E22="診療日",COUNTIF(AC22:AH22,"要修正")&gt;=1),"×",
IF(AND(E22="診療日",COUNTIF(AC22:AH22,"要修正")=0),"○"))))</f>
        <v>×</v>
      </c>
      <c r="AL22" s="677" t="s">
        <v>68</v>
      </c>
      <c r="AM22" s="967" t="str">
        <f xml:space="preserve">
IF(AK22="×","表示不可",
IF(AK22="○",HOUR(AI22)+MINUTE(AI22)/60))</f>
        <v>表示不可</v>
      </c>
      <c r="AN22" s="968"/>
      <c r="AO22" s="969"/>
      <c r="AP22" s="677"/>
      <c r="AQ22" s="677"/>
      <c r="AR22" s="677"/>
      <c r="AS22" s="677"/>
      <c r="AT22" s="677"/>
      <c r="AU22" s="677"/>
      <c r="AV22" s="677"/>
      <c r="AW22" s="677"/>
      <c r="BA22" s="503" t="str">
        <f t="shared" ref="BA22:BA28" si="0">TEXT(H22&amp;":"&amp;J22,"hh:mm")</f>
        <v>:</v>
      </c>
      <c r="BB22" s="503" t="str">
        <f t="shared" ref="BB22:BB28" si="1">TEXT(L22&amp;":"&amp;N22,"hh:mm")</f>
        <v>:</v>
      </c>
      <c r="BC22" s="503" t="str">
        <f t="shared" ref="BC22:BC28" si="2">TEXT(O22&amp;":"&amp;Q22,"hh:mm")</f>
        <v>:</v>
      </c>
      <c r="BD22" s="503" t="str">
        <f t="shared" ref="BD22:BD28" si="3">TEXT(S22&amp;":"&amp;U22,"hh:mm")</f>
        <v>:</v>
      </c>
      <c r="BE22" s="503" t="str">
        <f t="shared" ref="BE22:BE28" si="4">TEXT(V22&amp;":"&amp;X22,"hh:mm")</f>
        <v>:</v>
      </c>
      <c r="BF22" s="503" t="str">
        <f t="shared" ref="BF22:BF28" si="5">TEXT(Z22&amp;":"&amp;AB22,"hh:mm")</f>
        <v>:</v>
      </c>
      <c r="BG22" s="287"/>
    </row>
    <row r="23" spans="1:78" ht="24" x14ac:dyDescent="0.5">
      <c r="A23" s="313" t="s">
        <v>974</v>
      </c>
      <c r="B23" s="1277" t="s">
        <v>941</v>
      </c>
      <c r="C23" s="1278"/>
      <c r="D23" s="1278"/>
      <c r="E23" s="1279"/>
      <c r="F23" s="1280"/>
      <c r="G23" s="1281"/>
      <c r="H23" s="680"/>
      <c r="I23" s="495" t="s">
        <v>963</v>
      </c>
      <c r="J23" s="381"/>
      <c r="K23" s="309" t="s">
        <v>961</v>
      </c>
      <c r="L23" s="680"/>
      <c r="M23" s="495" t="s">
        <v>963</v>
      </c>
      <c r="N23" s="382"/>
      <c r="O23" s="680"/>
      <c r="P23" s="495" t="s">
        <v>963</v>
      </c>
      <c r="Q23" s="381"/>
      <c r="R23" s="309" t="s">
        <v>961</v>
      </c>
      <c r="S23" s="680"/>
      <c r="T23" s="495" t="s">
        <v>963</v>
      </c>
      <c r="U23" s="382"/>
      <c r="V23" s="680"/>
      <c r="W23" s="495" t="s">
        <v>963</v>
      </c>
      <c r="X23" s="381"/>
      <c r="Y23" s="309" t="s">
        <v>961</v>
      </c>
      <c r="Z23" s="680"/>
      <c r="AA23" s="495" t="s">
        <v>963</v>
      </c>
      <c r="AB23" s="382"/>
      <c r="AC23" s="977" t="str">
        <f t="shared" ref="AC23:AC28" si="6" xml:space="preserve">
IF(E23="","要修正",
IF(E23="休診日",0,
IF(AND(E23="診療日",COUNTA(H23,J23,L23,N23)&gt;=0,COUNTA(H23,J23,L23,N23)&lt;4),"要修正",
IF(AND(E23="診療日",COUNTA(H23,J23,L23,N23)=4,BB23&lt;=BA23),"要修正",
IF(AND(E23="診療日",COUNTA(H23,J23,L23,N23)=4,BB23&gt;BA23),BB23-BA23)))))</f>
        <v>要修正</v>
      </c>
      <c r="AD23" s="978"/>
      <c r="AE23" s="977" t="str">
        <f t="shared" ref="AE23:AE28" si="7" xml:space="preserve">
IF(E23="","要修正",
IF(E23="休診日",0,
IF(AND(E23="診療日",COUNTA(O23,Q23,S23,U23)=0),0,
IF(AND(E23="診療日",COUNTA(O23,Q23,S23,U23)&gt;0,COUNTA(O23,Q23,S23,U23)&lt;4),"要修正",
IF(AND(E23="診療日",COUNTA(O23,Q23,S23,U23)=4,OR(BC23&lt;=BA23,BC23&lt;=BB23,BD23&lt;=BA23,BD23&lt;=BB23,BD23&lt;=BC23)),"要修正",
IF(AND(E23="診療日",COUNTA(O23,Q23,S23,U23)=4,BC23&gt;BA23,BC23&gt;BB23,BD23&gt;BA23,BD23&gt;BB23,BD23&gt;BC23),BD23-BC23))))))</f>
        <v>要修正</v>
      </c>
      <c r="AF23" s="978"/>
      <c r="AG23" s="977" t="str">
        <f t="shared" ref="AG23:AG28" si="8" xml:space="preserve">
IF(E23="","要修正",
IF(E23="休診日",0,
IF(AND(E23="診療日",COUNTA(V23,X23,Z23,AB23)=0),0,
IF(AND(E23="診療日",COUNTA(V23,X23,Z23,AB23)&gt;0,COUNTA(V23,X23,Z23,AB23)&lt;4),"要修正",
IF(AND(E23="診療日",COUNTA(V23,X23,Z23,AB23)=4,OR(BE23&lt;=BA23,BE23&lt;=BB23,BE23&lt;=BC23,BE23&lt;=BD23,BF23&lt;=BA23,BF23&lt;=BB23,BF23&lt;=BC23,BF23&lt;=BD23,BF23&lt;=BE23)),"要修正",
IF(AND(E23="診療日",COUNTA(V23,X23,Z23,AB23)=4,BE23&gt;BA23,BE23&gt;BB23,BE23&gt;BC23,BE23&gt;BD23,BF23&gt;BA23,BF23&gt;BB23,BF23&gt;BC23,BF23&gt;BD23,BF23&gt;BE23),BF23-BE23))))))</f>
        <v>要修正</v>
      </c>
      <c r="AH23" s="978"/>
      <c r="AI23" s="970" t="str">
        <f xml:space="preserve">
IF(AK23="×","表示不可",
IF(AK23="○",SUM(AC23:AH23)))</f>
        <v>表示不可</v>
      </c>
      <c r="AJ23" s="971"/>
      <c r="AK23" s="310" t="str">
        <f t="shared" ref="AK23:AK28" si="9" xml:space="preserve">
IF(E23="","×",
IF(E23="休診日","○",
IF(AND(E23="診療日",COUNTIF(AC23:AH23,"要修正")&gt;=1),"×",
IF(AND(E23="診療日",COUNTIF(AC23:AH23,"要修正")=0),"○"))))</f>
        <v>×</v>
      </c>
      <c r="AL23" s="677" t="s">
        <v>68</v>
      </c>
      <c r="AM23" s="967" t="str">
        <f t="shared" ref="AM23:AM28" si="10" xml:space="preserve">
IF(AK23="×","表示不可",
IF(AK23="○",HOUR(AI23)+MINUTE(AI23)/60))</f>
        <v>表示不可</v>
      </c>
      <c r="AN23" s="968"/>
      <c r="AO23" s="969"/>
      <c r="AP23" s="677"/>
      <c r="AQ23" s="677"/>
      <c r="AR23" s="677"/>
      <c r="AS23" s="677"/>
      <c r="AT23" s="677"/>
      <c r="AU23" s="677"/>
      <c r="AV23" s="677"/>
      <c r="AW23" s="677"/>
      <c r="BA23" s="503" t="str">
        <f t="shared" si="0"/>
        <v>:</v>
      </c>
      <c r="BB23" s="503" t="str">
        <f t="shared" si="1"/>
        <v>:</v>
      </c>
      <c r="BC23" s="503" t="str">
        <f t="shared" si="2"/>
        <v>:</v>
      </c>
      <c r="BD23" s="503" t="str">
        <f t="shared" si="3"/>
        <v>:</v>
      </c>
      <c r="BE23" s="503" t="str">
        <f t="shared" si="4"/>
        <v>:</v>
      </c>
      <c r="BF23" s="503" t="str">
        <f t="shared" si="5"/>
        <v>:</v>
      </c>
      <c r="BG23" s="314"/>
    </row>
    <row r="24" spans="1:78" ht="24" x14ac:dyDescent="0.5">
      <c r="A24" s="313" t="s">
        <v>975</v>
      </c>
      <c r="B24" s="1277" t="s">
        <v>942</v>
      </c>
      <c r="C24" s="1278"/>
      <c r="D24" s="1278"/>
      <c r="E24" s="1279"/>
      <c r="F24" s="1280"/>
      <c r="G24" s="1281"/>
      <c r="H24" s="680"/>
      <c r="I24" s="495" t="s">
        <v>963</v>
      </c>
      <c r="J24" s="381"/>
      <c r="K24" s="309" t="s">
        <v>961</v>
      </c>
      <c r="L24" s="680"/>
      <c r="M24" s="495" t="s">
        <v>963</v>
      </c>
      <c r="N24" s="382"/>
      <c r="O24" s="680"/>
      <c r="P24" s="495" t="s">
        <v>963</v>
      </c>
      <c r="Q24" s="381"/>
      <c r="R24" s="309" t="s">
        <v>961</v>
      </c>
      <c r="S24" s="680"/>
      <c r="T24" s="495" t="s">
        <v>963</v>
      </c>
      <c r="U24" s="382"/>
      <c r="V24" s="680"/>
      <c r="W24" s="495" t="s">
        <v>963</v>
      </c>
      <c r="X24" s="381"/>
      <c r="Y24" s="309" t="s">
        <v>961</v>
      </c>
      <c r="Z24" s="680"/>
      <c r="AA24" s="495" t="s">
        <v>963</v>
      </c>
      <c r="AB24" s="382"/>
      <c r="AC24" s="977" t="str">
        <f t="shared" si="6"/>
        <v>要修正</v>
      </c>
      <c r="AD24" s="978"/>
      <c r="AE24" s="977" t="str">
        <f t="shared" si="7"/>
        <v>要修正</v>
      </c>
      <c r="AF24" s="978"/>
      <c r="AG24" s="977" t="str">
        <f t="shared" si="8"/>
        <v>要修正</v>
      </c>
      <c r="AH24" s="978"/>
      <c r="AI24" s="970" t="str">
        <f t="shared" ref="AI24:AI28" si="11" xml:space="preserve">
IF(AK24="×","表示不可",
IF(AK24="○",SUM(AC24:AH24)))</f>
        <v>表示不可</v>
      </c>
      <c r="AJ24" s="971"/>
      <c r="AK24" s="310" t="str">
        <f t="shared" si="9"/>
        <v>×</v>
      </c>
      <c r="AL24" s="677" t="s">
        <v>68</v>
      </c>
      <c r="AM24" s="967" t="str">
        <f t="shared" si="10"/>
        <v>表示不可</v>
      </c>
      <c r="AN24" s="968"/>
      <c r="AO24" s="969"/>
      <c r="AP24" s="677"/>
      <c r="AQ24" s="677"/>
      <c r="AR24" s="677"/>
      <c r="AS24" s="677"/>
      <c r="AT24" s="677"/>
      <c r="AU24" s="677"/>
      <c r="AV24" s="677"/>
      <c r="AW24" s="677"/>
      <c r="BA24" s="503" t="str">
        <f t="shared" si="0"/>
        <v>:</v>
      </c>
      <c r="BB24" s="503" t="str">
        <f t="shared" si="1"/>
        <v>:</v>
      </c>
      <c r="BC24" s="503" t="str">
        <f t="shared" si="2"/>
        <v>:</v>
      </c>
      <c r="BD24" s="503" t="str">
        <f t="shared" si="3"/>
        <v>:</v>
      </c>
      <c r="BE24" s="503" t="str">
        <f t="shared" si="4"/>
        <v>:</v>
      </c>
      <c r="BF24" s="503" t="str">
        <f t="shared" si="5"/>
        <v>:</v>
      </c>
      <c r="BG24" s="314"/>
    </row>
    <row r="25" spans="1:78" ht="24" x14ac:dyDescent="0.5">
      <c r="A25" s="313" t="s">
        <v>976</v>
      </c>
      <c r="B25" s="1277" t="s">
        <v>943</v>
      </c>
      <c r="C25" s="1278"/>
      <c r="D25" s="1278"/>
      <c r="E25" s="1279"/>
      <c r="F25" s="1280"/>
      <c r="G25" s="1281"/>
      <c r="H25" s="680"/>
      <c r="I25" s="495" t="s">
        <v>963</v>
      </c>
      <c r="J25" s="381"/>
      <c r="K25" s="309" t="s">
        <v>961</v>
      </c>
      <c r="L25" s="680"/>
      <c r="M25" s="495" t="s">
        <v>963</v>
      </c>
      <c r="N25" s="382"/>
      <c r="O25" s="680"/>
      <c r="P25" s="495" t="s">
        <v>963</v>
      </c>
      <c r="Q25" s="381"/>
      <c r="R25" s="309" t="s">
        <v>961</v>
      </c>
      <c r="S25" s="680"/>
      <c r="T25" s="495" t="s">
        <v>963</v>
      </c>
      <c r="U25" s="382"/>
      <c r="V25" s="680"/>
      <c r="W25" s="495" t="s">
        <v>963</v>
      </c>
      <c r="X25" s="381"/>
      <c r="Y25" s="309" t="s">
        <v>961</v>
      </c>
      <c r="Z25" s="680"/>
      <c r="AA25" s="495" t="s">
        <v>963</v>
      </c>
      <c r="AB25" s="382"/>
      <c r="AC25" s="977" t="str">
        <f t="shared" si="6"/>
        <v>要修正</v>
      </c>
      <c r="AD25" s="978"/>
      <c r="AE25" s="977" t="str">
        <f t="shared" si="7"/>
        <v>要修正</v>
      </c>
      <c r="AF25" s="978"/>
      <c r="AG25" s="977" t="str">
        <f t="shared" si="8"/>
        <v>要修正</v>
      </c>
      <c r="AH25" s="978"/>
      <c r="AI25" s="970" t="str">
        <f t="shared" si="11"/>
        <v>表示不可</v>
      </c>
      <c r="AJ25" s="971"/>
      <c r="AK25" s="310" t="str">
        <f t="shared" si="9"/>
        <v>×</v>
      </c>
      <c r="AL25" s="677" t="s">
        <v>68</v>
      </c>
      <c r="AM25" s="967" t="str">
        <f t="shared" si="10"/>
        <v>表示不可</v>
      </c>
      <c r="AN25" s="968"/>
      <c r="AO25" s="969"/>
      <c r="AP25" s="677"/>
      <c r="AQ25" s="1055" t="s">
        <v>982</v>
      </c>
      <c r="AR25" s="942"/>
      <c r="AS25" s="942"/>
      <c r="AT25" s="942"/>
      <c r="AU25" s="942"/>
      <c r="AV25" s="942"/>
      <c r="AW25" s="942"/>
      <c r="AX25" s="942"/>
      <c r="BA25" s="503" t="str">
        <f t="shared" si="0"/>
        <v>:</v>
      </c>
      <c r="BB25" s="503" t="str">
        <f t="shared" si="1"/>
        <v>:</v>
      </c>
      <c r="BC25" s="503" t="str">
        <f t="shared" si="2"/>
        <v>:</v>
      </c>
      <c r="BD25" s="503" t="str">
        <f t="shared" si="3"/>
        <v>:</v>
      </c>
      <c r="BE25" s="503" t="str">
        <f t="shared" si="4"/>
        <v>:</v>
      </c>
      <c r="BF25" s="503" t="str">
        <f t="shared" si="5"/>
        <v>:</v>
      </c>
      <c r="BG25" s="314"/>
    </row>
    <row r="26" spans="1:78" ht="24" x14ac:dyDescent="0.5">
      <c r="A26" s="313" t="s">
        <v>977</v>
      </c>
      <c r="B26" s="1277" t="s">
        <v>944</v>
      </c>
      <c r="C26" s="1278"/>
      <c r="D26" s="1278"/>
      <c r="E26" s="1279"/>
      <c r="F26" s="1280"/>
      <c r="G26" s="1281"/>
      <c r="H26" s="680"/>
      <c r="I26" s="495" t="s">
        <v>963</v>
      </c>
      <c r="J26" s="381"/>
      <c r="K26" s="309" t="s">
        <v>961</v>
      </c>
      <c r="L26" s="680"/>
      <c r="M26" s="495" t="s">
        <v>963</v>
      </c>
      <c r="N26" s="382"/>
      <c r="O26" s="680"/>
      <c r="P26" s="495" t="s">
        <v>963</v>
      </c>
      <c r="Q26" s="381"/>
      <c r="R26" s="309" t="s">
        <v>961</v>
      </c>
      <c r="S26" s="680"/>
      <c r="T26" s="495" t="s">
        <v>963</v>
      </c>
      <c r="U26" s="382"/>
      <c r="V26" s="680"/>
      <c r="W26" s="495" t="s">
        <v>963</v>
      </c>
      <c r="X26" s="381"/>
      <c r="Y26" s="309" t="s">
        <v>961</v>
      </c>
      <c r="Z26" s="680"/>
      <c r="AA26" s="495" t="s">
        <v>963</v>
      </c>
      <c r="AB26" s="382"/>
      <c r="AC26" s="977" t="str">
        <f t="shared" si="6"/>
        <v>要修正</v>
      </c>
      <c r="AD26" s="978"/>
      <c r="AE26" s="977" t="str">
        <f t="shared" si="7"/>
        <v>要修正</v>
      </c>
      <c r="AF26" s="978"/>
      <c r="AG26" s="977" t="str">
        <f t="shared" si="8"/>
        <v>要修正</v>
      </c>
      <c r="AH26" s="978"/>
      <c r="AI26" s="970" t="str">
        <f t="shared" si="11"/>
        <v>表示不可</v>
      </c>
      <c r="AJ26" s="971"/>
      <c r="AK26" s="310" t="str">
        <f t="shared" si="9"/>
        <v>×</v>
      </c>
      <c r="AL26" s="677" t="s">
        <v>68</v>
      </c>
      <c r="AM26" s="967" t="str">
        <f t="shared" si="10"/>
        <v>表示不可</v>
      </c>
      <c r="AN26" s="968"/>
      <c r="AO26" s="969"/>
      <c r="AP26" s="677"/>
      <c r="AQ26" s="967" t="str">
        <f>IF(COUNTIF(AK22:AK28,"○")=7,SUM(AM22:AO28)/COUNTIF(E22:G28,"診療日"),"表示不可")</f>
        <v>表示不可</v>
      </c>
      <c r="AR26" s="968"/>
      <c r="AS26" s="968"/>
      <c r="AT26" s="968"/>
      <c r="AU26" s="969"/>
      <c r="AV26" s="969"/>
      <c r="AW26" s="969"/>
      <c r="AX26" s="942"/>
      <c r="AY26" s="678"/>
      <c r="BA26" s="503" t="str">
        <f t="shared" si="0"/>
        <v>:</v>
      </c>
      <c r="BB26" s="503" t="str">
        <f t="shared" si="1"/>
        <v>:</v>
      </c>
      <c r="BC26" s="503" t="str">
        <f t="shared" si="2"/>
        <v>:</v>
      </c>
      <c r="BD26" s="503" t="str">
        <f t="shared" si="3"/>
        <v>:</v>
      </c>
      <c r="BE26" s="503" t="str">
        <f t="shared" si="4"/>
        <v>:</v>
      </c>
      <c r="BF26" s="503" t="str">
        <f t="shared" si="5"/>
        <v>:</v>
      </c>
      <c r="BG26" s="314"/>
    </row>
    <row r="27" spans="1:78" ht="24" x14ac:dyDescent="0.5">
      <c r="A27" s="313" t="s">
        <v>972</v>
      </c>
      <c r="B27" s="1277" t="s">
        <v>945</v>
      </c>
      <c r="C27" s="1278"/>
      <c r="D27" s="1278"/>
      <c r="E27" s="1279"/>
      <c r="F27" s="1280"/>
      <c r="G27" s="1281"/>
      <c r="H27" s="680"/>
      <c r="I27" s="495" t="s">
        <v>963</v>
      </c>
      <c r="J27" s="381"/>
      <c r="K27" s="309" t="s">
        <v>961</v>
      </c>
      <c r="L27" s="680"/>
      <c r="M27" s="495" t="s">
        <v>963</v>
      </c>
      <c r="N27" s="382"/>
      <c r="O27" s="680"/>
      <c r="P27" s="495" t="s">
        <v>963</v>
      </c>
      <c r="Q27" s="381"/>
      <c r="R27" s="309" t="s">
        <v>961</v>
      </c>
      <c r="S27" s="680"/>
      <c r="T27" s="495" t="s">
        <v>963</v>
      </c>
      <c r="U27" s="382"/>
      <c r="V27" s="680"/>
      <c r="W27" s="495" t="s">
        <v>963</v>
      </c>
      <c r="X27" s="381"/>
      <c r="Y27" s="309" t="s">
        <v>961</v>
      </c>
      <c r="Z27" s="680"/>
      <c r="AA27" s="495" t="s">
        <v>963</v>
      </c>
      <c r="AB27" s="382"/>
      <c r="AC27" s="977" t="str">
        <f t="shared" si="6"/>
        <v>要修正</v>
      </c>
      <c r="AD27" s="978"/>
      <c r="AE27" s="977" t="str">
        <f t="shared" si="7"/>
        <v>要修正</v>
      </c>
      <c r="AF27" s="978"/>
      <c r="AG27" s="977" t="str">
        <f t="shared" si="8"/>
        <v>要修正</v>
      </c>
      <c r="AH27" s="978"/>
      <c r="AI27" s="970" t="str">
        <f t="shared" si="11"/>
        <v>表示不可</v>
      </c>
      <c r="AJ27" s="971"/>
      <c r="AK27" s="310" t="str">
        <f t="shared" si="9"/>
        <v>×</v>
      </c>
      <c r="AL27" s="677" t="s">
        <v>68</v>
      </c>
      <c r="AM27" s="967" t="str">
        <f t="shared" si="10"/>
        <v>表示不可</v>
      </c>
      <c r="AN27" s="968"/>
      <c r="AO27" s="969"/>
      <c r="AP27" s="677"/>
      <c r="AQ27" s="677"/>
      <c r="AR27" s="677"/>
      <c r="AS27" s="677"/>
      <c r="AT27" s="677"/>
      <c r="AU27" s="677"/>
      <c r="AV27" s="677"/>
      <c r="AW27" s="677"/>
      <c r="BA27" s="503" t="str">
        <f t="shared" si="0"/>
        <v>:</v>
      </c>
      <c r="BB27" s="503" t="str">
        <f t="shared" si="1"/>
        <v>:</v>
      </c>
      <c r="BC27" s="503" t="str">
        <f t="shared" si="2"/>
        <v>:</v>
      </c>
      <c r="BD27" s="503" t="str">
        <f t="shared" si="3"/>
        <v>:</v>
      </c>
      <c r="BE27" s="503" t="str">
        <f t="shared" si="4"/>
        <v>:</v>
      </c>
      <c r="BF27" s="503" t="str">
        <f t="shared" si="5"/>
        <v>:</v>
      </c>
      <c r="BG27" s="314"/>
    </row>
    <row r="28" spans="1:78" ht="24.75" thickBot="1" x14ac:dyDescent="0.55000000000000004">
      <c r="A28" s="313" t="s">
        <v>79</v>
      </c>
      <c r="B28" s="1277" t="s">
        <v>946</v>
      </c>
      <c r="C28" s="1278"/>
      <c r="D28" s="1278"/>
      <c r="E28" s="1279"/>
      <c r="F28" s="1280"/>
      <c r="G28" s="1281"/>
      <c r="H28" s="680"/>
      <c r="I28" s="495" t="s">
        <v>963</v>
      </c>
      <c r="J28" s="381"/>
      <c r="K28" s="309" t="s">
        <v>961</v>
      </c>
      <c r="L28" s="680"/>
      <c r="M28" s="495" t="s">
        <v>963</v>
      </c>
      <c r="N28" s="382"/>
      <c r="O28" s="680"/>
      <c r="P28" s="495" t="s">
        <v>963</v>
      </c>
      <c r="Q28" s="381"/>
      <c r="R28" s="309" t="s">
        <v>961</v>
      </c>
      <c r="S28" s="680"/>
      <c r="T28" s="495" t="s">
        <v>963</v>
      </c>
      <c r="U28" s="382"/>
      <c r="V28" s="680"/>
      <c r="W28" s="495" t="s">
        <v>963</v>
      </c>
      <c r="X28" s="381"/>
      <c r="Y28" s="309" t="s">
        <v>961</v>
      </c>
      <c r="Z28" s="680"/>
      <c r="AA28" s="495" t="s">
        <v>963</v>
      </c>
      <c r="AB28" s="382"/>
      <c r="AC28" s="977" t="str">
        <f t="shared" si="6"/>
        <v>要修正</v>
      </c>
      <c r="AD28" s="978"/>
      <c r="AE28" s="977" t="str">
        <f t="shared" si="7"/>
        <v>要修正</v>
      </c>
      <c r="AF28" s="978"/>
      <c r="AG28" s="977" t="str">
        <f t="shared" si="8"/>
        <v>要修正</v>
      </c>
      <c r="AH28" s="978"/>
      <c r="AI28" s="970" t="str">
        <f t="shared" si="11"/>
        <v>表示不可</v>
      </c>
      <c r="AJ28" s="971"/>
      <c r="AK28" s="316" t="str">
        <f t="shared" si="9"/>
        <v>×</v>
      </c>
      <c r="AL28" s="677" t="s">
        <v>68</v>
      </c>
      <c r="AM28" s="967" t="str">
        <f t="shared" si="10"/>
        <v>表示不可</v>
      </c>
      <c r="AN28" s="968"/>
      <c r="AO28" s="969"/>
      <c r="AP28" s="677"/>
      <c r="AQ28" s="677"/>
      <c r="AR28" s="677"/>
      <c r="AS28" s="677"/>
      <c r="AT28" s="677"/>
      <c r="AU28" s="677"/>
      <c r="AV28" s="677"/>
      <c r="AW28" s="677"/>
      <c r="BA28" s="503" t="str">
        <f t="shared" si="0"/>
        <v>:</v>
      </c>
      <c r="BB28" s="503" t="str">
        <f t="shared" si="1"/>
        <v>:</v>
      </c>
      <c r="BC28" s="503" t="str">
        <f t="shared" si="2"/>
        <v>:</v>
      </c>
      <c r="BD28" s="503" t="str">
        <f t="shared" si="3"/>
        <v>:</v>
      </c>
      <c r="BE28" s="503" t="str">
        <f t="shared" si="4"/>
        <v>:</v>
      </c>
      <c r="BF28" s="503" t="str">
        <f t="shared" si="5"/>
        <v>:</v>
      </c>
      <c r="BG28" s="314"/>
    </row>
    <row r="29" spans="1:78" ht="18.75" thickTop="1" x14ac:dyDescent="0.35">
      <c r="BZ29" s="321"/>
    </row>
    <row r="30" spans="1:78" ht="45" customHeight="1" thickBot="1" x14ac:dyDescent="0.4">
      <c r="B30" s="946" t="str">
        <f>"２．職員情報　　【総合判定】"&amp;AZ30</f>
        <v>２．職員情報　　【総合判定】×</v>
      </c>
      <c r="C30" s="947"/>
      <c r="D30" s="947"/>
      <c r="E30" s="947"/>
      <c r="F30" s="947"/>
      <c r="G30" s="947"/>
      <c r="H30" s="947"/>
      <c r="I30" s="947"/>
      <c r="J30" s="947"/>
      <c r="K30" s="947"/>
      <c r="L30" s="947"/>
      <c r="M30" s="947"/>
      <c r="N30" s="947"/>
      <c r="O30" s="947"/>
      <c r="P30" s="947"/>
      <c r="Q30" s="947"/>
      <c r="R30" s="947"/>
      <c r="S30" s="947"/>
      <c r="T30" s="947"/>
      <c r="U30" s="947"/>
      <c r="V30" s="947"/>
      <c r="W30" s="947"/>
      <c r="X30" s="947"/>
      <c r="Y30" s="947"/>
      <c r="Z30" s="947"/>
      <c r="AA30" s="947"/>
      <c r="AB30" s="947"/>
      <c r="AC30" s="947"/>
      <c r="AD30" s="947"/>
      <c r="AE30" s="947"/>
      <c r="AF30" s="947"/>
      <c r="AG30" s="947"/>
      <c r="AH30" s="947"/>
      <c r="AI30" s="947"/>
      <c r="AJ30" s="947"/>
      <c r="AK30" s="947"/>
      <c r="AL30" s="947"/>
      <c r="AM30" s="947"/>
      <c r="AN30" s="947"/>
      <c r="AO30" s="947"/>
      <c r="AP30" s="947"/>
      <c r="AQ30" s="947"/>
      <c r="AR30" s="947"/>
      <c r="AS30" s="947"/>
      <c r="AT30" s="947"/>
      <c r="AU30" s="947"/>
      <c r="AV30" s="947"/>
      <c r="AW30" s="947"/>
      <c r="AX30" s="947"/>
      <c r="AY30" s="947"/>
      <c r="AZ30" s="293" t="str">
        <f>IF(AND(AS32&gt;0,AS35&gt;0),"○","×")</f>
        <v>×</v>
      </c>
      <c r="BZ30" s="321"/>
    </row>
    <row r="31" spans="1:78" ht="24.75" thickBot="1" x14ac:dyDescent="0.55000000000000004">
      <c r="B31" s="1282" t="s">
        <v>967</v>
      </c>
      <c r="C31" s="1283"/>
      <c r="D31" s="1283"/>
      <c r="E31" s="1284" t="s">
        <v>1081</v>
      </c>
      <c r="F31" s="1285"/>
      <c r="G31" s="1285"/>
      <c r="H31" s="1285"/>
      <c r="I31" s="1285"/>
      <c r="J31" s="1285"/>
      <c r="K31" s="1285"/>
      <c r="L31" s="1285"/>
      <c r="M31" s="1285"/>
      <c r="N31" s="1285"/>
      <c r="O31" s="1285"/>
      <c r="P31" s="1285"/>
      <c r="Q31" s="1285"/>
      <c r="R31" s="1285"/>
      <c r="S31" s="1285"/>
      <c r="T31" s="1285"/>
      <c r="U31" s="1285"/>
      <c r="V31" s="1285"/>
      <c r="W31" s="1285"/>
      <c r="X31" s="1285"/>
      <c r="Y31" s="1285"/>
      <c r="Z31" s="1285"/>
      <c r="AA31" s="1285"/>
      <c r="AB31" s="1285"/>
      <c r="AC31" s="1285"/>
      <c r="AD31" s="1285"/>
      <c r="AE31" s="1285"/>
      <c r="AF31" s="1285"/>
      <c r="AG31" s="1285"/>
      <c r="AH31" s="1285"/>
      <c r="AI31" s="1285"/>
      <c r="AJ31" s="1285"/>
      <c r="AK31" s="1285"/>
      <c r="AL31" s="1285"/>
      <c r="AM31" s="1285"/>
      <c r="AN31" s="1285"/>
      <c r="AO31" s="1285"/>
      <c r="AP31" s="1285"/>
      <c r="AQ31" s="1285"/>
      <c r="AR31" s="1286"/>
      <c r="AS31" s="1287" t="s">
        <v>64</v>
      </c>
      <c r="AT31" s="1288"/>
      <c r="AU31" s="1288"/>
      <c r="AV31" s="1288"/>
      <c r="AW31" s="1288"/>
      <c r="AX31" s="1289"/>
      <c r="AY31" s="322"/>
      <c r="AZ31" s="1171" t="s">
        <v>1105</v>
      </c>
      <c r="BA31" s="1172"/>
      <c r="BB31" s="1172"/>
      <c r="BC31" s="1172"/>
      <c r="BD31" s="1172"/>
      <c r="BE31" s="1172"/>
      <c r="BF31" s="1172"/>
      <c r="BG31" s="1172"/>
      <c r="BH31" s="1172"/>
      <c r="BI31" s="1172"/>
      <c r="BJ31" s="1172"/>
      <c r="BK31" s="1172"/>
      <c r="BL31" s="1172"/>
      <c r="BM31" s="1172"/>
      <c r="BN31" s="1172"/>
      <c r="BO31" s="1172"/>
      <c r="BP31" s="1043"/>
      <c r="BZ31" s="321"/>
    </row>
    <row r="32" spans="1:78" ht="24" customHeight="1" thickTop="1" x14ac:dyDescent="0.5">
      <c r="B32" s="999" t="s">
        <v>996</v>
      </c>
      <c r="C32" s="1000"/>
      <c r="D32" s="1000"/>
      <c r="E32" s="993" t="s">
        <v>1187</v>
      </c>
      <c r="F32" s="994"/>
      <c r="G32" s="994"/>
      <c r="H32" s="995"/>
      <c r="I32" s="988"/>
      <c r="J32" s="989"/>
      <c r="K32" s="989"/>
      <c r="L32" s="990"/>
      <c r="M32" s="988"/>
      <c r="N32" s="989"/>
      <c r="O32" s="989"/>
      <c r="P32" s="990"/>
      <c r="Q32" s="988"/>
      <c r="R32" s="989"/>
      <c r="S32" s="989"/>
      <c r="T32" s="990"/>
      <c r="U32" s="988"/>
      <c r="V32" s="989"/>
      <c r="W32" s="989"/>
      <c r="X32" s="990"/>
      <c r="Y32" s="988"/>
      <c r="Z32" s="989"/>
      <c r="AA32" s="989"/>
      <c r="AB32" s="990"/>
      <c r="AC32" s="988"/>
      <c r="AD32" s="989"/>
      <c r="AE32" s="989"/>
      <c r="AF32" s="990"/>
      <c r="AG32" s="988"/>
      <c r="AH32" s="989"/>
      <c r="AI32" s="989"/>
      <c r="AJ32" s="990"/>
      <c r="AK32" s="988"/>
      <c r="AL32" s="989"/>
      <c r="AM32" s="989"/>
      <c r="AN32" s="990"/>
      <c r="AO32" s="988"/>
      <c r="AP32" s="989"/>
      <c r="AQ32" s="989"/>
      <c r="AR32" s="990"/>
      <c r="AS32" s="1187">
        <f>COUNTA(E32:AR34)-1</f>
        <v>0</v>
      </c>
      <c r="AT32" s="1188"/>
      <c r="AU32" s="1188"/>
      <c r="AV32" s="1188"/>
      <c r="AW32" s="1408" t="str">
        <f>IF(AS32&gt;0,"○","×")</f>
        <v>×</v>
      </c>
      <c r="AX32" s="1409"/>
      <c r="AY32" s="323"/>
      <c r="AZ32" s="1174" t="str">
        <f xml:space="preserve">
IF(AW32="×",
"【要修正】医師の氏名を１名以上記入してください。"
&amp;CHAR(10)&amp;CHAR(10)&amp;
"　　　　　また、１つの欄に姓と名を併せて入力してください。",
"適切に入力がされました。"
)</f>
        <v>【要修正】医師の氏名を１名以上記入してください。
　　　　　また、１つの欄に姓と名を併せて入力してください。</v>
      </c>
      <c r="BA32" s="1175"/>
      <c r="BB32" s="1175"/>
      <c r="BC32" s="1175"/>
      <c r="BD32" s="1175"/>
      <c r="BE32" s="1175"/>
      <c r="BF32" s="1175"/>
      <c r="BG32" s="1175"/>
      <c r="BH32" s="1175"/>
      <c r="BI32" s="1175"/>
      <c r="BJ32" s="1175"/>
      <c r="BK32" s="1175"/>
      <c r="BL32" s="1175"/>
      <c r="BM32" s="1175"/>
      <c r="BN32" s="1175"/>
      <c r="BO32" s="1175"/>
      <c r="BP32" s="1176"/>
      <c r="BZ32" s="321"/>
    </row>
    <row r="33" spans="2:78" ht="24" customHeight="1" x14ac:dyDescent="0.5">
      <c r="B33" s="1013"/>
      <c r="C33" s="919"/>
      <c r="D33" s="919"/>
      <c r="E33" s="982"/>
      <c r="F33" s="991"/>
      <c r="G33" s="991"/>
      <c r="H33" s="992"/>
      <c r="I33" s="982"/>
      <c r="J33" s="991"/>
      <c r="K33" s="991"/>
      <c r="L33" s="992"/>
      <c r="M33" s="982"/>
      <c r="N33" s="991"/>
      <c r="O33" s="991"/>
      <c r="P33" s="992"/>
      <c r="Q33" s="982"/>
      <c r="R33" s="991"/>
      <c r="S33" s="991"/>
      <c r="T33" s="992"/>
      <c r="U33" s="982"/>
      <c r="V33" s="991"/>
      <c r="W33" s="991"/>
      <c r="X33" s="992"/>
      <c r="Y33" s="982"/>
      <c r="Z33" s="991"/>
      <c r="AA33" s="991"/>
      <c r="AB33" s="992"/>
      <c r="AC33" s="982"/>
      <c r="AD33" s="991"/>
      <c r="AE33" s="991"/>
      <c r="AF33" s="992"/>
      <c r="AG33" s="982"/>
      <c r="AH33" s="991"/>
      <c r="AI33" s="991"/>
      <c r="AJ33" s="992"/>
      <c r="AK33" s="982"/>
      <c r="AL33" s="991"/>
      <c r="AM33" s="991"/>
      <c r="AN33" s="992"/>
      <c r="AO33" s="982"/>
      <c r="AP33" s="991"/>
      <c r="AQ33" s="991"/>
      <c r="AR33" s="992"/>
      <c r="AS33" s="1189"/>
      <c r="AT33" s="1190"/>
      <c r="AU33" s="1190"/>
      <c r="AV33" s="1190"/>
      <c r="AW33" s="1197"/>
      <c r="AX33" s="1198"/>
      <c r="AY33" s="323"/>
      <c r="AZ33" s="1177"/>
      <c r="BA33" s="1175"/>
      <c r="BB33" s="1175"/>
      <c r="BC33" s="1175"/>
      <c r="BD33" s="1175"/>
      <c r="BE33" s="1175"/>
      <c r="BF33" s="1175"/>
      <c r="BG33" s="1175"/>
      <c r="BH33" s="1175"/>
      <c r="BI33" s="1175"/>
      <c r="BJ33" s="1175"/>
      <c r="BK33" s="1175"/>
      <c r="BL33" s="1175"/>
      <c r="BM33" s="1175"/>
      <c r="BN33" s="1175"/>
      <c r="BO33" s="1175"/>
      <c r="BP33" s="1176"/>
      <c r="BZ33" s="321"/>
    </row>
    <row r="34" spans="2:78" ht="24.75" customHeight="1" thickBot="1" x14ac:dyDescent="0.55000000000000004">
      <c r="B34" s="1014"/>
      <c r="C34" s="1015"/>
      <c r="D34" s="1015"/>
      <c r="E34" s="985"/>
      <c r="F34" s="986"/>
      <c r="G34" s="986"/>
      <c r="H34" s="987"/>
      <c r="I34" s="985"/>
      <c r="J34" s="986"/>
      <c r="K34" s="986"/>
      <c r="L34" s="987"/>
      <c r="M34" s="985"/>
      <c r="N34" s="986"/>
      <c r="O34" s="986"/>
      <c r="P34" s="987"/>
      <c r="Q34" s="985"/>
      <c r="R34" s="986"/>
      <c r="S34" s="986"/>
      <c r="T34" s="987"/>
      <c r="U34" s="985"/>
      <c r="V34" s="986"/>
      <c r="W34" s="986"/>
      <c r="X34" s="987"/>
      <c r="Y34" s="985"/>
      <c r="Z34" s="986"/>
      <c r="AA34" s="986"/>
      <c r="AB34" s="987"/>
      <c r="AC34" s="985"/>
      <c r="AD34" s="986"/>
      <c r="AE34" s="986"/>
      <c r="AF34" s="987"/>
      <c r="AG34" s="985"/>
      <c r="AH34" s="986"/>
      <c r="AI34" s="986"/>
      <c r="AJ34" s="987"/>
      <c r="AK34" s="985"/>
      <c r="AL34" s="986"/>
      <c r="AM34" s="986"/>
      <c r="AN34" s="987"/>
      <c r="AO34" s="985"/>
      <c r="AP34" s="986"/>
      <c r="AQ34" s="986"/>
      <c r="AR34" s="987"/>
      <c r="AS34" s="1191"/>
      <c r="AT34" s="1192"/>
      <c r="AU34" s="1192"/>
      <c r="AV34" s="1192"/>
      <c r="AW34" s="1197"/>
      <c r="AX34" s="1198"/>
      <c r="AY34" s="323"/>
      <c r="AZ34" s="1177"/>
      <c r="BA34" s="1175"/>
      <c r="BB34" s="1175"/>
      <c r="BC34" s="1175"/>
      <c r="BD34" s="1175"/>
      <c r="BE34" s="1175"/>
      <c r="BF34" s="1175"/>
      <c r="BG34" s="1175"/>
      <c r="BH34" s="1175"/>
      <c r="BI34" s="1175"/>
      <c r="BJ34" s="1175"/>
      <c r="BK34" s="1175"/>
      <c r="BL34" s="1175"/>
      <c r="BM34" s="1175"/>
      <c r="BN34" s="1175"/>
      <c r="BO34" s="1175"/>
      <c r="BP34" s="1176"/>
      <c r="BZ34" s="321"/>
    </row>
    <row r="35" spans="2:78" ht="24" customHeight="1" x14ac:dyDescent="0.5">
      <c r="B35" s="999" t="s">
        <v>997</v>
      </c>
      <c r="C35" s="1000"/>
      <c r="D35" s="1000"/>
      <c r="E35" s="993" t="s">
        <v>1188</v>
      </c>
      <c r="F35" s="994"/>
      <c r="G35" s="994"/>
      <c r="H35" s="995"/>
      <c r="I35" s="988"/>
      <c r="J35" s="989"/>
      <c r="K35" s="989"/>
      <c r="L35" s="990"/>
      <c r="M35" s="988"/>
      <c r="N35" s="989"/>
      <c r="O35" s="989"/>
      <c r="P35" s="990"/>
      <c r="Q35" s="988"/>
      <c r="R35" s="989"/>
      <c r="S35" s="989"/>
      <c r="T35" s="990"/>
      <c r="U35" s="988"/>
      <c r="V35" s="989"/>
      <c r="W35" s="989"/>
      <c r="X35" s="990"/>
      <c r="Y35" s="988"/>
      <c r="Z35" s="989"/>
      <c r="AA35" s="989"/>
      <c r="AB35" s="990"/>
      <c r="AC35" s="988"/>
      <c r="AD35" s="989"/>
      <c r="AE35" s="989"/>
      <c r="AF35" s="990"/>
      <c r="AG35" s="988"/>
      <c r="AH35" s="989"/>
      <c r="AI35" s="989"/>
      <c r="AJ35" s="990"/>
      <c r="AK35" s="988"/>
      <c r="AL35" s="989"/>
      <c r="AM35" s="989"/>
      <c r="AN35" s="990"/>
      <c r="AO35" s="988"/>
      <c r="AP35" s="989"/>
      <c r="AQ35" s="989"/>
      <c r="AR35" s="990"/>
      <c r="AS35" s="1187">
        <f>COUNTA(E35:AR42)-1</f>
        <v>0</v>
      </c>
      <c r="AT35" s="1188"/>
      <c r="AU35" s="1188"/>
      <c r="AV35" s="1188"/>
      <c r="AW35" s="1199" t="str">
        <f>IF(AS35&gt;0,"○","×")</f>
        <v>×</v>
      </c>
      <c r="AX35" s="1200"/>
      <c r="AY35" s="323"/>
      <c r="AZ35" s="1174" t="str">
        <f>IF(AW35="×",
"【要修正】看護師の氏名を１名以上記入してください。"
&amp;CHAR(10)&amp;CHAR(10)&amp;
"　　　　　また、１つの欄に姓と名を併せて入力してください。",
"適切に入力がされました。")</f>
        <v>【要修正】看護師の氏名を１名以上記入してください。
　　　　　また、１つの欄に姓と名を併せて入力してください。</v>
      </c>
      <c r="BA35" s="1175"/>
      <c r="BB35" s="1175"/>
      <c r="BC35" s="1175"/>
      <c r="BD35" s="1175"/>
      <c r="BE35" s="1175"/>
      <c r="BF35" s="1175"/>
      <c r="BG35" s="1175"/>
      <c r="BH35" s="1175"/>
      <c r="BI35" s="1175"/>
      <c r="BJ35" s="1175"/>
      <c r="BK35" s="1175"/>
      <c r="BL35" s="1175"/>
      <c r="BM35" s="1175"/>
      <c r="BN35" s="1175"/>
      <c r="BO35" s="1175"/>
      <c r="BP35" s="1176"/>
      <c r="BZ35" s="321"/>
    </row>
    <row r="36" spans="2:78" ht="24" customHeight="1" x14ac:dyDescent="0.5">
      <c r="B36" s="1013"/>
      <c r="C36" s="919"/>
      <c r="D36" s="919"/>
      <c r="E36" s="982"/>
      <c r="F36" s="991"/>
      <c r="G36" s="991"/>
      <c r="H36" s="992"/>
      <c r="I36" s="982"/>
      <c r="J36" s="991"/>
      <c r="K36" s="991"/>
      <c r="L36" s="992"/>
      <c r="M36" s="982"/>
      <c r="N36" s="991"/>
      <c r="O36" s="991"/>
      <c r="P36" s="992"/>
      <c r="Q36" s="982"/>
      <c r="R36" s="991"/>
      <c r="S36" s="991"/>
      <c r="T36" s="992"/>
      <c r="U36" s="982"/>
      <c r="V36" s="991"/>
      <c r="W36" s="991"/>
      <c r="X36" s="992"/>
      <c r="Y36" s="982"/>
      <c r="Z36" s="991"/>
      <c r="AA36" s="991"/>
      <c r="AB36" s="992"/>
      <c r="AC36" s="982"/>
      <c r="AD36" s="991"/>
      <c r="AE36" s="991"/>
      <c r="AF36" s="992"/>
      <c r="AG36" s="982"/>
      <c r="AH36" s="991"/>
      <c r="AI36" s="991"/>
      <c r="AJ36" s="992"/>
      <c r="AK36" s="982"/>
      <c r="AL36" s="991"/>
      <c r="AM36" s="991"/>
      <c r="AN36" s="992"/>
      <c r="AO36" s="982"/>
      <c r="AP36" s="991"/>
      <c r="AQ36" s="991"/>
      <c r="AR36" s="992"/>
      <c r="AS36" s="1189"/>
      <c r="AT36" s="1190"/>
      <c r="AU36" s="1190"/>
      <c r="AV36" s="1190"/>
      <c r="AW36" s="1197"/>
      <c r="AX36" s="1198"/>
      <c r="AY36" s="323"/>
      <c r="AZ36" s="1177"/>
      <c r="BA36" s="1175"/>
      <c r="BB36" s="1175"/>
      <c r="BC36" s="1175"/>
      <c r="BD36" s="1175"/>
      <c r="BE36" s="1175"/>
      <c r="BF36" s="1175"/>
      <c r="BG36" s="1175"/>
      <c r="BH36" s="1175"/>
      <c r="BI36" s="1175"/>
      <c r="BJ36" s="1175"/>
      <c r="BK36" s="1175"/>
      <c r="BL36" s="1175"/>
      <c r="BM36" s="1175"/>
      <c r="BN36" s="1175"/>
      <c r="BO36" s="1175"/>
      <c r="BP36" s="1176"/>
      <c r="BZ36" s="321"/>
    </row>
    <row r="37" spans="2:78" ht="24" customHeight="1" x14ac:dyDescent="0.5">
      <c r="B37" s="1013"/>
      <c r="C37" s="919"/>
      <c r="D37" s="919"/>
      <c r="E37" s="982"/>
      <c r="F37" s="991"/>
      <c r="G37" s="991"/>
      <c r="H37" s="992"/>
      <c r="I37" s="982"/>
      <c r="J37" s="991"/>
      <c r="K37" s="991"/>
      <c r="L37" s="992"/>
      <c r="M37" s="982"/>
      <c r="N37" s="991"/>
      <c r="O37" s="991"/>
      <c r="P37" s="992"/>
      <c r="Q37" s="982"/>
      <c r="R37" s="991"/>
      <c r="S37" s="991"/>
      <c r="T37" s="992"/>
      <c r="U37" s="982"/>
      <c r="V37" s="991"/>
      <c r="W37" s="991"/>
      <c r="X37" s="992"/>
      <c r="Y37" s="982"/>
      <c r="Z37" s="991"/>
      <c r="AA37" s="991"/>
      <c r="AB37" s="992"/>
      <c r="AC37" s="982"/>
      <c r="AD37" s="991"/>
      <c r="AE37" s="991"/>
      <c r="AF37" s="992"/>
      <c r="AG37" s="982"/>
      <c r="AH37" s="991"/>
      <c r="AI37" s="991"/>
      <c r="AJ37" s="992"/>
      <c r="AK37" s="982"/>
      <c r="AL37" s="991"/>
      <c r="AM37" s="991"/>
      <c r="AN37" s="992"/>
      <c r="AO37" s="982"/>
      <c r="AP37" s="991"/>
      <c r="AQ37" s="991"/>
      <c r="AR37" s="992"/>
      <c r="AS37" s="1189"/>
      <c r="AT37" s="1190"/>
      <c r="AU37" s="1190"/>
      <c r="AV37" s="1190"/>
      <c r="AW37" s="1197"/>
      <c r="AX37" s="1198"/>
      <c r="AY37" s="323"/>
      <c r="AZ37" s="1177"/>
      <c r="BA37" s="1175"/>
      <c r="BB37" s="1175"/>
      <c r="BC37" s="1175"/>
      <c r="BD37" s="1175"/>
      <c r="BE37" s="1175"/>
      <c r="BF37" s="1175"/>
      <c r="BG37" s="1175"/>
      <c r="BH37" s="1175"/>
      <c r="BI37" s="1175"/>
      <c r="BJ37" s="1175"/>
      <c r="BK37" s="1175"/>
      <c r="BL37" s="1175"/>
      <c r="BM37" s="1175"/>
      <c r="BN37" s="1175"/>
      <c r="BO37" s="1175"/>
      <c r="BP37" s="1176"/>
      <c r="BZ37" s="321"/>
    </row>
    <row r="38" spans="2:78" ht="24" customHeight="1" x14ac:dyDescent="0.5">
      <c r="B38" s="1013"/>
      <c r="C38" s="919"/>
      <c r="D38" s="919"/>
      <c r="E38" s="982"/>
      <c r="F38" s="991"/>
      <c r="G38" s="991"/>
      <c r="H38" s="992"/>
      <c r="I38" s="982"/>
      <c r="J38" s="991"/>
      <c r="K38" s="991"/>
      <c r="L38" s="992"/>
      <c r="M38" s="982"/>
      <c r="N38" s="991"/>
      <c r="O38" s="991"/>
      <c r="P38" s="992"/>
      <c r="Q38" s="982"/>
      <c r="R38" s="991"/>
      <c r="S38" s="991"/>
      <c r="T38" s="992"/>
      <c r="U38" s="982"/>
      <c r="V38" s="991"/>
      <c r="W38" s="991"/>
      <c r="X38" s="992"/>
      <c r="Y38" s="982"/>
      <c r="Z38" s="991"/>
      <c r="AA38" s="991"/>
      <c r="AB38" s="992"/>
      <c r="AC38" s="982"/>
      <c r="AD38" s="991"/>
      <c r="AE38" s="991"/>
      <c r="AF38" s="992"/>
      <c r="AG38" s="982"/>
      <c r="AH38" s="991"/>
      <c r="AI38" s="991"/>
      <c r="AJ38" s="992"/>
      <c r="AK38" s="982"/>
      <c r="AL38" s="991"/>
      <c r="AM38" s="991"/>
      <c r="AN38" s="992"/>
      <c r="AO38" s="982"/>
      <c r="AP38" s="991"/>
      <c r="AQ38" s="991"/>
      <c r="AR38" s="992"/>
      <c r="AS38" s="1189"/>
      <c r="AT38" s="1190"/>
      <c r="AU38" s="1190"/>
      <c r="AV38" s="1190"/>
      <c r="AW38" s="1197"/>
      <c r="AX38" s="1198"/>
      <c r="AY38" s="323"/>
      <c r="AZ38" s="1177"/>
      <c r="BA38" s="1175"/>
      <c r="BB38" s="1175"/>
      <c r="BC38" s="1175"/>
      <c r="BD38" s="1175"/>
      <c r="BE38" s="1175"/>
      <c r="BF38" s="1175"/>
      <c r="BG38" s="1175"/>
      <c r="BH38" s="1175"/>
      <c r="BI38" s="1175"/>
      <c r="BJ38" s="1175"/>
      <c r="BK38" s="1175"/>
      <c r="BL38" s="1175"/>
      <c r="BM38" s="1175"/>
      <c r="BN38" s="1175"/>
      <c r="BO38" s="1175"/>
      <c r="BP38" s="1176"/>
      <c r="BZ38" s="321"/>
    </row>
    <row r="39" spans="2:78" ht="24" customHeight="1" x14ac:dyDescent="0.5">
      <c r="B39" s="1013"/>
      <c r="C39" s="919"/>
      <c r="D39" s="919"/>
      <c r="E39" s="982"/>
      <c r="F39" s="991"/>
      <c r="G39" s="991"/>
      <c r="H39" s="992"/>
      <c r="I39" s="982"/>
      <c r="J39" s="991"/>
      <c r="K39" s="991"/>
      <c r="L39" s="992"/>
      <c r="M39" s="982"/>
      <c r="N39" s="991"/>
      <c r="O39" s="991"/>
      <c r="P39" s="992"/>
      <c r="Q39" s="982"/>
      <c r="R39" s="991"/>
      <c r="S39" s="991"/>
      <c r="T39" s="992"/>
      <c r="U39" s="982"/>
      <c r="V39" s="991"/>
      <c r="W39" s="991"/>
      <c r="X39" s="992"/>
      <c r="Y39" s="982"/>
      <c r="Z39" s="991"/>
      <c r="AA39" s="991"/>
      <c r="AB39" s="992"/>
      <c r="AC39" s="982"/>
      <c r="AD39" s="991"/>
      <c r="AE39" s="991"/>
      <c r="AF39" s="992"/>
      <c r="AG39" s="982"/>
      <c r="AH39" s="991"/>
      <c r="AI39" s="991"/>
      <c r="AJ39" s="992"/>
      <c r="AK39" s="982"/>
      <c r="AL39" s="991"/>
      <c r="AM39" s="991"/>
      <c r="AN39" s="992"/>
      <c r="AO39" s="982"/>
      <c r="AP39" s="991"/>
      <c r="AQ39" s="991"/>
      <c r="AR39" s="992"/>
      <c r="AS39" s="1189"/>
      <c r="AT39" s="1190"/>
      <c r="AU39" s="1190"/>
      <c r="AV39" s="1190"/>
      <c r="AW39" s="1197"/>
      <c r="AX39" s="1198"/>
      <c r="AY39" s="323"/>
      <c r="AZ39" s="1177"/>
      <c r="BA39" s="1175"/>
      <c r="BB39" s="1175"/>
      <c r="BC39" s="1175"/>
      <c r="BD39" s="1175"/>
      <c r="BE39" s="1175"/>
      <c r="BF39" s="1175"/>
      <c r="BG39" s="1175"/>
      <c r="BH39" s="1175"/>
      <c r="BI39" s="1175"/>
      <c r="BJ39" s="1175"/>
      <c r="BK39" s="1175"/>
      <c r="BL39" s="1175"/>
      <c r="BM39" s="1175"/>
      <c r="BN39" s="1175"/>
      <c r="BO39" s="1175"/>
      <c r="BP39" s="1176"/>
      <c r="BZ39" s="321"/>
    </row>
    <row r="40" spans="2:78" ht="24" customHeight="1" x14ac:dyDescent="0.5">
      <c r="B40" s="1016"/>
      <c r="C40" s="919"/>
      <c r="D40" s="919"/>
      <c r="E40" s="982"/>
      <c r="F40" s="991"/>
      <c r="G40" s="991"/>
      <c r="H40" s="992"/>
      <c r="I40" s="982"/>
      <c r="J40" s="991"/>
      <c r="K40" s="991"/>
      <c r="L40" s="992"/>
      <c r="M40" s="982"/>
      <c r="N40" s="991"/>
      <c r="O40" s="991"/>
      <c r="P40" s="992"/>
      <c r="Q40" s="982"/>
      <c r="R40" s="991"/>
      <c r="S40" s="991"/>
      <c r="T40" s="992"/>
      <c r="U40" s="982"/>
      <c r="V40" s="991"/>
      <c r="W40" s="991"/>
      <c r="X40" s="992"/>
      <c r="Y40" s="982"/>
      <c r="Z40" s="991"/>
      <c r="AA40" s="991"/>
      <c r="AB40" s="992"/>
      <c r="AC40" s="982"/>
      <c r="AD40" s="991"/>
      <c r="AE40" s="991"/>
      <c r="AF40" s="992"/>
      <c r="AG40" s="982"/>
      <c r="AH40" s="991"/>
      <c r="AI40" s="991"/>
      <c r="AJ40" s="992"/>
      <c r="AK40" s="982"/>
      <c r="AL40" s="991"/>
      <c r="AM40" s="991"/>
      <c r="AN40" s="992"/>
      <c r="AO40" s="982"/>
      <c r="AP40" s="991"/>
      <c r="AQ40" s="991"/>
      <c r="AR40" s="992"/>
      <c r="AS40" s="1189"/>
      <c r="AT40" s="1190"/>
      <c r="AU40" s="1190"/>
      <c r="AV40" s="1190"/>
      <c r="AW40" s="1197"/>
      <c r="AX40" s="1198"/>
      <c r="AY40" s="323"/>
      <c r="AZ40" s="1177"/>
      <c r="BA40" s="1175"/>
      <c r="BB40" s="1175"/>
      <c r="BC40" s="1175"/>
      <c r="BD40" s="1175"/>
      <c r="BE40" s="1175"/>
      <c r="BF40" s="1175"/>
      <c r="BG40" s="1175"/>
      <c r="BH40" s="1175"/>
      <c r="BI40" s="1175"/>
      <c r="BJ40" s="1175"/>
      <c r="BK40" s="1175"/>
      <c r="BL40" s="1175"/>
      <c r="BM40" s="1175"/>
      <c r="BN40" s="1175"/>
      <c r="BO40" s="1175"/>
      <c r="BP40" s="1176"/>
      <c r="BZ40" s="321"/>
    </row>
    <row r="41" spans="2:78" ht="24" customHeight="1" x14ac:dyDescent="0.5">
      <c r="B41" s="1016"/>
      <c r="C41" s="919"/>
      <c r="D41" s="919"/>
      <c r="E41" s="982"/>
      <c r="F41" s="983"/>
      <c r="G41" s="983"/>
      <c r="H41" s="984"/>
      <c r="I41" s="982"/>
      <c r="J41" s="983"/>
      <c r="K41" s="983"/>
      <c r="L41" s="984"/>
      <c r="M41" s="982"/>
      <c r="N41" s="983"/>
      <c r="O41" s="983"/>
      <c r="P41" s="984"/>
      <c r="Q41" s="982"/>
      <c r="R41" s="983"/>
      <c r="S41" s="983"/>
      <c r="T41" s="984"/>
      <c r="U41" s="982"/>
      <c r="V41" s="983"/>
      <c r="W41" s="983"/>
      <c r="X41" s="984"/>
      <c r="Y41" s="982"/>
      <c r="Z41" s="983"/>
      <c r="AA41" s="983"/>
      <c r="AB41" s="984"/>
      <c r="AC41" s="982"/>
      <c r="AD41" s="983"/>
      <c r="AE41" s="983"/>
      <c r="AF41" s="984"/>
      <c r="AG41" s="982"/>
      <c r="AH41" s="983"/>
      <c r="AI41" s="983"/>
      <c r="AJ41" s="984"/>
      <c r="AK41" s="982"/>
      <c r="AL41" s="983"/>
      <c r="AM41" s="983"/>
      <c r="AN41" s="984"/>
      <c r="AO41" s="982"/>
      <c r="AP41" s="983"/>
      <c r="AQ41" s="983"/>
      <c r="AR41" s="984"/>
      <c r="AS41" s="1189"/>
      <c r="AT41" s="1190"/>
      <c r="AU41" s="1190"/>
      <c r="AV41" s="1190"/>
      <c r="AW41" s="1197"/>
      <c r="AX41" s="1198"/>
      <c r="AY41" s="323"/>
      <c r="AZ41" s="1177"/>
      <c r="BA41" s="1175"/>
      <c r="BB41" s="1175"/>
      <c r="BC41" s="1175"/>
      <c r="BD41" s="1175"/>
      <c r="BE41" s="1175"/>
      <c r="BF41" s="1175"/>
      <c r="BG41" s="1175"/>
      <c r="BH41" s="1175"/>
      <c r="BI41" s="1175"/>
      <c r="BJ41" s="1175"/>
      <c r="BK41" s="1175"/>
      <c r="BL41" s="1175"/>
      <c r="BM41" s="1175"/>
      <c r="BN41" s="1175"/>
      <c r="BO41" s="1175"/>
      <c r="BP41" s="1176"/>
      <c r="BZ41" s="321"/>
    </row>
    <row r="42" spans="2:78" ht="24.75" customHeight="1" thickBot="1" x14ac:dyDescent="0.55000000000000004">
      <c r="B42" s="1014"/>
      <c r="C42" s="1015"/>
      <c r="D42" s="1015"/>
      <c r="E42" s="985"/>
      <c r="F42" s="986"/>
      <c r="G42" s="986"/>
      <c r="H42" s="987"/>
      <c r="I42" s="985"/>
      <c r="J42" s="986"/>
      <c r="K42" s="986"/>
      <c r="L42" s="987"/>
      <c r="M42" s="985"/>
      <c r="N42" s="986"/>
      <c r="O42" s="986"/>
      <c r="P42" s="987"/>
      <c r="Q42" s="985"/>
      <c r="R42" s="986"/>
      <c r="S42" s="986"/>
      <c r="T42" s="987"/>
      <c r="U42" s="985"/>
      <c r="V42" s="986"/>
      <c r="W42" s="986"/>
      <c r="X42" s="987"/>
      <c r="Y42" s="985"/>
      <c r="Z42" s="986"/>
      <c r="AA42" s="986"/>
      <c r="AB42" s="987"/>
      <c r="AC42" s="985"/>
      <c r="AD42" s="986"/>
      <c r="AE42" s="986"/>
      <c r="AF42" s="987"/>
      <c r="AG42" s="985"/>
      <c r="AH42" s="986"/>
      <c r="AI42" s="986"/>
      <c r="AJ42" s="987"/>
      <c r="AK42" s="985"/>
      <c r="AL42" s="986"/>
      <c r="AM42" s="986"/>
      <c r="AN42" s="987"/>
      <c r="AO42" s="985"/>
      <c r="AP42" s="986"/>
      <c r="AQ42" s="986"/>
      <c r="AR42" s="987"/>
      <c r="AS42" s="1191"/>
      <c r="AT42" s="1192"/>
      <c r="AU42" s="1192"/>
      <c r="AV42" s="1192"/>
      <c r="AW42" s="1201"/>
      <c r="AX42" s="1202"/>
      <c r="AY42" s="323"/>
      <c r="AZ42" s="1177"/>
      <c r="BA42" s="1175"/>
      <c r="BB42" s="1175"/>
      <c r="BC42" s="1175"/>
      <c r="BD42" s="1175"/>
      <c r="BE42" s="1175"/>
      <c r="BF42" s="1175"/>
      <c r="BG42" s="1175"/>
      <c r="BH42" s="1175"/>
      <c r="BI42" s="1175"/>
      <c r="BJ42" s="1175"/>
      <c r="BK42" s="1175"/>
      <c r="BL42" s="1175"/>
      <c r="BM42" s="1175"/>
      <c r="BN42" s="1175"/>
      <c r="BO42" s="1175"/>
      <c r="BP42" s="1176"/>
      <c r="BZ42" s="321"/>
    </row>
    <row r="43" spans="2:78" x14ac:dyDescent="0.35">
      <c r="AP43" s="287"/>
      <c r="AQ43" s="287"/>
      <c r="AR43" s="287"/>
      <c r="AS43" s="287"/>
      <c r="AT43" s="287"/>
      <c r="AU43" s="287"/>
      <c r="AV43" s="287"/>
      <c r="AW43" s="287"/>
      <c r="AX43" s="287"/>
      <c r="AY43" s="287"/>
      <c r="AZ43" s="287"/>
      <c r="BD43" s="287"/>
      <c r="BE43" s="287"/>
      <c r="BG43" s="287"/>
    </row>
    <row r="44" spans="2:78" s="324" customFormat="1" ht="45" customHeight="1" x14ac:dyDescent="0.4">
      <c r="B44" s="948" t="str">
        <f>"３．配置情報（発熱外来対応を行う職員分の員数及び勤務時間数のみ入力すること）　【総合判定】"&amp;AZ44</f>
        <v>３．配置情報（発熱外来対応を行う職員分の員数及び勤務時間数のみ入力すること）　【総合判定】×</v>
      </c>
      <c r="C44" s="947"/>
      <c r="D44" s="947"/>
      <c r="E44" s="947"/>
      <c r="F44" s="947"/>
      <c r="G44" s="947"/>
      <c r="H44" s="947"/>
      <c r="I44" s="947"/>
      <c r="J44" s="947"/>
      <c r="K44" s="947"/>
      <c r="L44" s="947"/>
      <c r="M44" s="947"/>
      <c r="N44" s="947"/>
      <c r="O44" s="947"/>
      <c r="P44" s="947"/>
      <c r="Q44" s="947"/>
      <c r="R44" s="947"/>
      <c r="S44" s="947"/>
      <c r="T44" s="947"/>
      <c r="U44" s="947"/>
      <c r="V44" s="947"/>
      <c r="W44" s="947"/>
      <c r="X44" s="947"/>
      <c r="Y44" s="947"/>
      <c r="Z44" s="947"/>
      <c r="AA44" s="947"/>
      <c r="AB44" s="947"/>
      <c r="AC44" s="947"/>
      <c r="AD44" s="947"/>
      <c r="AE44" s="947"/>
      <c r="AF44" s="947"/>
      <c r="AG44" s="947"/>
      <c r="AH44" s="947"/>
      <c r="AI44" s="947"/>
      <c r="AJ44" s="947"/>
      <c r="AK44" s="947"/>
      <c r="AL44" s="947"/>
      <c r="AM44" s="947"/>
      <c r="AN44" s="947"/>
      <c r="AO44" s="947"/>
      <c r="AP44" s="947"/>
      <c r="AQ44" s="947"/>
      <c r="AR44" s="947"/>
      <c r="AS44" s="947"/>
      <c r="AT44" s="947"/>
      <c r="AU44" s="947"/>
      <c r="AV44" s="947"/>
      <c r="AW44" s="947"/>
      <c r="AX44" s="947"/>
      <c r="AY44" s="947"/>
      <c r="AZ44" s="325" t="str">
        <f>IF(COUNTIF(AW49:AW60,"○")=9,"○","×")</f>
        <v>×</v>
      </c>
      <c r="BD44" s="326"/>
      <c r="BE44" s="326"/>
      <c r="BF44" s="326"/>
      <c r="BG44" s="326"/>
    </row>
    <row r="45" spans="2:78" ht="24" customHeight="1" x14ac:dyDescent="0.5">
      <c r="B45" s="965" t="s">
        <v>1201</v>
      </c>
      <c r="C45" s="966"/>
      <c r="D45" s="966"/>
      <c r="E45" s="966"/>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c r="AM45" s="966"/>
      <c r="AN45" s="966"/>
      <c r="AO45" s="966"/>
      <c r="AP45" s="966"/>
      <c r="AQ45" s="966"/>
      <c r="AR45" s="966"/>
      <c r="AS45" s="966"/>
      <c r="AT45" s="966"/>
      <c r="AU45" s="966"/>
      <c r="AV45" s="966"/>
      <c r="AW45" s="966"/>
      <c r="AX45" s="677"/>
      <c r="AZ45" s="289"/>
      <c r="BD45" s="314"/>
      <c r="BE45" s="314"/>
      <c r="BF45" s="314"/>
      <c r="BG45" s="314"/>
    </row>
    <row r="46" spans="2:78" ht="48" customHeight="1" x14ac:dyDescent="0.5">
      <c r="B46" s="939" t="s">
        <v>1202</v>
      </c>
      <c r="C46" s="940"/>
      <c r="D46" s="940"/>
      <c r="E46" s="940"/>
      <c r="F46" s="940"/>
      <c r="G46" s="940"/>
      <c r="H46" s="940"/>
      <c r="I46" s="940"/>
      <c r="J46" s="940"/>
      <c r="K46" s="940"/>
      <c r="L46" s="940"/>
      <c r="M46" s="940"/>
      <c r="N46" s="940"/>
      <c r="O46" s="940"/>
      <c r="P46" s="940"/>
      <c r="Q46" s="940"/>
      <c r="R46" s="940"/>
      <c r="S46" s="940"/>
      <c r="T46" s="940"/>
      <c r="U46" s="940"/>
      <c r="V46" s="940"/>
      <c r="W46" s="940"/>
      <c r="X46" s="940"/>
      <c r="Y46" s="940"/>
      <c r="Z46" s="940"/>
      <c r="AA46" s="940"/>
      <c r="AB46" s="940"/>
      <c r="AC46" s="940"/>
      <c r="AD46" s="940"/>
      <c r="AE46" s="940"/>
      <c r="AF46" s="940"/>
      <c r="AG46" s="940"/>
      <c r="AH46" s="940"/>
      <c r="AI46" s="940"/>
      <c r="AJ46" s="940"/>
      <c r="AK46" s="940"/>
      <c r="AL46" s="940"/>
      <c r="AM46" s="940"/>
      <c r="AN46" s="940"/>
      <c r="AO46" s="940"/>
      <c r="AP46" s="940"/>
      <c r="AQ46" s="940"/>
      <c r="AR46" s="940"/>
      <c r="AS46" s="940"/>
      <c r="AT46" s="940"/>
      <c r="AU46" s="940"/>
      <c r="AV46" s="940"/>
      <c r="AW46" s="940"/>
      <c r="AX46" s="677"/>
      <c r="AZ46" s="289"/>
      <c r="BD46" s="314"/>
      <c r="BE46" s="314"/>
      <c r="BF46" s="314"/>
      <c r="BG46" s="314"/>
    </row>
    <row r="47" spans="2:78" ht="48" customHeight="1" thickBot="1" x14ac:dyDescent="0.55000000000000004">
      <c r="B47" s="939" t="s">
        <v>1084</v>
      </c>
      <c r="C47" s="943"/>
      <c r="D47" s="943"/>
      <c r="E47" s="943"/>
      <c r="F47" s="943"/>
      <c r="G47" s="943"/>
      <c r="H47" s="943"/>
      <c r="I47" s="943"/>
      <c r="J47" s="943"/>
      <c r="K47" s="943"/>
      <c r="L47" s="943"/>
      <c r="M47" s="943"/>
      <c r="N47" s="943"/>
      <c r="O47" s="943"/>
      <c r="P47" s="943"/>
      <c r="Q47" s="943"/>
      <c r="R47" s="943"/>
      <c r="S47" s="943"/>
      <c r="T47" s="943"/>
      <c r="U47" s="943"/>
      <c r="V47" s="943"/>
      <c r="W47" s="943"/>
      <c r="X47" s="943"/>
      <c r="Y47" s="943"/>
      <c r="Z47" s="943"/>
      <c r="AA47" s="943"/>
      <c r="AB47" s="943"/>
      <c r="AC47" s="943"/>
      <c r="AD47" s="943"/>
      <c r="AE47" s="943"/>
      <c r="AF47" s="943"/>
      <c r="AG47" s="943"/>
      <c r="AH47" s="943"/>
      <c r="AI47" s="943"/>
      <c r="AJ47" s="943"/>
      <c r="AK47" s="943"/>
      <c r="AL47" s="943"/>
      <c r="AM47" s="943"/>
      <c r="AN47" s="943"/>
      <c r="AO47" s="943"/>
      <c r="AP47" s="943"/>
      <c r="AQ47" s="943"/>
      <c r="AR47" s="943"/>
      <c r="AS47" s="943"/>
      <c r="AT47" s="943"/>
      <c r="AU47" s="943"/>
      <c r="AV47" s="943"/>
      <c r="AW47" s="943"/>
      <c r="AX47" s="943"/>
      <c r="AZ47" s="289"/>
      <c r="BD47" s="314"/>
      <c r="BE47" s="314"/>
      <c r="BF47" s="314"/>
      <c r="BG47" s="314"/>
    </row>
    <row r="48" spans="2:78" ht="24" customHeight="1" thickBot="1" x14ac:dyDescent="0.4">
      <c r="B48" s="999" t="s">
        <v>980</v>
      </c>
      <c r="C48" s="1309"/>
      <c r="D48" s="1309"/>
      <c r="E48" s="1309"/>
      <c r="F48" s="1309"/>
      <c r="G48" s="1321" t="s">
        <v>78</v>
      </c>
      <c r="H48" s="1322"/>
      <c r="I48" s="1322"/>
      <c r="J48" s="1322"/>
      <c r="K48" s="1322"/>
      <c r="L48" s="1309"/>
      <c r="M48" s="1357">
        <f xml:space="preserve">
IF(テーブル!$B$3="交付申請",5,
IF(テーブル!$B$3="変更申請",5,
IF(テーブル!$B$3="実績報告（１次）",5,
IF(テーブル!$B$3="交付申請（２次）",10,
IF(テーブル!$B$3="交付申請兼実績報告（２次）",10,
IF(テーブル!$B$3="実績報告（２次）",10))))))</f>
        <v>10</v>
      </c>
      <c r="N48" s="1358"/>
      <c r="O48" s="1358"/>
      <c r="P48" s="1358"/>
      <c r="Q48" s="1359"/>
      <c r="R48" s="1337">
        <f xml:space="preserve">
IF(テーブル!$B$3="交付申請",6,
IF(テーブル!$B$3="変更申請",6,
IF(テーブル!$B$3="実績報告（１次）",6,
IF(テーブル!$B$3="交付申請（２次）",11,
IF(テーブル!$B$3="交付申請兼実績報告（２次）",11,
IF(テーブル!$B$3="実績報告（２次）",11))))))</f>
        <v>11</v>
      </c>
      <c r="S48" s="1338"/>
      <c r="T48" s="1338"/>
      <c r="U48" s="1338"/>
      <c r="V48" s="1339"/>
      <c r="W48" s="1337">
        <f xml:space="preserve">
IF(テーブル!$B$3="交付申請",7,
IF(テーブル!$B$3="変更申請",7,
IF(テーブル!$B$3="実績報告（１次）",7,
IF(テーブル!$B$3="交付申請（２次）",12,
IF(テーブル!$B$3="交付申請兼実績報告（２次）",12,
IF(テーブル!$B$3="実績報告（２次）",12))))))</f>
        <v>12</v>
      </c>
      <c r="X48" s="1338"/>
      <c r="Y48" s="1338"/>
      <c r="Z48" s="1338"/>
      <c r="AA48" s="1339"/>
      <c r="AB48" s="1337">
        <f xml:space="preserve">
IF(テーブル!$B$3="交付申請",8,
IF(テーブル!$B$3="変更申請",8,
IF(テーブル!$B$3="実績報告（１次）",8,
IF(テーブル!$B$3="交付申請（２次）",1,
IF(テーブル!$B$3="交付申請兼実績報告（２次）",1,
IF(テーブル!$B$3="実績報告（２次）",1))))))</f>
        <v>1</v>
      </c>
      <c r="AC48" s="1338"/>
      <c r="AD48" s="1338"/>
      <c r="AE48" s="1338"/>
      <c r="AF48" s="1339"/>
      <c r="AG48" s="1337">
        <f xml:space="preserve">
IF(テーブル!$B$3="交付申請",9,
IF(テーブル!$B$3="変更申請",9,
IF(テーブル!$B$3="実績報告（１次）",9,
IF(テーブル!$B$3="交付申請（２次）",2,
IF(テーブル!$B$3="交付申請兼実績報告（２次）",2,
IF(テーブル!$B$3="実績報告（２次）",2))))))</f>
        <v>2</v>
      </c>
      <c r="AH48" s="1338"/>
      <c r="AI48" s="1338"/>
      <c r="AJ48" s="1338"/>
      <c r="AK48" s="1339"/>
      <c r="AL48" s="1337">
        <f xml:space="preserve">
IF(テーブル!$B$3="交付申請","－",
IF(テーブル!$B$3="変更申請","－",
IF(テーブル!$B$3="実績報告（１次）","－",
IF(テーブル!$B$3="交付申請（２次）",3,
IF(テーブル!$B$3="交付申請兼実績報告（２次）",3,
IF(テーブル!$B$3="実績報告（２次）",3))))))</f>
        <v>3</v>
      </c>
      <c r="AM48" s="1338"/>
      <c r="AN48" s="1338"/>
      <c r="AO48" s="1338"/>
      <c r="AP48" s="1339"/>
      <c r="AQ48" s="1426" t="s">
        <v>1107</v>
      </c>
      <c r="AR48" s="1427"/>
      <c r="AS48" s="1427"/>
      <c r="AT48" s="1427"/>
      <c r="AU48" s="1427"/>
      <c r="AV48" s="2065"/>
      <c r="AW48" s="1419" t="s">
        <v>66</v>
      </c>
      <c r="AX48" s="2066"/>
      <c r="AY48" s="323"/>
      <c r="AZ48" s="1017" t="s">
        <v>1096</v>
      </c>
      <c r="BA48" s="1389"/>
      <c r="BB48" s="1389"/>
      <c r="BC48" s="1389"/>
      <c r="BD48" s="1389"/>
      <c r="BE48" s="1389"/>
      <c r="BF48" s="1389"/>
      <c r="BG48" s="1389"/>
      <c r="BH48" s="1389"/>
      <c r="BI48" s="1389"/>
      <c r="BJ48" s="1389"/>
      <c r="BK48" s="1389"/>
      <c r="BL48" s="1389"/>
      <c r="BM48" s="1389"/>
      <c r="BN48" s="1389"/>
      <c r="BO48" s="1416"/>
      <c r="BP48" s="598">
        <f>M48</f>
        <v>10</v>
      </c>
      <c r="BQ48" s="598">
        <f>R48</f>
        <v>11</v>
      </c>
      <c r="BR48" s="598">
        <f>W48</f>
        <v>12</v>
      </c>
      <c r="BS48" s="598">
        <f>AB48</f>
        <v>1</v>
      </c>
      <c r="BT48" s="598">
        <f>AG48</f>
        <v>2</v>
      </c>
      <c r="BU48" s="598">
        <f>AL48</f>
        <v>3</v>
      </c>
    </row>
    <row r="49" spans="1:76" ht="24" customHeight="1" thickTop="1" thickBot="1" x14ac:dyDescent="0.4">
      <c r="B49" s="1310"/>
      <c r="C49" s="1311"/>
      <c r="D49" s="1311"/>
      <c r="E49" s="1311"/>
      <c r="F49" s="1311"/>
      <c r="G49" s="1323" t="s">
        <v>984</v>
      </c>
      <c r="H49" s="1324"/>
      <c r="I49" s="1324"/>
      <c r="J49" s="1324"/>
      <c r="K49" s="1324"/>
      <c r="L49" s="2067"/>
      <c r="M49" s="1340">
        <f>IF(M48="－","－",COUNTIF($BR$86:$BR$268,M48&amp;"診療日"))</f>
        <v>0</v>
      </c>
      <c r="N49" s="1341"/>
      <c r="O49" s="1341"/>
      <c r="P49" s="1341"/>
      <c r="Q49" s="1341"/>
      <c r="R49" s="1340">
        <f>IF(R48="－","－",COUNTIF($BR$86:$BR$268,R48&amp;"診療日"))</f>
        <v>0</v>
      </c>
      <c r="S49" s="1341"/>
      <c r="T49" s="1341"/>
      <c r="U49" s="1341"/>
      <c r="V49" s="1341"/>
      <c r="W49" s="1340">
        <f>IF(W48="－","－",COUNTIF($BR$86:$BR$268,W48&amp;"診療日"))</f>
        <v>0</v>
      </c>
      <c r="X49" s="1341"/>
      <c r="Y49" s="1341"/>
      <c r="Z49" s="1341"/>
      <c r="AA49" s="1341"/>
      <c r="AB49" s="1340">
        <f>IF(AB48="－","－",COUNTIF($BR$86:$BR$268,AB48&amp;"診療日"))</f>
        <v>0</v>
      </c>
      <c r="AC49" s="1341"/>
      <c r="AD49" s="1341"/>
      <c r="AE49" s="1341"/>
      <c r="AF49" s="1341"/>
      <c r="AG49" s="1340">
        <f>IF(AG48="－","－",COUNTIF($BR$86:$BR$268,AG48&amp;"診療日"))</f>
        <v>0</v>
      </c>
      <c r="AH49" s="1341"/>
      <c r="AI49" s="1341"/>
      <c r="AJ49" s="1341"/>
      <c r="AK49" s="1341"/>
      <c r="AL49" s="1340">
        <f>IF(AL48="－","－",COUNTIF($BR$86:$BR$268,AL48&amp;"診療日"))</f>
        <v>0</v>
      </c>
      <c r="AM49" s="1341"/>
      <c r="AN49" s="1341"/>
      <c r="AO49" s="1341"/>
      <c r="AP49" s="1341"/>
      <c r="AQ49" s="1428">
        <f xml:space="preserve">
IF(OR(AZ2&lt;&gt;"○",AZ3&lt;&gt;"○"),0,
IF(AND(テーブル!B3="交付申請",COUNTA(M50:AK50)=5),
SUM(MIN(M49,M50),MIN(R49,R50),MIN(W49,W50),MIN(AB49,AB50),MIN(AG49,AG50)),
IF(AND(テーブル!B3="変更申請",COUNTA(M50:AP50)=6),
SUM(MIN(M49,M50),MIN(R49,R50),MIN(W49,W50),MIN(AB49,AB50),MIN(AG49,AG50),MIN(AL49,AL50)),
IF(AND(テーブル!B3="実績報告（１次）",COUNTA(M50:AK50)=5),
SUM(MIN(M49,M50),MIN(R49,R50),MIN(W49,W50),MIN(AB49,AB50),MIN(AG49,AG50)),
IF(AND(テーブル!B3="交付申請（２次）",COUNTA(M50:AP50)=6),
SUM(MIN(M49,M50),MIN(R49,R50),MIN(W49,W50),MIN(AB49,AB50),MIN(AG49,AG50),MIN(AL49,AL50)),
IF(AND(テーブル!B3="交付申請兼実績報告（２次）",COUNTA(M50:AP50)=6),
SUM(MIN(M49,M50),MIN(R49,R50),MIN(W49,W50),MIN(AB49,AB50),MIN(AG49,AG50),MIN(AL49,AL50)),
IF(AND(テーブル!B3="実績報告（２次）",COUNTA(M50:AP50)=6),
SUM(MIN(M49,M50),MIN(R49,R50),MIN(W49,W50),MIN(AB49,AB50),MIN(AG49,AG50),MIN(AL49,AL50)),0)))))))</f>
        <v>0</v>
      </c>
      <c r="AR49" s="1429"/>
      <c r="AS49" s="1429"/>
      <c r="AT49" s="1429"/>
      <c r="AU49" s="1429"/>
      <c r="AV49" s="2068"/>
      <c r="AW49" s="1420" t="str">
        <f xml:space="preserve">
IF(OR(AZ2&lt;&gt;"○",AZ3&lt;&gt;"○"),"×",
IF(AND(テーブル!B3="交付申請",COUNTA(M50:AK50)=5),"○",
IF(AND(テーブル!B3="変更申請",COUNTA(M50:AP50)=6),"○",
IF(AND(テーブル!B3="実績報告（１次）",COUNTA(M50:AK50)=5),"○",
IF(AND(テーブル!B3="交付申請（２次）",COUNTA(M50:AP50)=6),"○",
IF(AND(テーブル!B3="交付申請兼実績報告（２次）",COUNTA(M50:AP50)=6),"○",
IF(AND(テーブル!B3="実績報告（２次）",COUNTA(M50:AP50)=6),"○","×")))))))</f>
        <v>×</v>
      </c>
      <c r="AX49" s="2069"/>
      <c r="AY49" s="323"/>
      <c r="AZ49" s="1177"/>
      <c r="BA49" s="797"/>
      <c r="BB49" s="797"/>
      <c r="BC49" s="797"/>
      <c r="BD49" s="797"/>
      <c r="BE49" s="797"/>
      <c r="BF49" s="797"/>
      <c r="BG49" s="797"/>
      <c r="BH49" s="797"/>
      <c r="BI49" s="797"/>
      <c r="BJ49" s="797"/>
      <c r="BK49" s="797"/>
      <c r="BL49" s="797"/>
      <c r="BM49" s="797"/>
      <c r="BN49" s="797"/>
      <c r="BO49" s="798"/>
      <c r="BP49" s="674" t="s">
        <v>1327</v>
      </c>
      <c r="BQ49" s="674" t="s">
        <v>1327</v>
      </c>
      <c r="BR49" s="674" t="s">
        <v>1327</v>
      </c>
      <c r="BS49" s="674" t="s">
        <v>1327</v>
      </c>
      <c r="BT49" s="674" t="s">
        <v>1327</v>
      </c>
      <c r="BU49" s="674" t="s">
        <v>1327</v>
      </c>
    </row>
    <row r="50" spans="1:76" ht="24.75" thickTop="1" x14ac:dyDescent="0.35">
      <c r="B50" s="1325" t="s">
        <v>1092</v>
      </c>
      <c r="C50" s="1326"/>
      <c r="D50" s="1326"/>
      <c r="E50" s="1326"/>
      <c r="F50" s="1326"/>
      <c r="G50" s="1326"/>
      <c r="H50" s="1326"/>
      <c r="I50" s="1326"/>
      <c r="J50" s="1327"/>
      <c r="K50" s="1327"/>
      <c r="L50" s="2070"/>
      <c r="M50" s="1306"/>
      <c r="N50" s="1307"/>
      <c r="O50" s="1307"/>
      <c r="P50" s="1307"/>
      <c r="Q50" s="1308"/>
      <c r="R50" s="1306"/>
      <c r="S50" s="1307"/>
      <c r="T50" s="1307"/>
      <c r="U50" s="1307"/>
      <c r="V50" s="1308"/>
      <c r="W50" s="1306"/>
      <c r="X50" s="1307"/>
      <c r="Y50" s="1307"/>
      <c r="Z50" s="1307"/>
      <c r="AA50" s="1308"/>
      <c r="AB50" s="1306"/>
      <c r="AC50" s="1307"/>
      <c r="AD50" s="1307"/>
      <c r="AE50" s="1307"/>
      <c r="AF50" s="1308"/>
      <c r="AG50" s="1306"/>
      <c r="AH50" s="1307"/>
      <c r="AI50" s="1307"/>
      <c r="AJ50" s="1307"/>
      <c r="AK50" s="1308"/>
      <c r="AL50" s="1306"/>
      <c r="AM50" s="1307"/>
      <c r="AN50" s="1307"/>
      <c r="AO50" s="1307"/>
      <c r="AP50" s="1308"/>
      <c r="AQ50" s="1430">
        <f xml:space="preserve">
IF(OR(AZ2&lt;&gt;"○",AZ3&lt;&gt;"○"),0,
IF(AND(テーブル!B3="交付申請",COUNTIF(BP50:BT50,"○")=5),SUM(M50:AK50),
IF(AND(テーブル!B3="変更申請",COUNTIF(BP50:BU50,"○")=6),SUM(M50:AP50),
IF(AND(テーブル!B3="実績報告（１次）",COUNTIF(BP50:BT50,"○")=5),SUM(M50:AK50),
IF(AND(テーブル!B3="交付申請（２次）",COUNTIF(BP50:BU50,"○")=6),SUM(M50:AP50),
IF(AND(テーブル!B3="交付申請兼実績報告（２次）",COUNTIF(BP50:BU50,"○")=6),SUM(M50:AP50),
IF(AND(テーブル!B3="実績報告（２次）",COUNTIF(BP50:BU50,"○")=6),SUM(M50:AP50),0)))))))</f>
        <v>0</v>
      </c>
      <c r="AR50" s="1431"/>
      <c r="AS50" s="1432"/>
      <c r="AT50" s="1433"/>
      <c r="AU50" s="1434"/>
      <c r="AV50" s="2071"/>
      <c r="AW50" s="1421" t="str">
        <f xml:space="preserve">
IF(OR(AZ2&lt;&gt;"○",AZ3&lt;&gt;"○"),"×",
IF(AND(テーブル!B3="交付申請",COUNTA(M50:AK50)=5),"○",
IF(AND(テーブル!B3="変更申請",COUNTA(M50:AP50)=6),"○",
IF(AND(テーブル!B3="実績報告（１次）",COUNTA(M50:AK50)=5),"○",
IF(AND(テーブル!B3="交付申請（２次）",COUNTA(M50:AP50)=6),"○",
IF(AND(テーブル!B3="交付申請兼実績報告（２次）",COUNTA(M50:AP50)=6),"○",
IF(AND(テーブル!B3="実績報告（２次）",COUNTA(M50:AP50)=6),"○","×")))))))</f>
        <v>×</v>
      </c>
      <c r="AX50" s="2072"/>
      <c r="AY50" s="323"/>
      <c r="AZ50" s="1410" t="s">
        <v>1095</v>
      </c>
      <c r="BA50" s="1411"/>
      <c r="BB50" s="1411"/>
      <c r="BC50" s="1411"/>
      <c r="BD50" s="1411"/>
      <c r="BE50" s="1411"/>
      <c r="BF50" s="1411"/>
      <c r="BG50" s="1411"/>
      <c r="BH50" s="1411"/>
      <c r="BI50" s="1411"/>
      <c r="BJ50" s="1411"/>
      <c r="BK50" s="1411"/>
      <c r="BL50" s="1411"/>
      <c r="BM50" s="1411"/>
      <c r="BN50" s="1411"/>
      <c r="BO50" s="1411"/>
      <c r="BP50" s="674" t="str">
        <f>IF(M50&lt;&gt;"","○","×")</f>
        <v>×</v>
      </c>
      <c r="BQ50" s="674" t="str">
        <f>IF(R50&lt;&gt;"","○","×")</f>
        <v>×</v>
      </c>
      <c r="BR50" s="674" t="str">
        <f>IF(W50&lt;&gt;"","○","×")</f>
        <v>×</v>
      </c>
      <c r="BS50" s="674" t="str">
        <f>IF(AB50&lt;&gt;"","○","×")</f>
        <v>×</v>
      </c>
      <c r="BT50" s="674" t="str">
        <f>IF(AG50&lt;&gt;"","○","×")</f>
        <v>×</v>
      </c>
      <c r="BU50" s="674" t="str">
        <f>IF(AL50&lt;&gt;"","○","×")</f>
        <v>×</v>
      </c>
    </row>
    <row r="51" spans="1:76" ht="24" hidden="1" x14ac:dyDescent="0.35">
      <c r="B51" s="514"/>
      <c r="C51" s="515"/>
      <c r="D51" s="515"/>
      <c r="E51" s="515"/>
      <c r="F51" s="515"/>
      <c r="G51" s="515"/>
      <c r="H51" s="515"/>
      <c r="I51" s="515"/>
      <c r="J51" s="516"/>
      <c r="K51" s="516"/>
      <c r="L51" s="517"/>
      <c r="M51" s="510"/>
      <c r="N51" s="510"/>
      <c r="O51" s="510"/>
      <c r="P51" s="510"/>
      <c r="Q51" s="510"/>
      <c r="R51" s="510"/>
      <c r="S51" s="510"/>
      <c r="T51" s="510"/>
      <c r="U51" s="510"/>
      <c r="V51" s="510"/>
      <c r="W51" s="510"/>
      <c r="X51" s="510"/>
      <c r="Y51" s="510"/>
      <c r="Z51" s="510"/>
      <c r="AA51" s="510"/>
      <c r="AB51" s="510"/>
      <c r="AC51" s="510"/>
      <c r="AD51" s="510"/>
      <c r="AE51" s="510"/>
      <c r="AF51" s="510"/>
      <c r="AG51" s="510"/>
      <c r="AH51" s="510"/>
      <c r="AI51" s="510"/>
      <c r="AJ51" s="510"/>
      <c r="AK51" s="510"/>
      <c r="AL51" s="510"/>
      <c r="AM51" s="510"/>
      <c r="AN51" s="510"/>
      <c r="AO51" s="510"/>
      <c r="AP51" s="510"/>
      <c r="AQ51" s="525"/>
      <c r="AR51" s="525"/>
      <c r="AS51" s="526"/>
      <c r="AT51" s="527"/>
      <c r="AU51" s="528"/>
      <c r="AV51" s="529"/>
      <c r="AW51" s="504"/>
      <c r="AX51" s="512"/>
      <c r="AY51" s="323"/>
      <c r="AZ51" s="685" t="s">
        <v>1095</v>
      </c>
      <c r="BA51" s="505"/>
      <c r="BB51" s="505"/>
      <c r="BC51" s="505"/>
      <c r="BD51" s="506"/>
      <c r="BE51" s="506"/>
      <c r="BF51" s="506"/>
      <c r="BG51" s="506"/>
      <c r="BH51" s="505"/>
      <c r="BI51" s="505"/>
      <c r="BJ51" s="505"/>
      <c r="BK51" s="505"/>
      <c r="BL51" s="505"/>
      <c r="BM51" s="374"/>
      <c r="BN51" s="374"/>
      <c r="BO51" s="374"/>
      <c r="BP51" s="509"/>
      <c r="BQ51" s="509"/>
      <c r="BR51" s="509"/>
      <c r="BS51" s="509"/>
      <c r="BT51" s="374"/>
      <c r="BU51" s="374"/>
    </row>
    <row r="52" spans="1:76" ht="24.75" thickBot="1" x14ac:dyDescent="0.4">
      <c r="B52" s="1328" t="s">
        <v>1091</v>
      </c>
      <c r="C52" s="1329"/>
      <c r="D52" s="1329"/>
      <c r="E52" s="1329"/>
      <c r="F52" s="1329"/>
      <c r="G52" s="1329"/>
      <c r="H52" s="1329"/>
      <c r="I52" s="1329"/>
      <c r="J52" s="1330"/>
      <c r="K52" s="1330"/>
      <c r="L52" s="2073"/>
      <c r="M52" s="1345"/>
      <c r="N52" s="1346"/>
      <c r="O52" s="1346"/>
      <c r="P52" s="1346"/>
      <c r="Q52" s="1347"/>
      <c r="R52" s="1345"/>
      <c r="S52" s="1346"/>
      <c r="T52" s="1346"/>
      <c r="U52" s="1346"/>
      <c r="V52" s="1347"/>
      <c r="W52" s="1345"/>
      <c r="X52" s="1346"/>
      <c r="Y52" s="1346"/>
      <c r="Z52" s="1346"/>
      <c r="AA52" s="1347"/>
      <c r="AB52" s="1345"/>
      <c r="AC52" s="1346"/>
      <c r="AD52" s="1346"/>
      <c r="AE52" s="1346"/>
      <c r="AF52" s="1347"/>
      <c r="AG52" s="1345"/>
      <c r="AH52" s="1346"/>
      <c r="AI52" s="1346"/>
      <c r="AJ52" s="1346"/>
      <c r="AK52" s="1347"/>
      <c r="AL52" s="1345"/>
      <c r="AM52" s="1346"/>
      <c r="AN52" s="1346"/>
      <c r="AO52" s="1346"/>
      <c r="AP52" s="1347"/>
      <c r="AQ52" s="1435">
        <f xml:space="preserve">
IF(OR(AZ2&lt;&gt;"○",AZ3&lt;&gt;"○",AW50&lt;&gt;"○"),0,
IF(AND(テーブル!B3="交付申請",COUNTIF(BP52:BT52,"○")=5),SUM(M52:AK52),
IF(AND(テーブル!B3="変更申請",COUNTIF(BP52:BU52,"○")=6),SUM(M52:AP52),
IF(AND(テーブル!B3="実績報告（１次）",COUNTIF(BP52:BT52,"○")=5),SUM(M52:AK52),
IF(AND(テーブル!B3="交付申請（２次）",COUNTIF(BP52:BU52,"○")=6),SUM(M52:AP52),
IF(AND(テーブル!B3="交付申請兼実績報告（２次）",COUNTIF(BP52:BU52,"○")=6),SUM(M52:AP52),
IF(AND(テーブル!B3="実績報告（２次）",COUNTIF(BP52:BU52,"○")=6),SUM(M52:AP52),0)))))))</f>
        <v>0</v>
      </c>
      <c r="AR52" s="1436"/>
      <c r="AS52" s="1437"/>
      <c r="AT52" s="1372"/>
      <c r="AU52" s="1373"/>
      <c r="AV52" s="2074"/>
      <c r="AW52" s="1421" t="str">
        <f xml:space="preserve">
IF(OR(AZ2&lt;&gt;"○",AZ3&lt;&gt;"○",AW50&lt;&gt;"○"),"×",
IF(AND(テーブル!B3="交付申請",COUNTIF(BP52:BT52,"○")=5),"○",
IF(AND(テーブル!B3="変更申請",COUNTIF(BP52:BU52,"○")=6),"○",
IF(AND(テーブル!B3="実績報告（１次）",COUNTIF(BP52:BT52,"○")=5),"○",
IF(AND(テーブル!B3="交付申請（２次）",COUNTIF(BP52:BU52,"○")=6),"○",
IF(AND(テーブル!B3="交付申請兼実績報告（２次）",COUNTIF(BP52:BU52,"○")=6),"○",
IF(AND(テーブル!B3="実績報告（２次）",COUNTIF(BP52:BU52,"○")=6),"○","×")))))))</f>
        <v>×</v>
      </c>
      <c r="AX52" s="2072"/>
      <c r="AY52" s="323"/>
      <c r="AZ52" s="1410" t="s">
        <v>1097</v>
      </c>
      <c r="BA52" s="1411"/>
      <c r="BB52" s="1411"/>
      <c r="BC52" s="1411"/>
      <c r="BD52" s="1411"/>
      <c r="BE52" s="1411"/>
      <c r="BF52" s="1411"/>
      <c r="BG52" s="1411"/>
      <c r="BH52" s="1411"/>
      <c r="BI52" s="1411"/>
      <c r="BJ52" s="1411"/>
      <c r="BK52" s="1411"/>
      <c r="BL52" s="1411"/>
      <c r="BM52" s="1411"/>
      <c r="BN52" s="1411"/>
      <c r="BO52" s="1411"/>
      <c r="BP52" s="674" t="str">
        <f>IF(M52&gt;M50,"×","○")</f>
        <v>○</v>
      </c>
      <c r="BQ52" s="674" t="str">
        <f t="shared" ref="BQ52:BU52" si="12">IF(N52&gt;N50,"×","○")</f>
        <v>○</v>
      </c>
      <c r="BR52" s="674" t="str">
        <f t="shared" si="12"/>
        <v>○</v>
      </c>
      <c r="BS52" s="674" t="str">
        <f t="shared" si="12"/>
        <v>○</v>
      </c>
      <c r="BT52" s="674" t="str">
        <f t="shared" si="12"/>
        <v>○</v>
      </c>
      <c r="BU52" s="674" t="str">
        <f t="shared" si="12"/>
        <v>○</v>
      </c>
    </row>
    <row r="53" spans="1:76" ht="24.75" thickTop="1" x14ac:dyDescent="0.35">
      <c r="B53" s="1331" t="s">
        <v>1224</v>
      </c>
      <c r="C53" s="1332"/>
      <c r="D53" s="1332"/>
      <c r="E53" s="1332"/>
      <c r="F53" s="1332"/>
      <c r="G53" s="1332"/>
      <c r="H53" s="1332"/>
      <c r="I53" s="1332"/>
      <c r="J53" s="790"/>
      <c r="K53" s="790"/>
      <c r="L53" s="2075"/>
      <c r="M53" s="1348" t="str">
        <f>IF(AND($AW$57="○",$AW$60="○"),SUM(M57,M60),"×")</f>
        <v>×</v>
      </c>
      <c r="N53" s="1349"/>
      <c r="O53" s="1349"/>
      <c r="P53" s="1349"/>
      <c r="Q53" s="1350"/>
      <c r="R53" s="1348" t="str">
        <f>IF(AND($AW$57="○",$AW$60="○"),SUM(R57,R60),"×")</f>
        <v>×</v>
      </c>
      <c r="S53" s="1349"/>
      <c r="T53" s="1349"/>
      <c r="U53" s="1349"/>
      <c r="V53" s="1350"/>
      <c r="W53" s="1348" t="str">
        <f>IF(AND($AW$57="○",$AW$60="○"),SUM(W57,W60),"×")</f>
        <v>×</v>
      </c>
      <c r="X53" s="1349"/>
      <c r="Y53" s="1349"/>
      <c r="Z53" s="1349"/>
      <c r="AA53" s="1350"/>
      <c r="AB53" s="1348" t="str">
        <f>IF(AND($AW$57="○",$AW$60="○"),SUM(AB57,AB60),"×")</f>
        <v>×</v>
      </c>
      <c r="AC53" s="1349"/>
      <c r="AD53" s="1349"/>
      <c r="AE53" s="1349"/>
      <c r="AF53" s="1350"/>
      <c r="AG53" s="1348" t="str">
        <f>IF(AND($AW$57="○",$AW$60="○"),SUM(AG57,AG60),"×")</f>
        <v>×</v>
      </c>
      <c r="AH53" s="1349"/>
      <c r="AI53" s="1349"/>
      <c r="AJ53" s="1349"/>
      <c r="AK53" s="1350"/>
      <c r="AL53" s="1348" t="str">
        <f xml:space="preserve">
IF(AL48="－","－",
IF(AND($AW$57="○",$AW$60="○"),SUM(AL57,AL60),"×"))</f>
        <v>×</v>
      </c>
      <c r="AM53" s="1349"/>
      <c r="AN53" s="1349"/>
      <c r="AO53" s="1349"/>
      <c r="AP53" s="1350"/>
      <c r="AQ53" s="1438">
        <f xml:space="preserve">
IF(OR(AZ2&lt;&gt;"○",AZ3&lt;&gt;"○",SUM(COUNTIF($AW$57,"○"),COUNTIF($AW$60,"○"))&lt;&gt;2),0,
IF(AND(テーブル!B3="実績報告",SUM(COUNTIF($AW$57,"○"),COUNTIF($AW$60,"○"))=2),AVERAGE(M53:AK53),
IF(AND(テーブル!B3&lt;&gt;"実績報告",SUM(COUNTIF($AW$57,"○"),COUNTIF($AW$60,"○"))=2),AVERAGE(M53:AP53))))</f>
        <v>0</v>
      </c>
      <c r="AR53" s="1439"/>
      <c r="AS53" s="1440"/>
      <c r="AT53" s="1440"/>
      <c r="AU53" s="1441"/>
      <c r="AV53" s="2071"/>
      <c r="AW53" s="1422" t="str">
        <f xml:space="preserve">
IF(OR(AZ2&lt;&gt;"○",AZ3&lt;&gt;"○",SUM(COUNTIF($AW$57,"○"),COUNTIF($AW$60,"○"))&lt;&gt;2),"×",
IF(AND(テーブル!B3="実績報告",SUM(COUNTIF($AW$57,"○"),COUNTIF($AW$60,"○"))=2),"○",
IF(AND(テーブル!B3&lt;&gt;"実績報告",SUM(COUNTIF($AW$57,"○"),COUNTIF($AW$60,"○"))=2),"○")))</f>
        <v>×</v>
      </c>
      <c r="AX53" s="2072"/>
      <c r="AY53" s="323"/>
      <c r="AZ53" s="1410" t="s">
        <v>1098</v>
      </c>
      <c r="BA53" s="1411"/>
      <c r="BB53" s="1411"/>
      <c r="BC53" s="1411"/>
      <c r="BD53" s="1411"/>
      <c r="BE53" s="1411"/>
      <c r="BF53" s="1411"/>
      <c r="BG53" s="1411"/>
      <c r="BH53" s="1411"/>
      <c r="BI53" s="1411"/>
      <c r="BJ53" s="1411"/>
      <c r="BK53" s="1411"/>
      <c r="BL53" s="1411"/>
      <c r="BM53" s="1411"/>
      <c r="BN53" s="1411"/>
      <c r="BO53" s="1411"/>
      <c r="BP53" s="674"/>
      <c r="BQ53" s="674"/>
      <c r="BR53" s="674"/>
      <c r="BS53" s="674"/>
      <c r="BT53" s="674"/>
      <c r="BU53" s="674"/>
    </row>
    <row r="54" spans="1:76" ht="24.75" thickBot="1" x14ac:dyDescent="0.4">
      <c r="B54" s="1333" t="s">
        <v>1094</v>
      </c>
      <c r="C54" s="1009"/>
      <c r="D54" s="1009"/>
      <c r="E54" s="1009"/>
      <c r="F54" s="1009"/>
      <c r="G54" s="1009"/>
      <c r="H54" s="1009"/>
      <c r="I54" s="1009"/>
      <c r="J54" s="1311"/>
      <c r="K54" s="1311"/>
      <c r="L54" s="2067"/>
      <c r="M54" s="1351" t="str">
        <f xml:space="preserve">
IF(
SUM(COUNTIF($AW$49:$AX$53,"○"),COUNTIF($AW$55:$AX$60,"○"))&lt;&gt;8,"×",
ROUNDDOWN(SUM(M57,M60)/($AQ$26*MIN(M49,M50)),1))</f>
        <v>×</v>
      </c>
      <c r="N54" s="1352"/>
      <c r="O54" s="1352"/>
      <c r="P54" s="1352"/>
      <c r="Q54" s="1353"/>
      <c r="R54" s="1351" t="str">
        <f t="shared" ref="R54" si="13" xml:space="preserve">
IF(
SUM(COUNTIF($AW$49:$AX$53,"○"),COUNTIF($AW$55:$AX$60,"○"))&lt;&gt;8,"×",
ROUNDDOWN(SUM(R57,R60)/($AQ$26*MIN(R49,R50)),1))</f>
        <v>×</v>
      </c>
      <c r="S54" s="1352"/>
      <c r="T54" s="1352"/>
      <c r="U54" s="1352"/>
      <c r="V54" s="1353"/>
      <c r="W54" s="1351" t="str">
        <f t="shared" ref="W54" si="14" xml:space="preserve">
IF(
SUM(COUNTIF($AW$49:$AX$53,"○"),COUNTIF($AW$55:$AX$60,"○"))&lt;&gt;8,"×",
ROUNDDOWN(SUM(W57,W60)/($AQ$26*MIN(W49,W50)),1))</f>
        <v>×</v>
      </c>
      <c r="X54" s="1352"/>
      <c r="Y54" s="1352"/>
      <c r="Z54" s="1352"/>
      <c r="AA54" s="1353"/>
      <c r="AB54" s="1351" t="str">
        <f t="shared" ref="AB54" si="15" xml:space="preserve">
IF(
SUM(COUNTIF($AW$49:$AX$53,"○"),COUNTIF($AW$55:$AX$60,"○"))&lt;&gt;8,"×",
ROUNDDOWN(SUM(AB57,AB60)/($AQ$26*MIN(AB49,AB50)),1))</f>
        <v>×</v>
      </c>
      <c r="AC54" s="1352"/>
      <c r="AD54" s="1352"/>
      <c r="AE54" s="1352"/>
      <c r="AF54" s="1353"/>
      <c r="AG54" s="1351" t="str">
        <f t="shared" ref="AG54" si="16" xml:space="preserve">
IF(
SUM(COUNTIF($AW$49:$AX$53,"○"),COUNTIF($AW$55:$AX$60,"○"))&lt;&gt;8,"×",
ROUNDDOWN(SUM(AG57,AG60)/($AQ$26*MIN(AG49,AG50)),1))</f>
        <v>×</v>
      </c>
      <c r="AH54" s="1352"/>
      <c r="AI54" s="1352"/>
      <c r="AJ54" s="1352"/>
      <c r="AK54" s="1353"/>
      <c r="AL54" s="1351" t="str">
        <f t="shared" ref="AL54" si="17" xml:space="preserve">
IF(
SUM(COUNTIF($AW$49:$AX$53,"○"),COUNTIF($AW$55:$AX$60,"○"))&lt;&gt;8,"×",
ROUNDDOWN(SUM(AL57,AL60)/($AQ$26*MIN(AL49,AL50)),1))</f>
        <v>×</v>
      </c>
      <c r="AM54" s="1352"/>
      <c r="AN54" s="1352"/>
      <c r="AO54" s="1352"/>
      <c r="AP54" s="1353"/>
      <c r="AQ54" s="1442">
        <f xml:space="preserve">
IF(OR(AZ2&lt;&gt;"○",AZ3&lt;&gt;"○",SUM(COUNTIF($AW$49:$AX$53,"○"),COUNTIF($AW$55:$AX$60,"○"))&lt;&gt;8),0,
IF(AND(テーブル!B3="実績報告（１次）",SUM(COUNTIF($AW$49:$AX$53,"○"),COUNTIF($AW$55:$AX$60,"○"))=8),
ROUNDDOWN(SUM(M57:AK57,M60:AK60)/(AQ26*AQ49),1),
IF(AND(テーブル!B3&lt;&gt;"実績報告（１次）",SUM(COUNTIF($AW$49:$AX$53,"○"),COUNTIF($AW$55:$AX$60,"○"))=8),
ROUNDDOWN(SUM(M57:AP57,M60:AP60)/(AQ26*AQ49),1))))</f>
        <v>0</v>
      </c>
      <c r="AR54" s="1443"/>
      <c r="AS54" s="1444"/>
      <c r="AT54" s="1444"/>
      <c r="AU54" s="1445"/>
      <c r="AV54" s="2074"/>
      <c r="AW54" s="1421" t="str">
        <f xml:space="preserve">
IF(OR(AZ2&lt;&gt;"○",AZ3&lt;&gt;"○",SUM(COUNTIF($AW$49:$AX$53,"○"),COUNTIF($AW$55:$AX$60,"○"))&lt;&gt;8),"×",
IF(AND(テーブル!B3="実績報告（１次）",SUM(COUNTIF($AW$49:$AX$53,"○"),COUNTIF($AW$55:$AX$60,"○"))=8),
"○",
IF(AND(テーブル!B3&lt;&gt;"実績報告（１次）",SUM(COUNTIF($AW$49:$AX$53,"○"),COUNTIF($AW$55:$AX$60,"○"))=8),
"○")))</f>
        <v>×</v>
      </c>
      <c r="AX54" s="2072"/>
      <c r="AY54" s="323"/>
      <c r="AZ54" s="1410" t="s">
        <v>1099</v>
      </c>
      <c r="BA54" s="1411"/>
      <c r="BB54" s="1411"/>
      <c r="BC54" s="1411"/>
      <c r="BD54" s="1411"/>
      <c r="BE54" s="1411"/>
      <c r="BF54" s="1411"/>
      <c r="BG54" s="1411"/>
      <c r="BH54" s="1411"/>
      <c r="BI54" s="1411"/>
      <c r="BJ54" s="1411"/>
      <c r="BK54" s="1411"/>
      <c r="BL54" s="1411"/>
      <c r="BM54" s="1411"/>
      <c r="BN54" s="1411"/>
      <c r="BO54" s="1411"/>
      <c r="BP54" s="509"/>
      <c r="BQ54" s="509"/>
      <c r="BR54" s="509"/>
      <c r="BS54" s="509"/>
      <c r="BT54" s="374"/>
      <c r="BU54" s="374"/>
    </row>
    <row r="55" spans="1:76" ht="25.5" customHeight="1" thickTop="1" x14ac:dyDescent="0.35">
      <c r="B55" s="1296" t="s">
        <v>996</v>
      </c>
      <c r="C55" s="1297"/>
      <c r="D55" s="1297"/>
      <c r="E55" s="1326" t="s">
        <v>1199</v>
      </c>
      <c r="F55" s="1327"/>
      <c r="G55" s="1327"/>
      <c r="H55" s="1327"/>
      <c r="I55" s="1327"/>
      <c r="J55" s="1327"/>
      <c r="K55" s="1327"/>
      <c r="L55" s="1327"/>
      <c r="M55" s="1354"/>
      <c r="N55" s="1355"/>
      <c r="O55" s="1355"/>
      <c r="P55" s="1355"/>
      <c r="Q55" s="1356"/>
      <c r="R55" s="1354"/>
      <c r="S55" s="1355"/>
      <c r="T55" s="1355"/>
      <c r="U55" s="1355"/>
      <c r="V55" s="1356"/>
      <c r="W55" s="1354"/>
      <c r="X55" s="1355"/>
      <c r="Y55" s="1355"/>
      <c r="Z55" s="1355"/>
      <c r="AA55" s="1356"/>
      <c r="AB55" s="1354"/>
      <c r="AC55" s="1355"/>
      <c r="AD55" s="1355"/>
      <c r="AE55" s="1355"/>
      <c r="AF55" s="1356"/>
      <c r="AG55" s="1354"/>
      <c r="AH55" s="1355"/>
      <c r="AI55" s="1355"/>
      <c r="AJ55" s="1355"/>
      <c r="AK55" s="1356"/>
      <c r="AL55" s="1354"/>
      <c r="AM55" s="1355"/>
      <c r="AN55" s="1355"/>
      <c r="AO55" s="1355"/>
      <c r="AP55" s="1356"/>
      <c r="AQ55" s="1363">
        <f xml:space="preserve">
IF(OR($AZ$2&lt;&gt;"○",$AZ$3&lt;&gt;"○"),0,
IF(AND(テーブル!$B$3="交付申請",COUNTIF(BP55:BT55,"○")=5),
ROUNDDOWN(SUM(M55*MIN($M$49:$Q$50),R55*MIN($R$49:$V$50),W55*MIN($W$49:$AA$50),AB55*MIN($AB$49:$AF$50),AG55*MIN($AG$49:$AK$50))
/SUM(MIN($M$49:$Q$50),MIN($R$49:$V$50),MIN($W$49:$AA$50),MIN($AB$49:$AF$50),MIN($AG$49:$AK$50)),1),
IF(AND(テーブル!$B$3="変更申請",COUNTIF(BP55:BU55,"○")=6),
ROUNDDOWN(SUM(M55*MIN($M$49:$Q$50),R55*MIN($R$49:$V$50),W55*MIN($W$49:$AA$50),AB55*MIN($AB$49:$AF$50),AG55*MIN($AG$49:$AK$50),AL55*MIN($AL$49:$AP$50))
/SUM(MIN($M$49:$Q$50),MIN($R$49:$V$50),MIN($W$49:$AA$50),MIN($AB$49:$AF$50),MIN($AG$49:$AK$50),MIN($AL$49:$AP$50)),1),
IF(AND(テーブル!$B$3="実績報告（１次）",COUNTIF(BP55:BT55,"○")=5),
ROUNDDOWN(SUM(M55*MIN($M$49:$Q$50),R55*MIN($R$49:$V$50),W55*MIN($W$49:$AA$50),AB55*MIN($AB$49:$AF$50),AG55*MIN($AG$49:$AK$50))
/SUM(MIN($M$49:$Q$50),MIN($R$49:$V$50),MIN($W$49:$AA$50),MIN($AB$49:$AF$50),MIN($AG$49:$AK$50)),1),
IF(AND(テーブル!$B$3="交付申請（２次）",COUNTIF(BP55:BU55,"○")=6),
ROUNDDOWN(SUM(M55*MIN($M$49:$Q$50),R55*MIN($R$49:$V$50),W55*MIN($W$49:$AA$50),AB55*MIN($AB$49:$AF$50),AG55*MIN($AG$49:$AK$50),AL55*MIN($AL$49:$AP$50))
/SUM(MIN($M$49:$Q$50),MIN($R$49:$V$50),MIN($W$49:$AA$50),MIN($AB$49:$AF$50),MIN($AG$49:$AK$50),MIN($AL$49:$AP$50)),1),
IF(AND(テーブル!$B$3="交付申請兼実績報告（２次）",COUNTIF(BP55:BU55,"○")=6),
ROUNDDOWN(SUM(M55*MIN($M$49:$Q$50),R55*MIN($R$49:$V$50),W55*MIN($W$49:$AA$50),AB55*MIN($AB$49:$AF$50),AG55*MIN($AG$49:$AK$50),AL55*MIN($AL$49:$AP$50))
/SUM(MIN($M$49:$Q$50),MIN($R$49:$V$50),MIN($W$49:$AA$50),MIN($AB$49:$AF$50),MIN($AG$49:$AK$50),MIN($AL$49:$AP$50)),1),
IF(AND(テーブル!$B$3="実績報告（２次）",COUNTIF(BP55:BU55,"○")=6),
ROUNDDOWN(SUM(M55*MIN($M$49:$Q$50),R55*MIN($R$49:$V$50),W55*MIN($W$49:$AA$50),AB55*MIN($AB$49:$AF$50),AG55*MIN($AG$49:$AK$50),AL55*MIN($AL$49:$AP$50))
/SUM(MIN($M$49:$Q$50),MIN($R$49:$V$50),MIN($W$49:$AA$50),MIN($AB$49:$AF$50),MIN($AG$49:$AK$50),MIN($AL$49:$AP$50)),1),0)))))))</f>
        <v>0</v>
      </c>
      <c r="AR55" s="1364"/>
      <c r="AS55" s="1365"/>
      <c r="AT55" s="1365"/>
      <c r="AU55" s="1366"/>
      <c r="AV55" s="2076"/>
      <c r="AW55" s="1421" t="str">
        <f xml:space="preserve">
IF(OR($AZ$2&lt;&gt;"○",$AZ$3&lt;&gt;"○"),"×",
IF(AND(テーブル!$B$3="交付申請",COUNTIF(BP55:BT55,"○")=5),"○",
IF(AND(テーブル!$B$3="変更申請",COUNTIF(BP55:BU55,"○")=6),"○",
IF(AND(テーブル!$B$3="実績報告（１次）",COUNTIF(BP55:BT55,"○")=5),"○",
IF(AND(テーブル!$B$3="交付申請（２次）",COUNTIF(BP55:BU55,"○")=6),"○",
IF(AND(テーブル!$B$3="交付申請兼実績報告（２次）",COUNTIF(BP55:BU55,"○")=6),"○",
IF(AND(テーブル!$B$3="実績報告（２次）",COUNTIF(BP55:BU55,"○")=6),"○","×")))))))</f>
        <v>×</v>
      </c>
      <c r="AX55" s="2072"/>
      <c r="AY55" s="323"/>
      <c r="AZ55" s="1410" t="s">
        <v>1100</v>
      </c>
      <c r="BA55" s="1411"/>
      <c r="BB55" s="1411"/>
      <c r="BC55" s="1411"/>
      <c r="BD55" s="1411"/>
      <c r="BE55" s="1411"/>
      <c r="BF55" s="1411"/>
      <c r="BG55" s="1411"/>
      <c r="BH55" s="1411"/>
      <c r="BI55" s="1411"/>
      <c r="BJ55" s="1411"/>
      <c r="BK55" s="1411"/>
      <c r="BL55" s="1411"/>
      <c r="BM55" s="1411"/>
      <c r="BN55" s="1411"/>
      <c r="BO55" s="1411"/>
      <c r="BP55" s="674" t="str">
        <f>IF(AND(COUNTIF($AZ$2:$AZ$3,"○")=2,M55&lt;&gt;"",M55&lt;=$AS$32),"○","×")</f>
        <v>×</v>
      </c>
      <c r="BQ55" s="674" t="str">
        <f>IF(AND(COUNTIF($AZ$2:$AZ$3,"○")=2,R55&lt;&gt;"",R55&lt;=$AS$32),"○","×")</f>
        <v>×</v>
      </c>
      <c r="BR55" s="674" t="str">
        <f>IF(AND(COUNTIF($AZ$2:$AZ$3,"○")=2,W55&lt;&gt;"",W55&lt;=$AS$32),"○","×")</f>
        <v>×</v>
      </c>
      <c r="BS55" s="674" t="str">
        <f>IF(AND(COUNTIF($AZ$2:$AZ$3,"○")=2,AB55&lt;&gt;"",AB55&lt;=$AS$32),"○","×")</f>
        <v>×</v>
      </c>
      <c r="BT55" s="674" t="str">
        <f>IF(AND(COUNTIF($AZ$2:$AZ$3,"○")=2,AG55&lt;&gt;"",AG55&lt;=$AS$32),"○","×")</f>
        <v>×</v>
      </c>
      <c r="BU55" s="674" t="str">
        <f>IF(AND(COUNTIF($AZ$2:$AZ$3,"○")=2,AL55&lt;&gt;"",AL55&lt;=$AS$32),"○","×")</f>
        <v>×</v>
      </c>
    </row>
    <row r="56" spans="1:76" ht="24" x14ac:dyDescent="0.35">
      <c r="B56" s="1298"/>
      <c r="C56" s="1299"/>
      <c r="D56" s="1299"/>
      <c r="E56" s="1334" t="s">
        <v>1093</v>
      </c>
      <c r="F56" s="1238"/>
      <c r="G56" s="1238"/>
      <c r="H56" s="1238"/>
      <c r="I56" s="1238"/>
      <c r="J56" s="1238"/>
      <c r="K56" s="1238"/>
      <c r="L56" s="1238"/>
      <c r="M56" s="1342">
        <f>IF(COUNTIF($AZ$2:$AZ$3,"○")&lt;&gt;2,0,$AQ$26*MIN(M49,M50)*M55)</f>
        <v>0</v>
      </c>
      <c r="N56" s="1343"/>
      <c r="O56" s="1343"/>
      <c r="P56" s="1343"/>
      <c r="Q56" s="1344"/>
      <c r="R56" s="1342">
        <f>IF(COUNTIF($AZ$2:$AZ$3,"○")&lt;&gt;2,0,$AQ$26*MIN(R49,R50)*R55)</f>
        <v>0</v>
      </c>
      <c r="S56" s="1343"/>
      <c r="T56" s="1343"/>
      <c r="U56" s="1343"/>
      <c r="V56" s="1344"/>
      <c r="W56" s="1342">
        <f>IF(COUNTIF($AZ$2:$AZ$3,"○")&lt;&gt;2,0,$AQ$26*MIN(W49,W50)*W55)</f>
        <v>0</v>
      </c>
      <c r="X56" s="1343"/>
      <c r="Y56" s="1343"/>
      <c r="Z56" s="1343"/>
      <c r="AA56" s="1344"/>
      <c r="AB56" s="1342">
        <f>IF(COUNTIF($AZ$2:$AZ$3,"○")&lt;&gt;2,0,$AQ$26*MIN(AB49,AB50)*AB55)</f>
        <v>0</v>
      </c>
      <c r="AC56" s="1343"/>
      <c r="AD56" s="1343"/>
      <c r="AE56" s="1343"/>
      <c r="AF56" s="1344"/>
      <c r="AG56" s="1342">
        <f>IF(COUNTIF($AZ$2:$AZ$3,"○")&lt;&gt;2,0,$AQ$26*MIN(AG49,AG50)*AG55)</f>
        <v>0</v>
      </c>
      <c r="AH56" s="1343"/>
      <c r="AI56" s="1343"/>
      <c r="AJ56" s="1343"/>
      <c r="AK56" s="1344"/>
      <c r="AL56" s="1342">
        <f xml:space="preserve">
IF(AL48="－","－",
IF(COUNTIF($AZ$2:$AZ$3,"○")&lt;&gt;2,0,$AQ$26*MIN(AL49,AL50)*AL55))</f>
        <v>0</v>
      </c>
      <c r="AM56" s="1343"/>
      <c r="AN56" s="1343"/>
      <c r="AO56" s="1343"/>
      <c r="AP56" s="1344"/>
      <c r="AQ56" s="1367" t="s">
        <v>1327</v>
      </c>
      <c r="AR56" s="1368"/>
      <c r="AS56" s="1294"/>
      <c r="AT56" s="1294"/>
      <c r="AU56" s="1369"/>
      <c r="AV56" s="2077"/>
      <c r="AW56" s="1423" t="s">
        <v>1327</v>
      </c>
      <c r="AX56" s="2078"/>
      <c r="AY56" s="323"/>
      <c r="AZ56" s="1410" t="s">
        <v>1101</v>
      </c>
      <c r="BA56" s="1411"/>
      <c r="BB56" s="1411"/>
      <c r="BC56" s="1411"/>
      <c r="BD56" s="1411"/>
      <c r="BE56" s="1411"/>
      <c r="BF56" s="1411"/>
      <c r="BG56" s="1411"/>
      <c r="BH56" s="1411"/>
      <c r="BI56" s="1411"/>
      <c r="BJ56" s="1411"/>
      <c r="BK56" s="1411"/>
      <c r="BL56" s="1411"/>
      <c r="BM56" s="1411"/>
      <c r="BN56" s="1411"/>
      <c r="BO56" s="1411"/>
      <c r="BP56" s="674" t="s">
        <v>1327</v>
      </c>
      <c r="BQ56" s="674" t="s">
        <v>1327</v>
      </c>
      <c r="BR56" s="674" t="s">
        <v>1327</v>
      </c>
      <c r="BS56" s="674" t="s">
        <v>1327</v>
      </c>
      <c r="BT56" s="674" t="s">
        <v>1327</v>
      </c>
      <c r="BU56" s="674" t="s">
        <v>1327</v>
      </c>
    </row>
    <row r="57" spans="1:76" ht="24.75" thickBot="1" x14ac:dyDescent="0.4">
      <c r="B57" s="1300"/>
      <c r="C57" s="1301"/>
      <c r="D57" s="1301"/>
      <c r="E57" s="1329" t="s">
        <v>1198</v>
      </c>
      <c r="F57" s="1330"/>
      <c r="G57" s="1330"/>
      <c r="H57" s="1330"/>
      <c r="I57" s="1330"/>
      <c r="J57" s="1330"/>
      <c r="K57" s="1330"/>
      <c r="L57" s="1330"/>
      <c r="M57" s="1312"/>
      <c r="N57" s="1313"/>
      <c r="O57" s="1313"/>
      <c r="P57" s="1313"/>
      <c r="Q57" s="1314"/>
      <c r="R57" s="1312"/>
      <c r="S57" s="1313"/>
      <c r="T57" s="1313"/>
      <c r="U57" s="1313"/>
      <c r="V57" s="1314"/>
      <c r="W57" s="1312"/>
      <c r="X57" s="1313"/>
      <c r="Y57" s="1313"/>
      <c r="Z57" s="1313"/>
      <c r="AA57" s="1314"/>
      <c r="AB57" s="1312"/>
      <c r="AC57" s="1313"/>
      <c r="AD57" s="1313"/>
      <c r="AE57" s="1313"/>
      <c r="AF57" s="1314"/>
      <c r="AG57" s="1312"/>
      <c r="AH57" s="1313"/>
      <c r="AI57" s="1313"/>
      <c r="AJ57" s="1313"/>
      <c r="AK57" s="1314"/>
      <c r="AL57" s="1312"/>
      <c r="AM57" s="1313"/>
      <c r="AN57" s="1313"/>
      <c r="AO57" s="1313"/>
      <c r="AP57" s="1314"/>
      <c r="AQ57" s="1446">
        <f xml:space="preserve">
IF(OR($AZ$2&lt;&gt;"○",$AZ$3&lt;&gt;"○"),0,
IF(AND(テーブル!$B$3="交付申請",COUNTIF(BP57:BT57,"○")=5),
ROUNDDOWN(SUM(M57*MIN($M$49:$Q$50),R57*MIN($R$49:$V$50),W57*MIN($W$49:$AA$50),AB57*MIN($AB$49:$AF$50),AG57*MIN($AG$49:$AK$50))
/SUM(MIN($M$49:$Q$50),MIN($R$49:$V$50),MIN($W$49:$AA$50),MIN($AB$49:$AF$50),MIN($AG$49:$AK$50)),1),
IF(AND(テーブル!$B$3="変更申請",COUNTIF(BP57:BU57,"○")=6),
ROUNDDOWN(SUM(M57*MIN($M$49:$Q$50),R57*MIN($R$49:$V$50),W57*MIN($W$49:$AA$50),AB57*MIN($AB$49:$AF$50),AG57*MIN($AG$49:$AK$50),AL57*MIN($AL$49:$AP$50))
/SUM(MIN($M$49:$Q$50),MIN($R$49:$V$50),MIN($W$49:$AA$50),MIN($AB$49:$AF$50),MIN($AG$49:$AK$50),MIN($AL$49:$AP$50)),1),
IF(AND(テーブル!$B$3="実績報告（１次）",COUNTIF(BP57:BT57,"○")=5),
ROUNDDOWN(SUM(M57*MIN($M$49:$Q$50),R57*MIN($R$49:$V$50),W57*MIN($W$49:$AA$50),AB57*MIN($AB$49:$AF$50),AG57*MIN($AG$49:$AK$50))
/SUM(MIN($M$49:$Q$50),MIN($R$49:$V$50),MIN($W$49:$AA$50),MIN($AB$49:$AF$50),MIN($AG$49:$AK$50)),1),
IF(AND(テーブル!$B$3="交付申請（２次）",COUNTIF(BP57:BU57,"○")=6),
ROUNDDOWN(SUM(M57*MIN($M$49:$Q$50),R57*MIN($R$49:$V$50),W57*MIN($W$49:$AA$50),AB57*MIN($AB$49:$AF$50),AG57*MIN($AG$49:$AK$50),AL57*MIN($AL$49:$AP$50))
/SUM(MIN($M$49:$Q$50),MIN($R$49:$V$50),MIN($W$49:$AA$50),MIN($AB$49:$AF$50),MIN($AG$49:$AK$50),MIN($AL$49:$AP$50)),1),
IF(AND(テーブル!$B$3="交付申請兼実績報告（２次）",COUNTIF(BP57:BU57,"○")=6),
ROUNDDOWN(SUM(M57*MIN($M$49:$Q$50),R57*MIN($R$49:$V$50),W57*MIN($W$49:$AA$50),AB57*MIN($AB$49:$AF$50),AG57*MIN($AG$49:$AK$50),AL57*MIN($AL$49:$AP$50))
/SUM(MIN($M$49:$Q$50),MIN($R$49:$V$50),MIN($W$49:$AA$50),MIN($AB$49:$AF$50),MIN($AG$49:$AK$50),MIN($AL$49:$AP$50)),1),
IF(AND(テーブル!$B$3="実績報告（２次）",COUNTIF(BP57:BU57,"○")=6),
ROUNDDOWN(SUM(M57*MIN($M$49:$Q$50),R57*MIN($R$49:$V$50),W57*MIN($W$49:$AA$50),AB57*MIN($AB$49:$AF$50),AG57*MIN($AG$49:$AK$50),AL57*MIN($AL$49:$AP$50))
/SUM(MIN($M$49:$Q$50),MIN($R$49:$V$50),MIN($W$49:$AA$50),MIN($AB$49:$AF$50),MIN($AG$49:$AK$50),MIN($AL$49:$AP$50)),1),0)))))))</f>
        <v>0</v>
      </c>
      <c r="AR57" s="1447"/>
      <c r="AS57" s="1447"/>
      <c r="AT57" s="1447"/>
      <c r="AU57" s="1448"/>
      <c r="AV57" s="722"/>
      <c r="AW57" s="1424" t="str">
        <f xml:space="preserve">
IF(OR($AZ$2&lt;&gt;"○",$AZ$3&lt;&gt;"○"),"×",
IF(AND(テーブル!$B$3="交付申請",COUNTIF(BP57:BT57,"○")=5),"○",
IF(AND(テーブル!$B$3="変更申請",COUNTIF(BP57:BU57,"○")=6),"○",
IF(AND(テーブル!$B$3="実績報告（１次）",COUNTIF(BP57:BT57,"○")=5),"○",
IF(AND(テーブル!$B$3="交付申請（２次）",COUNTIF(BP57:BU57,"○")=6),"○",
IF(AND(テーブル!$B$3="交付申請兼実績報告（２次）",COUNTIF(BP57:BU57,"○")=6),"○",
IF(AND(テーブル!$B$3="実績報告（２次）",COUNTIF(BP57:BU57,"○")=6),"○","×")))))))</f>
        <v>×</v>
      </c>
      <c r="AX57" s="2078"/>
      <c r="AY57" s="323"/>
      <c r="AZ57" s="1412" t="s">
        <v>1095</v>
      </c>
      <c r="BA57" s="797"/>
      <c r="BB57" s="797"/>
      <c r="BC57" s="797"/>
      <c r="BD57" s="797"/>
      <c r="BE57" s="797"/>
      <c r="BF57" s="797"/>
      <c r="BG57" s="797"/>
      <c r="BH57" s="797"/>
      <c r="BI57" s="797"/>
      <c r="BJ57" s="797"/>
      <c r="BK57" s="797"/>
      <c r="BL57" s="797"/>
      <c r="BM57" s="797"/>
      <c r="BN57" s="797"/>
      <c r="BO57" s="798"/>
      <c r="BP57" s="674" t="str">
        <f>IF(AND(COUNTIF($AZ$2:$AZ$3,"○")=2,M57&lt;&gt;"",M57&lt;=M56),"○","×")</f>
        <v>×</v>
      </c>
      <c r="BQ57" s="674" t="str">
        <f>IF(AND(COUNTIF($AZ$2:$AZ$3,"○")=2,R57&lt;&gt;"",R57&lt;=R56),"○","×")</f>
        <v>×</v>
      </c>
      <c r="BR57" s="674" t="str">
        <f>IF(AND(COUNTIF($AZ$2:$AZ$3,"○")=2,W57&lt;&gt;"",W57&lt;=W56),"○","×")</f>
        <v>×</v>
      </c>
      <c r="BS57" s="674" t="str">
        <f>IF(AND(COUNTIF($AZ$2:$AZ$3,"○")=2,AB57&lt;&gt;"",AB57&lt;=AB56),"○","×")</f>
        <v>×</v>
      </c>
      <c r="BT57" s="674" t="str">
        <f>IF(AND(COUNTIF($AZ$2:$AZ$3,"○")=2,AG57&lt;&gt;"",AG57&lt;=AG56),"○","×")</f>
        <v>×</v>
      </c>
      <c r="BU57" s="674" t="str">
        <f>IF(AND(COUNTIF($AZ$2:$AZ$3,"○")=2,AL57&lt;&gt;"",AL57&lt;=AL56),"○","×")</f>
        <v>×</v>
      </c>
    </row>
    <row r="58" spans="1:76" ht="25.5" customHeight="1" thickTop="1" x14ac:dyDescent="0.35">
      <c r="B58" s="1302" t="s">
        <v>997</v>
      </c>
      <c r="C58" s="1303"/>
      <c r="D58" s="1303"/>
      <c r="E58" s="1336" t="s">
        <v>1199</v>
      </c>
      <c r="F58" s="790"/>
      <c r="G58" s="790"/>
      <c r="H58" s="790"/>
      <c r="I58" s="790"/>
      <c r="J58" s="790"/>
      <c r="K58" s="790"/>
      <c r="L58" s="2075"/>
      <c r="M58" s="1315"/>
      <c r="N58" s="1316"/>
      <c r="O58" s="1316"/>
      <c r="P58" s="1316"/>
      <c r="Q58" s="1317"/>
      <c r="R58" s="1315"/>
      <c r="S58" s="1316"/>
      <c r="T58" s="1316"/>
      <c r="U58" s="1316"/>
      <c r="V58" s="1317"/>
      <c r="W58" s="1315"/>
      <c r="X58" s="1316"/>
      <c r="Y58" s="1316"/>
      <c r="Z58" s="1316"/>
      <c r="AA58" s="1317"/>
      <c r="AB58" s="1315"/>
      <c r="AC58" s="1316"/>
      <c r="AD58" s="1316"/>
      <c r="AE58" s="1316"/>
      <c r="AF58" s="1317"/>
      <c r="AG58" s="1315"/>
      <c r="AH58" s="1316"/>
      <c r="AI58" s="1316"/>
      <c r="AJ58" s="1316"/>
      <c r="AK58" s="1317"/>
      <c r="AL58" s="1315"/>
      <c r="AM58" s="1316"/>
      <c r="AN58" s="1316"/>
      <c r="AO58" s="1316"/>
      <c r="AP58" s="1317"/>
      <c r="AQ58" s="1363">
        <f xml:space="preserve">
IF(OR($AZ$2&lt;&gt;"○",$AZ$3&lt;&gt;"○"),0,
IF(AND(テーブル!$B$3="交付申請",COUNTIF(BP58:BT58,"○")=5),
ROUNDDOWN(SUM(M58*MIN($M$49:$Q$50),R58*MIN($R$49:$V$50),W58*MIN($W$49:$AA$50),AB58*MIN($AB$49:$AF$50),AG58*MIN($AG$49:$AK$50))
/SUM(MIN($M$49:$Q$50),MIN($R$49:$V$50),MIN($W$49:$AA$50),MIN($AB$49:$AF$50),MIN($AG$49:$AK$50)),1),
IF(AND(テーブル!$B$3="変更申請",COUNTIF(BP58:BU58,"○")=6),
ROUNDDOWN(SUM(M58*MIN($M$49:$Q$50),R58*MIN($R$49:$V$50),W58*MIN($W$49:$AA$50),AB58*MIN($AB$49:$AF$50),AG58*MIN($AG$49:$AK$50),AL58*MIN($AL$49:$AP$50))
/SUM(MIN($M$49:$Q$50),MIN($R$49:$V$50),MIN($W$49:$AA$50),MIN($AB$49:$AF$50),MIN($AG$49:$AK$50),MIN($AL$49:$AP$50)),1),
IF(AND(テーブル!$B$3="実績報告（１次）",COUNTIF(BP58:BT58,"○")=5),
ROUNDDOWN(SUM(M58*MIN($M$49:$Q$50),R58*MIN($R$49:$V$50),W58*MIN($W$49:$AA$50),AB58*MIN($AB$49:$AF$50),AG58*MIN($AG$49:$AK$50))
/SUM(MIN($M$49:$Q$50),MIN($R$49:$V$50),MIN($W$49:$AA$50),MIN($AB$49:$AF$50),MIN($AG$49:$AK$50)),1),
IF(AND(テーブル!$B$3="交付申請（２次）",COUNTIF(BP58:BU58,"○")=6),
ROUNDDOWN(SUM(M58*MIN($M$49:$Q$50),R58*MIN($R$49:$V$50),W58*MIN($W$49:$AA$50),AB58*MIN($AB$49:$AF$50),AG58*MIN($AG$49:$AK$50),AL58*MIN($AL$49:$AP$50))
/SUM(MIN($M$49:$Q$50),MIN($R$49:$V$50),MIN($W$49:$AA$50),MIN($AB$49:$AF$50),MIN($AG$49:$AK$50),MIN($AL$49:$AP$50)),1),
IF(AND(テーブル!$B$3="交付申請兼実績報告（２次）",COUNTIF(BP58:BU58,"○")=6),
ROUNDDOWN(SUM(M58*MIN($M$49:$Q$50),R58*MIN($R$49:$V$50),W58*MIN($W$49:$AA$50),AB58*MIN($AB$49:$AF$50),AG58*MIN($AG$49:$AK$50),AL58*MIN($AL$49:$AP$50))
/SUM(MIN($M$49:$Q$50),MIN($R$49:$V$50),MIN($W$49:$AA$50),MIN($AB$49:$AF$50),MIN($AG$49:$AK$50),MIN($AL$49:$AP$50)),1),
IF(AND(テーブル!$B$3="実績報告（２次）",COUNTIF(BP58:BU58,"○")=6),
ROUNDDOWN(SUM(M58*MIN($M$49:$Q$50),R58*MIN($R$49:$V$50),W58*MIN($W$49:$AA$50),AB58*MIN($AB$49:$AF$50),AG58*MIN($AG$49:$AK$50),AL58*MIN($AL$49:$AP$50))
/SUM(MIN($M$49:$Q$50),MIN($R$49:$V$50),MIN($W$49:$AA$50),MIN($AB$49:$AF$50),MIN($AG$49:$AK$50),MIN($AL$49:$AP$50)),1),0)))))))</f>
        <v>0</v>
      </c>
      <c r="AR58" s="1364"/>
      <c r="AS58" s="1365"/>
      <c r="AT58" s="1365"/>
      <c r="AU58" s="1366"/>
      <c r="AV58" s="2076"/>
      <c r="AW58" s="1424" t="str">
        <f xml:space="preserve">
IF(OR(AZ2&lt;&gt;"○",AZ3&lt;&gt;"○"),"×",
IF(AND(テーブル!B3="交付申請",COUNTIF(BP58:BT58,"○")=5),"○",
IF(AND(テーブル!B3="変更申請",COUNTIF(BP58:BU58,"○")=6),"○",
IF(AND(テーブル!B3="実績報告（１次）",COUNTIF(BP58:BT58,"○")=5),"○",
IF(AND(テーブル!B3="交付申請（２次）",COUNTIF(BP58:BU58,"○")=6),"○",
IF(AND(テーブル!B3="交付申請兼実績報告（２次）",COUNTIF(BP58:BU58,"○")=6),"○",
IF(AND(テーブル!B3="実績報告（２次）",COUNTIF(BP58:BU58,"○")=6),"○","×")))))))</f>
        <v>×</v>
      </c>
      <c r="AX58" s="2078"/>
      <c r="AY58" s="323"/>
      <c r="AZ58" s="1410" t="s">
        <v>1102</v>
      </c>
      <c r="BA58" s="1411"/>
      <c r="BB58" s="1411"/>
      <c r="BC58" s="1411"/>
      <c r="BD58" s="1411"/>
      <c r="BE58" s="1411"/>
      <c r="BF58" s="1411"/>
      <c r="BG58" s="1411"/>
      <c r="BH58" s="1411"/>
      <c r="BI58" s="1411"/>
      <c r="BJ58" s="1411"/>
      <c r="BK58" s="1411"/>
      <c r="BL58" s="1411"/>
      <c r="BM58" s="1411"/>
      <c r="BN58" s="1411"/>
      <c r="BO58" s="1411"/>
      <c r="BP58" s="674" t="str">
        <f>IF(AND(COUNTIF($AZ$2:$AZ$3,"○")=2,M58&lt;&gt;"",M58&lt;=$AS$35),"○","×")</f>
        <v>×</v>
      </c>
      <c r="BQ58" s="674" t="str">
        <f>IF(AND(COUNTIF($AZ$2:$AZ$3,"○")=2,R58&lt;&gt;"",R58&lt;=$AS$35),"○","×")</f>
        <v>×</v>
      </c>
      <c r="BR58" s="674" t="str">
        <f>IF(AND(COUNTIF($AZ$2:$AZ$3,"○")=2,W58&lt;&gt;"",W58&lt;=$AS$35),"○","×")</f>
        <v>×</v>
      </c>
      <c r="BS58" s="674" t="str">
        <f>IF(AND(COUNTIF($AZ$2:$AZ$3,"○")=2,AB58&lt;&gt;"",AB58&lt;=$AS$35),"○","×")</f>
        <v>×</v>
      </c>
      <c r="BT58" s="674" t="str">
        <f>IF(AND(COUNTIF($AZ$2:$AZ$3,"○")=2,AG58&lt;&gt;"",AG58&lt;=$AS$35),"○","×")</f>
        <v>×</v>
      </c>
      <c r="BU58" s="674" t="str">
        <f>IF(AND(COUNTIF($AZ$2:$AZ$3,"○")=2,AL58&lt;&gt;"",AL58&lt;=$AS$35),"○","×")</f>
        <v>×</v>
      </c>
    </row>
    <row r="59" spans="1:76" ht="24" x14ac:dyDescent="0.35">
      <c r="B59" s="1298"/>
      <c r="C59" s="1299"/>
      <c r="D59" s="1299"/>
      <c r="E59" s="1334" t="s">
        <v>1090</v>
      </c>
      <c r="F59" s="1238"/>
      <c r="G59" s="1238"/>
      <c r="H59" s="1238"/>
      <c r="I59" s="1238"/>
      <c r="J59" s="1238"/>
      <c r="K59" s="1238"/>
      <c r="L59" s="2079"/>
      <c r="M59" s="1318">
        <f xml:space="preserve">
IF(COUNTIF($AZ$2:$AZ$3,"○")&lt;&gt;2,0,$AQ$26*MIN(M49,M50)*M58)</f>
        <v>0</v>
      </c>
      <c r="N59" s="1319"/>
      <c r="O59" s="1319"/>
      <c r="P59" s="1319"/>
      <c r="Q59" s="1320"/>
      <c r="R59" s="1318">
        <f xml:space="preserve">
IF(COUNTIF($AZ$2:$AZ$3,"○")&lt;&gt;2,0,$AQ$26*MIN(R49,R50)*R58)</f>
        <v>0</v>
      </c>
      <c r="S59" s="1319"/>
      <c r="T59" s="1319"/>
      <c r="U59" s="1319"/>
      <c r="V59" s="1320"/>
      <c r="W59" s="1318">
        <f xml:space="preserve">
IF(COUNTIF($AZ$2:$AZ$3,"○")&lt;&gt;2,0,$AQ$26*MIN(W49,W50)*W58)</f>
        <v>0</v>
      </c>
      <c r="X59" s="1319"/>
      <c r="Y59" s="1319"/>
      <c r="Z59" s="1319"/>
      <c r="AA59" s="1320"/>
      <c r="AB59" s="1318">
        <f xml:space="preserve">
IF(COUNTIF($AZ$2:$AZ$3,"○")&lt;&gt;2,0,$AQ$26*MIN(AB49,AB50)*AB58)</f>
        <v>0</v>
      </c>
      <c r="AC59" s="1319"/>
      <c r="AD59" s="1319"/>
      <c r="AE59" s="1319"/>
      <c r="AF59" s="1320"/>
      <c r="AG59" s="1318">
        <f xml:space="preserve">
IF(COUNTIF($AZ$2:$AZ$3,"○")&lt;&gt;2,0,$AQ$26*MIN(AG49,AG50)*AG58)</f>
        <v>0</v>
      </c>
      <c r="AH59" s="1319"/>
      <c r="AI59" s="1319"/>
      <c r="AJ59" s="1319"/>
      <c r="AK59" s="1320"/>
      <c r="AL59" s="1318">
        <f xml:space="preserve">
IF(AL48="－","－",
IF(COUNTIF($AZ$2:$AZ$3,"○")&lt;&gt;2,0,$AQ$26*MIN(AL49,AL50)*AL58))</f>
        <v>0</v>
      </c>
      <c r="AM59" s="1319"/>
      <c r="AN59" s="1319"/>
      <c r="AO59" s="1319"/>
      <c r="AP59" s="1320"/>
      <c r="AQ59" s="1367" t="s">
        <v>1327</v>
      </c>
      <c r="AR59" s="1368"/>
      <c r="AS59" s="1294"/>
      <c r="AT59" s="1294"/>
      <c r="AU59" s="1369"/>
      <c r="AV59" s="2077"/>
      <c r="AW59" s="1423" t="s">
        <v>1327</v>
      </c>
      <c r="AX59" s="2078"/>
      <c r="AY59" s="323"/>
      <c r="AZ59" s="1410" t="s">
        <v>1103</v>
      </c>
      <c r="BA59" s="1411"/>
      <c r="BB59" s="1411"/>
      <c r="BC59" s="1411"/>
      <c r="BD59" s="1411"/>
      <c r="BE59" s="1411"/>
      <c r="BF59" s="1411"/>
      <c r="BG59" s="1411"/>
      <c r="BH59" s="1411"/>
      <c r="BI59" s="1411"/>
      <c r="BJ59" s="1411"/>
      <c r="BK59" s="1411"/>
      <c r="BL59" s="1411"/>
      <c r="BM59" s="1411"/>
      <c r="BN59" s="1411"/>
      <c r="BO59" s="1411"/>
      <c r="BP59" s="509"/>
      <c r="BQ59" s="509"/>
      <c r="BR59" s="509"/>
      <c r="BS59" s="509"/>
      <c r="BT59" s="374"/>
      <c r="BU59" s="374"/>
    </row>
    <row r="60" spans="1:76" ht="24.75" thickBot="1" x14ac:dyDescent="0.45">
      <c r="B60" s="1304"/>
      <c r="C60" s="1305"/>
      <c r="D60" s="1305"/>
      <c r="E60" s="1417" t="s">
        <v>1197</v>
      </c>
      <c r="F60" s="1418"/>
      <c r="G60" s="1418"/>
      <c r="H60" s="1418"/>
      <c r="I60" s="1418"/>
      <c r="J60" s="1418"/>
      <c r="K60" s="1418"/>
      <c r="L60" s="2080"/>
      <c r="M60" s="1360"/>
      <c r="N60" s="1361"/>
      <c r="O60" s="1361"/>
      <c r="P60" s="1361"/>
      <c r="Q60" s="1362"/>
      <c r="R60" s="1360"/>
      <c r="S60" s="1361"/>
      <c r="T60" s="1361"/>
      <c r="U60" s="1361"/>
      <c r="V60" s="1362"/>
      <c r="W60" s="1360"/>
      <c r="X60" s="1361"/>
      <c r="Y60" s="1361"/>
      <c r="Z60" s="1361"/>
      <c r="AA60" s="1362"/>
      <c r="AB60" s="1360"/>
      <c r="AC60" s="1361"/>
      <c r="AD60" s="1361"/>
      <c r="AE60" s="1361"/>
      <c r="AF60" s="1362"/>
      <c r="AG60" s="1360"/>
      <c r="AH60" s="1361"/>
      <c r="AI60" s="1361"/>
      <c r="AJ60" s="1361"/>
      <c r="AK60" s="1362"/>
      <c r="AL60" s="1360"/>
      <c r="AM60" s="1361"/>
      <c r="AN60" s="1361"/>
      <c r="AO60" s="1361"/>
      <c r="AP60" s="1362"/>
      <c r="AQ60" s="1370">
        <f xml:space="preserve">
IF(OR($AZ$2&lt;&gt;"○",$AZ$3&lt;&gt;"○"),0,
IF(AND(テーブル!$B$3="交付申請",COUNTIF(BP60:BT60,"○")=5),
ROUNDDOWN(SUM(M60*MIN($M$49:$Q$50),R60*MIN($R$49:$V$50),W60*MIN($W$49:$AA$50),AB60*MIN($AB$49:$AF$50),AG60*MIN($AG$49:$AK$50))
/SUM(MIN($M$49:$Q$50),MIN($R$49:$V$50),MIN($W$49:$AA$50),MIN($AB$49:$AF$50),MIN($AG$49:$AK$50)),1),
IF(AND(テーブル!$B$3="変更申請",COUNTIF(BP60:BU60,"○")=6),
ROUNDDOWN(SUM(M60*MIN($M$49:$Q$50),R60*MIN($R$49:$V$50),W60*MIN($W$49:$AA$50),AB60*MIN($AB$49:$AF$50),AG60*MIN($AG$49:$AK$50),AL60*MIN($AL$49:$AP$50))
/SUM(MIN($M$49:$Q$50),MIN($R$49:$V$50),MIN($W$49:$AA$50),MIN($AB$49:$AF$50),MIN($AG$49:$AK$50),MIN($AL$49:$AP$50)),1),
IF(AND(テーブル!$B$3="実績報告（１次）",COUNTIF(BP60:BT60,"○")=5),
ROUNDDOWN(SUM(M60*MIN($M$49:$Q$50),R60*MIN($R$49:$V$50),W60*MIN($W$49:$AA$50),AB60*MIN($AB$49:$AF$50),AG60*MIN($AG$49:$AK$50))
/SUM(MIN($M$49:$Q$50),MIN($R$49:$V$50),MIN($W$49:$AA$50),MIN($AB$49:$AF$50),MIN($AG$49:$AK$50)),1),
IF(AND(テーブル!$B$3="交付申請（２次）",COUNTIF(BP60:BU60,"○")=6),
ROUNDDOWN(SUM(M60*MIN($M$49:$Q$50),R60*MIN($R$49:$V$50),W60*MIN($W$49:$AA$50),AB60*MIN($AB$49:$AF$50),AG60*MIN($AG$49:$AK$50),AL60*MIN($AL$49:$AP$50))
/SUM(MIN($M$49:$Q$50),MIN($R$49:$V$50),MIN($W$49:$AA$50),MIN($AB$49:$AF$50),MIN($AG$49:$AK$50),MIN($AL$49:$AP$50)),1),
IF(AND(テーブル!$B$3="交付申請兼実績報告（２次）",COUNTIF(BP60:BU60,"○")=6),
ROUNDDOWN(SUM(M60*MIN($M$49:$Q$50),R60*MIN($R$49:$V$50),W60*MIN($W$49:$AA$50),AB60*MIN($AB$49:$AF$50),AG60*MIN($AG$49:$AK$50),AL60*MIN($AL$49:$AP$50))
/SUM(MIN($M$49:$Q$50),MIN($R$49:$V$50),MIN($W$49:$AA$50),MIN($AB$49:$AF$50),MIN($AG$49:$AK$50),MIN($AL$49:$AP$50)),1),
IF(AND(テーブル!$B$3="実績報告（２次）",COUNTIF(BP60:BU60,"○")=6),
ROUNDDOWN(SUM(M60*MIN($M$49:$Q$50),R60*MIN($R$49:$V$50),W60*MIN($W$49:$AA$50),AB60*MIN($AB$49:$AF$50),AG60*MIN($AG$49:$AK$50),AL60*MIN($AL$49:$AP$50))
/SUM(MIN($M$49:$Q$50),MIN($R$49:$V$50),MIN($W$49:$AA$50),MIN($AB$49:$AF$50),MIN($AG$49:$AK$50),MIN($AL$49:$AP$50)),1),0)))))))</f>
        <v>0</v>
      </c>
      <c r="AR60" s="1371"/>
      <c r="AS60" s="1371"/>
      <c r="AT60" s="1372"/>
      <c r="AU60" s="1373"/>
      <c r="AV60" s="722"/>
      <c r="AW60" s="1425" t="str">
        <f xml:space="preserve">
IF(OR($AZ$2&lt;&gt;"○",$AZ$3&lt;&gt;"○"),"×",
IF(AND(テーブル!$B$3="交付申請",COUNTIF(BP60:BT60,"○")=5),"○",
IF(AND(テーブル!$B$3="変更申請",COUNTIF(BP60:BU60,"○")=6),"○",
IF(AND(テーブル!$B$3="実績報告（１次）",COUNTIF(BP60:BT60,"○")=5),"○",
IF(AND(テーブル!$B$3="交付申請（２次）",COUNTIF(BP60:BU60,"○")=6),"○",
IF(AND(テーブル!$B$3="交付申請兼実績報告（２次）",COUNTIF(BP60:BU60,"○")=6),"○",
IF(AND(テーブル!$B$3="実績報告（２次）",COUNTIF(BP60:BU60,"○")=6),"○","×")))))))</f>
        <v>×</v>
      </c>
      <c r="AX60" s="2081"/>
      <c r="AY60" s="357"/>
      <c r="AZ60" s="1410" t="s">
        <v>1095</v>
      </c>
      <c r="BA60" s="1411"/>
      <c r="BB60" s="1411"/>
      <c r="BC60" s="1411"/>
      <c r="BD60" s="1411"/>
      <c r="BE60" s="1411"/>
      <c r="BF60" s="1411"/>
      <c r="BG60" s="1411"/>
      <c r="BH60" s="1411"/>
      <c r="BI60" s="1411"/>
      <c r="BJ60" s="1411"/>
      <c r="BK60" s="1411"/>
      <c r="BL60" s="1411"/>
      <c r="BM60" s="1411"/>
      <c r="BN60" s="1411"/>
      <c r="BO60" s="1411"/>
      <c r="BP60" s="674" t="str">
        <f>IF(AND(COUNTIF($AZ$2:$AZ$3,"○")=2,M60&lt;&gt;"",M60&lt;=M59),"○","×")</f>
        <v>×</v>
      </c>
      <c r="BQ60" s="674" t="str">
        <f>IF(AND(COUNTIF($AZ$2:$AZ$3,"○")=2,R60&lt;&gt;"",R60&lt;=R59),"○","×")</f>
        <v>×</v>
      </c>
      <c r="BR60" s="674" t="str">
        <f>IF(AND(COUNTIF($AZ$2:$AZ$3,"○")=2,W60&lt;&gt;"",W60&lt;=W59),"○","×")</f>
        <v>×</v>
      </c>
      <c r="BS60" s="674" t="str">
        <f>IF(AND(COUNTIF($AZ$2:$AZ$3,"○")=2,AB60&lt;&gt;"",AB60&lt;=AB59),"○","×")</f>
        <v>×</v>
      </c>
      <c r="BT60" s="674" t="str">
        <f>IF(AND(COUNTIF($AZ$2:$AZ$3,"○")=2,AG60&lt;&gt;"",AG60&lt;=AG59),"○","×")</f>
        <v>×</v>
      </c>
      <c r="BU60" s="674" t="str">
        <f>IF(AND(COUNTIF($AZ$2:$AZ$3,"○")=2,AL60&lt;&gt;"",AL60&lt;=AL59),"○","×")</f>
        <v>×</v>
      </c>
    </row>
    <row r="61" spans="1:76" ht="24" x14ac:dyDescent="0.5">
      <c r="A61" s="289"/>
      <c r="B61" s="1413" t="s">
        <v>1104</v>
      </c>
      <c r="C61" s="1414"/>
      <c r="D61" s="1414"/>
      <c r="E61" s="1414"/>
      <c r="F61" s="1414"/>
      <c r="G61" s="1414"/>
      <c r="H61" s="1414"/>
      <c r="I61" s="1414"/>
      <c r="J61" s="1414"/>
      <c r="K61" s="1414"/>
      <c r="L61" s="1414"/>
      <c r="M61" s="1414"/>
      <c r="N61" s="1414"/>
      <c r="O61" s="1414"/>
      <c r="P61" s="1414"/>
      <c r="Q61" s="1414"/>
      <c r="R61" s="1414"/>
      <c r="S61" s="1414"/>
      <c r="T61" s="1414"/>
      <c r="U61" s="1414"/>
      <c r="V61" s="1414"/>
      <c r="W61" s="1414"/>
      <c r="X61" s="1414"/>
      <c r="Y61" s="1414"/>
      <c r="Z61" s="1414"/>
      <c r="AA61" s="1414"/>
      <c r="AB61" s="1414"/>
      <c r="AC61" s="1414"/>
      <c r="AD61" s="1414"/>
      <c r="AE61" s="1414"/>
      <c r="AF61" s="1414"/>
      <c r="AG61" s="1414"/>
      <c r="AH61" s="1414"/>
      <c r="AI61" s="1414"/>
      <c r="AJ61" s="1414"/>
      <c r="AK61" s="1414"/>
      <c r="AL61" s="1414"/>
      <c r="AM61" s="1414"/>
      <c r="AN61" s="1414"/>
      <c r="AO61" s="1414"/>
      <c r="AP61" s="1414"/>
      <c r="AQ61" s="1415"/>
      <c r="AR61" s="1415"/>
      <c r="AS61" s="1415"/>
      <c r="AT61" s="1415"/>
      <c r="AU61" s="1415"/>
      <c r="AV61" s="1415"/>
      <c r="AW61" s="1414"/>
      <c r="AX61" s="1414"/>
      <c r="AY61" s="289"/>
      <c r="AZ61" s="358"/>
      <c r="BA61" s="997"/>
      <c r="BB61" s="997"/>
      <c r="BC61" s="997"/>
      <c r="BD61" s="359"/>
      <c r="BE61" s="360"/>
      <c r="BF61" s="361"/>
      <c r="BG61" s="360"/>
      <c r="BH61" s="362"/>
      <c r="BI61" s="362"/>
      <c r="BJ61" s="363"/>
      <c r="BK61" s="362"/>
      <c r="BL61" s="360"/>
      <c r="BM61" s="364"/>
      <c r="BQ61" s="513"/>
      <c r="BR61" s="513"/>
      <c r="BS61" s="513"/>
      <c r="BT61" s="513"/>
      <c r="BU61" s="513"/>
      <c r="BV61" s="513"/>
      <c r="BW61" s="513"/>
      <c r="BX61" s="513"/>
    </row>
    <row r="62" spans="1:76" ht="24" x14ac:dyDescent="0.5">
      <c r="A62" s="289"/>
      <c r="B62" s="507"/>
      <c r="C62" s="686"/>
      <c r="D62" s="686"/>
      <c r="E62" s="686"/>
      <c r="F62" s="686"/>
      <c r="G62" s="686"/>
      <c r="H62" s="686"/>
      <c r="I62" s="686"/>
      <c r="J62" s="686"/>
      <c r="K62" s="686"/>
      <c r="L62" s="686"/>
      <c r="M62" s="686"/>
      <c r="N62" s="686"/>
      <c r="O62" s="686"/>
      <c r="P62" s="686"/>
      <c r="Q62" s="686"/>
      <c r="R62" s="686"/>
      <c r="S62" s="686"/>
      <c r="T62" s="686"/>
      <c r="U62" s="686"/>
      <c r="V62" s="686"/>
      <c r="W62" s="686"/>
      <c r="X62" s="686"/>
      <c r="Y62" s="686"/>
      <c r="Z62" s="686"/>
      <c r="AA62" s="686"/>
      <c r="AB62" s="686"/>
      <c r="AC62" s="686"/>
      <c r="AD62" s="686"/>
      <c r="AE62" s="686"/>
      <c r="AF62" s="686"/>
      <c r="AG62" s="686"/>
      <c r="AH62" s="686"/>
      <c r="AI62" s="686"/>
      <c r="AJ62" s="686"/>
      <c r="AK62" s="686"/>
      <c r="AL62" s="686"/>
      <c r="AM62" s="686"/>
      <c r="AN62" s="686"/>
      <c r="AO62" s="686"/>
      <c r="AP62" s="686"/>
      <c r="AQ62" s="686"/>
      <c r="AR62" s="686"/>
      <c r="AS62" s="686"/>
      <c r="AT62" s="686"/>
      <c r="AU62" s="686"/>
      <c r="AV62" s="686"/>
      <c r="AW62" s="686"/>
      <c r="AX62" s="686"/>
      <c r="AY62" s="289"/>
      <c r="AZ62" s="358"/>
      <c r="BA62" s="676"/>
      <c r="BB62" s="676"/>
      <c r="BC62" s="676"/>
      <c r="BD62" s="359"/>
      <c r="BE62" s="360"/>
      <c r="BF62" s="361"/>
      <c r="BG62" s="360"/>
      <c r="BH62" s="362"/>
      <c r="BI62" s="362"/>
      <c r="BJ62" s="363"/>
      <c r="BK62" s="362"/>
      <c r="BL62" s="360"/>
      <c r="BM62" s="364"/>
    </row>
    <row r="63" spans="1:76" ht="24" hidden="1" x14ac:dyDescent="0.5">
      <c r="A63" s="289"/>
      <c r="B63" s="507"/>
      <c r="C63" s="686"/>
      <c r="D63" s="686"/>
      <c r="E63" s="686"/>
      <c r="F63" s="686"/>
      <c r="G63" s="686"/>
      <c r="H63" s="686"/>
      <c r="I63" s="686"/>
      <c r="J63" s="686"/>
      <c r="K63" s="686"/>
      <c r="L63" s="686"/>
      <c r="M63" s="686"/>
      <c r="N63" s="686"/>
      <c r="O63" s="686"/>
      <c r="P63" s="686"/>
      <c r="Q63" s="686"/>
      <c r="R63" s="686"/>
      <c r="S63" s="686"/>
      <c r="T63" s="686"/>
      <c r="U63" s="686"/>
      <c r="V63" s="686"/>
      <c r="W63" s="686"/>
      <c r="X63" s="686"/>
      <c r="Y63" s="686"/>
      <c r="Z63" s="686"/>
      <c r="AA63" s="686"/>
      <c r="AB63" s="686"/>
      <c r="AC63" s="686"/>
      <c r="AD63" s="686"/>
      <c r="AE63" s="686"/>
      <c r="AF63" s="686"/>
      <c r="AG63" s="686"/>
      <c r="AH63" s="686"/>
      <c r="AI63" s="686"/>
      <c r="AJ63" s="686"/>
      <c r="AK63" s="686"/>
      <c r="AL63" s="686"/>
      <c r="AM63" s="686"/>
      <c r="AN63" s="686"/>
      <c r="AO63" s="686"/>
      <c r="AP63" s="686"/>
      <c r="AQ63" s="686"/>
      <c r="AR63" s="686"/>
      <c r="AS63" s="686"/>
      <c r="AT63" s="686"/>
      <c r="AU63" s="686"/>
      <c r="AV63" s="686"/>
      <c r="AW63" s="686"/>
      <c r="AX63" s="686"/>
      <c r="AY63" s="289"/>
      <c r="AZ63" s="358"/>
      <c r="BA63" s="676"/>
      <c r="BB63" s="676"/>
      <c r="BC63" s="676"/>
      <c r="BD63" s="359"/>
      <c r="BE63" s="360"/>
      <c r="BF63" s="361"/>
      <c r="BG63" s="360"/>
      <c r="BH63" s="362"/>
      <c r="BI63" s="362"/>
      <c r="BJ63" s="363"/>
      <c r="BK63" s="362"/>
      <c r="BL63" s="360"/>
      <c r="BM63" s="364"/>
    </row>
    <row r="64" spans="1:76" ht="24" hidden="1" x14ac:dyDescent="0.5">
      <c r="A64" s="289"/>
      <c r="B64" s="507"/>
      <c r="C64" s="686"/>
      <c r="D64" s="686"/>
      <c r="E64" s="686"/>
      <c r="F64" s="686"/>
      <c r="G64" s="686"/>
      <c r="H64" s="686"/>
      <c r="I64" s="686"/>
      <c r="J64" s="686"/>
      <c r="K64" s="686"/>
      <c r="L64" s="686"/>
      <c r="M64" s="686"/>
      <c r="N64" s="686"/>
      <c r="O64" s="686"/>
      <c r="P64" s="686"/>
      <c r="Q64" s="686"/>
      <c r="R64" s="686"/>
      <c r="S64" s="686"/>
      <c r="T64" s="686"/>
      <c r="U64" s="686"/>
      <c r="V64" s="686"/>
      <c r="W64" s="686"/>
      <c r="X64" s="686"/>
      <c r="Y64" s="686"/>
      <c r="Z64" s="686"/>
      <c r="AA64" s="686"/>
      <c r="AB64" s="686"/>
      <c r="AC64" s="686"/>
      <c r="AD64" s="686"/>
      <c r="AE64" s="686"/>
      <c r="AF64" s="686"/>
      <c r="AG64" s="686"/>
      <c r="AH64" s="686"/>
      <c r="AI64" s="686"/>
      <c r="AJ64" s="686"/>
      <c r="AK64" s="686"/>
      <c r="AL64" s="686"/>
      <c r="AM64" s="686"/>
      <c r="AN64" s="686"/>
      <c r="AO64" s="686"/>
      <c r="AP64" s="686"/>
      <c r="AQ64" s="686"/>
      <c r="AR64" s="686"/>
      <c r="AS64" s="686"/>
      <c r="AT64" s="686"/>
      <c r="AU64" s="686"/>
      <c r="AV64" s="686"/>
      <c r="AW64" s="686"/>
      <c r="AX64" s="686"/>
      <c r="AY64" s="289"/>
      <c r="AZ64" s="358"/>
      <c r="BA64" s="676"/>
      <c r="BB64" s="676"/>
      <c r="BC64" s="676"/>
      <c r="BD64" s="359"/>
      <c r="BE64" s="360"/>
      <c r="BF64" s="361"/>
      <c r="BG64" s="360"/>
      <c r="BH64" s="362"/>
      <c r="BI64" s="362"/>
      <c r="BJ64" s="363"/>
      <c r="BK64" s="362"/>
      <c r="BL64" s="360"/>
      <c r="BM64" s="364"/>
    </row>
    <row r="65" spans="1:78" ht="24" hidden="1" x14ac:dyDescent="0.5">
      <c r="A65" s="289"/>
      <c r="B65" s="507"/>
      <c r="C65" s="686"/>
      <c r="D65" s="686"/>
      <c r="E65" s="686"/>
      <c r="F65" s="686"/>
      <c r="G65" s="686"/>
      <c r="H65" s="686"/>
      <c r="I65" s="686"/>
      <c r="J65" s="686"/>
      <c r="K65" s="686"/>
      <c r="L65" s="686"/>
      <c r="M65" s="686"/>
      <c r="N65" s="686"/>
      <c r="O65" s="686"/>
      <c r="P65" s="686"/>
      <c r="Q65" s="686"/>
      <c r="R65" s="686"/>
      <c r="S65" s="686"/>
      <c r="T65" s="686"/>
      <c r="U65" s="686"/>
      <c r="V65" s="686"/>
      <c r="W65" s="686"/>
      <c r="X65" s="686"/>
      <c r="Y65" s="686"/>
      <c r="Z65" s="686"/>
      <c r="AA65" s="686"/>
      <c r="AB65" s="686"/>
      <c r="AC65" s="686"/>
      <c r="AD65" s="686"/>
      <c r="AE65" s="686"/>
      <c r="AF65" s="686"/>
      <c r="AG65" s="686"/>
      <c r="AH65" s="686"/>
      <c r="AI65" s="686"/>
      <c r="AJ65" s="686"/>
      <c r="AK65" s="686"/>
      <c r="AL65" s="686"/>
      <c r="AM65" s="686"/>
      <c r="AN65" s="686"/>
      <c r="AO65" s="686"/>
      <c r="AP65" s="686"/>
      <c r="AQ65" s="686"/>
      <c r="AR65" s="686"/>
      <c r="AS65" s="686"/>
      <c r="AT65" s="686"/>
      <c r="AU65" s="686"/>
      <c r="AV65" s="686"/>
      <c r="AW65" s="686"/>
      <c r="AX65" s="686"/>
      <c r="AY65" s="289"/>
      <c r="AZ65" s="358"/>
      <c r="BA65" s="676"/>
      <c r="BB65" s="676"/>
      <c r="BC65" s="676"/>
      <c r="BD65" s="359"/>
      <c r="BE65" s="360"/>
      <c r="BF65" s="361"/>
      <c r="BG65" s="360"/>
      <c r="BH65" s="362"/>
      <c r="BI65" s="362"/>
      <c r="BJ65" s="363"/>
      <c r="BK65" s="362"/>
      <c r="BL65" s="360"/>
      <c r="BM65" s="364"/>
    </row>
    <row r="66" spans="1:78" s="324" customFormat="1" ht="45" customHeight="1" x14ac:dyDescent="0.4">
      <c r="B66" s="948" t="str">
        <f>"４．患者１名の診療あたり対応人数及び品目毎の平均着脱使用枚数　【総合判定】"&amp;AZ66&amp;"（"&amp;BG66&amp;"）"</f>
        <v>４．患者１名の診療あたり対応人数及び品目毎の平均着脱使用枚数　【総合判定】×（【要修正】防護具明細及び基礎情報「４」が入力不十分です。）</v>
      </c>
      <c r="C66" s="947"/>
      <c r="D66" s="947"/>
      <c r="E66" s="947"/>
      <c r="F66" s="947"/>
      <c r="G66" s="947"/>
      <c r="H66" s="947"/>
      <c r="I66" s="947"/>
      <c r="J66" s="947"/>
      <c r="K66" s="947"/>
      <c r="L66" s="947"/>
      <c r="M66" s="947"/>
      <c r="N66" s="947"/>
      <c r="O66" s="947"/>
      <c r="P66" s="947"/>
      <c r="Q66" s="947"/>
      <c r="R66" s="947"/>
      <c r="S66" s="947"/>
      <c r="T66" s="947"/>
      <c r="U66" s="947"/>
      <c r="V66" s="947"/>
      <c r="W66" s="947"/>
      <c r="X66" s="947"/>
      <c r="Y66" s="947"/>
      <c r="Z66" s="947"/>
      <c r="AA66" s="947"/>
      <c r="AB66" s="947"/>
      <c r="AC66" s="947"/>
      <c r="AD66" s="947"/>
      <c r="AE66" s="947"/>
      <c r="AF66" s="947"/>
      <c r="AG66" s="947"/>
      <c r="AH66" s="947"/>
      <c r="AI66" s="947"/>
      <c r="AJ66" s="947"/>
      <c r="AK66" s="947"/>
      <c r="AL66" s="947"/>
      <c r="AM66" s="947"/>
      <c r="AN66" s="947"/>
      <c r="AO66" s="947"/>
      <c r="AP66" s="947"/>
      <c r="AQ66" s="947"/>
      <c r="AR66" s="947"/>
      <c r="AS66" s="947"/>
      <c r="AT66" s="947"/>
      <c r="AU66" s="947"/>
      <c r="AV66" s="947"/>
      <c r="AW66" s="947"/>
      <c r="AX66" s="947"/>
      <c r="AY66" s="947"/>
      <c r="AZ66" s="325" t="str">
        <f xml:space="preserve">
IF(AND(防護具!AV176="×",SUM(COUNTIF(T75,"○"),COUNTIF(AD82:AE120,"○"))=0),"×",
IF(AND(防護具!AV176="×",SUM(COUNTIF(T75,"○"),COUNTIF(AD82:AE120,"○"))&gt;=1,SUM(COUNTIF(T75,"○"),COUNTIF(AD82:AE120,"○"))&lt;14),"×",
IF(AND(防護具!AV176="×",SUM(COUNTIF(T75,"○"),COUNTIF(AD82:AE120,"○"))=14),"×",
IF(AND(防護具!AV176="○",SUM(COUNTIF(T75,"○"),COUNTIF(AD82:AE120,"○"))=0),"○",
IF(AND(防護具!AV176="○",SUM(COUNTIF(T75,"○"),COUNTIF(AD82:AE120,"○"))&gt;=1,SUM(COUNTIF(T75,"○"),COUNTIF(AD82:AE120,"○"))&lt;14),"×",
IF(AND(防護具!AV176="○",SUM(COUNTIF(T75,"○"),COUNTIF(AD82:AE120,"○"))=14),"×",
IF(AND(防護具!AV176="◎",SUM(COUNTIF(T75,"○"),COUNTIF(AD82:AE120,"○"))=0),"×",
IF(AND(防護具!AV176="◎",SUM(COUNTIF(T75,"○"),COUNTIF(AD82:AE120,"○"))&gt;=1,SUM(COUNTIF(T75,"○"),COUNTIF(AD82:AE120,"○"))&lt;14),"×",
IF(AND(防護具!AV176="◎",SUM(COUNTIF(T75,"○"),COUNTIF(AD82:AE120,"○"))=14),"○")))))))))</f>
        <v>×</v>
      </c>
      <c r="BA66" s="998"/>
      <c r="BB66" s="998"/>
      <c r="BC66" s="998"/>
      <c r="BD66" s="365"/>
      <c r="BE66" s="366"/>
      <c r="BF66" s="367"/>
      <c r="BG66" s="366" t="str">
        <f xml:space="preserve">
IF(AND(防護具!AV176="×",SUM(COUNTIF(T75,"○"),COUNTIF(AD82:AE120,"○"))=0),"【要修正】防護具明細及び基礎情報「４」が入力不十分です。",
IF(AND(防護具!AV176="×",SUM(COUNTIF(T75,"○"),COUNTIF(AD82:AE120,"○"))&gt;=1,SUM(COUNTIF(T75,"○"),COUNTIF(AD82:AE120,"○"))&lt;14),"【要修正】防護具明細及び基礎情報「４」が入力不十分です。",
IF(AND(防護具!AV176="×",SUM(COUNTIF(T75,"○"),COUNTIF(AD82:AE120,"○"))=14),"【要修正】防護具明細が入力不十分です。",
IF(AND(防護具!AV176="○",SUM(COUNTIF(T75,"○"),COUNTIF(AD82:AE120,"○"))=0),"申請しない場合は入力不要です。",
IF(AND(防護具!AV176="○",SUM(COUNTIF(T75,"○"),COUNTIF(AD82:AE120,"○"))&gt;=1,SUM(COUNTIF(T75,"○"),COUNTIF(AD82:AE120,"○"))&lt;14),"【要修正】防護具明細及び基礎情報「４」が入力不十分です。",
IF(AND(防護具!AV176="○",SUM(COUNTIF(T75,"○"),COUNTIF(AD82:AE120,"○"))=14),"【要修正】防護具明細が入力不十分です。",
IF(AND(防護具!AV176="◎",SUM(COUNTIF(T75,"○"),COUNTIF(AD82:AE120,"○"))=0),"【要修正】基礎情報「４」が入力不十分です。",
IF(AND(防護具!AV176="◎",SUM(COUNTIF(T75,"○"),COUNTIF(AD82:AE120,"○"))&gt;=1,SUM(COUNTIF(T75,"○"),COUNTIF(AD82:AE120,"○"))&lt;14),"【要修正】基礎情報「４」が入力不十分です。",
IF(AND(防護具!AV176="◎",SUM(COUNTIF(T75,"○"),COUNTIF(AD82:AE120,"○"))=14),"適切に入力がされました。")))))))))</f>
        <v>【要修正】防護具明細及び基礎情報「４」が入力不十分です。</v>
      </c>
      <c r="BH66" s="368"/>
      <c r="BI66" s="368"/>
      <c r="BJ66" s="369"/>
      <c r="BK66" s="368"/>
      <c r="BL66" s="366"/>
      <c r="BM66" s="683"/>
    </row>
    <row r="67" spans="1:78" ht="24" x14ac:dyDescent="0.5">
      <c r="A67" s="289"/>
      <c r="B67" s="944" t="s">
        <v>1060</v>
      </c>
      <c r="C67" s="943"/>
      <c r="D67" s="943"/>
      <c r="E67" s="943"/>
      <c r="F67" s="943"/>
      <c r="G67" s="943"/>
      <c r="H67" s="943"/>
      <c r="I67" s="943"/>
      <c r="J67" s="943"/>
      <c r="K67" s="943"/>
      <c r="L67" s="943"/>
      <c r="M67" s="943"/>
      <c r="N67" s="943"/>
      <c r="O67" s="943"/>
      <c r="P67" s="943"/>
      <c r="Q67" s="943"/>
      <c r="R67" s="943"/>
      <c r="S67" s="943"/>
      <c r="T67" s="943"/>
      <c r="U67" s="943"/>
      <c r="V67" s="943"/>
      <c r="W67" s="943"/>
      <c r="X67" s="943"/>
      <c r="Y67" s="943"/>
      <c r="Z67" s="943"/>
      <c r="AA67" s="943"/>
      <c r="AB67" s="943"/>
      <c r="AC67" s="943"/>
      <c r="AD67" s="943"/>
      <c r="AE67" s="943"/>
      <c r="AF67" s="943"/>
      <c r="AG67" s="943"/>
      <c r="AH67" s="943"/>
      <c r="AI67" s="943"/>
      <c r="AJ67" s="943"/>
      <c r="AK67" s="943"/>
      <c r="AL67" s="943"/>
      <c r="AM67" s="943"/>
      <c r="AN67" s="943"/>
      <c r="AO67" s="943"/>
      <c r="AP67" s="943"/>
      <c r="AQ67" s="943"/>
      <c r="AR67" s="943"/>
      <c r="AS67" s="943"/>
      <c r="AT67" s="943"/>
      <c r="AU67" s="943"/>
      <c r="AV67" s="943"/>
      <c r="AW67" s="943"/>
      <c r="AX67" s="943"/>
      <c r="AY67" s="289"/>
      <c r="AZ67" s="358"/>
      <c r="BA67" s="676"/>
      <c r="BB67" s="676"/>
      <c r="BC67" s="676"/>
      <c r="BD67" s="359"/>
      <c r="BE67" s="360"/>
      <c r="BF67" s="361"/>
      <c r="BG67" s="360"/>
      <c r="BH67" s="362"/>
      <c r="BI67" s="362"/>
      <c r="BJ67" s="363"/>
      <c r="BK67" s="362"/>
      <c r="BL67" s="360"/>
      <c r="BM67" s="364"/>
    </row>
    <row r="68" spans="1:78" ht="48" customHeight="1" thickBot="1" x14ac:dyDescent="0.55000000000000004">
      <c r="A68" s="289"/>
      <c r="B68" s="939" t="s">
        <v>1083</v>
      </c>
      <c r="C68" s="940"/>
      <c r="D68" s="940"/>
      <c r="E68" s="940"/>
      <c r="F68" s="940"/>
      <c r="G68" s="940"/>
      <c r="H68" s="940"/>
      <c r="I68" s="940"/>
      <c r="J68" s="940"/>
      <c r="K68" s="940"/>
      <c r="L68" s="940"/>
      <c r="M68" s="940"/>
      <c r="N68" s="940"/>
      <c r="O68" s="940"/>
      <c r="P68" s="940"/>
      <c r="Q68" s="940"/>
      <c r="R68" s="940"/>
      <c r="S68" s="940"/>
      <c r="T68" s="940"/>
      <c r="U68" s="940"/>
      <c r="V68" s="940"/>
      <c r="W68" s="940"/>
      <c r="X68" s="940"/>
      <c r="Y68" s="940"/>
      <c r="Z68" s="940"/>
      <c r="AA68" s="940"/>
      <c r="AB68" s="940"/>
      <c r="AC68" s="940"/>
      <c r="AD68" s="940"/>
      <c r="AE68" s="940"/>
      <c r="AF68" s="940"/>
      <c r="AG68" s="940"/>
      <c r="AH68" s="940"/>
      <c r="AI68" s="940"/>
      <c r="AJ68" s="940"/>
      <c r="AK68" s="940"/>
      <c r="AL68" s="940"/>
      <c r="AM68" s="940"/>
      <c r="AN68" s="940"/>
      <c r="AO68" s="940"/>
      <c r="AP68" s="940"/>
      <c r="AQ68" s="940"/>
      <c r="AR68" s="940"/>
      <c r="AS68" s="940"/>
      <c r="AT68" s="940"/>
      <c r="AU68" s="940"/>
      <c r="AV68" s="940"/>
      <c r="AW68" s="940"/>
      <c r="AX68" s="940"/>
      <c r="AY68" s="289"/>
      <c r="AZ68" s="358"/>
      <c r="BA68" s="676"/>
      <c r="BB68" s="676"/>
      <c r="BC68" s="676"/>
      <c r="BD68" s="359"/>
      <c r="BE68" s="360"/>
      <c r="BF68" s="361"/>
      <c r="BG68" s="360"/>
      <c r="BH68" s="362"/>
      <c r="BI68" s="362"/>
      <c r="BJ68" s="363"/>
      <c r="BK68" s="362"/>
      <c r="BL68" s="360"/>
      <c r="BM68" s="364"/>
    </row>
    <row r="69" spans="1:78" ht="24" customHeight="1" thickTop="1" x14ac:dyDescent="0.35">
      <c r="A69" s="289"/>
      <c r="B69" s="1029" t="s">
        <v>1186</v>
      </c>
      <c r="C69" s="1030"/>
      <c r="D69" s="1030"/>
      <c r="E69" s="1030"/>
      <c r="F69" s="1030"/>
      <c r="G69" s="1030"/>
      <c r="H69" s="1030"/>
      <c r="I69" s="1030"/>
      <c r="J69" s="1030"/>
      <c r="K69" s="1030"/>
      <c r="L69" s="1030"/>
      <c r="M69" s="1030"/>
      <c r="N69" s="1030"/>
      <c r="O69" s="1030"/>
      <c r="P69" s="1030"/>
      <c r="Q69" s="1030"/>
      <c r="R69" s="1030"/>
      <c r="S69" s="1030"/>
      <c r="T69" s="1030"/>
      <c r="U69" s="1030"/>
      <c r="V69" s="1030"/>
      <c r="W69" s="1030"/>
      <c r="X69" s="1030"/>
      <c r="Y69" s="1030"/>
      <c r="Z69" s="1030"/>
      <c r="AA69" s="1030"/>
      <c r="AB69" s="1030"/>
      <c r="AC69" s="1030"/>
      <c r="AD69" s="1030"/>
      <c r="AE69" s="1030"/>
      <c r="AF69" s="1030"/>
      <c r="AG69" s="1030"/>
      <c r="AH69" s="1030"/>
      <c r="AI69" s="1030"/>
      <c r="AJ69" s="1030"/>
      <c r="AK69" s="1030"/>
      <c r="AL69" s="1030"/>
      <c r="AM69" s="1030"/>
      <c r="AN69" s="1030"/>
      <c r="AO69" s="1030"/>
      <c r="AP69" s="1030"/>
      <c r="AQ69" s="1030"/>
      <c r="AR69" s="1030"/>
      <c r="AS69" s="1030"/>
      <c r="AT69" s="1030"/>
      <c r="AU69" s="1030"/>
      <c r="AV69" s="1030"/>
      <c r="AW69" s="1031"/>
      <c r="AX69" s="1032"/>
      <c r="AY69" s="323"/>
      <c r="AZ69" s="928"/>
      <c r="BA69" s="1294"/>
      <c r="BB69" s="1294"/>
      <c r="BC69" s="1294"/>
      <c r="BD69" s="1294"/>
      <c r="BE69" s="1294"/>
      <c r="BF69" s="1294"/>
      <c r="BG69" s="1294"/>
      <c r="BH69" s="1294"/>
      <c r="BI69" s="1294"/>
      <c r="BJ69" s="1294"/>
      <c r="BK69" s="1294"/>
      <c r="BL69" s="1294"/>
      <c r="BM69" s="1294"/>
      <c r="BN69" s="1294"/>
      <c r="BO69" s="1295"/>
    </row>
    <row r="70" spans="1:78" ht="24" customHeight="1" x14ac:dyDescent="0.35">
      <c r="A70" s="289"/>
      <c r="B70" s="1033"/>
      <c r="C70" s="1034"/>
      <c r="D70" s="1034"/>
      <c r="E70" s="1034"/>
      <c r="F70" s="1034"/>
      <c r="G70" s="1034"/>
      <c r="H70" s="1034"/>
      <c r="I70" s="1034"/>
      <c r="J70" s="1034"/>
      <c r="K70" s="1034"/>
      <c r="L70" s="1034"/>
      <c r="M70" s="1034"/>
      <c r="N70" s="1034"/>
      <c r="O70" s="1034"/>
      <c r="P70" s="1034"/>
      <c r="Q70" s="1034"/>
      <c r="R70" s="1034"/>
      <c r="S70" s="1034"/>
      <c r="T70" s="1034"/>
      <c r="U70" s="1034"/>
      <c r="V70" s="1034"/>
      <c r="W70" s="1034"/>
      <c r="X70" s="1034"/>
      <c r="Y70" s="1034"/>
      <c r="Z70" s="1034"/>
      <c r="AA70" s="1034"/>
      <c r="AB70" s="1034"/>
      <c r="AC70" s="1034"/>
      <c r="AD70" s="1034"/>
      <c r="AE70" s="1034"/>
      <c r="AF70" s="1034"/>
      <c r="AG70" s="1034"/>
      <c r="AH70" s="1034"/>
      <c r="AI70" s="1034"/>
      <c r="AJ70" s="1034"/>
      <c r="AK70" s="1034"/>
      <c r="AL70" s="1034"/>
      <c r="AM70" s="1034"/>
      <c r="AN70" s="1034"/>
      <c r="AO70" s="1034"/>
      <c r="AP70" s="1034"/>
      <c r="AQ70" s="1034"/>
      <c r="AR70" s="1034"/>
      <c r="AS70" s="1034"/>
      <c r="AT70" s="1034"/>
      <c r="AU70" s="1034"/>
      <c r="AV70" s="1034"/>
      <c r="AW70" s="1035"/>
      <c r="AX70" s="1036"/>
      <c r="AY70" s="323"/>
      <c r="AZ70" s="928"/>
      <c r="BA70" s="1294"/>
      <c r="BB70" s="1294"/>
      <c r="BC70" s="1294"/>
      <c r="BD70" s="1294"/>
      <c r="BE70" s="1294"/>
      <c r="BF70" s="1294"/>
      <c r="BG70" s="1294"/>
      <c r="BH70" s="1294"/>
      <c r="BI70" s="1294"/>
      <c r="BJ70" s="1294"/>
      <c r="BK70" s="1294"/>
      <c r="BL70" s="1294"/>
      <c r="BM70" s="1294"/>
      <c r="BN70" s="1294"/>
      <c r="BO70" s="1295"/>
    </row>
    <row r="71" spans="1:78" ht="24" customHeight="1" x14ac:dyDescent="0.35">
      <c r="A71" s="289"/>
      <c r="B71" s="1033"/>
      <c r="C71" s="1034"/>
      <c r="D71" s="1034"/>
      <c r="E71" s="1034"/>
      <c r="F71" s="1034"/>
      <c r="G71" s="1034"/>
      <c r="H71" s="1034"/>
      <c r="I71" s="1034"/>
      <c r="J71" s="1034"/>
      <c r="K71" s="1034"/>
      <c r="L71" s="1034"/>
      <c r="M71" s="1034"/>
      <c r="N71" s="1034"/>
      <c r="O71" s="1034"/>
      <c r="P71" s="1034"/>
      <c r="Q71" s="1034"/>
      <c r="R71" s="1034"/>
      <c r="S71" s="1034"/>
      <c r="T71" s="1034"/>
      <c r="U71" s="1034"/>
      <c r="V71" s="1034"/>
      <c r="W71" s="1034"/>
      <c r="X71" s="1034"/>
      <c r="Y71" s="1034"/>
      <c r="Z71" s="1034"/>
      <c r="AA71" s="1034"/>
      <c r="AB71" s="1034"/>
      <c r="AC71" s="1034"/>
      <c r="AD71" s="1034"/>
      <c r="AE71" s="1034"/>
      <c r="AF71" s="1034"/>
      <c r="AG71" s="1034"/>
      <c r="AH71" s="1034"/>
      <c r="AI71" s="1034"/>
      <c r="AJ71" s="1034"/>
      <c r="AK71" s="1034"/>
      <c r="AL71" s="1034"/>
      <c r="AM71" s="1034"/>
      <c r="AN71" s="1034"/>
      <c r="AO71" s="1034"/>
      <c r="AP71" s="1034"/>
      <c r="AQ71" s="1034"/>
      <c r="AR71" s="1034"/>
      <c r="AS71" s="1034"/>
      <c r="AT71" s="1034"/>
      <c r="AU71" s="1034"/>
      <c r="AV71" s="1034"/>
      <c r="AW71" s="1035"/>
      <c r="AX71" s="1036"/>
      <c r="AY71" s="682"/>
      <c r="AZ71" s="1290" t="s">
        <v>1106</v>
      </c>
      <c r="BA71" s="1291"/>
      <c r="BB71" s="1291"/>
      <c r="BC71" s="1291"/>
      <c r="BD71" s="1291"/>
      <c r="BE71" s="1291"/>
      <c r="BF71" s="1291"/>
      <c r="BG71" s="1291"/>
      <c r="BH71" s="1291"/>
      <c r="BI71" s="1291"/>
      <c r="BJ71" s="1291"/>
      <c r="BK71" s="1291"/>
      <c r="BL71" s="1291"/>
      <c r="BM71" s="1291"/>
      <c r="BN71" s="1291"/>
      <c r="BO71" s="1292"/>
      <c r="BZ71" s="321"/>
    </row>
    <row r="72" spans="1:78" ht="24" customHeight="1" thickBot="1" x14ac:dyDescent="0.4">
      <c r="B72" s="1037"/>
      <c r="C72" s="1038"/>
      <c r="D72" s="1038"/>
      <c r="E72" s="1038"/>
      <c r="F72" s="1038"/>
      <c r="G72" s="1038"/>
      <c r="H72" s="1038"/>
      <c r="I72" s="1038"/>
      <c r="J72" s="1038"/>
      <c r="K72" s="1038"/>
      <c r="L72" s="1038"/>
      <c r="M72" s="1038"/>
      <c r="N72" s="1038"/>
      <c r="O72" s="1038"/>
      <c r="P72" s="1038"/>
      <c r="Q72" s="1038"/>
      <c r="R72" s="1038"/>
      <c r="S72" s="1038"/>
      <c r="T72" s="1038"/>
      <c r="U72" s="1038"/>
      <c r="V72" s="1038"/>
      <c r="W72" s="1038"/>
      <c r="X72" s="1038"/>
      <c r="Y72" s="1038"/>
      <c r="Z72" s="1038"/>
      <c r="AA72" s="1038"/>
      <c r="AB72" s="1038"/>
      <c r="AC72" s="1038"/>
      <c r="AD72" s="1038"/>
      <c r="AE72" s="1038"/>
      <c r="AF72" s="1038"/>
      <c r="AG72" s="1038"/>
      <c r="AH72" s="1038"/>
      <c r="AI72" s="1038"/>
      <c r="AJ72" s="1038"/>
      <c r="AK72" s="1038"/>
      <c r="AL72" s="1038"/>
      <c r="AM72" s="1038"/>
      <c r="AN72" s="1038"/>
      <c r="AO72" s="1038"/>
      <c r="AP72" s="1038"/>
      <c r="AQ72" s="1038"/>
      <c r="AR72" s="1038"/>
      <c r="AS72" s="1038"/>
      <c r="AT72" s="1038"/>
      <c r="AU72" s="1038"/>
      <c r="AV72" s="1038"/>
      <c r="AW72" s="1039"/>
      <c r="AX72" s="1040"/>
      <c r="AY72" s="682"/>
      <c r="AZ72" s="1293"/>
      <c r="BA72" s="1291"/>
      <c r="BB72" s="1291"/>
      <c r="BC72" s="1291"/>
      <c r="BD72" s="1291"/>
      <c r="BE72" s="1291"/>
      <c r="BF72" s="1291"/>
      <c r="BG72" s="1291"/>
      <c r="BH72" s="1291"/>
      <c r="BI72" s="1291"/>
      <c r="BJ72" s="1291"/>
      <c r="BK72" s="1291"/>
      <c r="BL72" s="1291"/>
      <c r="BM72" s="1291"/>
      <c r="BN72" s="1291"/>
      <c r="BO72" s="1292"/>
      <c r="BZ72" s="321"/>
    </row>
    <row r="73" spans="1:78" ht="24" customHeight="1" thickTop="1" thickBot="1" x14ac:dyDescent="0.4">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287"/>
      <c r="AF73" s="287"/>
      <c r="AG73" s="287"/>
      <c r="AH73" s="287"/>
      <c r="AI73" s="287"/>
      <c r="AJ73" s="287"/>
      <c r="AK73" s="287"/>
      <c r="AL73" s="287"/>
      <c r="AM73" s="287"/>
      <c r="AN73" s="287"/>
      <c r="AO73" s="287"/>
      <c r="AP73" s="289"/>
      <c r="AQ73" s="289"/>
      <c r="AR73" s="289"/>
      <c r="AS73" s="289"/>
      <c r="AT73" s="289"/>
      <c r="AU73" s="289"/>
      <c r="AV73" s="289"/>
      <c r="AW73" s="289"/>
      <c r="AX73" s="289"/>
      <c r="AZ73" s="287"/>
      <c r="BD73" s="287"/>
      <c r="BE73" s="287"/>
      <c r="BG73" s="287"/>
    </row>
    <row r="74" spans="1:78" ht="24" customHeight="1" thickTop="1" x14ac:dyDescent="0.5">
      <c r="B74" s="918" t="s">
        <v>967</v>
      </c>
      <c r="C74" s="919"/>
      <c r="D74" s="919"/>
      <c r="E74" s="919"/>
      <c r="F74" s="919"/>
      <c r="G74" s="919"/>
      <c r="H74" s="918" t="s">
        <v>996</v>
      </c>
      <c r="I74" s="919"/>
      <c r="J74" s="919"/>
      <c r="K74" s="919"/>
      <c r="L74" s="918" t="s">
        <v>997</v>
      </c>
      <c r="M74" s="919"/>
      <c r="N74" s="919"/>
      <c r="O74" s="919"/>
      <c r="P74" s="918" t="s">
        <v>64</v>
      </c>
      <c r="Q74" s="919"/>
      <c r="R74" s="919"/>
      <c r="S74" s="928"/>
      <c r="T74" s="933" t="s">
        <v>1136</v>
      </c>
      <c r="U74" s="934"/>
      <c r="V74" s="287"/>
      <c r="W74" s="287"/>
      <c r="X74" s="914" t="s">
        <v>1051</v>
      </c>
      <c r="Y74" s="915"/>
      <c r="Z74" s="915"/>
      <c r="AA74" s="915"/>
      <c r="AB74" s="915"/>
      <c r="AC74" s="914" t="s">
        <v>1130</v>
      </c>
      <c r="AD74" s="915"/>
      <c r="AE74" s="915"/>
      <c r="AF74" s="915"/>
      <c r="AG74" s="915"/>
      <c r="AH74" s="287"/>
      <c r="AI74" s="1378" t="str">
        <f>"補助対象期間中の患者数("&amp;X75&amp;"人、N95・ハイラックマスクは"&amp;AC75&amp;"人)＊患者１名あたり平均対応員数(計"&amp;P75&amp;"人)＊品目毎の患者１名あたり使用数で算出されます。"</f>
        <v>補助対象期間中の患者数(0人、N95・ハイラックマスクは0人)＊患者１名あたり平均対応員数(計0人)＊品目毎の患者１名あたり使用数で算出されます。</v>
      </c>
      <c r="AJ74" s="1379"/>
      <c r="AK74" s="1379"/>
      <c r="AL74" s="1379"/>
      <c r="AM74" s="1379"/>
      <c r="AN74" s="1379"/>
      <c r="AO74" s="1379"/>
      <c r="AP74" s="1379"/>
      <c r="AQ74" s="1379"/>
      <c r="AR74" s="1379"/>
      <c r="AS74" s="1379"/>
      <c r="AT74" s="1379"/>
      <c r="AU74" s="1379"/>
      <c r="AV74" s="1379"/>
      <c r="AW74" s="1379"/>
      <c r="AX74" s="1380"/>
      <c r="AZ74" s="287"/>
      <c r="BD74" s="287"/>
      <c r="BE74" s="287"/>
      <c r="BG74" s="287"/>
    </row>
    <row r="75" spans="1:78" ht="24" customHeight="1" x14ac:dyDescent="0.35">
      <c r="B75" s="920" t="s">
        <v>1126</v>
      </c>
      <c r="C75" s="921"/>
      <c r="D75" s="921"/>
      <c r="E75" s="921"/>
      <c r="F75" s="921"/>
      <c r="G75" s="921"/>
      <c r="H75" s="922"/>
      <c r="I75" s="923"/>
      <c r="J75" s="923"/>
      <c r="K75" s="924"/>
      <c r="L75" s="922"/>
      <c r="M75" s="923"/>
      <c r="N75" s="923"/>
      <c r="O75" s="924"/>
      <c r="P75" s="929">
        <f>SUM(H75:O76)</f>
        <v>0</v>
      </c>
      <c r="Q75" s="930"/>
      <c r="R75" s="930"/>
      <c r="S75" s="930"/>
      <c r="T75" s="935" t="str">
        <f>IF(AND(H75&lt;=AS32,L75&lt;=AS35,COUNTA(H75:O76)=2),"○","×")</f>
        <v>×</v>
      </c>
      <c r="U75" s="936"/>
      <c r="V75" s="287"/>
      <c r="W75" s="287"/>
      <c r="X75" s="1387">
        <f>AQ50</f>
        <v>0</v>
      </c>
      <c r="Y75" s="1388"/>
      <c r="Z75" s="1388"/>
      <c r="AA75" s="1388"/>
      <c r="AB75" s="1388"/>
      <c r="AC75" s="1387">
        <f>AQ52</f>
        <v>0</v>
      </c>
      <c r="AD75" s="1388"/>
      <c r="AE75" s="1388"/>
      <c r="AF75" s="1388"/>
      <c r="AG75" s="1388"/>
      <c r="AH75" s="287"/>
      <c r="AI75" s="1381"/>
      <c r="AJ75" s="1382"/>
      <c r="AK75" s="1382"/>
      <c r="AL75" s="1382"/>
      <c r="AM75" s="1382"/>
      <c r="AN75" s="1382"/>
      <c r="AO75" s="1382"/>
      <c r="AP75" s="1382"/>
      <c r="AQ75" s="1382"/>
      <c r="AR75" s="1382"/>
      <c r="AS75" s="1382"/>
      <c r="AT75" s="1382"/>
      <c r="AU75" s="1382"/>
      <c r="AV75" s="1382"/>
      <c r="AW75" s="1382"/>
      <c r="AX75" s="1383"/>
      <c r="AZ75" s="287"/>
      <c r="BD75" s="287"/>
      <c r="BE75" s="287"/>
      <c r="BG75" s="287"/>
    </row>
    <row r="76" spans="1:78" ht="24" customHeight="1" thickBot="1" x14ac:dyDescent="0.4">
      <c r="B76" s="921"/>
      <c r="C76" s="921"/>
      <c r="D76" s="921"/>
      <c r="E76" s="921"/>
      <c r="F76" s="921"/>
      <c r="G76" s="921"/>
      <c r="H76" s="925"/>
      <c r="I76" s="926"/>
      <c r="J76" s="926"/>
      <c r="K76" s="927"/>
      <c r="L76" s="925"/>
      <c r="M76" s="926"/>
      <c r="N76" s="926"/>
      <c r="O76" s="927"/>
      <c r="P76" s="931"/>
      <c r="Q76" s="932"/>
      <c r="R76" s="932"/>
      <c r="S76" s="932"/>
      <c r="T76" s="937"/>
      <c r="U76" s="938"/>
      <c r="V76" s="287"/>
      <c r="W76" s="287"/>
      <c r="X76" s="1388"/>
      <c r="Y76" s="1388"/>
      <c r="Z76" s="1388"/>
      <c r="AA76" s="1388"/>
      <c r="AB76" s="1388"/>
      <c r="AC76" s="1388"/>
      <c r="AD76" s="1388"/>
      <c r="AE76" s="1388"/>
      <c r="AF76" s="1388"/>
      <c r="AG76" s="1388"/>
      <c r="AH76" s="287"/>
      <c r="AI76" s="1384"/>
      <c r="AJ76" s="1385"/>
      <c r="AK76" s="1385"/>
      <c r="AL76" s="1385"/>
      <c r="AM76" s="1385"/>
      <c r="AN76" s="1385"/>
      <c r="AO76" s="1385"/>
      <c r="AP76" s="1385"/>
      <c r="AQ76" s="1385"/>
      <c r="AR76" s="1385"/>
      <c r="AS76" s="1385"/>
      <c r="AT76" s="1385"/>
      <c r="AU76" s="1385"/>
      <c r="AV76" s="1385"/>
      <c r="AW76" s="1385"/>
      <c r="AX76" s="1386"/>
      <c r="AZ76" s="287"/>
      <c r="BD76" s="287"/>
      <c r="BE76" s="287"/>
      <c r="BG76" s="287"/>
    </row>
    <row r="77" spans="1:78" ht="24" customHeight="1" thickTop="1" thickBot="1" x14ac:dyDescent="0.45">
      <c r="B77" s="287"/>
      <c r="C77" s="287"/>
      <c r="D77" s="287"/>
      <c r="E77" s="372"/>
      <c r="F77" s="373"/>
      <c r="G77" s="373"/>
      <c r="H77" s="373"/>
      <c r="I77" s="373"/>
      <c r="J77" s="373"/>
      <c r="K77" s="373"/>
      <c r="L77" s="373"/>
      <c r="M77" s="373"/>
      <c r="N77" s="373"/>
      <c r="O77" s="373"/>
      <c r="P77" s="373"/>
      <c r="AI77" s="287"/>
      <c r="AJ77" s="287"/>
      <c r="AK77" s="287"/>
      <c r="AL77" s="287"/>
      <c r="AM77" s="287"/>
      <c r="AN77" s="287"/>
      <c r="AO77" s="287"/>
      <c r="BZ77" s="321"/>
    </row>
    <row r="78" spans="1:78" ht="24" customHeight="1" thickTop="1" x14ac:dyDescent="0.35">
      <c r="B78" s="1017" t="s">
        <v>1120</v>
      </c>
      <c r="C78" s="1389"/>
      <c r="D78" s="1389"/>
      <c r="E78" s="1389"/>
      <c r="F78" s="1389"/>
      <c r="G78" s="1389"/>
      <c r="H78" s="1389"/>
      <c r="I78" s="1389"/>
      <c r="J78" s="1389"/>
      <c r="K78" s="1389"/>
      <c r="L78" s="1389"/>
      <c r="M78" s="1389"/>
      <c r="N78" s="1394" t="s">
        <v>1121</v>
      </c>
      <c r="O78" s="1395"/>
      <c r="P78" s="1395"/>
      <c r="Q78" s="1395"/>
      <c r="R78" s="1395"/>
      <c r="S78" s="1395"/>
      <c r="T78" s="1395"/>
      <c r="U78" s="1395"/>
      <c r="V78" s="1395"/>
      <c r="W78" s="1395"/>
      <c r="X78" s="1395"/>
      <c r="Y78" s="1396"/>
      <c r="Z78" s="1080" t="s">
        <v>998</v>
      </c>
      <c r="AA78" s="1073"/>
      <c r="AB78" s="1073"/>
      <c r="AC78" s="1081"/>
      <c r="AD78" s="1400" t="s">
        <v>66</v>
      </c>
      <c r="AE78" s="1401"/>
      <c r="AF78" s="1405" t="s">
        <v>100</v>
      </c>
      <c r="AG78" s="1405"/>
      <c r="AH78" s="1405"/>
      <c r="AI78" s="1405"/>
      <c r="AJ78" s="1405"/>
      <c r="AK78" s="1405"/>
      <c r="AL78" s="1405"/>
      <c r="AM78" s="1405"/>
      <c r="AN78" s="1405"/>
      <c r="AO78" s="1405"/>
      <c r="AP78" s="1369"/>
      <c r="AQ78" s="1369"/>
      <c r="AR78" s="1369"/>
      <c r="AS78" s="1369"/>
      <c r="AT78" s="1369"/>
      <c r="AU78" s="1369"/>
      <c r="AV78" s="1369"/>
      <c r="AW78" s="1369"/>
      <c r="AX78" s="1406"/>
      <c r="AY78" s="287"/>
      <c r="AZ78" s="287"/>
      <c r="BD78" s="287"/>
      <c r="BE78" s="287"/>
      <c r="BG78" s="287"/>
    </row>
    <row r="79" spans="1:78" ht="24" customHeight="1" thickBot="1" x14ac:dyDescent="0.4">
      <c r="B79" s="1390"/>
      <c r="C79" s="1035"/>
      <c r="D79" s="1035"/>
      <c r="E79" s="1035"/>
      <c r="F79" s="1035"/>
      <c r="G79" s="1035"/>
      <c r="H79" s="1035"/>
      <c r="I79" s="1035"/>
      <c r="J79" s="1035"/>
      <c r="K79" s="1035"/>
      <c r="L79" s="1035"/>
      <c r="M79" s="1035"/>
      <c r="N79" s="1397"/>
      <c r="O79" s="1398"/>
      <c r="P79" s="1398"/>
      <c r="Q79" s="1398"/>
      <c r="R79" s="1398"/>
      <c r="S79" s="1398"/>
      <c r="T79" s="1398"/>
      <c r="U79" s="1398"/>
      <c r="V79" s="1398"/>
      <c r="W79" s="1398"/>
      <c r="X79" s="1398"/>
      <c r="Y79" s="1399"/>
      <c r="Z79" s="1082"/>
      <c r="AA79" s="1073"/>
      <c r="AB79" s="1073"/>
      <c r="AC79" s="1081"/>
      <c r="AD79" s="1402"/>
      <c r="AE79" s="1403"/>
      <c r="AF79" s="1405"/>
      <c r="AG79" s="1405"/>
      <c r="AH79" s="1405"/>
      <c r="AI79" s="1405"/>
      <c r="AJ79" s="1405"/>
      <c r="AK79" s="1405"/>
      <c r="AL79" s="1405"/>
      <c r="AM79" s="1405"/>
      <c r="AN79" s="1405"/>
      <c r="AO79" s="1405"/>
      <c r="AP79" s="1369"/>
      <c r="AQ79" s="1369"/>
      <c r="AR79" s="1369"/>
      <c r="AS79" s="1369"/>
      <c r="AT79" s="1369"/>
      <c r="AU79" s="1369"/>
      <c r="AV79" s="1369"/>
      <c r="AW79" s="1369"/>
      <c r="AX79" s="1406"/>
      <c r="AY79" s="287"/>
      <c r="AZ79" s="287"/>
      <c r="BD79" s="287"/>
      <c r="BE79" s="287"/>
      <c r="BG79" s="287"/>
    </row>
    <row r="80" spans="1:78" ht="24" customHeight="1" thickTop="1" x14ac:dyDescent="0.35">
      <c r="A80" s="289"/>
      <c r="B80" s="1391"/>
      <c r="C80" s="947"/>
      <c r="D80" s="947"/>
      <c r="E80" s="947"/>
      <c r="F80" s="947"/>
      <c r="G80" s="947"/>
      <c r="H80" s="947"/>
      <c r="I80" s="947"/>
      <c r="J80" s="947"/>
      <c r="K80" s="947"/>
      <c r="L80" s="947"/>
      <c r="M80" s="1035"/>
      <c r="N80" s="1407" t="s">
        <v>996</v>
      </c>
      <c r="O80" s="790"/>
      <c r="P80" s="790"/>
      <c r="Q80" s="790"/>
      <c r="R80" s="1407" t="s">
        <v>997</v>
      </c>
      <c r="S80" s="790"/>
      <c r="T80" s="790"/>
      <c r="U80" s="790"/>
      <c r="V80" s="1407" t="s">
        <v>64</v>
      </c>
      <c r="W80" s="790"/>
      <c r="X80" s="790"/>
      <c r="Y80" s="790"/>
      <c r="Z80" s="1073"/>
      <c r="AA80" s="1073"/>
      <c r="AB80" s="1073"/>
      <c r="AC80" s="1081"/>
      <c r="AD80" s="1404"/>
      <c r="AE80" s="1403"/>
      <c r="AF80" s="1405"/>
      <c r="AG80" s="1405"/>
      <c r="AH80" s="1405"/>
      <c r="AI80" s="1405"/>
      <c r="AJ80" s="1405"/>
      <c r="AK80" s="1405"/>
      <c r="AL80" s="1405"/>
      <c r="AM80" s="1405"/>
      <c r="AN80" s="1405"/>
      <c r="AO80" s="1405"/>
      <c r="AP80" s="1369"/>
      <c r="AQ80" s="1369"/>
      <c r="AR80" s="1369"/>
      <c r="AS80" s="1369"/>
      <c r="AT80" s="1369"/>
      <c r="AU80" s="1369"/>
      <c r="AV80" s="1369"/>
      <c r="AW80" s="1369"/>
      <c r="AX80" s="1406"/>
      <c r="AY80" s="289"/>
      <c r="AZ80" s="358"/>
      <c r="BA80" s="997"/>
      <c r="BB80" s="997"/>
      <c r="BC80" s="997"/>
      <c r="BD80" s="359"/>
      <c r="BE80" s="360"/>
      <c r="BF80" s="361"/>
      <c r="BG80" s="360"/>
      <c r="BH80" s="362"/>
      <c r="BI80" s="362"/>
      <c r="BJ80" s="363"/>
      <c r="BK80" s="362"/>
      <c r="BL80" s="360"/>
      <c r="BM80" s="364"/>
      <c r="BZ80" s="321"/>
    </row>
    <row r="81" spans="1:80" ht="24" customHeight="1" x14ac:dyDescent="0.35">
      <c r="A81" s="289"/>
      <c r="B81" s="1392"/>
      <c r="C81" s="1393"/>
      <c r="D81" s="1393"/>
      <c r="E81" s="1393"/>
      <c r="F81" s="1393"/>
      <c r="G81" s="1393"/>
      <c r="H81" s="1393"/>
      <c r="I81" s="1393"/>
      <c r="J81" s="1393"/>
      <c r="K81" s="1393"/>
      <c r="L81" s="1393"/>
      <c r="M81" s="1393"/>
      <c r="N81" s="1238"/>
      <c r="O81" s="1238"/>
      <c r="P81" s="1238"/>
      <c r="Q81" s="1238"/>
      <c r="R81" s="1238"/>
      <c r="S81" s="1238"/>
      <c r="T81" s="1238"/>
      <c r="U81" s="1238"/>
      <c r="V81" s="1238"/>
      <c r="W81" s="1238"/>
      <c r="X81" s="1238"/>
      <c r="Y81" s="1238"/>
      <c r="Z81" s="1073"/>
      <c r="AA81" s="1073"/>
      <c r="AB81" s="1073"/>
      <c r="AC81" s="1081"/>
      <c r="AD81" s="1404"/>
      <c r="AE81" s="1403"/>
      <c r="AF81" s="1405"/>
      <c r="AG81" s="1405"/>
      <c r="AH81" s="1405"/>
      <c r="AI81" s="1405"/>
      <c r="AJ81" s="1405"/>
      <c r="AK81" s="1405"/>
      <c r="AL81" s="1405"/>
      <c r="AM81" s="1405"/>
      <c r="AN81" s="1405"/>
      <c r="AO81" s="1405"/>
      <c r="AP81" s="1369"/>
      <c r="AQ81" s="1369"/>
      <c r="AR81" s="1369"/>
      <c r="AS81" s="1369"/>
      <c r="AT81" s="1369"/>
      <c r="AU81" s="1369"/>
      <c r="AV81" s="1369"/>
      <c r="AW81" s="1369"/>
      <c r="AX81" s="1406"/>
      <c r="AY81" s="289"/>
      <c r="AZ81" s="358"/>
      <c r="BA81" s="997"/>
      <c r="BB81" s="997"/>
      <c r="BC81" s="997"/>
      <c r="BD81" s="359"/>
      <c r="BE81" s="360"/>
      <c r="BF81" s="361"/>
      <c r="BG81" s="360"/>
      <c r="BH81" s="362"/>
      <c r="BI81" s="362"/>
      <c r="BJ81" s="363"/>
      <c r="BK81" s="362"/>
      <c r="BL81" s="360"/>
      <c r="BM81" s="364"/>
      <c r="BZ81" s="321"/>
    </row>
    <row r="82" spans="1:80" ht="18" customHeight="1" x14ac:dyDescent="0.35">
      <c r="A82" s="289"/>
      <c r="B82" s="1088" t="s">
        <v>230</v>
      </c>
      <c r="C82" s="1098"/>
      <c r="D82" s="1098"/>
      <c r="E82" s="1099"/>
      <c r="F82" s="1106" t="s">
        <v>153</v>
      </c>
      <c r="G82" s="1098"/>
      <c r="H82" s="1098"/>
      <c r="I82" s="1098"/>
      <c r="J82" s="1098"/>
      <c r="K82" s="1098"/>
      <c r="L82" s="1098"/>
      <c r="M82" s="1099"/>
      <c r="N82" s="1060"/>
      <c r="O82" s="1061"/>
      <c r="P82" s="1061"/>
      <c r="Q82" s="1061"/>
      <c r="R82" s="1060"/>
      <c r="S82" s="1063"/>
      <c r="T82" s="1063"/>
      <c r="U82" s="1063"/>
      <c r="V82" s="1097">
        <f>SUM(IF($H$75="",0,$H$75)*N82,IF($L$75="",0,$L$75)*R82)</f>
        <v>0</v>
      </c>
      <c r="W82" s="1084"/>
      <c r="X82" s="1084"/>
      <c r="Y82" s="1084"/>
      <c r="Z82" s="1083">
        <f>IFERROR(V82*$X$75,0)</f>
        <v>0</v>
      </c>
      <c r="AA82" s="1084"/>
      <c r="AB82" s="1084"/>
      <c r="AC82" s="1085"/>
      <c r="AD82" s="1066" t="str">
        <f>IF(COUNTA(N82:U84)=2,"○","×")</f>
        <v>×</v>
      </c>
      <c r="AE82" s="1069"/>
      <c r="AF82" s="1110" t="str">
        <f xml:space="preserve">
IF(COUNTA(N82:U84)&lt;2,"各職種の使用数を入力してください。(０の場合は０を入力)",
IF(AND(COUNTA(N82:U84)=2,N82&lt;=AZ82,R82&lt;=AZ82),"適切に入力されました。",
IF(AND(COUNTA(N82:U84)=2,OR(N82&gt;AZ82,R82&gt;AZ82)),"患者１人あたりスタッフ１名が２枚を超える使用量が入力されているため、着脱を行う手順及び手順毎の数量を下段の欄に記入してください。")))</f>
        <v>各職種の使用数を入力してください。(０の場合は０を入力)</v>
      </c>
      <c r="AG82" s="1111"/>
      <c r="AH82" s="1111"/>
      <c r="AI82" s="1111"/>
      <c r="AJ82" s="1111"/>
      <c r="AK82" s="1111"/>
      <c r="AL82" s="1111"/>
      <c r="AM82" s="1111"/>
      <c r="AN82" s="1111"/>
      <c r="AO82" s="1111"/>
      <c r="AP82" s="1112"/>
      <c r="AQ82" s="1113"/>
      <c r="AR82" s="1113"/>
      <c r="AS82" s="1113"/>
      <c r="AT82" s="1113"/>
      <c r="AU82" s="1113"/>
      <c r="AV82" s="1113"/>
      <c r="AW82" s="1113"/>
      <c r="AX82" s="1114"/>
      <c r="AY82" s="289"/>
      <c r="AZ82" s="2027">
        <v>2</v>
      </c>
      <c r="BA82" s="997"/>
      <c r="BB82" s="997"/>
      <c r="BC82" s="997"/>
      <c r="BD82" s="359"/>
      <c r="BE82" s="360"/>
      <c r="BF82" s="361"/>
      <c r="BG82" s="360"/>
      <c r="BH82" s="362"/>
      <c r="BI82" s="362"/>
      <c r="BJ82" s="363"/>
      <c r="BK82" s="362"/>
      <c r="BL82" s="360"/>
      <c r="BM82" s="364"/>
      <c r="BZ82" s="321"/>
    </row>
    <row r="83" spans="1:80" ht="18" customHeight="1" x14ac:dyDescent="0.35">
      <c r="B83" s="1100"/>
      <c r="C83" s="1101"/>
      <c r="D83" s="1101"/>
      <c r="E83" s="1102"/>
      <c r="F83" s="1100"/>
      <c r="G83" s="1101"/>
      <c r="H83" s="1101"/>
      <c r="I83" s="1101"/>
      <c r="J83" s="1101"/>
      <c r="K83" s="1101"/>
      <c r="L83" s="1101"/>
      <c r="M83" s="1102"/>
      <c r="N83" s="1060"/>
      <c r="O83" s="1061"/>
      <c r="P83" s="1061"/>
      <c r="Q83" s="1061"/>
      <c r="R83" s="1060"/>
      <c r="S83" s="1063"/>
      <c r="T83" s="1063"/>
      <c r="U83" s="1063"/>
      <c r="V83" s="1097"/>
      <c r="W83" s="1084"/>
      <c r="X83" s="1084"/>
      <c r="Y83" s="1084"/>
      <c r="Z83" s="1083"/>
      <c r="AA83" s="1084"/>
      <c r="AB83" s="1084"/>
      <c r="AC83" s="1085"/>
      <c r="AD83" s="1066"/>
      <c r="AE83" s="1069"/>
      <c r="AF83" s="1110"/>
      <c r="AG83" s="1111"/>
      <c r="AH83" s="1111"/>
      <c r="AI83" s="1111"/>
      <c r="AJ83" s="1111"/>
      <c r="AK83" s="1111"/>
      <c r="AL83" s="1111"/>
      <c r="AM83" s="1111"/>
      <c r="AN83" s="1111"/>
      <c r="AO83" s="1111"/>
      <c r="AP83" s="1112"/>
      <c r="AQ83" s="1113"/>
      <c r="AR83" s="1113"/>
      <c r="AS83" s="1113"/>
      <c r="AT83" s="1113"/>
      <c r="AU83" s="1113"/>
      <c r="AV83" s="1113"/>
      <c r="AW83" s="1113"/>
      <c r="AX83" s="1114"/>
      <c r="AZ83" s="1190"/>
      <c r="BZ83" s="321"/>
    </row>
    <row r="84" spans="1:80" ht="18" customHeight="1" x14ac:dyDescent="0.35">
      <c r="B84" s="1100"/>
      <c r="C84" s="1101"/>
      <c r="D84" s="1101"/>
      <c r="E84" s="1102"/>
      <c r="F84" s="1103"/>
      <c r="G84" s="1104"/>
      <c r="H84" s="1104"/>
      <c r="I84" s="1104"/>
      <c r="J84" s="1104"/>
      <c r="K84" s="1104"/>
      <c r="L84" s="1104"/>
      <c r="M84" s="1105"/>
      <c r="N84" s="1061"/>
      <c r="O84" s="1061"/>
      <c r="P84" s="1061"/>
      <c r="Q84" s="1061"/>
      <c r="R84" s="1063"/>
      <c r="S84" s="1063"/>
      <c r="T84" s="1063"/>
      <c r="U84" s="1063"/>
      <c r="V84" s="1084"/>
      <c r="W84" s="1084"/>
      <c r="X84" s="1084"/>
      <c r="Y84" s="1084"/>
      <c r="Z84" s="1084"/>
      <c r="AA84" s="1084"/>
      <c r="AB84" s="1084"/>
      <c r="AC84" s="1085"/>
      <c r="AD84" s="1070"/>
      <c r="AE84" s="1069"/>
      <c r="AF84" s="1111"/>
      <c r="AG84" s="1111"/>
      <c r="AH84" s="1111"/>
      <c r="AI84" s="1111"/>
      <c r="AJ84" s="1111"/>
      <c r="AK84" s="1111"/>
      <c r="AL84" s="1111"/>
      <c r="AM84" s="1111"/>
      <c r="AN84" s="1111"/>
      <c r="AO84" s="1111"/>
      <c r="AP84" s="1112"/>
      <c r="AQ84" s="1113"/>
      <c r="AR84" s="1113"/>
      <c r="AS84" s="1113"/>
      <c r="AT84" s="1113"/>
      <c r="AU84" s="1113"/>
      <c r="AV84" s="1113"/>
      <c r="AW84" s="1113"/>
      <c r="AX84" s="1114"/>
      <c r="AZ84" s="1190"/>
    </row>
    <row r="85" spans="1:80" ht="18" customHeight="1" x14ac:dyDescent="0.35">
      <c r="B85" s="1100"/>
      <c r="C85" s="1101"/>
      <c r="D85" s="1101"/>
      <c r="E85" s="1102"/>
      <c r="F85" s="1106" t="s">
        <v>1040</v>
      </c>
      <c r="G85" s="1098"/>
      <c r="H85" s="1098"/>
      <c r="I85" s="1098"/>
      <c r="J85" s="1098"/>
      <c r="K85" s="1098"/>
      <c r="L85" s="1098"/>
      <c r="M85" s="1099"/>
      <c r="N85" s="1060"/>
      <c r="O85" s="1061"/>
      <c r="P85" s="1061"/>
      <c r="Q85" s="1061"/>
      <c r="R85" s="1060"/>
      <c r="S85" s="1063"/>
      <c r="T85" s="1063"/>
      <c r="U85" s="1063"/>
      <c r="V85" s="1097">
        <f>SUM(IF($H$75="",0,$H$75)*N85,IF($L$75="",0,$L$75)*R85)</f>
        <v>0</v>
      </c>
      <c r="W85" s="1084"/>
      <c r="X85" s="1084"/>
      <c r="Y85" s="1084"/>
      <c r="Z85" s="1083">
        <f>IFERROR(V85*$X$75,0)</f>
        <v>0</v>
      </c>
      <c r="AA85" s="1084"/>
      <c r="AB85" s="1084"/>
      <c r="AC85" s="1085"/>
      <c r="AD85" s="1066" t="str">
        <f t="shared" ref="AD85" si="18">IF(COUNTA(N85:U87)=2,"○","×")</f>
        <v>×</v>
      </c>
      <c r="AE85" s="1069"/>
      <c r="AF85" s="1110" t="str">
        <f xml:space="preserve">
IF(COUNTA(N85:U87)&lt;2,"各職種の使用数を入力してください。(０の場合は０を入力)",
IF(AND(COUNTA(N85:U87)=2,N85&lt;=2,R85&lt;=2),"適切に入力されました。",
IF(AND(COUNTA(N85:U87)=2,OR(N85&gt;2,R85&gt;2)),"患者１人あたりスタッフ１名が２枚を超える使用量が入力されているため、着脱を行う手順及び手順毎の数量を下段の欄に記入してください。")))</f>
        <v>各職種の使用数を入力してください。(０の場合は０を入力)</v>
      </c>
      <c r="AG85" s="1111"/>
      <c r="AH85" s="1111"/>
      <c r="AI85" s="1111"/>
      <c r="AJ85" s="1111"/>
      <c r="AK85" s="1111"/>
      <c r="AL85" s="1111"/>
      <c r="AM85" s="1111"/>
      <c r="AN85" s="1111"/>
      <c r="AO85" s="1111"/>
      <c r="AP85" s="1112"/>
      <c r="AQ85" s="1113"/>
      <c r="AR85" s="1113"/>
      <c r="AS85" s="1113"/>
      <c r="AT85" s="1113"/>
      <c r="AU85" s="1113"/>
      <c r="AV85" s="1113"/>
      <c r="AW85" s="1113"/>
      <c r="AX85" s="1114"/>
      <c r="AZ85" s="2027">
        <v>1</v>
      </c>
      <c r="BN85" s="374"/>
      <c r="BO85" s="374"/>
      <c r="BP85" s="674" t="s">
        <v>948</v>
      </c>
      <c r="BQ85" s="674" t="s">
        <v>939</v>
      </c>
      <c r="BR85" s="674" t="s">
        <v>947</v>
      </c>
      <c r="BS85" s="674" t="s">
        <v>1031</v>
      </c>
      <c r="BT85" s="675" t="s">
        <v>1032</v>
      </c>
      <c r="BU85" s="374"/>
      <c r="BV85" s="374"/>
      <c r="BW85" s="374"/>
      <c r="BX85" s="374" t="e">
        <f>#REF!</f>
        <v>#REF!</v>
      </c>
      <c r="BY85" s="374"/>
      <c r="BZ85" s="376">
        <v>7</v>
      </c>
      <c r="CA85" s="376" t="s">
        <v>965</v>
      </c>
    </row>
    <row r="86" spans="1:80" ht="18" customHeight="1" x14ac:dyDescent="0.35">
      <c r="B86" s="1100"/>
      <c r="C86" s="1101"/>
      <c r="D86" s="1101"/>
      <c r="E86" s="1102"/>
      <c r="F86" s="1100"/>
      <c r="G86" s="1101"/>
      <c r="H86" s="1101"/>
      <c r="I86" s="1101"/>
      <c r="J86" s="1101"/>
      <c r="K86" s="1101"/>
      <c r="L86" s="1101"/>
      <c r="M86" s="1102"/>
      <c r="N86" s="1060"/>
      <c r="O86" s="1061"/>
      <c r="P86" s="1061"/>
      <c r="Q86" s="1061"/>
      <c r="R86" s="1060"/>
      <c r="S86" s="1063"/>
      <c r="T86" s="1063"/>
      <c r="U86" s="1063"/>
      <c r="V86" s="1097"/>
      <c r="W86" s="1084"/>
      <c r="X86" s="1084"/>
      <c r="Y86" s="1084"/>
      <c r="Z86" s="1083"/>
      <c r="AA86" s="1084"/>
      <c r="AB86" s="1084"/>
      <c r="AC86" s="1085"/>
      <c r="AD86" s="1066"/>
      <c r="AE86" s="1069"/>
      <c r="AF86" s="1110"/>
      <c r="AG86" s="1111"/>
      <c r="AH86" s="1111"/>
      <c r="AI86" s="1111"/>
      <c r="AJ86" s="1111"/>
      <c r="AK86" s="1111"/>
      <c r="AL86" s="1111"/>
      <c r="AM86" s="1111"/>
      <c r="AN86" s="1111"/>
      <c r="AO86" s="1111"/>
      <c r="AP86" s="1112"/>
      <c r="AQ86" s="1113"/>
      <c r="AR86" s="1113"/>
      <c r="AS86" s="1113"/>
      <c r="AT86" s="1113"/>
      <c r="AU86" s="1113"/>
      <c r="AV86" s="1113"/>
      <c r="AW86" s="1113"/>
      <c r="AX86" s="1114"/>
      <c r="AZ86" s="1190"/>
      <c r="BN86" s="518" t="s">
        <v>949</v>
      </c>
      <c r="BO86" s="520">
        <f>MONTH(BP86)</f>
        <v>10</v>
      </c>
      <c r="BP86" s="508" t="str">
        <f xml:space="preserve">
IF(テーブル!B3="交付申請","2023/5/8",
IF(テーブル!B3="変更申請","2023/10/1",
IF(テーブル!B3="実績報告（１次）","2023/5/8",
IF(テーブル!B3="交付申請（２次）","2023/10/1",
IF(テーブル!B3="交付申請兼実績報告（２次）","2023/10/1",
IF(テーブル!B3="実績報告（２次）","2023/10/1"))))))</f>
        <v>2023/10/1</v>
      </c>
      <c r="BQ86" s="674" t="str">
        <f>TEXT(BP86,"aaaa")</f>
        <v>日曜日</v>
      </c>
      <c r="BR86" s="674" t="str">
        <f>BO86&amp;VLOOKUP(BQ86,$BU$86:$BV$92,2,FALSE)</f>
        <v>100</v>
      </c>
      <c r="BS86" s="509" t="str">
        <f>VLOOKUP(BQ86,$B$22:$AO$28,38,FALSE)</f>
        <v>表示不可</v>
      </c>
      <c r="BT86" s="374"/>
      <c r="BU86" s="675" t="s">
        <v>950</v>
      </c>
      <c r="BV86" s="675">
        <f t="shared" ref="BV86:BV92" si="19">E22</f>
        <v>0</v>
      </c>
      <c r="BW86" s="374"/>
      <c r="BX86" s="374" t="e">
        <f>#REF!</f>
        <v>#REF!</v>
      </c>
      <c r="BY86" s="374"/>
      <c r="BZ86" s="376">
        <v>8</v>
      </c>
      <c r="CA86" s="376">
        <v>15</v>
      </c>
    </row>
    <row r="87" spans="1:80" ht="18" customHeight="1" x14ac:dyDescent="0.35">
      <c r="B87" s="1100"/>
      <c r="C87" s="1101"/>
      <c r="D87" s="1101"/>
      <c r="E87" s="1102"/>
      <c r="F87" s="1103"/>
      <c r="G87" s="1104"/>
      <c r="H87" s="1104"/>
      <c r="I87" s="1104"/>
      <c r="J87" s="1104"/>
      <c r="K87" s="1104"/>
      <c r="L87" s="1104"/>
      <c r="M87" s="1105"/>
      <c r="N87" s="1061"/>
      <c r="O87" s="1061"/>
      <c r="P87" s="1061"/>
      <c r="Q87" s="1061"/>
      <c r="R87" s="1063"/>
      <c r="S87" s="1063"/>
      <c r="T87" s="1063"/>
      <c r="U87" s="1063"/>
      <c r="V87" s="1084"/>
      <c r="W87" s="1084"/>
      <c r="X87" s="1084"/>
      <c r="Y87" s="1084"/>
      <c r="Z87" s="1084"/>
      <c r="AA87" s="1084"/>
      <c r="AB87" s="1084"/>
      <c r="AC87" s="1085"/>
      <c r="AD87" s="1070"/>
      <c r="AE87" s="1069"/>
      <c r="AF87" s="1111"/>
      <c r="AG87" s="1111"/>
      <c r="AH87" s="1111"/>
      <c r="AI87" s="1111"/>
      <c r="AJ87" s="1111"/>
      <c r="AK87" s="1111"/>
      <c r="AL87" s="1111"/>
      <c r="AM87" s="1111"/>
      <c r="AN87" s="1111"/>
      <c r="AO87" s="1111"/>
      <c r="AP87" s="1112"/>
      <c r="AQ87" s="1113"/>
      <c r="AR87" s="1113"/>
      <c r="AS87" s="1113"/>
      <c r="AT87" s="1113"/>
      <c r="AU87" s="1113"/>
      <c r="AV87" s="1113"/>
      <c r="AW87" s="1113"/>
      <c r="AX87" s="1114"/>
      <c r="AZ87" s="1190"/>
      <c r="BN87" s="518" t="s">
        <v>951</v>
      </c>
      <c r="BO87" s="520">
        <f t="shared" ref="BO87:BO150" si="20">MONTH(BP87)</f>
        <v>10</v>
      </c>
      <c r="BP87" s="508">
        <f>BP86+1</f>
        <v>45201</v>
      </c>
      <c r="BQ87" s="674" t="str">
        <f t="shared" ref="BQ87:BQ150" si="21">TEXT(BP87,"aaaa")</f>
        <v>月曜日</v>
      </c>
      <c r="BR87" s="674" t="str">
        <f t="shared" ref="BR87:BR150" si="22">BO87&amp;VLOOKUP(BQ87,$BU$86:$BV$92,2,FALSE)</f>
        <v>100</v>
      </c>
      <c r="BS87" s="509" t="str">
        <f t="shared" ref="BS87:BS150" si="23">VLOOKUP(BQ87,$B$22:$AO$28,38,FALSE)</f>
        <v>表示不可</v>
      </c>
      <c r="BT87" s="374"/>
      <c r="BU87" s="675" t="s">
        <v>941</v>
      </c>
      <c r="BV87" s="675">
        <f t="shared" si="19"/>
        <v>0</v>
      </c>
      <c r="BW87" s="374"/>
      <c r="BX87" s="374" t="e">
        <f>#REF!</f>
        <v>#REF!</v>
      </c>
      <c r="BY87" s="374"/>
      <c r="BZ87" s="376">
        <v>9</v>
      </c>
      <c r="CA87" s="376">
        <v>30</v>
      </c>
    </row>
    <row r="88" spans="1:80" ht="18" customHeight="1" x14ac:dyDescent="0.35">
      <c r="B88" s="1100"/>
      <c r="C88" s="1101"/>
      <c r="D88" s="1101"/>
      <c r="E88" s="1102"/>
      <c r="F88" s="1107" t="s">
        <v>1142</v>
      </c>
      <c r="G88" s="1098"/>
      <c r="H88" s="1098"/>
      <c r="I88" s="1098"/>
      <c r="J88" s="1098"/>
      <c r="K88" s="1098"/>
      <c r="L88" s="1098"/>
      <c r="M88" s="1099"/>
      <c r="N88" s="1060"/>
      <c r="O88" s="1061"/>
      <c r="P88" s="1061"/>
      <c r="Q88" s="1061"/>
      <c r="R88" s="1060"/>
      <c r="S88" s="1063"/>
      <c r="T88" s="1063"/>
      <c r="U88" s="1063"/>
      <c r="V88" s="1097">
        <f>SUM(IF($H$75="",0,$H$75)*N88,IF($L$75="",0,$L$75)*R88)</f>
        <v>0</v>
      </c>
      <c r="W88" s="1084"/>
      <c r="X88" s="1084"/>
      <c r="Y88" s="1084"/>
      <c r="Z88" s="1083">
        <f>IFERROR(V88*$AC$75,0)</f>
        <v>0</v>
      </c>
      <c r="AA88" s="1084"/>
      <c r="AB88" s="1084"/>
      <c r="AC88" s="1085"/>
      <c r="AD88" s="1066" t="str">
        <f t="shared" ref="AD88" si="24">IF(COUNTA(N88:U90)=2,"○","×")</f>
        <v>×</v>
      </c>
      <c r="AE88" s="1069"/>
      <c r="AF88" s="1110" t="str">
        <f xml:space="preserve">
IF(COUNTA(N88:U90)&lt;2,"各職種の使用数を入力してください。(０の場合は０を入力)",
IF(AND(COUNTA(N88:U90)=2,N88&lt;=2,R88&lt;=2),"適切に入力されました。",
IF(AND(COUNTA(N88:U90)=2,OR(N88&gt;2,R88&gt;2)),"患者１人あたりスタッフ１名が２枚を超える使用量が入力されているため、着脱を行う手順及び手順毎の数量を下段の欄に記入してください。")))</f>
        <v>各職種の使用数を入力してください。(０の場合は０を入力)</v>
      </c>
      <c r="AG88" s="1111"/>
      <c r="AH88" s="1111"/>
      <c r="AI88" s="1111"/>
      <c r="AJ88" s="1111"/>
      <c r="AK88" s="1111"/>
      <c r="AL88" s="1111"/>
      <c r="AM88" s="1111"/>
      <c r="AN88" s="1111"/>
      <c r="AO88" s="1111"/>
      <c r="AP88" s="1112"/>
      <c r="AQ88" s="1113"/>
      <c r="AR88" s="1113"/>
      <c r="AS88" s="1113"/>
      <c r="AT88" s="1113"/>
      <c r="AU88" s="1113"/>
      <c r="AV88" s="1113"/>
      <c r="AW88" s="1113"/>
      <c r="AX88" s="1114"/>
      <c r="AZ88" s="2027">
        <v>1</v>
      </c>
      <c r="BN88" s="518"/>
      <c r="BO88" s="520">
        <f t="shared" si="20"/>
        <v>10</v>
      </c>
      <c r="BP88" s="508">
        <f t="shared" ref="BP88:BP151" si="25">BP87+1</f>
        <v>45202</v>
      </c>
      <c r="BQ88" s="674" t="str">
        <f t="shared" si="21"/>
        <v>火曜日</v>
      </c>
      <c r="BR88" s="674" t="str">
        <f t="shared" si="22"/>
        <v>100</v>
      </c>
      <c r="BS88" s="509" t="str">
        <f t="shared" si="23"/>
        <v>表示不可</v>
      </c>
      <c r="BT88" s="374"/>
      <c r="BU88" s="675" t="s">
        <v>942</v>
      </c>
      <c r="BV88" s="675">
        <f t="shared" si="19"/>
        <v>0</v>
      </c>
      <c r="BW88" s="374"/>
      <c r="BX88" s="374" t="e">
        <f>#REF!</f>
        <v>#REF!</v>
      </c>
      <c r="BY88" s="374"/>
      <c r="BZ88" s="376">
        <v>10</v>
      </c>
      <c r="CA88" s="376">
        <v>45</v>
      </c>
    </row>
    <row r="89" spans="1:80" ht="18" customHeight="1" x14ac:dyDescent="0.35">
      <c r="B89" s="1100"/>
      <c r="C89" s="1101"/>
      <c r="D89" s="1101"/>
      <c r="E89" s="1102"/>
      <c r="F89" s="1100"/>
      <c r="G89" s="1101"/>
      <c r="H89" s="1101"/>
      <c r="I89" s="1101"/>
      <c r="J89" s="1101"/>
      <c r="K89" s="1101"/>
      <c r="L89" s="1101"/>
      <c r="M89" s="1102"/>
      <c r="N89" s="1060"/>
      <c r="O89" s="1061"/>
      <c r="P89" s="1061"/>
      <c r="Q89" s="1061"/>
      <c r="R89" s="1060"/>
      <c r="S89" s="1063"/>
      <c r="T89" s="1063"/>
      <c r="U89" s="1063"/>
      <c r="V89" s="1097"/>
      <c r="W89" s="1084"/>
      <c r="X89" s="1084"/>
      <c r="Y89" s="1084"/>
      <c r="Z89" s="1083"/>
      <c r="AA89" s="1084"/>
      <c r="AB89" s="1084"/>
      <c r="AC89" s="1085"/>
      <c r="AD89" s="1066"/>
      <c r="AE89" s="1069"/>
      <c r="AF89" s="1110"/>
      <c r="AG89" s="1111"/>
      <c r="AH89" s="1111"/>
      <c r="AI89" s="1111"/>
      <c r="AJ89" s="1111"/>
      <c r="AK89" s="1111"/>
      <c r="AL89" s="1111"/>
      <c r="AM89" s="1111"/>
      <c r="AN89" s="1111"/>
      <c r="AO89" s="1111"/>
      <c r="AP89" s="1112"/>
      <c r="AQ89" s="1113"/>
      <c r="AR89" s="1113"/>
      <c r="AS89" s="1113"/>
      <c r="AT89" s="1113"/>
      <c r="AU89" s="1113"/>
      <c r="AV89" s="1113"/>
      <c r="AW89" s="1113"/>
      <c r="AX89" s="1114"/>
      <c r="AZ89" s="1190"/>
      <c r="BN89" s="518" t="s">
        <v>952</v>
      </c>
      <c r="BO89" s="520">
        <f t="shared" si="20"/>
        <v>10</v>
      </c>
      <c r="BP89" s="508">
        <f t="shared" si="25"/>
        <v>45203</v>
      </c>
      <c r="BQ89" s="674" t="str">
        <f t="shared" si="21"/>
        <v>水曜日</v>
      </c>
      <c r="BR89" s="674" t="str">
        <f t="shared" si="22"/>
        <v>100</v>
      </c>
      <c r="BS89" s="509" t="str">
        <f t="shared" si="23"/>
        <v>表示不可</v>
      </c>
      <c r="BT89" s="374"/>
      <c r="BU89" s="675" t="s">
        <v>943</v>
      </c>
      <c r="BV89" s="675">
        <f t="shared" si="19"/>
        <v>0</v>
      </c>
      <c r="BW89" s="374"/>
      <c r="BX89" s="374" t="e">
        <f>#REF!</f>
        <v>#REF!</v>
      </c>
      <c r="BY89" s="374"/>
      <c r="BZ89" s="376">
        <v>11</v>
      </c>
      <c r="CA89" s="675"/>
    </row>
    <row r="90" spans="1:80" ht="18" customHeight="1" x14ac:dyDescent="0.35">
      <c r="B90" s="1103"/>
      <c r="C90" s="1104"/>
      <c r="D90" s="1104"/>
      <c r="E90" s="1105"/>
      <c r="F90" s="1103"/>
      <c r="G90" s="1104"/>
      <c r="H90" s="1104"/>
      <c r="I90" s="1104"/>
      <c r="J90" s="1104"/>
      <c r="K90" s="1104"/>
      <c r="L90" s="1104"/>
      <c r="M90" s="1105"/>
      <c r="N90" s="1061"/>
      <c r="O90" s="1061"/>
      <c r="P90" s="1061"/>
      <c r="Q90" s="1061"/>
      <c r="R90" s="1063"/>
      <c r="S90" s="1063"/>
      <c r="T90" s="1063"/>
      <c r="U90" s="1063"/>
      <c r="V90" s="1084"/>
      <c r="W90" s="1084"/>
      <c r="X90" s="1084"/>
      <c r="Y90" s="1084"/>
      <c r="Z90" s="1084"/>
      <c r="AA90" s="1084"/>
      <c r="AB90" s="1084"/>
      <c r="AC90" s="1085"/>
      <c r="AD90" s="1070"/>
      <c r="AE90" s="1069"/>
      <c r="AF90" s="1111"/>
      <c r="AG90" s="1111"/>
      <c r="AH90" s="1111"/>
      <c r="AI90" s="1111"/>
      <c r="AJ90" s="1111"/>
      <c r="AK90" s="1111"/>
      <c r="AL90" s="1111"/>
      <c r="AM90" s="1111"/>
      <c r="AN90" s="1111"/>
      <c r="AO90" s="1111"/>
      <c r="AP90" s="1112"/>
      <c r="AQ90" s="1113"/>
      <c r="AR90" s="1113"/>
      <c r="AS90" s="1113"/>
      <c r="AT90" s="1113"/>
      <c r="AU90" s="1113"/>
      <c r="AV90" s="1113"/>
      <c r="AW90" s="1113"/>
      <c r="AX90" s="1114"/>
      <c r="AZ90" s="1190"/>
      <c r="BN90" s="519" t="s">
        <v>953</v>
      </c>
      <c r="BO90" s="520">
        <f t="shared" si="20"/>
        <v>10</v>
      </c>
      <c r="BP90" s="508">
        <f t="shared" si="25"/>
        <v>45204</v>
      </c>
      <c r="BQ90" s="674" t="str">
        <f t="shared" si="21"/>
        <v>木曜日</v>
      </c>
      <c r="BR90" s="674" t="str">
        <f t="shared" si="22"/>
        <v>100</v>
      </c>
      <c r="BS90" s="509" t="str">
        <f t="shared" si="23"/>
        <v>表示不可</v>
      </c>
      <c r="BT90" s="675"/>
      <c r="BU90" s="675" t="s">
        <v>944</v>
      </c>
      <c r="BV90" s="675">
        <f t="shared" si="19"/>
        <v>0</v>
      </c>
      <c r="BW90" s="675"/>
      <c r="BX90" s="374" t="e">
        <f>#REF!</f>
        <v>#REF!</v>
      </c>
      <c r="BY90" s="675"/>
      <c r="BZ90" s="376">
        <v>12</v>
      </c>
      <c r="CA90" s="675"/>
      <c r="CB90" s="288"/>
    </row>
    <row r="91" spans="1:80" ht="18" customHeight="1" x14ac:dyDescent="0.35">
      <c r="B91" s="1108" t="s">
        <v>232</v>
      </c>
      <c r="C91" s="1098"/>
      <c r="D91" s="1098"/>
      <c r="E91" s="1098"/>
      <c r="F91" s="1098"/>
      <c r="G91" s="1098"/>
      <c r="H91" s="1098"/>
      <c r="I91" s="1098"/>
      <c r="J91" s="1098"/>
      <c r="K91" s="1098"/>
      <c r="L91" s="1098"/>
      <c r="M91" s="1098"/>
      <c r="N91" s="1087"/>
      <c r="O91" s="1061"/>
      <c r="P91" s="1061"/>
      <c r="Q91" s="1061"/>
      <c r="R91" s="1087"/>
      <c r="S91" s="1063"/>
      <c r="T91" s="1063"/>
      <c r="U91" s="1063"/>
      <c r="V91" s="1144">
        <f>SUM(IF($H$75="",0,$H$75)*N91,IF($L$75="",0,$L$75)*R91)</f>
        <v>0</v>
      </c>
      <c r="W91" s="1084"/>
      <c r="X91" s="1084"/>
      <c r="Y91" s="1084"/>
      <c r="Z91" s="1086">
        <f>IFERROR(V91*$X$75,0)</f>
        <v>0</v>
      </c>
      <c r="AA91" s="1084"/>
      <c r="AB91" s="1084"/>
      <c r="AC91" s="1085"/>
      <c r="AD91" s="1066" t="str">
        <f t="shared" ref="AD91" si="26">IF(COUNTA(N91:U93)=2,"○","×")</f>
        <v>×</v>
      </c>
      <c r="AE91" s="1069"/>
      <c r="AF91" s="1110" t="str">
        <f xml:space="preserve">
IF(COUNTA(N91:U93)&lt;2,"各職種の使用数を入力してください。(０の場合は０を入力)",
IF(AND(COUNTA(N91:U93)=2,N91&lt;=1,R91&lt;=1),"適切に入力されました。",
IF(AND(COUNTA(N91:U93)=2,OR(N91&gt;1,R91&gt;1)),"患者１人あたりスタッフ１名が１着を超える使用量が入力されているため、着脱を行う手順及び手順毎の数量を下段の欄に記入してください。")))</f>
        <v>各職種の使用数を入力してください。(０の場合は０を入力)</v>
      </c>
      <c r="AG91" s="1111"/>
      <c r="AH91" s="1111"/>
      <c r="AI91" s="1111"/>
      <c r="AJ91" s="1111"/>
      <c r="AK91" s="1111"/>
      <c r="AL91" s="1111"/>
      <c r="AM91" s="1111"/>
      <c r="AN91" s="1111"/>
      <c r="AO91" s="1111"/>
      <c r="AP91" s="1112"/>
      <c r="AQ91" s="1113"/>
      <c r="AR91" s="1113"/>
      <c r="AS91" s="1113"/>
      <c r="AT91" s="1113"/>
      <c r="AU91" s="1113"/>
      <c r="AV91" s="1113"/>
      <c r="AW91" s="1113"/>
      <c r="AX91" s="1114"/>
      <c r="AZ91" s="2027">
        <v>1</v>
      </c>
      <c r="BN91" s="518" t="s">
        <v>954</v>
      </c>
      <c r="BO91" s="520">
        <f t="shared" si="20"/>
        <v>10</v>
      </c>
      <c r="BP91" s="508">
        <f t="shared" si="25"/>
        <v>45205</v>
      </c>
      <c r="BQ91" s="674" t="str">
        <f t="shared" si="21"/>
        <v>金曜日</v>
      </c>
      <c r="BR91" s="674" t="str">
        <f t="shared" si="22"/>
        <v>100</v>
      </c>
      <c r="BS91" s="509" t="str">
        <f t="shared" si="23"/>
        <v>表示不可</v>
      </c>
      <c r="BT91" s="374"/>
      <c r="BU91" s="675" t="s">
        <v>945</v>
      </c>
      <c r="BV91" s="675">
        <f t="shared" si="19"/>
        <v>0</v>
      </c>
      <c r="BW91" s="374"/>
      <c r="BX91" s="374" t="e">
        <f>#REF!</f>
        <v>#REF!</v>
      </c>
      <c r="BY91" s="374"/>
      <c r="BZ91" s="376">
        <v>13</v>
      </c>
      <c r="CA91" s="675"/>
    </row>
    <row r="92" spans="1:80" ht="18" customHeight="1" x14ac:dyDescent="0.35">
      <c r="B92" s="1090"/>
      <c r="C92" s="1109"/>
      <c r="D92" s="1109"/>
      <c r="E92" s="1109"/>
      <c r="F92" s="1109"/>
      <c r="G92" s="1109"/>
      <c r="H92" s="1109"/>
      <c r="I92" s="1109"/>
      <c r="J92" s="1109"/>
      <c r="K92" s="1109"/>
      <c r="L92" s="1109"/>
      <c r="M92" s="1109"/>
      <c r="N92" s="1087"/>
      <c r="O92" s="1061"/>
      <c r="P92" s="1061"/>
      <c r="Q92" s="1061"/>
      <c r="R92" s="1087"/>
      <c r="S92" s="1063"/>
      <c r="T92" s="1063"/>
      <c r="U92" s="1063"/>
      <c r="V92" s="1144"/>
      <c r="W92" s="1084"/>
      <c r="X92" s="1084"/>
      <c r="Y92" s="1084"/>
      <c r="Z92" s="1086"/>
      <c r="AA92" s="1084"/>
      <c r="AB92" s="1084"/>
      <c r="AC92" s="1085"/>
      <c r="AD92" s="1066"/>
      <c r="AE92" s="1069"/>
      <c r="AF92" s="1110"/>
      <c r="AG92" s="1111"/>
      <c r="AH92" s="1111"/>
      <c r="AI92" s="1111"/>
      <c r="AJ92" s="1111"/>
      <c r="AK92" s="1111"/>
      <c r="AL92" s="1111"/>
      <c r="AM92" s="1111"/>
      <c r="AN92" s="1111"/>
      <c r="AO92" s="1111"/>
      <c r="AP92" s="1112"/>
      <c r="AQ92" s="1113"/>
      <c r="AR92" s="1113"/>
      <c r="AS92" s="1113"/>
      <c r="AT92" s="1113"/>
      <c r="AU92" s="1113"/>
      <c r="AV92" s="1113"/>
      <c r="AW92" s="1113"/>
      <c r="AX92" s="1114"/>
      <c r="AZ92" s="1190"/>
      <c r="BN92" s="518" t="s">
        <v>955</v>
      </c>
      <c r="BO92" s="520">
        <f t="shared" si="20"/>
        <v>10</v>
      </c>
      <c r="BP92" s="508">
        <f t="shared" si="25"/>
        <v>45206</v>
      </c>
      <c r="BQ92" s="674" t="str">
        <f t="shared" si="21"/>
        <v>土曜日</v>
      </c>
      <c r="BR92" s="674" t="str">
        <f t="shared" si="22"/>
        <v>100</v>
      </c>
      <c r="BS92" s="509" t="str">
        <f t="shared" si="23"/>
        <v>表示不可</v>
      </c>
      <c r="BT92" s="374"/>
      <c r="BU92" s="675" t="s">
        <v>946</v>
      </c>
      <c r="BV92" s="675">
        <f t="shared" si="19"/>
        <v>0</v>
      </c>
      <c r="BW92" s="374"/>
      <c r="BX92" s="374" t="e">
        <f>#REF!</f>
        <v>#REF!</v>
      </c>
      <c r="BY92" s="374"/>
      <c r="BZ92" s="376">
        <v>14</v>
      </c>
      <c r="CA92" s="675"/>
    </row>
    <row r="93" spans="1:80" ht="18" customHeight="1" x14ac:dyDescent="0.35">
      <c r="B93" s="1103"/>
      <c r="C93" s="1104"/>
      <c r="D93" s="1104"/>
      <c r="E93" s="1104"/>
      <c r="F93" s="1104"/>
      <c r="G93" s="1104"/>
      <c r="H93" s="1104"/>
      <c r="I93" s="1104"/>
      <c r="J93" s="1104"/>
      <c r="K93" s="1104"/>
      <c r="L93" s="1104"/>
      <c r="M93" s="1104"/>
      <c r="N93" s="1061"/>
      <c r="O93" s="1061"/>
      <c r="P93" s="1061"/>
      <c r="Q93" s="1061"/>
      <c r="R93" s="1063"/>
      <c r="S93" s="1063"/>
      <c r="T93" s="1063"/>
      <c r="U93" s="1063"/>
      <c r="V93" s="1084"/>
      <c r="W93" s="1084"/>
      <c r="X93" s="1084"/>
      <c r="Y93" s="1084"/>
      <c r="Z93" s="1084"/>
      <c r="AA93" s="1084"/>
      <c r="AB93" s="1084"/>
      <c r="AC93" s="1085"/>
      <c r="AD93" s="1070"/>
      <c r="AE93" s="1069"/>
      <c r="AF93" s="1111"/>
      <c r="AG93" s="1111"/>
      <c r="AH93" s="1111"/>
      <c r="AI93" s="1111"/>
      <c r="AJ93" s="1111"/>
      <c r="AK93" s="1111"/>
      <c r="AL93" s="1111"/>
      <c r="AM93" s="1111"/>
      <c r="AN93" s="1111"/>
      <c r="AO93" s="1111"/>
      <c r="AP93" s="1112"/>
      <c r="AQ93" s="1113"/>
      <c r="AR93" s="1113"/>
      <c r="AS93" s="1113"/>
      <c r="AT93" s="1113"/>
      <c r="AU93" s="1113"/>
      <c r="AV93" s="1113"/>
      <c r="AW93" s="1113"/>
      <c r="AX93" s="1114"/>
      <c r="AZ93" s="1190"/>
      <c r="BN93" s="518" t="s">
        <v>956</v>
      </c>
      <c r="BO93" s="520">
        <f t="shared" si="20"/>
        <v>10</v>
      </c>
      <c r="BP93" s="508">
        <f t="shared" si="25"/>
        <v>45207</v>
      </c>
      <c r="BQ93" s="674" t="str">
        <f t="shared" si="21"/>
        <v>日曜日</v>
      </c>
      <c r="BR93" s="674" t="str">
        <f t="shared" si="22"/>
        <v>100</v>
      </c>
      <c r="BS93" s="509" t="str">
        <f t="shared" si="23"/>
        <v>表示不可</v>
      </c>
      <c r="BT93" s="374"/>
      <c r="BU93" s="374"/>
      <c r="BV93" s="374"/>
      <c r="BW93" s="374"/>
      <c r="BX93" s="374" t="e">
        <f>#REF!</f>
        <v>#REF!</v>
      </c>
      <c r="BY93" s="374"/>
      <c r="BZ93" s="376">
        <v>15</v>
      </c>
      <c r="CA93" s="675"/>
    </row>
    <row r="94" spans="1:80" ht="18" customHeight="1" x14ac:dyDescent="0.35">
      <c r="B94" s="1108" t="s">
        <v>233</v>
      </c>
      <c r="C94" s="1098"/>
      <c r="D94" s="1098"/>
      <c r="E94" s="1098"/>
      <c r="F94" s="1098"/>
      <c r="G94" s="1098"/>
      <c r="H94" s="1098"/>
      <c r="I94" s="1098"/>
      <c r="J94" s="1098"/>
      <c r="K94" s="1098"/>
      <c r="L94" s="1098"/>
      <c r="M94" s="1098"/>
      <c r="N94" s="1060"/>
      <c r="O94" s="1061"/>
      <c r="P94" s="1061"/>
      <c r="Q94" s="1061"/>
      <c r="R94" s="1060"/>
      <c r="S94" s="1063"/>
      <c r="T94" s="1063"/>
      <c r="U94" s="1063"/>
      <c r="V94" s="1097">
        <f>SUM(IF($H$75="",0,$H$75)*N94,IF($L$75="",0,$L$75)*R94)</f>
        <v>0</v>
      </c>
      <c r="W94" s="1084"/>
      <c r="X94" s="1084"/>
      <c r="Y94" s="1084"/>
      <c r="Z94" s="1083">
        <f>IFERROR(V94*$X$75,0)</f>
        <v>0</v>
      </c>
      <c r="AA94" s="1084"/>
      <c r="AB94" s="1084"/>
      <c r="AC94" s="1085"/>
      <c r="AD94" s="1066" t="str">
        <f t="shared" ref="AD94" si="27">IF(COUNTA(N94:U96)=2,"○","×")</f>
        <v>×</v>
      </c>
      <c r="AE94" s="1069"/>
      <c r="AF94" s="1110" t="str">
        <f xml:space="preserve">
IF(COUNTA(N94:U96)&lt;2,"各職種の使用数を入力してください。(０の場合は０を入力)",
IF(AND(COUNTA(N94:U96)=2,N94&lt;=8,R94&lt;=8),"適切に入力されました。",
IF(AND(COUNTA(N94:U96)=2,OR(N94&gt;8,R94&gt;8)),"患者１人あたりスタッフ１名が４双(8枚)を超える使用量が入力されているため、着脱を行う手順及び手順毎の数量を下段の欄に記入してください。")))</f>
        <v>各職種の使用数を入力してください。(０の場合は０を入力)</v>
      </c>
      <c r="AG94" s="1111"/>
      <c r="AH94" s="1111"/>
      <c r="AI94" s="1111"/>
      <c r="AJ94" s="1111"/>
      <c r="AK94" s="1111"/>
      <c r="AL94" s="1111"/>
      <c r="AM94" s="1111"/>
      <c r="AN94" s="1111"/>
      <c r="AO94" s="1111"/>
      <c r="AP94" s="1112"/>
      <c r="AQ94" s="1113"/>
      <c r="AR94" s="1113"/>
      <c r="AS94" s="1113"/>
      <c r="AT94" s="1113"/>
      <c r="AU94" s="1113"/>
      <c r="AV94" s="1113"/>
      <c r="AW94" s="1113"/>
      <c r="AX94" s="1114"/>
      <c r="AZ94" s="2027">
        <v>8</v>
      </c>
      <c r="BN94" s="374"/>
      <c r="BO94" s="520">
        <f t="shared" si="20"/>
        <v>10</v>
      </c>
      <c r="BP94" s="508">
        <f t="shared" si="25"/>
        <v>45208</v>
      </c>
      <c r="BQ94" s="674" t="str">
        <f t="shared" si="21"/>
        <v>月曜日</v>
      </c>
      <c r="BR94" s="674" t="str">
        <f t="shared" si="22"/>
        <v>100</v>
      </c>
      <c r="BS94" s="509" t="str">
        <f t="shared" si="23"/>
        <v>表示不可</v>
      </c>
      <c r="BT94" s="374"/>
      <c r="BU94" s="675" t="s">
        <v>957</v>
      </c>
      <c r="BV94" s="374"/>
      <c r="BW94" s="374"/>
      <c r="BX94" s="374" t="e">
        <f>#REF!</f>
        <v>#REF!</v>
      </c>
      <c r="BY94" s="374"/>
      <c r="BZ94" s="376">
        <v>16</v>
      </c>
      <c r="CA94" s="675"/>
    </row>
    <row r="95" spans="1:80" ht="18" customHeight="1" x14ac:dyDescent="0.35">
      <c r="B95" s="1090"/>
      <c r="C95" s="1109"/>
      <c r="D95" s="1109"/>
      <c r="E95" s="1109"/>
      <c r="F95" s="1109"/>
      <c r="G95" s="1109"/>
      <c r="H95" s="1109"/>
      <c r="I95" s="1109"/>
      <c r="J95" s="1109"/>
      <c r="K95" s="1109"/>
      <c r="L95" s="1109"/>
      <c r="M95" s="1109"/>
      <c r="N95" s="1060"/>
      <c r="O95" s="1061"/>
      <c r="P95" s="1061"/>
      <c r="Q95" s="1061"/>
      <c r="R95" s="1060"/>
      <c r="S95" s="1063"/>
      <c r="T95" s="1063"/>
      <c r="U95" s="1063"/>
      <c r="V95" s="1097"/>
      <c r="W95" s="1084"/>
      <c r="X95" s="1084"/>
      <c r="Y95" s="1084"/>
      <c r="Z95" s="1083"/>
      <c r="AA95" s="1084"/>
      <c r="AB95" s="1084"/>
      <c r="AC95" s="1085"/>
      <c r="AD95" s="1066"/>
      <c r="AE95" s="1069"/>
      <c r="AF95" s="1110"/>
      <c r="AG95" s="1111"/>
      <c r="AH95" s="1111"/>
      <c r="AI95" s="1111"/>
      <c r="AJ95" s="1111"/>
      <c r="AK95" s="1111"/>
      <c r="AL95" s="1111"/>
      <c r="AM95" s="1111"/>
      <c r="AN95" s="1111"/>
      <c r="AO95" s="1111"/>
      <c r="AP95" s="1112"/>
      <c r="AQ95" s="1113"/>
      <c r="AR95" s="1113"/>
      <c r="AS95" s="1113"/>
      <c r="AT95" s="1113"/>
      <c r="AU95" s="1113"/>
      <c r="AV95" s="1113"/>
      <c r="AW95" s="1113"/>
      <c r="AX95" s="1114"/>
      <c r="AZ95" s="1190"/>
      <c r="BN95" s="374"/>
      <c r="BO95" s="520">
        <f t="shared" si="20"/>
        <v>10</v>
      </c>
      <c r="BP95" s="508">
        <f t="shared" si="25"/>
        <v>45209</v>
      </c>
      <c r="BQ95" s="674" t="str">
        <f t="shared" si="21"/>
        <v>火曜日</v>
      </c>
      <c r="BR95" s="674" t="str">
        <f t="shared" si="22"/>
        <v>100</v>
      </c>
      <c r="BS95" s="509" t="str">
        <f t="shared" si="23"/>
        <v>表示不可</v>
      </c>
      <c r="BT95" s="374"/>
      <c r="BU95" s="675" t="s">
        <v>958</v>
      </c>
      <c r="BV95" s="374"/>
      <c r="BW95" s="374"/>
      <c r="BX95" s="374" t="e">
        <f>#REF!</f>
        <v>#REF!</v>
      </c>
      <c r="BY95" s="374"/>
      <c r="BZ95" s="376">
        <v>17</v>
      </c>
      <c r="CA95" s="675"/>
    </row>
    <row r="96" spans="1:80" ht="18" customHeight="1" x14ac:dyDescent="0.35">
      <c r="B96" s="1103"/>
      <c r="C96" s="1104"/>
      <c r="D96" s="1104"/>
      <c r="E96" s="1104"/>
      <c r="F96" s="1104"/>
      <c r="G96" s="1104"/>
      <c r="H96" s="1104"/>
      <c r="I96" s="1104"/>
      <c r="J96" s="1104"/>
      <c r="K96" s="1104"/>
      <c r="L96" s="1104"/>
      <c r="M96" s="1104"/>
      <c r="N96" s="1061"/>
      <c r="O96" s="1061"/>
      <c r="P96" s="1061"/>
      <c r="Q96" s="1061"/>
      <c r="R96" s="1063"/>
      <c r="S96" s="1063"/>
      <c r="T96" s="1063"/>
      <c r="U96" s="1063"/>
      <c r="V96" s="1084"/>
      <c r="W96" s="1084"/>
      <c r="X96" s="1084"/>
      <c r="Y96" s="1084"/>
      <c r="Z96" s="1084"/>
      <c r="AA96" s="1084"/>
      <c r="AB96" s="1084"/>
      <c r="AC96" s="1085"/>
      <c r="AD96" s="1070"/>
      <c r="AE96" s="1069"/>
      <c r="AF96" s="1111"/>
      <c r="AG96" s="1111"/>
      <c r="AH96" s="1111"/>
      <c r="AI96" s="1111"/>
      <c r="AJ96" s="1111"/>
      <c r="AK96" s="1111"/>
      <c r="AL96" s="1111"/>
      <c r="AM96" s="1111"/>
      <c r="AN96" s="1111"/>
      <c r="AO96" s="1111"/>
      <c r="AP96" s="1112"/>
      <c r="AQ96" s="1113"/>
      <c r="AR96" s="1113"/>
      <c r="AS96" s="1113"/>
      <c r="AT96" s="1113"/>
      <c r="AU96" s="1113"/>
      <c r="AV96" s="1113"/>
      <c r="AW96" s="1113"/>
      <c r="AX96" s="1114"/>
      <c r="AZ96" s="1190"/>
      <c r="BN96" s="374"/>
      <c r="BO96" s="520">
        <f t="shared" si="20"/>
        <v>10</v>
      </c>
      <c r="BP96" s="508">
        <f t="shared" si="25"/>
        <v>45210</v>
      </c>
      <c r="BQ96" s="674" t="str">
        <f t="shared" si="21"/>
        <v>水曜日</v>
      </c>
      <c r="BR96" s="674" t="str">
        <f t="shared" si="22"/>
        <v>100</v>
      </c>
      <c r="BS96" s="509" t="str">
        <f t="shared" si="23"/>
        <v>表示不可</v>
      </c>
      <c r="BT96" s="374"/>
      <c r="BU96" s="675"/>
      <c r="BV96" s="374"/>
      <c r="BW96" s="374"/>
      <c r="BX96" s="374" t="e">
        <f>#REF!</f>
        <v>#REF!</v>
      </c>
      <c r="BY96" s="374"/>
      <c r="BZ96" s="376">
        <v>18</v>
      </c>
      <c r="CA96" s="675"/>
    </row>
    <row r="97" spans="2:79" ht="18" customHeight="1" x14ac:dyDescent="0.35">
      <c r="B97" s="1088" t="s">
        <v>231</v>
      </c>
      <c r="C97" s="1098"/>
      <c r="D97" s="1098"/>
      <c r="E97" s="1099"/>
      <c r="F97" s="1107" t="s">
        <v>1131</v>
      </c>
      <c r="G97" s="1098"/>
      <c r="H97" s="1098"/>
      <c r="I97" s="1098"/>
      <c r="J97" s="1098"/>
      <c r="K97" s="1098"/>
      <c r="L97" s="1098"/>
      <c r="M97" s="1099"/>
      <c r="N97" s="1062"/>
      <c r="O97" s="1061"/>
      <c r="P97" s="1061"/>
      <c r="Q97" s="1061"/>
      <c r="R97" s="1062"/>
      <c r="S97" s="1063"/>
      <c r="T97" s="1063"/>
      <c r="U97" s="1063"/>
      <c r="V97" s="1096">
        <f>SUM(IF($H$75="",0,$H$75)*N97,IF($L$75="",0,$L$75)*R97)</f>
        <v>0</v>
      </c>
      <c r="W97" s="1084"/>
      <c r="X97" s="1084"/>
      <c r="Y97" s="1084"/>
      <c r="Z97" s="1117">
        <f>IFERROR(V97*$X$75,0)</f>
        <v>0</v>
      </c>
      <c r="AA97" s="1084"/>
      <c r="AB97" s="1084"/>
      <c r="AC97" s="1085"/>
      <c r="AD97" s="1066" t="str">
        <f t="shared" ref="AD97" si="28">IF(COUNTA(N97:U99)=2,"○","×")</f>
        <v>×</v>
      </c>
      <c r="AE97" s="1069"/>
      <c r="AF97" s="1110" t="str">
        <f xml:space="preserve">
IF(COUNTA(N97:U99)&lt;2,"各職種の使用数を入力してください。(０の場合は０を入力)",
IF(AND(COUNTA(N97:U99)=2,N97&lt;=0.5,R97&lt;=0.5),"適切に入力されました。",
IF(AND(COUNTA(N97:U99)=2,OR(N97&gt;0.5,R97&gt;0.5)),"リユーサブル品の使い捨てに近い使用のため、着脱を行う手順及び手順毎の数量を下段の欄に記入してください。")))</f>
        <v>各職種の使用数を入力してください。(０の場合は０を入力)</v>
      </c>
      <c r="AG97" s="1111"/>
      <c r="AH97" s="1111"/>
      <c r="AI97" s="1111"/>
      <c r="AJ97" s="1111"/>
      <c r="AK97" s="1111"/>
      <c r="AL97" s="1111"/>
      <c r="AM97" s="1111"/>
      <c r="AN97" s="1111"/>
      <c r="AO97" s="1111"/>
      <c r="AP97" s="1112"/>
      <c r="AQ97" s="1113"/>
      <c r="AR97" s="1113"/>
      <c r="AS97" s="1113"/>
      <c r="AT97" s="1113"/>
      <c r="AU97" s="1113"/>
      <c r="AV97" s="1113"/>
      <c r="AW97" s="1113"/>
      <c r="AX97" s="1114"/>
      <c r="AZ97" s="2027">
        <v>0.5</v>
      </c>
      <c r="BN97" s="374"/>
      <c r="BO97" s="520">
        <f t="shared" si="20"/>
        <v>10</v>
      </c>
      <c r="BP97" s="508">
        <f t="shared" si="25"/>
        <v>45211</v>
      </c>
      <c r="BQ97" s="674" t="str">
        <f t="shared" si="21"/>
        <v>木曜日</v>
      </c>
      <c r="BR97" s="674" t="str">
        <f t="shared" si="22"/>
        <v>100</v>
      </c>
      <c r="BS97" s="509" t="str">
        <f t="shared" si="23"/>
        <v>表示不可</v>
      </c>
      <c r="BT97" s="374"/>
      <c r="BU97" s="374"/>
      <c r="BV97" s="374"/>
      <c r="BW97" s="374"/>
      <c r="BX97" s="374"/>
      <c r="BY97" s="374"/>
      <c r="BZ97" s="376">
        <v>19</v>
      </c>
      <c r="CA97" s="675"/>
    </row>
    <row r="98" spans="2:79" ht="18" customHeight="1" x14ac:dyDescent="0.35">
      <c r="B98" s="1100"/>
      <c r="C98" s="1101"/>
      <c r="D98" s="1101"/>
      <c r="E98" s="1102"/>
      <c r="F98" s="1100"/>
      <c r="G98" s="1101"/>
      <c r="H98" s="1101"/>
      <c r="I98" s="1101"/>
      <c r="J98" s="1101"/>
      <c r="K98" s="1101"/>
      <c r="L98" s="1101"/>
      <c r="M98" s="1102"/>
      <c r="N98" s="1062"/>
      <c r="O98" s="1061"/>
      <c r="P98" s="1061"/>
      <c r="Q98" s="1061"/>
      <c r="R98" s="1062"/>
      <c r="S98" s="1063"/>
      <c r="T98" s="1063"/>
      <c r="U98" s="1063"/>
      <c r="V98" s="1096"/>
      <c r="W98" s="1084"/>
      <c r="X98" s="1084"/>
      <c r="Y98" s="1084"/>
      <c r="Z98" s="1117"/>
      <c r="AA98" s="1084"/>
      <c r="AB98" s="1084"/>
      <c r="AC98" s="1085"/>
      <c r="AD98" s="1066"/>
      <c r="AE98" s="1069"/>
      <c r="AF98" s="1110"/>
      <c r="AG98" s="1111"/>
      <c r="AH98" s="1111"/>
      <c r="AI98" s="1111"/>
      <c r="AJ98" s="1111"/>
      <c r="AK98" s="1111"/>
      <c r="AL98" s="1111"/>
      <c r="AM98" s="1111"/>
      <c r="AN98" s="1111"/>
      <c r="AO98" s="1111"/>
      <c r="AP98" s="1112"/>
      <c r="AQ98" s="1113"/>
      <c r="AR98" s="1113"/>
      <c r="AS98" s="1113"/>
      <c r="AT98" s="1113"/>
      <c r="AU98" s="1113"/>
      <c r="AV98" s="1113"/>
      <c r="AW98" s="1113"/>
      <c r="AX98" s="1114"/>
      <c r="AZ98" s="1190"/>
      <c r="BN98" s="374"/>
      <c r="BO98" s="520">
        <f t="shared" si="20"/>
        <v>10</v>
      </c>
      <c r="BP98" s="508">
        <f t="shared" si="25"/>
        <v>45212</v>
      </c>
      <c r="BQ98" s="674" t="str">
        <f t="shared" si="21"/>
        <v>金曜日</v>
      </c>
      <c r="BR98" s="674" t="str">
        <f t="shared" si="22"/>
        <v>100</v>
      </c>
      <c r="BS98" s="509" t="str">
        <f t="shared" si="23"/>
        <v>表示不可</v>
      </c>
      <c r="BT98" s="374"/>
      <c r="BU98" s="374"/>
      <c r="BV98" s="374"/>
      <c r="BW98" s="374"/>
      <c r="BX98" s="374"/>
      <c r="BY98" s="374"/>
      <c r="BZ98" s="376">
        <v>20</v>
      </c>
      <c r="CA98" s="675"/>
    </row>
    <row r="99" spans="2:79" ht="18" customHeight="1" x14ac:dyDescent="0.35">
      <c r="B99" s="1100"/>
      <c r="C99" s="1101"/>
      <c r="D99" s="1101"/>
      <c r="E99" s="1102"/>
      <c r="F99" s="1103"/>
      <c r="G99" s="1104"/>
      <c r="H99" s="1104"/>
      <c r="I99" s="1104"/>
      <c r="J99" s="1104"/>
      <c r="K99" s="1104"/>
      <c r="L99" s="1104"/>
      <c r="M99" s="1105"/>
      <c r="N99" s="1061"/>
      <c r="O99" s="1061"/>
      <c r="P99" s="1061"/>
      <c r="Q99" s="1061"/>
      <c r="R99" s="1063"/>
      <c r="S99" s="1063"/>
      <c r="T99" s="1063"/>
      <c r="U99" s="1063"/>
      <c r="V99" s="1084"/>
      <c r="W99" s="1084"/>
      <c r="X99" s="1084"/>
      <c r="Y99" s="1084"/>
      <c r="Z99" s="1084"/>
      <c r="AA99" s="1084"/>
      <c r="AB99" s="1084"/>
      <c r="AC99" s="1085"/>
      <c r="AD99" s="1070"/>
      <c r="AE99" s="1069"/>
      <c r="AF99" s="1111"/>
      <c r="AG99" s="1111"/>
      <c r="AH99" s="1111"/>
      <c r="AI99" s="1111"/>
      <c r="AJ99" s="1111"/>
      <c r="AK99" s="1111"/>
      <c r="AL99" s="1111"/>
      <c r="AM99" s="1111"/>
      <c r="AN99" s="1111"/>
      <c r="AO99" s="1111"/>
      <c r="AP99" s="1112"/>
      <c r="AQ99" s="1113"/>
      <c r="AR99" s="1113"/>
      <c r="AS99" s="1113"/>
      <c r="AT99" s="1113"/>
      <c r="AU99" s="1113"/>
      <c r="AV99" s="1113"/>
      <c r="AW99" s="1113"/>
      <c r="AX99" s="1114"/>
      <c r="AZ99" s="1190"/>
      <c r="BN99" s="374"/>
      <c r="BO99" s="520">
        <f t="shared" si="20"/>
        <v>10</v>
      </c>
      <c r="BP99" s="508">
        <f t="shared" si="25"/>
        <v>45213</v>
      </c>
      <c r="BQ99" s="674" t="str">
        <f t="shared" si="21"/>
        <v>土曜日</v>
      </c>
      <c r="BR99" s="674" t="str">
        <f t="shared" si="22"/>
        <v>100</v>
      </c>
      <c r="BS99" s="509" t="str">
        <f t="shared" si="23"/>
        <v>表示不可</v>
      </c>
      <c r="BT99" s="374"/>
      <c r="BU99" s="374"/>
      <c r="BV99" s="374"/>
      <c r="BW99" s="374"/>
      <c r="BX99" s="374"/>
      <c r="BY99" s="374"/>
      <c r="BZ99" s="376">
        <v>21</v>
      </c>
      <c r="CA99" s="675"/>
    </row>
    <row r="100" spans="2:79" ht="18" customHeight="1" x14ac:dyDescent="0.35">
      <c r="B100" s="1100"/>
      <c r="C100" s="1101"/>
      <c r="D100" s="1101"/>
      <c r="E100" s="1102"/>
      <c r="F100" s="1107" t="s">
        <v>1132</v>
      </c>
      <c r="G100" s="1098"/>
      <c r="H100" s="1098"/>
      <c r="I100" s="1098"/>
      <c r="J100" s="1098"/>
      <c r="K100" s="1098"/>
      <c r="L100" s="1098"/>
      <c r="M100" s="1099"/>
      <c r="N100" s="1062"/>
      <c r="O100" s="1061"/>
      <c r="P100" s="1061"/>
      <c r="Q100" s="1061"/>
      <c r="R100" s="1062"/>
      <c r="S100" s="1063"/>
      <c r="T100" s="1063"/>
      <c r="U100" s="1063"/>
      <c r="V100" s="1096">
        <f>SUM(IF($H$75="",0,$H$75)*N100,IF($L$75="",0,$L$75)*R100)</f>
        <v>0</v>
      </c>
      <c r="W100" s="1084"/>
      <c r="X100" s="1084"/>
      <c r="Y100" s="1084"/>
      <c r="Z100" s="1117">
        <f>IFERROR(V100*$X$75,0)</f>
        <v>0</v>
      </c>
      <c r="AA100" s="1084"/>
      <c r="AB100" s="1084"/>
      <c r="AC100" s="1085"/>
      <c r="AD100" s="1066" t="str">
        <f t="shared" ref="AD100" si="29">IF(COUNTA(N100:U102)=2,"○","×")</f>
        <v>×</v>
      </c>
      <c r="AE100" s="1069"/>
      <c r="AF100" s="1110" t="str">
        <f xml:space="preserve">
IF(COUNTA(N100:U102)&lt;2,"各職種の使用数を入力してください。(０の場合は０を入力)",
IF(AND(COUNTA(N100:U102)=2,N100&lt;=0.5,R100&lt;=0.5),"適切に入力されました。",
IF(AND(COUNTA(N100:U102)=2,OR(N100&gt;0.5,R100&gt;0.5)),"リユーサブル品の使い捨てに近い使用のため、着脱を行う手順及び手順毎の数量を下段の欄に記入してください。")))</f>
        <v>各職種の使用数を入力してください。(０の場合は０を入力)</v>
      </c>
      <c r="AG100" s="1111"/>
      <c r="AH100" s="1111"/>
      <c r="AI100" s="1111"/>
      <c r="AJ100" s="1111"/>
      <c r="AK100" s="1111"/>
      <c r="AL100" s="1111"/>
      <c r="AM100" s="1111"/>
      <c r="AN100" s="1111"/>
      <c r="AO100" s="1111"/>
      <c r="AP100" s="1112"/>
      <c r="AQ100" s="1113"/>
      <c r="AR100" s="1113"/>
      <c r="AS100" s="1113"/>
      <c r="AT100" s="1113"/>
      <c r="AU100" s="1113"/>
      <c r="AV100" s="1113"/>
      <c r="AW100" s="1113"/>
      <c r="AX100" s="1114"/>
      <c r="AZ100" s="2027">
        <v>1</v>
      </c>
      <c r="BN100" s="374"/>
      <c r="BO100" s="520">
        <f t="shared" si="20"/>
        <v>10</v>
      </c>
      <c r="BP100" s="508">
        <f t="shared" si="25"/>
        <v>45214</v>
      </c>
      <c r="BQ100" s="674" t="str">
        <f t="shared" si="21"/>
        <v>日曜日</v>
      </c>
      <c r="BR100" s="674" t="str">
        <f t="shared" si="22"/>
        <v>100</v>
      </c>
      <c r="BS100" s="509" t="str">
        <f t="shared" si="23"/>
        <v>表示不可</v>
      </c>
      <c r="BT100" s="374"/>
      <c r="BU100" s="374"/>
      <c r="BV100" s="374"/>
      <c r="BW100" s="374"/>
      <c r="BX100" s="374"/>
      <c r="BY100" s="374"/>
      <c r="BZ100" s="376">
        <v>22</v>
      </c>
      <c r="CA100" s="675"/>
    </row>
    <row r="101" spans="2:79" ht="18" customHeight="1" x14ac:dyDescent="0.35">
      <c r="B101" s="1100"/>
      <c r="C101" s="1101"/>
      <c r="D101" s="1101"/>
      <c r="E101" s="1102"/>
      <c r="F101" s="1100"/>
      <c r="G101" s="1101"/>
      <c r="H101" s="1101"/>
      <c r="I101" s="1101"/>
      <c r="J101" s="1101"/>
      <c r="K101" s="1101"/>
      <c r="L101" s="1101"/>
      <c r="M101" s="1102"/>
      <c r="N101" s="1062"/>
      <c r="O101" s="1061"/>
      <c r="P101" s="1061"/>
      <c r="Q101" s="1061"/>
      <c r="R101" s="1062"/>
      <c r="S101" s="1063"/>
      <c r="T101" s="1063"/>
      <c r="U101" s="1063"/>
      <c r="V101" s="1096"/>
      <c r="W101" s="1084"/>
      <c r="X101" s="1084"/>
      <c r="Y101" s="1084"/>
      <c r="Z101" s="1117"/>
      <c r="AA101" s="1084"/>
      <c r="AB101" s="1084"/>
      <c r="AC101" s="1085"/>
      <c r="AD101" s="1066"/>
      <c r="AE101" s="1069"/>
      <c r="AF101" s="1110"/>
      <c r="AG101" s="1111"/>
      <c r="AH101" s="1111"/>
      <c r="AI101" s="1111"/>
      <c r="AJ101" s="1111"/>
      <c r="AK101" s="1111"/>
      <c r="AL101" s="1111"/>
      <c r="AM101" s="1111"/>
      <c r="AN101" s="1111"/>
      <c r="AO101" s="1111"/>
      <c r="AP101" s="1112"/>
      <c r="AQ101" s="1113"/>
      <c r="AR101" s="1113"/>
      <c r="AS101" s="1113"/>
      <c r="AT101" s="1113"/>
      <c r="AU101" s="1113"/>
      <c r="AV101" s="1113"/>
      <c r="AW101" s="1113"/>
      <c r="AX101" s="1114"/>
      <c r="AZ101" s="1190"/>
      <c r="BN101" s="374"/>
      <c r="BO101" s="520">
        <f t="shared" si="20"/>
        <v>10</v>
      </c>
      <c r="BP101" s="508">
        <f t="shared" si="25"/>
        <v>45215</v>
      </c>
      <c r="BQ101" s="674" t="str">
        <f t="shared" si="21"/>
        <v>月曜日</v>
      </c>
      <c r="BR101" s="674" t="str">
        <f t="shared" si="22"/>
        <v>100</v>
      </c>
      <c r="BS101" s="509" t="str">
        <f t="shared" si="23"/>
        <v>表示不可</v>
      </c>
      <c r="BT101" s="374"/>
      <c r="BU101" s="374"/>
      <c r="BV101" s="374"/>
      <c r="BW101" s="374"/>
      <c r="BX101" s="374"/>
      <c r="BY101" s="374"/>
      <c r="BZ101" s="376">
        <v>23</v>
      </c>
      <c r="CA101" s="675"/>
    </row>
    <row r="102" spans="2:79" ht="18" customHeight="1" x14ac:dyDescent="0.35">
      <c r="B102" s="1100"/>
      <c r="C102" s="1101"/>
      <c r="D102" s="1101"/>
      <c r="E102" s="1102"/>
      <c r="F102" s="1103"/>
      <c r="G102" s="1104"/>
      <c r="H102" s="1104"/>
      <c r="I102" s="1104"/>
      <c r="J102" s="1104"/>
      <c r="K102" s="1104"/>
      <c r="L102" s="1104"/>
      <c r="M102" s="1105"/>
      <c r="N102" s="1061"/>
      <c r="O102" s="1061"/>
      <c r="P102" s="1061"/>
      <c r="Q102" s="1061"/>
      <c r="R102" s="1063"/>
      <c r="S102" s="1063"/>
      <c r="T102" s="1063"/>
      <c r="U102" s="1063"/>
      <c r="V102" s="1084"/>
      <c r="W102" s="1084"/>
      <c r="X102" s="1084"/>
      <c r="Y102" s="1084"/>
      <c r="Z102" s="1084"/>
      <c r="AA102" s="1084"/>
      <c r="AB102" s="1084"/>
      <c r="AC102" s="1085"/>
      <c r="AD102" s="1070"/>
      <c r="AE102" s="1069"/>
      <c r="AF102" s="1111"/>
      <c r="AG102" s="1111"/>
      <c r="AH102" s="1111"/>
      <c r="AI102" s="1111"/>
      <c r="AJ102" s="1111"/>
      <c r="AK102" s="1111"/>
      <c r="AL102" s="1111"/>
      <c r="AM102" s="1111"/>
      <c r="AN102" s="1111"/>
      <c r="AO102" s="1111"/>
      <c r="AP102" s="1112"/>
      <c r="AQ102" s="1113"/>
      <c r="AR102" s="1113"/>
      <c r="AS102" s="1113"/>
      <c r="AT102" s="1113"/>
      <c r="AU102" s="1113"/>
      <c r="AV102" s="1113"/>
      <c r="AW102" s="1113"/>
      <c r="AX102" s="1114"/>
      <c r="AZ102" s="1190"/>
      <c r="BN102" s="374"/>
      <c r="BO102" s="520">
        <f t="shared" si="20"/>
        <v>10</v>
      </c>
      <c r="BP102" s="508">
        <f t="shared" si="25"/>
        <v>45216</v>
      </c>
      <c r="BQ102" s="674" t="str">
        <f t="shared" si="21"/>
        <v>火曜日</v>
      </c>
      <c r="BR102" s="674" t="str">
        <f t="shared" si="22"/>
        <v>100</v>
      </c>
      <c r="BS102" s="509" t="str">
        <f t="shared" si="23"/>
        <v>表示不可</v>
      </c>
      <c r="BT102" s="374"/>
      <c r="BU102" s="374"/>
      <c r="BV102" s="374"/>
      <c r="BW102" s="374"/>
      <c r="BX102" s="374"/>
      <c r="BY102" s="374"/>
      <c r="BZ102" s="376">
        <v>24</v>
      </c>
      <c r="CA102" s="675"/>
    </row>
    <row r="103" spans="2:79" ht="18" customHeight="1" x14ac:dyDescent="0.35">
      <c r="B103" s="1100"/>
      <c r="C103" s="1101"/>
      <c r="D103" s="1101"/>
      <c r="E103" s="1102"/>
      <c r="F103" s="1106" t="s">
        <v>1041</v>
      </c>
      <c r="G103" s="1098"/>
      <c r="H103" s="1098"/>
      <c r="I103" s="1098"/>
      <c r="J103" s="1098"/>
      <c r="K103" s="1098"/>
      <c r="L103" s="1098"/>
      <c r="M103" s="1099"/>
      <c r="N103" s="1062"/>
      <c r="O103" s="1061"/>
      <c r="P103" s="1061"/>
      <c r="Q103" s="1061"/>
      <c r="R103" s="1062"/>
      <c r="S103" s="1063"/>
      <c r="T103" s="1063"/>
      <c r="U103" s="1063"/>
      <c r="V103" s="1096">
        <f>SUM(IF($H$75="",0,$H$75)*N103,IF($L$75="",0,$L$75)*R103)</f>
        <v>0</v>
      </c>
      <c r="W103" s="1084"/>
      <c r="X103" s="1084"/>
      <c r="Y103" s="1084"/>
      <c r="Z103" s="1117">
        <f>IFERROR(V103*$X$75,0)</f>
        <v>0</v>
      </c>
      <c r="AA103" s="1084"/>
      <c r="AB103" s="1084"/>
      <c r="AC103" s="1085"/>
      <c r="AD103" s="1066" t="str">
        <f t="shared" ref="AD103" si="30">IF(COUNTA(N103:U105)=2,"○","×")</f>
        <v>×</v>
      </c>
      <c r="AE103" s="1069"/>
      <c r="AF103" s="1110" t="str">
        <f xml:space="preserve">
IF(COUNTA(N103:U105)&lt;2,"各職種の使用数を入力してください。(０の場合は０を入力)",
IF(AND(COUNTA(N103:U105)=2,N103&lt;=1,R103&lt;=1),"適切に入力されました。",
IF(AND(COUNTA(N103:U105)=2,OR(N103&gt;1,R103&gt;1)),"患者１人あたりスタッフ１名が１個を超える使用量が入力されているため、着脱を行う手順及び手順毎の数量を下段の欄に記入してください。")))</f>
        <v>各職種の使用数を入力してください。(０の場合は０を入力)</v>
      </c>
      <c r="AG103" s="1111"/>
      <c r="AH103" s="1111"/>
      <c r="AI103" s="1111"/>
      <c r="AJ103" s="1111"/>
      <c r="AK103" s="1111"/>
      <c r="AL103" s="1111"/>
      <c r="AM103" s="1111"/>
      <c r="AN103" s="1111"/>
      <c r="AO103" s="1111"/>
      <c r="AP103" s="1112"/>
      <c r="AQ103" s="1113"/>
      <c r="AR103" s="1113"/>
      <c r="AS103" s="1113"/>
      <c r="AT103" s="1113"/>
      <c r="AU103" s="1113"/>
      <c r="AV103" s="1113"/>
      <c r="AW103" s="1113"/>
      <c r="AX103" s="1114"/>
      <c r="AZ103" s="2027">
        <v>1</v>
      </c>
      <c r="BN103" s="374"/>
      <c r="BO103" s="520">
        <f t="shared" si="20"/>
        <v>10</v>
      </c>
      <c r="BP103" s="508">
        <f t="shared" si="25"/>
        <v>45217</v>
      </c>
      <c r="BQ103" s="674" t="str">
        <f t="shared" si="21"/>
        <v>水曜日</v>
      </c>
      <c r="BR103" s="674" t="str">
        <f t="shared" si="22"/>
        <v>100</v>
      </c>
      <c r="BS103" s="509" t="str">
        <f t="shared" si="23"/>
        <v>表示不可</v>
      </c>
      <c r="BT103" s="374"/>
      <c r="BU103" s="374"/>
      <c r="BV103" s="374"/>
      <c r="BW103" s="374"/>
      <c r="BX103" s="374"/>
      <c r="BY103" s="374"/>
      <c r="BZ103" s="376">
        <v>25</v>
      </c>
      <c r="CA103" s="675"/>
    </row>
    <row r="104" spans="2:79" ht="18" customHeight="1" x14ac:dyDescent="0.35">
      <c r="B104" s="1100"/>
      <c r="C104" s="1101"/>
      <c r="D104" s="1101"/>
      <c r="E104" s="1102"/>
      <c r="F104" s="1100"/>
      <c r="G104" s="1101"/>
      <c r="H104" s="1101"/>
      <c r="I104" s="1101"/>
      <c r="J104" s="1101"/>
      <c r="K104" s="1101"/>
      <c r="L104" s="1101"/>
      <c r="M104" s="1102"/>
      <c r="N104" s="1062"/>
      <c r="O104" s="1061"/>
      <c r="P104" s="1061"/>
      <c r="Q104" s="1061"/>
      <c r="R104" s="1062"/>
      <c r="S104" s="1063"/>
      <c r="T104" s="1063"/>
      <c r="U104" s="1063"/>
      <c r="V104" s="1096"/>
      <c r="W104" s="1084"/>
      <c r="X104" s="1084"/>
      <c r="Y104" s="1084"/>
      <c r="Z104" s="1117"/>
      <c r="AA104" s="1084"/>
      <c r="AB104" s="1084"/>
      <c r="AC104" s="1085"/>
      <c r="AD104" s="1066"/>
      <c r="AE104" s="1069"/>
      <c r="AF104" s="1110"/>
      <c r="AG104" s="1111"/>
      <c r="AH104" s="1111"/>
      <c r="AI104" s="1111"/>
      <c r="AJ104" s="1111"/>
      <c r="AK104" s="1111"/>
      <c r="AL104" s="1111"/>
      <c r="AM104" s="1111"/>
      <c r="AN104" s="1111"/>
      <c r="AO104" s="1111"/>
      <c r="AP104" s="1112"/>
      <c r="AQ104" s="1113"/>
      <c r="AR104" s="1113"/>
      <c r="AS104" s="1113"/>
      <c r="AT104" s="1113"/>
      <c r="AU104" s="1113"/>
      <c r="AV104" s="1113"/>
      <c r="AW104" s="1113"/>
      <c r="AX104" s="1114"/>
      <c r="AZ104" s="1190"/>
      <c r="BN104" s="374"/>
      <c r="BO104" s="520">
        <f t="shared" si="20"/>
        <v>10</v>
      </c>
      <c r="BP104" s="508">
        <f t="shared" si="25"/>
        <v>45218</v>
      </c>
      <c r="BQ104" s="674" t="str">
        <f t="shared" si="21"/>
        <v>木曜日</v>
      </c>
      <c r="BR104" s="674" t="str">
        <f t="shared" si="22"/>
        <v>100</v>
      </c>
      <c r="BS104" s="509" t="str">
        <f t="shared" si="23"/>
        <v>表示不可</v>
      </c>
      <c r="BT104" s="374"/>
      <c r="BU104" s="374"/>
      <c r="BV104" s="374"/>
      <c r="BW104" s="374"/>
      <c r="BX104" s="374"/>
      <c r="BY104" s="374"/>
      <c r="BZ104" s="376">
        <v>26</v>
      </c>
      <c r="CA104" s="675"/>
    </row>
    <row r="105" spans="2:79" ht="18" customHeight="1" x14ac:dyDescent="0.35">
      <c r="B105" s="1103"/>
      <c r="C105" s="1104"/>
      <c r="D105" s="1104"/>
      <c r="E105" s="1105"/>
      <c r="F105" s="1103"/>
      <c r="G105" s="1104"/>
      <c r="H105" s="1104"/>
      <c r="I105" s="1104"/>
      <c r="J105" s="1104"/>
      <c r="K105" s="1104"/>
      <c r="L105" s="1104"/>
      <c r="M105" s="1105"/>
      <c r="N105" s="1061"/>
      <c r="O105" s="1061"/>
      <c r="P105" s="1061"/>
      <c r="Q105" s="1061"/>
      <c r="R105" s="1063"/>
      <c r="S105" s="1063"/>
      <c r="T105" s="1063"/>
      <c r="U105" s="1063"/>
      <c r="V105" s="1084"/>
      <c r="W105" s="1084"/>
      <c r="X105" s="1084"/>
      <c r="Y105" s="1084"/>
      <c r="Z105" s="1084"/>
      <c r="AA105" s="1084"/>
      <c r="AB105" s="1084"/>
      <c r="AC105" s="1085"/>
      <c r="AD105" s="1070"/>
      <c r="AE105" s="1069"/>
      <c r="AF105" s="1111"/>
      <c r="AG105" s="1111"/>
      <c r="AH105" s="1111"/>
      <c r="AI105" s="1111"/>
      <c r="AJ105" s="1111"/>
      <c r="AK105" s="1111"/>
      <c r="AL105" s="1111"/>
      <c r="AM105" s="1111"/>
      <c r="AN105" s="1111"/>
      <c r="AO105" s="1111"/>
      <c r="AP105" s="1112"/>
      <c r="AQ105" s="1113"/>
      <c r="AR105" s="1113"/>
      <c r="AS105" s="1113"/>
      <c r="AT105" s="1113"/>
      <c r="AU105" s="1113"/>
      <c r="AV105" s="1113"/>
      <c r="AW105" s="1113"/>
      <c r="AX105" s="1114"/>
      <c r="AZ105" s="1190"/>
      <c r="BN105" s="374"/>
      <c r="BO105" s="520">
        <f t="shared" si="20"/>
        <v>10</v>
      </c>
      <c r="BP105" s="508">
        <f t="shared" si="25"/>
        <v>45219</v>
      </c>
      <c r="BQ105" s="674" t="str">
        <f t="shared" si="21"/>
        <v>金曜日</v>
      </c>
      <c r="BR105" s="674" t="str">
        <f t="shared" si="22"/>
        <v>100</v>
      </c>
      <c r="BS105" s="509" t="str">
        <f t="shared" si="23"/>
        <v>表示不可</v>
      </c>
      <c r="BT105" s="374"/>
      <c r="BU105" s="374"/>
      <c r="BV105" s="374"/>
      <c r="BW105" s="374"/>
      <c r="BX105" s="374"/>
      <c r="BY105" s="374"/>
      <c r="BZ105" s="376">
        <v>27</v>
      </c>
      <c r="CA105" s="675"/>
    </row>
    <row r="106" spans="2:79" ht="18" customHeight="1" x14ac:dyDescent="0.35">
      <c r="B106" s="1108" t="s">
        <v>234</v>
      </c>
      <c r="C106" s="1098"/>
      <c r="D106" s="1098"/>
      <c r="E106" s="1098"/>
      <c r="F106" s="1098"/>
      <c r="G106" s="1098"/>
      <c r="H106" s="1098"/>
      <c r="I106" s="1098"/>
      <c r="J106" s="1098"/>
      <c r="K106" s="1098"/>
      <c r="L106" s="1098"/>
      <c r="M106" s="1098"/>
      <c r="N106" s="1060"/>
      <c r="O106" s="1061"/>
      <c r="P106" s="1061"/>
      <c r="Q106" s="1061"/>
      <c r="R106" s="1060"/>
      <c r="S106" s="1063"/>
      <c r="T106" s="1063"/>
      <c r="U106" s="1063"/>
      <c r="V106" s="1097">
        <f>SUM(IF($H$75="",0,$H$75)*N106,IF($L$75="",0,$L$75)*R106)</f>
        <v>0</v>
      </c>
      <c r="W106" s="1084"/>
      <c r="X106" s="1084"/>
      <c r="Y106" s="1084"/>
      <c r="Z106" s="1083">
        <f>IFERROR(V106*$X$75,0)</f>
        <v>0</v>
      </c>
      <c r="AA106" s="1084"/>
      <c r="AB106" s="1084"/>
      <c r="AC106" s="1085"/>
      <c r="AD106" s="1066" t="str">
        <f t="shared" ref="AD106" si="31">IF(COUNTA(N106:U108)=2,"○","×")</f>
        <v>×</v>
      </c>
      <c r="AE106" s="1069"/>
      <c r="AF106" s="1110" t="str">
        <f xml:space="preserve">
IF(COUNTA(N106:U108)&lt;2,"各職種の使用数を入力してください。(０の場合は０を入力)",
IF(AND(COUNTA(N106:U108)=2,N106&lt;=1,R106&lt;=1),"適切に入力されました。",
IF(AND(COUNTA(N106:U108)=2,OR(N106&gt;1,R106&gt;1)),"患者１人あたりスタッフ１名が１枚を超える使用量が入力されているため、着脱を行う手順及び手順毎の数量を下段の欄に記入してください。")))</f>
        <v>各職種の使用数を入力してください。(０の場合は０を入力)</v>
      </c>
      <c r="AG106" s="1111"/>
      <c r="AH106" s="1111"/>
      <c r="AI106" s="1111"/>
      <c r="AJ106" s="1111"/>
      <c r="AK106" s="1111"/>
      <c r="AL106" s="1111"/>
      <c r="AM106" s="1111"/>
      <c r="AN106" s="1111"/>
      <c r="AO106" s="1111"/>
      <c r="AP106" s="1112"/>
      <c r="AQ106" s="1113"/>
      <c r="AR106" s="1113"/>
      <c r="AS106" s="1113"/>
      <c r="AT106" s="1113"/>
      <c r="AU106" s="1113"/>
      <c r="AV106" s="1113"/>
      <c r="AW106" s="1113"/>
      <c r="AX106" s="1114"/>
      <c r="AZ106" s="2027">
        <v>1</v>
      </c>
      <c r="BN106" s="374"/>
      <c r="BO106" s="520">
        <f t="shared" si="20"/>
        <v>10</v>
      </c>
      <c r="BP106" s="508">
        <f t="shared" si="25"/>
        <v>45220</v>
      </c>
      <c r="BQ106" s="674" t="str">
        <f t="shared" si="21"/>
        <v>土曜日</v>
      </c>
      <c r="BR106" s="674" t="str">
        <f t="shared" si="22"/>
        <v>100</v>
      </c>
      <c r="BS106" s="509" t="str">
        <f t="shared" si="23"/>
        <v>表示不可</v>
      </c>
      <c r="BT106" s="374"/>
      <c r="BU106" s="374"/>
      <c r="BV106" s="374"/>
      <c r="BW106" s="374"/>
      <c r="BX106" s="374"/>
      <c r="BY106" s="374"/>
      <c r="BZ106" s="376">
        <v>28</v>
      </c>
      <c r="CA106" s="675"/>
    </row>
    <row r="107" spans="2:79" ht="18" customHeight="1" x14ac:dyDescent="0.35">
      <c r="B107" s="1090"/>
      <c r="C107" s="1109"/>
      <c r="D107" s="1109"/>
      <c r="E107" s="1109"/>
      <c r="F107" s="1109"/>
      <c r="G107" s="1109"/>
      <c r="H107" s="1109"/>
      <c r="I107" s="1109"/>
      <c r="J107" s="1109"/>
      <c r="K107" s="1109"/>
      <c r="L107" s="1109"/>
      <c r="M107" s="1109"/>
      <c r="N107" s="1060"/>
      <c r="O107" s="1061"/>
      <c r="P107" s="1061"/>
      <c r="Q107" s="1061"/>
      <c r="R107" s="1060"/>
      <c r="S107" s="1063"/>
      <c r="T107" s="1063"/>
      <c r="U107" s="1063"/>
      <c r="V107" s="1097"/>
      <c r="W107" s="1084"/>
      <c r="X107" s="1084"/>
      <c r="Y107" s="1084"/>
      <c r="Z107" s="1083"/>
      <c r="AA107" s="1084"/>
      <c r="AB107" s="1084"/>
      <c r="AC107" s="1085"/>
      <c r="AD107" s="1066"/>
      <c r="AE107" s="1069"/>
      <c r="AF107" s="1110"/>
      <c r="AG107" s="1111"/>
      <c r="AH107" s="1111"/>
      <c r="AI107" s="1111"/>
      <c r="AJ107" s="1111"/>
      <c r="AK107" s="1111"/>
      <c r="AL107" s="1111"/>
      <c r="AM107" s="1111"/>
      <c r="AN107" s="1111"/>
      <c r="AO107" s="1111"/>
      <c r="AP107" s="1112"/>
      <c r="AQ107" s="1113"/>
      <c r="AR107" s="1113"/>
      <c r="AS107" s="1113"/>
      <c r="AT107" s="1113"/>
      <c r="AU107" s="1113"/>
      <c r="AV107" s="1113"/>
      <c r="AW107" s="1113"/>
      <c r="AX107" s="1114"/>
      <c r="AZ107" s="1190"/>
      <c r="BN107" s="374"/>
      <c r="BO107" s="520">
        <f t="shared" si="20"/>
        <v>10</v>
      </c>
      <c r="BP107" s="508">
        <f t="shared" si="25"/>
        <v>45221</v>
      </c>
      <c r="BQ107" s="674" t="str">
        <f t="shared" si="21"/>
        <v>日曜日</v>
      </c>
      <c r="BR107" s="674" t="str">
        <f t="shared" si="22"/>
        <v>100</v>
      </c>
      <c r="BS107" s="509" t="str">
        <f t="shared" si="23"/>
        <v>表示不可</v>
      </c>
      <c r="BT107" s="374"/>
      <c r="BU107" s="374"/>
      <c r="BV107" s="374"/>
      <c r="BW107" s="374"/>
      <c r="BX107" s="374"/>
      <c r="BY107" s="374"/>
      <c r="BZ107" s="376">
        <v>29</v>
      </c>
      <c r="CA107" s="675"/>
    </row>
    <row r="108" spans="2:79" ht="18" customHeight="1" x14ac:dyDescent="0.35">
      <c r="B108" s="1103"/>
      <c r="C108" s="1104"/>
      <c r="D108" s="1104"/>
      <c r="E108" s="1104"/>
      <c r="F108" s="1104"/>
      <c r="G108" s="1104"/>
      <c r="H108" s="1104"/>
      <c r="I108" s="1104"/>
      <c r="J108" s="1104"/>
      <c r="K108" s="1104"/>
      <c r="L108" s="1104"/>
      <c r="M108" s="1104"/>
      <c r="N108" s="1061"/>
      <c r="O108" s="1061"/>
      <c r="P108" s="1061"/>
      <c r="Q108" s="1061"/>
      <c r="R108" s="1063"/>
      <c r="S108" s="1063"/>
      <c r="T108" s="1063"/>
      <c r="U108" s="1063"/>
      <c r="V108" s="1084"/>
      <c r="W108" s="1084"/>
      <c r="X108" s="1084"/>
      <c r="Y108" s="1084"/>
      <c r="Z108" s="1084"/>
      <c r="AA108" s="1084"/>
      <c r="AB108" s="1084"/>
      <c r="AC108" s="1085"/>
      <c r="AD108" s="1070"/>
      <c r="AE108" s="1069"/>
      <c r="AF108" s="1111"/>
      <c r="AG108" s="1111"/>
      <c r="AH108" s="1111"/>
      <c r="AI108" s="1111"/>
      <c r="AJ108" s="1111"/>
      <c r="AK108" s="1111"/>
      <c r="AL108" s="1111"/>
      <c r="AM108" s="1111"/>
      <c r="AN108" s="1111"/>
      <c r="AO108" s="1111"/>
      <c r="AP108" s="1112"/>
      <c r="AQ108" s="1113"/>
      <c r="AR108" s="1113"/>
      <c r="AS108" s="1113"/>
      <c r="AT108" s="1113"/>
      <c r="AU108" s="1113"/>
      <c r="AV108" s="1113"/>
      <c r="AW108" s="1113"/>
      <c r="AX108" s="1114"/>
      <c r="AZ108" s="1190"/>
      <c r="BN108" s="374"/>
      <c r="BO108" s="520">
        <f t="shared" si="20"/>
        <v>10</v>
      </c>
      <c r="BP108" s="508">
        <f t="shared" si="25"/>
        <v>45222</v>
      </c>
      <c r="BQ108" s="674" t="str">
        <f t="shared" si="21"/>
        <v>月曜日</v>
      </c>
      <c r="BR108" s="674" t="str">
        <f t="shared" si="22"/>
        <v>100</v>
      </c>
      <c r="BS108" s="509" t="str">
        <f t="shared" si="23"/>
        <v>表示不可</v>
      </c>
      <c r="BT108" s="374"/>
      <c r="BU108" s="374"/>
      <c r="BV108" s="374"/>
      <c r="BW108" s="374"/>
      <c r="BX108" s="374"/>
      <c r="BY108" s="374"/>
      <c r="BZ108" s="376">
        <v>30</v>
      </c>
      <c r="CA108" s="675"/>
    </row>
    <row r="109" spans="2:79" ht="18" customHeight="1" x14ac:dyDescent="0.35">
      <c r="B109" s="1108" t="s">
        <v>1027</v>
      </c>
      <c r="C109" s="1098"/>
      <c r="D109" s="1098"/>
      <c r="E109" s="1099"/>
      <c r="F109" s="1106" t="s">
        <v>1019</v>
      </c>
      <c r="G109" s="1098"/>
      <c r="H109" s="1098"/>
      <c r="I109" s="1098"/>
      <c r="J109" s="1098"/>
      <c r="K109" s="1098"/>
      <c r="L109" s="1098"/>
      <c r="M109" s="1099"/>
      <c r="N109" s="1060"/>
      <c r="O109" s="1061"/>
      <c r="P109" s="1061"/>
      <c r="Q109" s="1061"/>
      <c r="R109" s="1060"/>
      <c r="S109" s="1063"/>
      <c r="T109" s="1063"/>
      <c r="U109" s="1063"/>
      <c r="V109" s="1097">
        <f>SUM(IF($H$75="",0,$H$75)*N109,IF($L$75="",0,$L$75)*R109)</f>
        <v>0</v>
      </c>
      <c r="W109" s="1084"/>
      <c r="X109" s="1084"/>
      <c r="Y109" s="1084"/>
      <c r="Z109" s="1083">
        <f>IFERROR(V109*$X$75,0)</f>
        <v>0</v>
      </c>
      <c r="AA109" s="1084"/>
      <c r="AB109" s="1084"/>
      <c r="AC109" s="1085"/>
      <c r="AD109" s="1066" t="str">
        <f t="shared" ref="AD109" si="32">IF(COUNTA(N109:U111)=2,"○","×")</f>
        <v>×</v>
      </c>
      <c r="AE109" s="1069"/>
      <c r="AF109" s="1110" t="str">
        <f xml:space="preserve">
IF(COUNTA(N109:U111)&lt;2,"各職種の使用数を入力してください。(０の場合は０を入力)",
IF(AND(COUNTA(N109:U111)=2,N109&lt;=1,R109&lt;=1),"適切に入力されました。",
IF(AND(COUNTA(N109:U111)=2,OR(N109&gt;1,R109&gt;1)),"患者１人あたりスタッフ１名が１枚を超える使用量が入力されているため、着脱を行う手順及び手順毎の数量を下段の欄に記入してください。")))</f>
        <v>各職種の使用数を入力してください。(０の場合は０を入力)</v>
      </c>
      <c r="AG109" s="1111"/>
      <c r="AH109" s="1111"/>
      <c r="AI109" s="1111"/>
      <c r="AJ109" s="1111"/>
      <c r="AK109" s="1111"/>
      <c r="AL109" s="1111"/>
      <c r="AM109" s="1111"/>
      <c r="AN109" s="1111"/>
      <c r="AO109" s="1111"/>
      <c r="AP109" s="1112"/>
      <c r="AQ109" s="1113"/>
      <c r="AR109" s="1113"/>
      <c r="AS109" s="1113"/>
      <c r="AT109" s="1113"/>
      <c r="AU109" s="1113"/>
      <c r="AV109" s="1113"/>
      <c r="AW109" s="1113"/>
      <c r="AX109" s="1114"/>
      <c r="AZ109" s="2027">
        <v>1</v>
      </c>
      <c r="BN109" s="374"/>
      <c r="BO109" s="520">
        <f t="shared" si="20"/>
        <v>10</v>
      </c>
      <c r="BP109" s="508">
        <f t="shared" si="25"/>
        <v>45223</v>
      </c>
      <c r="BQ109" s="674" t="str">
        <f t="shared" si="21"/>
        <v>火曜日</v>
      </c>
      <c r="BR109" s="674" t="str">
        <f t="shared" si="22"/>
        <v>100</v>
      </c>
      <c r="BS109" s="509" t="str">
        <f t="shared" si="23"/>
        <v>表示不可</v>
      </c>
      <c r="BT109" s="374"/>
      <c r="BU109" s="374"/>
      <c r="BV109" s="374"/>
      <c r="BW109" s="374"/>
      <c r="BX109" s="374"/>
      <c r="BY109" s="374"/>
      <c r="BZ109" s="380"/>
      <c r="CA109" s="374"/>
    </row>
    <row r="110" spans="2:79" ht="18" customHeight="1" x14ac:dyDescent="0.35">
      <c r="B110" s="1100"/>
      <c r="C110" s="1101"/>
      <c r="D110" s="1101"/>
      <c r="E110" s="1102"/>
      <c r="F110" s="1100"/>
      <c r="G110" s="1101"/>
      <c r="H110" s="1101"/>
      <c r="I110" s="1101"/>
      <c r="J110" s="1101"/>
      <c r="K110" s="1101"/>
      <c r="L110" s="1101"/>
      <c r="M110" s="1102"/>
      <c r="N110" s="1060"/>
      <c r="O110" s="1061"/>
      <c r="P110" s="1061"/>
      <c r="Q110" s="1061"/>
      <c r="R110" s="1060"/>
      <c r="S110" s="1063"/>
      <c r="T110" s="1063"/>
      <c r="U110" s="1063"/>
      <c r="V110" s="1097"/>
      <c r="W110" s="1084"/>
      <c r="X110" s="1084"/>
      <c r="Y110" s="1084"/>
      <c r="Z110" s="1083"/>
      <c r="AA110" s="1084"/>
      <c r="AB110" s="1084"/>
      <c r="AC110" s="1085"/>
      <c r="AD110" s="1066"/>
      <c r="AE110" s="1069"/>
      <c r="AF110" s="1110"/>
      <c r="AG110" s="1111"/>
      <c r="AH110" s="1111"/>
      <c r="AI110" s="1111"/>
      <c r="AJ110" s="1111"/>
      <c r="AK110" s="1111"/>
      <c r="AL110" s="1111"/>
      <c r="AM110" s="1111"/>
      <c r="AN110" s="1111"/>
      <c r="AO110" s="1111"/>
      <c r="AP110" s="1112"/>
      <c r="AQ110" s="1113"/>
      <c r="AR110" s="1113"/>
      <c r="AS110" s="1113"/>
      <c r="AT110" s="1113"/>
      <c r="AU110" s="1113"/>
      <c r="AV110" s="1113"/>
      <c r="AW110" s="1113"/>
      <c r="AX110" s="1114"/>
      <c r="AZ110" s="1190"/>
      <c r="BN110" s="374"/>
      <c r="BO110" s="520">
        <f t="shared" si="20"/>
        <v>10</v>
      </c>
      <c r="BP110" s="508">
        <f t="shared" si="25"/>
        <v>45224</v>
      </c>
      <c r="BQ110" s="674" t="str">
        <f t="shared" si="21"/>
        <v>水曜日</v>
      </c>
      <c r="BR110" s="674" t="str">
        <f t="shared" si="22"/>
        <v>100</v>
      </c>
      <c r="BS110" s="509" t="str">
        <f t="shared" si="23"/>
        <v>表示不可</v>
      </c>
      <c r="BT110" s="374"/>
      <c r="BU110" s="374"/>
      <c r="BV110" s="374"/>
      <c r="BW110" s="374"/>
      <c r="BX110" s="374"/>
      <c r="BY110" s="374"/>
      <c r="BZ110" s="380"/>
      <c r="CA110" s="374"/>
    </row>
    <row r="111" spans="2:79" ht="18" customHeight="1" x14ac:dyDescent="0.35">
      <c r="B111" s="1100"/>
      <c r="C111" s="1101"/>
      <c r="D111" s="1101"/>
      <c r="E111" s="1102"/>
      <c r="F111" s="1103"/>
      <c r="G111" s="1104"/>
      <c r="H111" s="1104"/>
      <c r="I111" s="1104"/>
      <c r="J111" s="1104"/>
      <c r="K111" s="1104"/>
      <c r="L111" s="1104"/>
      <c r="M111" s="1105"/>
      <c r="N111" s="1061"/>
      <c r="O111" s="1061"/>
      <c r="P111" s="1061"/>
      <c r="Q111" s="1061"/>
      <c r="R111" s="1063"/>
      <c r="S111" s="1063"/>
      <c r="T111" s="1063"/>
      <c r="U111" s="1063"/>
      <c r="V111" s="1084"/>
      <c r="W111" s="1084"/>
      <c r="X111" s="1084"/>
      <c r="Y111" s="1084"/>
      <c r="Z111" s="1084"/>
      <c r="AA111" s="1084"/>
      <c r="AB111" s="1084"/>
      <c r="AC111" s="1085"/>
      <c r="AD111" s="1070"/>
      <c r="AE111" s="1069"/>
      <c r="AF111" s="1111"/>
      <c r="AG111" s="1111"/>
      <c r="AH111" s="1111"/>
      <c r="AI111" s="1111"/>
      <c r="AJ111" s="1111"/>
      <c r="AK111" s="1111"/>
      <c r="AL111" s="1111"/>
      <c r="AM111" s="1111"/>
      <c r="AN111" s="1111"/>
      <c r="AO111" s="1111"/>
      <c r="AP111" s="1112"/>
      <c r="AQ111" s="1113"/>
      <c r="AR111" s="1113"/>
      <c r="AS111" s="1113"/>
      <c r="AT111" s="1113"/>
      <c r="AU111" s="1113"/>
      <c r="AV111" s="1113"/>
      <c r="AW111" s="1113"/>
      <c r="AX111" s="1114"/>
      <c r="AZ111" s="1190"/>
      <c r="BN111" s="374"/>
      <c r="BO111" s="520">
        <f t="shared" si="20"/>
        <v>10</v>
      </c>
      <c r="BP111" s="508">
        <f t="shared" si="25"/>
        <v>45225</v>
      </c>
      <c r="BQ111" s="674" t="str">
        <f t="shared" si="21"/>
        <v>木曜日</v>
      </c>
      <c r="BR111" s="674" t="str">
        <f t="shared" si="22"/>
        <v>100</v>
      </c>
      <c r="BS111" s="509" t="str">
        <f t="shared" si="23"/>
        <v>表示不可</v>
      </c>
      <c r="BT111" s="374"/>
      <c r="BU111" s="374"/>
      <c r="BV111" s="374"/>
      <c r="BW111" s="374"/>
      <c r="BX111" s="374"/>
      <c r="BY111" s="374"/>
      <c r="BZ111" s="380"/>
      <c r="CA111" s="374"/>
    </row>
    <row r="112" spans="2:79" ht="18" customHeight="1" x14ac:dyDescent="0.35">
      <c r="B112" s="1100"/>
      <c r="C112" s="1101"/>
      <c r="D112" s="1101"/>
      <c r="E112" s="1102"/>
      <c r="F112" s="1107" t="s">
        <v>1134</v>
      </c>
      <c r="G112" s="1098"/>
      <c r="H112" s="1098"/>
      <c r="I112" s="1098"/>
      <c r="J112" s="1098"/>
      <c r="K112" s="1098"/>
      <c r="L112" s="1098"/>
      <c r="M112" s="1099"/>
      <c r="N112" s="1062"/>
      <c r="O112" s="1061"/>
      <c r="P112" s="1061"/>
      <c r="Q112" s="1061"/>
      <c r="R112" s="1062"/>
      <c r="S112" s="1063"/>
      <c r="T112" s="1063"/>
      <c r="U112" s="1063"/>
      <c r="V112" s="1096">
        <f>SUM(IF($H$75="",0,$H$75)*N112,IF($L$75="",0,$L$75)*R112)</f>
        <v>0</v>
      </c>
      <c r="W112" s="1084"/>
      <c r="X112" s="1084"/>
      <c r="Y112" s="1084"/>
      <c r="Z112" s="1117">
        <f>IFERROR(V112*$X$75,0)</f>
        <v>0</v>
      </c>
      <c r="AA112" s="1084"/>
      <c r="AB112" s="1084"/>
      <c r="AC112" s="1085"/>
      <c r="AD112" s="1066" t="str">
        <f t="shared" ref="AD112" si="33">IF(COUNTA(N112:U114)=2,"○","×")</f>
        <v>×</v>
      </c>
      <c r="AE112" s="1069"/>
      <c r="AF112" s="1110" t="str">
        <f xml:space="preserve">
IF(COUNTA(N112:U114)&lt;2,"各職種の使用数を入力してください。(０の場合は０を入力)",
IF(AND(COUNTA(N112:U114)=2,N112&lt;=0.5,R112&lt;=0.5),"適切に入力されました。",
IF(AND(COUNTA(N112:U114)=2,OR(N112&gt;0.5,R112&gt;0.5)),"リユーサブル品の使い捨てに近い使用のため、着脱を行う手順及び手順毎の数量を下段の欄に記入してください。")))</f>
        <v>各職種の使用数を入力してください。(０の場合は０を入力)</v>
      </c>
      <c r="AG112" s="1111"/>
      <c r="AH112" s="1111"/>
      <c r="AI112" s="1111"/>
      <c r="AJ112" s="1111"/>
      <c r="AK112" s="1111"/>
      <c r="AL112" s="1111"/>
      <c r="AM112" s="1111"/>
      <c r="AN112" s="1111"/>
      <c r="AO112" s="1111"/>
      <c r="AP112" s="1112"/>
      <c r="AQ112" s="1113"/>
      <c r="AR112" s="1113"/>
      <c r="AS112" s="1113"/>
      <c r="AT112" s="1113"/>
      <c r="AU112" s="1113"/>
      <c r="AV112" s="1113"/>
      <c r="AW112" s="1113"/>
      <c r="AX112" s="1114"/>
      <c r="AZ112" s="2027">
        <v>0.5</v>
      </c>
      <c r="BN112" s="374"/>
      <c r="BO112" s="520">
        <f t="shared" si="20"/>
        <v>10</v>
      </c>
      <c r="BP112" s="508">
        <f t="shared" si="25"/>
        <v>45226</v>
      </c>
      <c r="BQ112" s="674" t="str">
        <f t="shared" si="21"/>
        <v>金曜日</v>
      </c>
      <c r="BR112" s="674" t="str">
        <f t="shared" si="22"/>
        <v>100</v>
      </c>
      <c r="BS112" s="509" t="str">
        <f t="shared" si="23"/>
        <v>表示不可</v>
      </c>
      <c r="BT112" s="374"/>
      <c r="BU112" s="374"/>
      <c r="BV112" s="374"/>
      <c r="BW112" s="374"/>
      <c r="BX112" s="374"/>
      <c r="BY112" s="374"/>
      <c r="BZ112" s="380"/>
      <c r="CA112" s="374"/>
    </row>
    <row r="113" spans="2:79" ht="18" customHeight="1" x14ac:dyDescent="0.35">
      <c r="B113" s="1100"/>
      <c r="C113" s="1101"/>
      <c r="D113" s="1101"/>
      <c r="E113" s="1102"/>
      <c r="F113" s="1100"/>
      <c r="G113" s="1101"/>
      <c r="H113" s="1101"/>
      <c r="I113" s="1101"/>
      <c r="J113" s="1101"/>
      <c r="K113" s="1101"/>
      <c r="L113" s="1101"/>
      <c r="M113" s="1102"/>
      <c r="N113" s="1062"/>
      <c r="O113" s="1061"/>
      <c r="P113" s="1061"/>
      <c r="Q113" s="1061"/>
      <c r="R113" s="1062"/>
      <c r="S113" s="1063"/>
      <c r="T113" s="1063"/>
      <c r="U113" s="1063"/>
      <c r="V113" s="1096"/>
      <c r="W113" s="1084"/>
      <c r="X113" s="1084"/>
      <c r="Y113" s="1084"/>
      <c r="Z113" s="1117"/>
      <c r="AA113" s="1084"/>
      <c r="AB113" s="1084"/>
      <c r="AC113" s="1085"/>
      <c r="AD113" s="1066"/>
      <c r="AE113" s="1069"/>
      <c r="AF113" s="1110"/>
      <c r="AG113" s="1111"/>
      <c r="AH113" s="1111"/>
      <c r="AI113" s="1111"/>
      <c r="AJ113" s="1111"/>
      <c r="AK113" s="1111"/>
      <c r="AL113" s="1111"/>
      <c r="AM113" s="1111"/>
      <c r="AN113" s="1111"/>
      <c r="AO113" s="1111"/>
      <c r="AP113" s="1112"/>
      <c r="AQ113" s="1113"/>
      <c r="AR113" s="1113"/>
      <c r="AS113" s="1113"/>
      <c r="AT113" s="1113"/>
      <c r="AU113" s="1113"/>
      <c r="AV113" s="1113"/>
      <c r="AW113" s="1113"/>
      <c r="AX113" s="1114"/>
      <c r="AZ113" s="1190"/>
      <c r="BN113" s="374"/>
      <c r="BO113" s="520">
        <f t="shared" si="20"/>
        <v>10</v>
      </c>
      <c r="BP113" s="508">
        <f t="shared" si="25"/>
        <v>45227</v>
      </c>
      <c r="BQ113" s="674" t="str">
        <f t="shared" si="21"/>
        <v>土曜日</v>
      </c>
      <c r="BR113" s="674" t="str">
        <f t="shared" si="22"/>
        <v>100</v>
      </c>
      <c r="BS113" s="509" t="str">
        <f t="shared" si="23"/>
        <v>表示不可</v>
      </c>
      <c r="BT113" s="374"/>
      <c r="BU113" s="374"/>
      <c r="BV113" s="374"/>
      <c r="BW113" s="374"/>
      <c r="BX113" s="374"/>
      <c r="BY113" s="374"/>
      <c r="BZ113" s="380"/>
      <c r="CA113" s="374"/>
    </row>
    <row r="114" spans="2:79" ht="18" customHeight="1" x14ac:dyDescent="0.35">
      <c r="B114" s="1100"/>
      <c r="C114" s="1101"/>
      <c r="D114" s="1101"/>
      <c r="E114" s="1102"/>
      <c r="F114" s="1103"/>
      <c r="G114" s="1104"/>
      <c r="H114" s="1104"/>
      <c r="I114" s="1104"/>
      <c r="J114" s="1104"/>
      <c r="K114" s="1104"/>
      <c r="L114" s="1104"/>
      <c r="M114" s="1105"/>
      <c r="N114" s="1061"/>
      <c r="O114" s="1061"/>
      <c r="P114" s="1061"/>
      <c r="Q114" s="1061"/>
      <c r="R114" s="1063"/>
      <c r="S114" s="1063"/>
      <c r="T114" s="1063"/>
      <c r="U114" s="1063"/>
      <c r="V114" s="1084"/>
      <c r="W114" s="1084"/>
      <c r="X114" s="1084"/>
      <c r="Y114" s="1084"/>
      <c r="Z114" s="1084"/>
      <c r="AA114" s="1084"/>
      <c r="AB114" s="1084"/>
      <c r="AC114" s="1085"/>
      <c r="AD114" s="1070"/>
      <c r="AE114" s="1069"/>
      <c r="AF114" s="1111"/>
      <c r="AG114" s="1111"/>
      <c r="AH114" s="1111"/>
      <c r="AI114" s="1111"/>
      <c r="AJ114" s="1111"/>
      <c r="AK114" s="1111"/>
      <c r="AL114" s="1111"/>
      <c r="AM114" s="1111"/>
      <c r="AN114" s="1111"/>
      <c r="AO114" s="1111"/>
      <c r="AP114" s="1112"/>
      <c r="AQ114" s="1113"/>
      <c r="AR114" s="1113"/>
      <c r="AS114" s="1113"/>
      <c r="AT114" s="1113"/>
      <c r="AU114" s="1113"/>
      <c r="AV114" s="1113"/>
      <c r="AW114" s="1113"/>
      <c r="AX114" s="1114"/>
      <c r="AZ114" s="1190"/>
      <c r="BN114" s="374"/>
      <c r="BO114" s="520">
        <f t="shared" si="20"/>
        <v>10</v>
      </c>
      <c r="BP114" s="508">
        <f t="shared" si="25"/>
        <v>45228</v>
      </c>
      <c r="BQ114" s="674" t="str">
        <f t="shared" si="21"/>
        <v>日曜日</v>
      </c>
      <c r="BR114" s="674" t="str">
        <f t="shared" si="22"/>
        <v>100</v>
      </c>
      <c r="BS114" s="509" t="str">
        <f t="shared" si="23"/>
        <v>表示不可</v>
      </c>
      <c r="BT114" s="374"/>
      <c r="BU114" s="374"/>
      <c r="BV114" s="374"/>
      <c r="BW114" s="374"/>
      <c r="BX114" s="374"/>
      <c r="BY114" s="374"/>
      <c r="BZ114" s="380"/>
      <c r="CA114" s="374"/>
    </row>
    <row r="115" spans="2:79" ht="18" customHeight="1" x14ac:dyDescent="0.35">
      <c r="B115" s="1100"/>
      <c r="C115" s="1101"/>
      <c r="D115" s="1101"/>
      <c r="E115" s="1102"/>
      <c r="F115" s="1106" t="s">
        <v>1022</v>
      </c>
      <c r="G115" s="1098"/>
      <c r="H115" s="1098"/>
      <c r="I115" s="1098"/>
      <c r="J115" s="1098"/>
      <c r="K115" s="1098"/>
      <c r="L115" s="1098"/>
      <c r="M115" s="1099"/>
      <c r="N115" s="1060"/>
      <c r="O115" s="1061"/>
      <c r="P115" s="1061"/>
      <c r="Q115" s="1061"/>
      <c r="R115" s="1060"/>
      <c r="S115" s="1063"/>
      <c r="T115" s="1063"/>
      <c r="U115" s="1063"/>
      <c r="V115" s="1097">
        <f>SUM(IF($H$75="",0,$H$75)*N115,IF($L$75="",0,$L$75)*R115)</f>
        <v>0</v>
      </c>
      <c r="W115" s="1084"/>
      <c r="X115" s="1084"/>
      <c r="Y115" s="1084"/>
      <c r="Z115" s="1083">
        <f>IFERROR(V115*$X$75,0)</f>
        <v>0</v>
      </c>
      <c r="AA115" s="1084"/>
      <c r="AB115" s="1084"/>
      <c r="AC115" s="1085"/>
      <c r="AD115" s="1066" t="str">
        <f>IF(COUNTA(N115:U117)=2,"○","×")</f>
        <v>×</v>
      </c>
      <c r="AE115" s="1069"/>
      <c r="AF115" s="1110" t="str">
        <f xml:space="preserve">
IF(COUNTA(N115:U117)&lt;2,"各職種の使用数を入力してください。(０の場合は０を入力)",
IF(AND(COUNTA(N115:U117)=2,N115&lt;=1,R115&lt;=1),"適切に入力されました。",
IF(AND(COUNTA(N115:U117)=2,OR(N115&gt;1,R115&gt;1)),"患者１人あたりスタッフ１名が１枚を超える使用量が入力されているため、着脱を行う手順及び手順毎の数量を下段の欄に記入してください。")))</f>
        <v>各職種の使用数を入力してください。(０の場合は０を入力)</v>
      </c>
      <c r="AG115" s="1111"/>
      <c r="AH115" s="1111"/>
      <c r="AI115" s="1111"/>
      <c r="AJ115" s="1111"/>
      <c r="AK115" s="1111"/>
      <c r="AL115" s="1111"/>
      <c r="AM115" s="1111"/>
      <c r="AN115" s="1111"/>
      <c r="AO115" s="1111"/>
      <c r="AP115" s="1112"/>
      <c r="AQ115" s="1113"/>
      <c r="AR115" s="1113"/>
      <c r="AS115" s="1113"/>
      <c r="AT115" s="1113"/>
      <c r="AU115" s="1113"/>
      <c r="AV115" s="1113"/>
      <c r="AW115" s="1113"/>
      <c r="AX115" s="1114"/>
      <c r="AZ115" s="2027">
        <v>1</v>
      </c>
      <c r="BN115" s="374"/>
      <c r="BO115" s="520">
        <f t="shared" si="20"/>
        <v>10</v>
      </c>
      <c r="BP115" s="508">
        <f t="shared" si="25"/>
        <v>45229</v>
      </c>
      <c r="BQ115" s="674" t="str">
        <f t="shared" si="21"/>
        <v>月曜日</v>
      </c>
      <c r="BR115" s="674" t="str">
        <f t="shared" si="22"/>
        <v>100</v>
      </c>
      <c r="BS115" s="509" t="str">
        <f t="shared" si="23"/>
        <v>表示不可</v>
      </c>
      <c r="BT115" s="374"/>
      <c r="BU115" s="374"/>
      <c r="BV115" s="374"/>
      <c r="BW115" s="374"/>
      <c r="BX115" s="374"/>
      <c r="BY115" s="374"/>
      <c r="BZ115" s="380"/>
      <c r="CA115" s="374"/>
    </row>
    <row r="116" spans="2:79" ht="18" customHeight="1" x14ac:dyDescent="0.35">
      <c r="B116" s="1100"/>
      <c r="C116" s="1101"/>
      <c r="D116" s="1101"/>
      <c r="E116" s="1102"/>
      <c r="F116" s="1100"/>
      <c r="G116" s="1101"/>
      <c r="H116" s="1101"/>
      <c r="I116" s="1101"/>
      <c r="J116" s="1101"/>
      <c r="K116" s="1101"/>
      <c r="L116" s="1101"/>
      <c r="M116" s="1102"/>
      <c r="N116" s="1060"/>
      <c r="O116" s="1061"/>
      <c r="P116" s="1061"/>
      <c r="Q116" s="1061"/>
      <c r="R116" s="1060"/>
      <c r="S116" s="1063"/>
      <c r="T116" s="1063"/>
      <c r="U116" s="1063"/>
      <c r="V116" s="1097"/>
      <c r="W116" s="1084"/>
      <c r="X116" s="1084"/>
      <c r="Y116" s="1084"/>
      <c r="Z116" s="1083"/>
      <c r="AA116" s="1084"/>
      <c r="AB116" s="1084"/>
      <c r="AC116" s="1085"/>
      <c r="AD116" s="1066"/>
      <c r="AE116" s="1069"/>
      <c r="AF116" s="1110"/>
      <c r="AG116" s="1111"/>
      <c r="AH116" s="1111"/>
      <c r="AI116" s="1111"/>
      <c r="AJ116" s="1111"/>
      <c r="AK116" s="1111"/>
      <c r="AL116" s="1111"/>
      <c r="AM116" s="1111"/>
      <c r="AN116" s="1111"/>
      <c r="AO116" s="1111"/>
      <c r="AP116" s="1112"/>
      <c r="AQ116" s="1113"/>
      <c r="AR116" s="1113"/>
      <c r="AS116" s="1113"/>
      <c r="AT116" s="1113"/>
      <c r="AU116" s="1113"/>
      <c r="AV116" s="1113"/>
      <c r="AW116" s="1113"/>
      <c r="AX116" s="1114"/>
      <c r="AZ116" s="1190"/>
      <c r="BN116" s="374"/>
      <c r="BO116" s="520">
        <f t="shared" si="20"/>
        <v>10</v>
      </c>
      <c r="BP116" s="508">
        <f t="shared" si="25"/>
        <v>45230</v>
      </c>
      <c r="BQ116" s="674" t="str">
        <f t="shared" si="21"/>
        <v>火曜日</v>
      </c>
      <c r="BR116" s="674" t="str">
        <f t="shared" si="22"/>
        <v>100</v>
      </c>
      <c r="BS116" s="509" t="str">
        <f t="shared" si="23"/>
        <v>表示不可</v>
      </c>
      <c r="BT116" s="374"/>
      <c r="BU116" s="374"/>
      <c r="BV116" s="374"/>
      <c r="BW116" s="374"/>
      <c r="BX116" s="374"/>
      <c r="BY116" s="374"/>
      <c r="BZ116" s="380"/>
      <c r="CA116" s="374"/>
    </row>
    <row r="117" spans="2:79" ht="18" customHeight="1" x14ac:dyDescent="0.35">
      <c r="B117" s="1100"/>
      <c r="C117" s="1101"/>
      <c r="D117" s="1101"/>
      <c r="E117" s="1102"/>
      <c r="F117" s="1103"/>
      <c r="G117" s="1104"/>
      <c r="H117" s="1104"/>
      <c r="I117" s="1104"/>
      <c r="J117" s="1104"/>
      <c r="K117" s="1104"/>
      <c r="L117" s="1104"/>
      <c r="M117" s="1105"/>
      <c r="N117" s="1061"/>
      <c r="O117" s="1061"/>
      <c r="P117" s="1061"/>
      <c r="Q117" s="1061"/>
      <c r="R117" s="1063"/>
      <c r="S117" s="1063"/>
      <c r="T117" s="1063"/>
      <c r="U117" s="1063"/>
      <c r="V117" s="1084"/>
      <c r="W117" s="1084"/>
      <c r="X117" s="1084"/>
      <c r="Y117" s="1084"/>
      <c r="Z117" s="1084"/>
      <c r="AA117" s="1084"/>
      <c r="AB117" s="1084"/>
      <c r="AC117" s="1085"/>
      <c r="AD117" s="1070"/>
      <c r="AE117" s="1069"/>
      <c r="AF117" s="1111"/>
      <c r="AG117" s="1111"/>
      <c r="AH117" s="1111"/>
      <c r="AI117" s="1111"/>
      <c r="AJ117" s="1111"/>
      <c r="AK117" s="1111"/>
      <c r="AL117" s="1111"/>
      <c r="AM117" s="1111"/>
      <c r="AN117" s="1111"/>
      <c r="AO117" s="1111"/>
      <c r="AP117" s="1112"/>
      <c r="AQ117" s="1113"/>
      <c r="AR117" s="1113"/>
      <c r="AS117" s="1113"/>
      <c r="AT117" s="1113"/>
      <c r="AU117" s="1113"/>
      <c r="AV117" s="1113"/>
      <c r="AW117" s="1113"/>
      <c r="AX117" s="1114"/>
      <c r="AZ117" s="1190"/>
      <c r="BN117" s="374"/>
      <c r="BO117" s="520">
        <f t="shared" si="20"/>
        <v>11</v>
      </c>
      <c r="BP117" s="508">
        <f t="shared" si="25"/>
        <v>45231</v>
      </c>
      <c r="BQ117" s="674" t="str">
        <f t="shared" si="21"/>
        <v>水曜日</v>
      </c>
      <c r="BR117" s="674" t="str">
        <f t="shared" si="22"/>
        <v>110</v>
      </c>
      <c r="BS117" s="509" t="str">
        <f t="shared" si="23"/>
        <v>表示不可</v>
      </c>
      <c r="BT117" s="374"/>
      <c r="BU117" s="374"/>
      <c r="BV117" s="374"/>
      <c r="BW117" s="374"/>
      <c r="BX117" s="374"/>
      <c r="BY117" s="374"/>
      <c r="BZ117" s="380"/>
      <c r="CA117" s="374"/>
    </row>
    <row r="118" spans="2:79" ht="18" customHeight="1" x14ac:dyDescent="0.35">
      <c r="B118" s="1100"/>
      <c r="C118" s="1101"/>
      <c r="D118" s="1101"/>
      <c r="E118" s="1102"/>
      <c r="F118" s="1107" t="s">
        <v>1133</v>
      </c>
      <c r="G118" s="1098"/>
      <c r="H118" s="1098"/>
      <c r="I118" s="1098"/>
      <c r="J118" s="1098"/>
      <c r="K118" s="1098"/>
      <c r="L118" s="1098"/>
      <c r="M118" s="1099"/>
      <c r="N118" s="1060"/>
      <c r="O118" s="1061"/>
      <c r="P118" s="1061"/>
      <c r="Q118" s="1061"/>
      <c r="R118" s="1060"/>
      <c r="S118" s="1063"/>
      <c r="T118" s="1063"/>
      <c r="U118" s="1063"/>
      <c r="V118" s="1097">
        <f>SUM(IF($H$75="",0,$H$75)*N118,IF($L$75="",0,$L$75)*R118)</f>
        <v>0</v>
      </c>
      <c r="W118" s="1084"/>
      <c r="X118" s="1084"/>
      <c r="Y118" s="1084"/>
      <c r="Z118" s="1083">
        <f>IFERROR(V118*$X$75,0)</f>
        <v>0</v>
      </c>
      <c r="AA118" s="1084"/>
      <c r="AB118" s="1084"/>
      <c r="AC118" s="1085"/>
      <c r="AD118" s="1066" t="str">
        <f t="shared" ref="AD118" si="34">IF(COUNTA(N118:U120)=2,"○","×")</f>
        <v>×</v>
      </c>
      <c r="AE118" s="1069"/>
      <c r="AF118" s="1110" t="str">
        <f xml:space="preserve">
IF(COUNTA(N118:U120)&lt;2,"各職種の使用数を入力してください。(０の場合は０を入力)",
IF(AND(COUNTA(N118:U120)=2,N118&lt;=0.5,R118&lt;=0.5),"適切に入力されました。",
IF(AND(COUNTA(N118:U120)=2,OR(N118&gt;0.5,R118&gt;0.5)),"リユーサブル品の使い捨てに近い使用のため、着脱を行う手順及び手順毎の数量を下段の欄に記入してください。")))</f>
        <v>各職種の使用数を入力してください。(０の場合は０を入力)</v>
      </c>
      <c r="AG118" s="1111"/>
      <c r="AH118" s="1111"/>
      <c r="AI118" s="1111"/>
      <c r="AJ118" s="1111"/>
      <c r="AK118" s="1111"/>
      <c r="AL118" s="1111"/>
      <c r="AM118" s="1111"/>
      <c r="AN118" s="1111"/>
      <c r="AO118" s="1111"/>
      <c r="AP118" s="1112"/>
      <c r="AQ118" s="1113"/>
      <c r="AR118" s="1113"/>
      <c r="AS118" s="1113"/>
      <c r="AT118" s="1113"/>
      <c r="AU118" s="1113"/>
      <c r="AV118" s="1113"/>
      <c r="AW118" s="1113"/>
      <c r="AX118" s="1114"/>
      <c r="AZ118" s="2027">
        <v>0.5</v>
      </c>
      <c r="BN118" s="374"/>
      <c r="BO118" s="520">
        <f t="shared" si="20"/>
        <v>11</v>
      </c>
      <c r="BP118" s="508">
        <f t="shared" si="25"/>
        <v>45232</v>
      </c>
      <c r="BQ118" s="674" t="str">
        <f t="shared" si="21"/>
        <v>木曜日</v>
      </c>
      <c r="BR118" s="674" t="str">
        <f t="shared" si="22"/>
        <v>110</v>
      </c>
      <c r="BS118" s="509" t="str">
        <f t="shared" si="23"/>
        <v>表示不可</v>
      </c>
      <c r="BT118" s="374"/>
      <c r="BU118" s="374"/>
      <c r="BV118" s="374"/>
      <c r="BW118" s="374"/>
      <c r="BX118" s="374"/>
      <c r="BY118" s="374"/>
      <c r="BZ118" s="380"/>
      <c r="CA118" s="374"/>
    </row>
    <row r="119" spans="2:79" ht="18" customHeight="1" x14ac:dyDescent="0.35">
      <c r="B119" s="1100"/>
      <c r="C119" s="1101"/>
      <c r="D119" s="1101"/>
      <c r="E119" s="1102"/>
      <c r="F119" s="1100"/>
      <c r="G119" s="1101"/>
      <c r="H119" s="1101"/>
      <c r="I119" s="1101"/>
      <c r="J119" s="1101"/>
      <c r="K119" s="1101"/>
      <c r="L119" s="1101"/>
      <c r="M119" s="1102"/>
      <c r="N119" s="1060"/>
      <c r="O119" s="1061"/>
      <c r="P119" s="1061"/>
      <c r="Q119" s="1061"/>
      <c r="R119" s="1060"/>
      <c r="S119" s="1063"/>
      <c r="T119" s="1063"/>
      <c r="U119" s="1063"/>
      <c r="V119" s="1097"/>
      <c r="W119" s="1084"/>
      <c r="X119" s="1084"/>
      <c r="Y119" s="1084"/>
      <c r="Z119" s="1083"/>
      <c r="AA119" s="1084"/>
      <c r="AB119" s="1084"/>
      <c r="AC119" s="1085"/>
      <c r="AD119" s="1066"/>
      <c r="AE119" s="1069"/>
      <c r="AF119" s="1110"/>
      <c r="AG119" s="1111"/>
      <c r="AH119" s="1111"/>
      <c r="AI119" s="1111"/>
      <c r="AJ119" s="1111"/>
      <c r="AK119" s="1111"/>
      <c r="AL119" s="1111"/>
      <c r="AM119" s="1111"/>
      <c r="AN119" s="1111"/>
      <c r="AO119" s="1111"/>
      <c r="AP119" s="1112"/>
      <c r="AQ119" s="1113"/>
      <c r="AR119" s="1113"/>
      <c r="AS119" s="1113"/>
      <c r="AT119" s="1113"/>
      <c r="AU119" s="1113"/>
      <c r="AV119" s="1113"/>
      <c r="AW119" s="1113"/>
      <c r="AX119" s="1114"/>
      <c r="AZ119" s="1190"/>
      <c r="BN119" s="374"/>
      <c r="BO119" s="520">
        <f t="shared" si="20"/>
        <v>11</v>
      </c>
      <c r="BP119" s="508">
        <f t="shared" si="25"/>
        <v>45233</v>
      </c>
      <c r="BQ119" s="674" t="str">
        <f t="shared" si="21"/>
        <v>金曜日</v>
      </c>
      <c r="BR119" s="674" t="str">
        <f t="shared" si="22"/>
        <v>110</v>
      </c>
      <c r="BS119" s="509" t="str">
        <f t="shared" si="23"/>
        <v>表示不可</v>
      </c>
      <c r="BT119" s="374"/>
      <c r="BU119" s="374"/>
      <c r="BV119" s="374"/>
      <c r="BW119" s="374"/>
      <c r="BX119" s="374"/>
      <c r="BY119" s="374"/>
      <c r="BZ119" s="380"/>
      <c r="CA119" s="374"/>
    </row>
    <row r="120" spans="2:79" ht="18.75" customHeight="1" thickBot="1" x14ac:dyDescent="0.4">
      <c r="B120" s="1103"/>
      <c r="C120" s="1104"/>
      <c r="D120" s="1104"/>
      <c r="E120" s="1105"/>
      <c r="F120" s="1103"/>
      <c r="G120" s="1104"/>
      <c r="H120" s="1104"/>
      <c r="I120" s="1104"/>
      <c r="J120" s="1104"/>
      <c r="K120" s="1104"/>
      <c r="L120" s="1104"/>
      <c r="M120" s="1105"/>
      <c r="N120" s="1061"/>
      <c r="O120" s="1061"/>
      <c r="P120" s="1061"/>
      <c r="Q120" s="1061"/>
      <c r="R120" s="1063"/>
      <c r="S120" s="1063"/>
      <c r="T120" s="1063"/>
      <c r="U120" s="1063"/>
      <c r="V120" s="1084"/>
      <c r="W120" s="1084"/>
      <c r="X120" s="1084"/>
      <c r="Y120" s="1084"/>
      <c r="Z120" s="1084"/>
      <c r="AA120" s="1084"/>
      <c r="AB120" s="1084"/>
      <c r="AC120" s="1085"/>
      <c r="AD120" s="1115"/>
      <c r="AE120" s="1116"/>
      <c r="AF120" s="1111"/>
      <c r="AG120" s="1111"/>
      <c r="AH120" s="1111"/>
      <c r="AI120" s="1111"/>
      <c r="AJ120" s="1111"/>
      <c r="AK120" s="1111"/>
      <c r="AL120" s="1111"/>
      <c r="AM120" s="1111"/>
      <c r="AN120" s="1111"/>
      <c r="AO120" s="1111"/>
      <c r="AP120" s="1112"/>
      <c r="AQ120" s="1113"/>
      <c r="AR120" s="1113"/>
      <c r="AS120" s="1113"/>
      <c r="AT120" s="1113"/>
      <c r="AU120" s="1113"/>
      <c r="AV120" s="1113"/>
      <c r="AW120" s="1113"/>
      <c r="AX120" s="1114"/>
      <c r="AZ120" s="1190"/>
      <c r="BN120" s="374"/>
      <c r="BO120" s="520">
        <f t="shared" si="20"/>
        <v>11</v>
      </c>
      <c r="BP120" s="508">
        <f t="shared" si="25"/>
        <v>45234</v>
      </c>
      <c r="BQ120" s="674" t="str">
        <f t="shared" si="21"/>
        <v>土曜日</v>
      </c>
      <c r="BR120" s="674" t="str">
        <f t="shared" si="22"/>
        <v>110</v>
      </c>
      <c r="BS120" s="509" t="str">
        <f t="shared" si="23"/>
        <v>表示不可</v>
      </c>
      <c r="BT120" s="374"/>
      <c r="BU120" s="374"/>
      <c r="BV120" s="374"/>
      <c r="BW120" s="374"/>
      <c r="BX120" s="374"/>
      <c r="BY120" s="374"/>
      <c r="BZ120" s="380"/>
      <c r="CA120" s="374"/>
    </row>
    <row r="121" spans="2:79" ht="18.75" thickTop="1" x14ac:dyDescent="0.35">
      <c r="BN121" s="374"/>
      <c r="BO121" s="520">
        <f t="shared" si="20"/>
        <v>11</v>
      </c>
      <c r="BP121" s="508">
        <f t="shared" si="25"/>
        <v>45235</v>
      </c>
      <c r="BQ121" s="674" t="str">
        <f t="shared" si="21"/>
        <v>日曜日</v>
      </c>
      <c r="BR121" s="674" t="str">
        <f t="shared" si="22"/>
        <v>110</v>
      </c>
      <c r="BS121" s="509" t="str">
        <f t="shared" si="23"/>
        <v>表示不可</v>
      </c>
      <c r="BT121" s="374"/>
      <c r="BU121" s="374"/>
      <c r="BV121" s="374"/>
      <c r="BW121" s="374"/>
      <c r="BX121" s="374"/>
      <c r="BY121" s="374"/>
      <c r="BZ121" s="380"/>
      <c r="CA121" s="374"/>
    </row>
    <row r="122" spans="2:79" ht="24" x14ac:dyDescent="0.5">
      <c r="B122" s="1235" t="s">
        <v>1161</v>
      </c>
      <c r="C122" s="1236"/>
      <c r="D122" s="1236"/>
      <c r="E122" s="1236"/>
      <c r="F122" s="1236"/>
      <c r="G122" s="1236"/>
      <c r="H122" s="1236"/>
      <c r="I122" s="1236"/>
      <c r="J122" s="1236"/>
      <c r="K122" s="1236"/>
      <c r="L122" s="1236"/>
      <c r="M122" s="1236"/>
      <c r="N122" s="1236"/>
      <c r="O122" s="1236"/>
      <c r="P122" s="1236"/>
      <c r="Q122" s="1236"/>
      <c r="R122" s="1236"/>
      <c r="S122" s="1236"/>
      <c r="T122" s="1236"/>
      <c r="U122" s="1236"/>
      <c r="V122" s="1236"/>
      <c r="W122" s="1236"/>
      <c r="X122" s="1236"/>
      <c r="Y122" s="1236"/>
      <c r="Z122" s="1236"/>
      <c r="AA122" s="1236"/>
      <c r="AB122" s="1236"/>
      <c r="AC122" s="1236"/>
      <c r="AD122" s="1236"/>
      <c r="AE122" s="1236"/>
      <c r="AF122" s="1236"/>
      <c r="AG122" s="1236"/>
      <c r="AH122" s="1236"/>
      <c r="AI122" s="1236"/>
      <c r="AJ122" s="1236"/>
      <c r="AK122" s="1236"/>
      <c r="AL122" s="1236"/>
      <c r="AM122" s="1236"/>
      <c r="AN122" s="1236"/>
      <c r="AO122" s="1236"/>
      <c r="AP122" s="1236"/>
      <c r="AQ122" s="1236"/>
      <c r="AR122" s="1236"/>
      <c r="AS122" s="1236"/>
      <c r="AT122" s="1236"/>
      <c r="AU122" s="1236"/>
      <c r="AV122" s="1236"/>
      <c r="AW122" s="1236"/>
      <c r="AX122" s="1236"/>
      <c r="BN122" s="374"/>
      <c r="BO122" s="520">
        <f t="shared" si="20"/>
        <v>11</v>
      </c>
      <c r="BP122" s="508">
        <f t="shared" si="25"/>
        <v>45236</v>
      </c>
      <c r="BQ122" s="674" t="str">
        <f t="shared" si="21"/>
        <v>月曜日</v>
      </c>
      <c r="BR122" s="674" t="str">
        <f t="shared" si="22"/>
        <v>110</v>
      </c>
      <c r="BS122" s="509" t="str">
        <f t="shared" si="23"/>
        <v>表示不可</v>
      </c>
      <c r="BT122" s="374"/>
      <c r="BU122" s="374"/>
      <c r="BV122" s="374"/>
      <c r="BW122" s="374"/>
      <c r="BX122" s="374"/>
      <c r="BY122" s="374"/>
      <c r="BZ122" s="380"/>
      <c r="CA122" s="374"/>
    </row>
    <row r="123" spans="2:79" ht="19.5" thickBot="1" x14ac:dyDescent="0.45">
      <c r="B123" s="1237" t="s">
        <v>1150</v>
      </c>
      <c r="C123" s="1238"/>
      <c r="D123" s="1238"/>
      <c r="E123" s="1238"/>
      <c r="F123" s="1238"/>
      <c r="G123" s="1239" t="s">
        <v>1143</v>
      </c>
      <c r="H123" s="921"/>
      <c r="I123" s="921"/>
      <c r="J123" s="1240"/>
      <c r="K123" s="1240"/>
      <c r="L123" s="1240"/>
      <c r="M123" s="1240"/>
      <c r="N123" s="1240"/>
      <c r="O123" s="1240"/>
      <c r="P123" s="1240"/>
      <c r="Q123" s="1240"/>
      <c r="R123" s="1240"/>
      <c r="S123" s="1240"/>
      <c r="T123" s="1240"/>
      <c r="U123" s="1240"/>
      <c r="V123" s="1240"/>
      <c r="W123" s="1240"/>
      <c r="X123" s="1240"/>
      <c r="Y123" s="1240"/>
      <c r="Z123" s="1240"/>
      <c r="AA123" s="1240"/>
      <c r="AB123" s="1240"/>
      <c r="AC123" s="1239" t="s">
        <v>1144</v>
      </c>
      <c r="AD123" s="921"/>
      <c r="AE123" s="921"/>
      <c r="AF123" s="1240"/>
      <c r="AG123" s="1240"/>
      <c r="AH123" s="1240"/>
      <c r="AI123" s="1240"/>
      <c r="AJ123" s="1240"/>
      <c r="AK123" s="1240"/>
      <c r="AL123" s="1240"/>
      <c r="AM123" s="1240"/>
      <c r="AN123" s="1240"/>
      <c r="AO123" s="1240"/>
      <c r="AP123" s="1240"/>
      <c r="AQ123" s="1240"/>
      <c r="AR123" s="1240"/>
      <c r="AS123" s="1240"/>
      <c r="AT123" s="1240"/>
      <c r="AU123" s="1240"/>
      <c r="AV123" s="1240"/>
      <c r="AW123" s="1240"/>
      <c r="AX123" s="1240"/>
      <c r="BN123" s="374"/>
      <c r="BO123" s="520">
        <f t="shared" si="20"/>
        <v>11</v>
      </c>
      <c r="BP123" s="508">
        <f t="shared" si="25"/>
        <v>45237</v>
      </c>
      <c r="BQ123" s="674" t="str">
        <f t="shared" si="21"/>
        <v>火曜日</v>
      </c>
      <c r="BR123" s="674" t="str">
        <f t="shared" si="22"/>
        <v>110</v>
      </c>
      <c r="BS123" s="509" t="str">
        <f t="shared" si="23"/>
        <v>表示不可</v>
      </c>
      <c r="BT123" s="374"/>
      <c r="BU123" s="374"/>
      <c r="BV123" s="374"/>
      <c r="BW123" s="374"/>
      <c r="BX123" s="374"/>
      <c r="BY123" s="374"/>
      <c r="BZ123" s="380"/>
      <c r="CA123" s="374"/>
    </row>
    <row r="124" spans="2:79" ht="19.5" thickTop="1" x14ac:dyDescent="0.4">
      <c r="B124" s="1238"/>
      <c r="C124" s="1238"/>
      <c r="D124" s="1238"/>
      <c r="E124" s="1238"/>
      <c r="F124" s="1238"/>
      <c r="G124" s="1239" t="s">
        <v>1149</v>
      </c>
      <c r="H124" s="921"/>
      <c r="I124" s="921"/>
      <c r="J124" s="1241" t="s">
        <v>1159</v>
      </c>
      <c r="K124" s="1242"/>
      <c r="L124" s="1242"/>
      <c r="M124" s="1242"/>
      <c r="N124" s="1242"/>
      <c r="O124" s="1242"/>
      <c r="P124" s="1242"/>
      <c r="Q124" s="1242"/>
      <c r="R124" s="1242"/>
      <c r="S124" s="1242"/>
      <c r="T124" s="1242"/>
      <c r="U124" s="1242"/>
      <c r="V124" s="1242"/>
      <c r="W124" s="1242"/>
      <c r="X124" s="1242"/>
      <c r="Y124" s="1242"/>
      <c r="Z124" s="1243"/>
      <c r="AA124" s="1169" t="s">
        <v>1160</v>
      </c>
      <c r="AB124" s="1170"/>
      <c r="AC124" s="1244" t="s">
        <v>1149</v>
      </c>
      <c r="AD124" s="921"/>
      <c r="AE124" s="921"/>
      <c r="AF124" s="1241" t="s">
        <v>1159</v>
      </c>
      <c r="AG124" s="1242"/>
      <c r="AH124" s="1242"/>
      <c r="AI124" s="1242"/>
      <c r="AJ124" s="1242"/>
      <c r="AK124" s="1242"/>
      <c r="AL124" s="1242"/>
      <c r="AM124" s="1242"/>
      <c r="AN124" s="1242"/>
      <c r="AO124" s="1242"/>
      <c r="AP124" s="1242"/>
      <c r="AQ124" s="1242"/>
      <c r="AR124" s="1242"/>
      <c r="AS124" s="1242"/>
      <c r="AT124" s="1242"/>
      <c r="AU124" s="1242"/>
      <c r="AV124" s="1243"/>
      <c r="AW124" s="1169" t="s">
        <v>1160</v>
      </c>
      <c r="AX124" s="1170"/>
      <c r="BN124" s="374"/>
      <c r="BO124" s="520">
        <f t="shared" si="20"/>
        <v>11</v>
      </c>
      <c r="BP124" s="508">
        <f t="shared" si="25"/>
        <v>45238</v>
      </c>
      <c r="BQ124" s="674" t="str">
        <f t="shared" si="21"/>
        <v>水曜日</v>
      </c>
      <c r="BR124" s="674" t="str">
        <f t="shared" si="22"/>
        <v>110</v>
      </c>
      <c r="BS124" s="509" t="str">
        <f t="shared" si="23"/>
        <v>表示不可</v>
      </c>
      <c r="BT124" s="374"/>
      <c r="BU124" s="374"/>
      <c r="BV124" s="374"/>
      <c r="BW124" s="374"/>
      <c r="BX124" s="374"/>
      <c r="BY124" s="374"/>
      <c r="BZ124" s="380"/>
      <c r="CA124" s="374"/>
    </row>
    <row r="125" spans="2:79" ht="18" customHeight="1" x14ac:dyDescent="0.35">
      <c r="B125" s="1217" t="s">
        <v>1145</v>
      </c>
      <c r="C125" s="1218"/>
      <c r="D125" s="1218"/>
      <c r="E125" s="1218"/>
      <c r="F125" s="1219"/>
      <c r="G125" s="1223">
        <f>SUM(N82:Q87)</f>
        <v>0</v>
      </c>
      <c r="H125" s="1224"/>
      <c r="I125" s="1225"/>
      <c r="J125" s="1229"/>
      <c r="K125" s="1230"/>
      <c r="L125" s="1230"/>
      <c r="M125" s="1230"/>
      <c r="N125" s="1230"/>
      <c r="O125" s="1230"/>
      <c r="P125" s="1230"/>
      <c r="Q125" s="1230"/>
      <c r="R125" s="1230"/>
      <c r="S125" s="1230"/>
      <c r="T125" s="1230"/>
      <c r="U125" s="1230"/>
      <c r="V125" s="1230"/>
      <c r="W125" s="1230"/>
      <c r="X125" s="1230"/>
      <c r="Y125" s="1230"/>
      <c r="Z125" s="1231"/>
      <c r="AA125" s="1232" t="str">
        <f xml:space="preserve">
IF(AND(G125&gt;2,COUNTA(J125)&lt;&gt;1),"要入力",
IF(AND(G125&gt;2,COUNTA(J125)=1),"入力済",
IF(G125&lt;=2,"入力"&amp;CHAR(10)&amp;"不要")))</f>
        <v>入力
不要</v>
      </c>
      <c r="AB125" s="1233"/>
      <c r="AC125" s="1234">
        <f>SUM(R82:U87)</f>
        <v>0</v>
      </c>
      <c r="AD125" s="1224"/>
      <c r="AE125" s="1225"/>
      <c r="AF125" s="1229"/>
      <c r="AG125" s="1230"/>
      <c r="AH125" s="1230"/>
      <c r="AI125" s="1230"/>
      <c r="AJ125" s="1230"/>
      <c r="AK125" s="1230"/>
      <c r="AL125" s="1230"/>
      <c r="AM125" s="1230"/>
      <c r="AN125" s="1230"/>
      <c r="AO125" s="1230"/>
      <c r="AP125" s="1230"/>
      <c r="AQ125" s="1230"/>
      <c r="AR125" s="1230"/>
      <c r="AS125" s="1230"/>
      <c r="AT125" s="1230"/>
      <c r="AU125" s="1230"/>
      <c r="AV125" s="1231"/>
      <c r="AW125" s="1232" t="str">
        <f xml:space="preserve">
IF(AND(AC125&gt;2,COUNTA(AF125)&lt;&gt;1),"要入力",
IF(AND(AC125&gt;2,COUNTA(AF125)=1),"入力済",
IF(AC125&lt;=2,"入力"&amp;CHAR(10)&amp;"不要")))</f>
        <v>入力
不要</v>
      </c>
      <c r="AX125" s="1233"/>
      <c r="BN125" s="374"/>
      <c r="BO125" s="520">
        <f t="shared" si="20"/>
        <v>11</v>
      </c>
      <c r="BP125" s="508">
        <f t="shared" si="25"/>
        <v>45239</v>
      </c>
      <c r="BQ125" s="674" t="str">
        <f t="shared" si="21"/>
        <v>木曜日</v>
      </c>
      <c r="BR125" s="674" t="str">
        <f t="shared" si="22"/>
        <v>110</v>
      </c>
      <c r="BS125" s="509" t="str">
        <f t="shared" si="23"/>
        <v>表示不可</v>
      </c>
      <c r="BT125" s="374"/>
      <c r="BU125" s="374"/>
      <c r="BV125" s="374"/>
      <c r="BW125" s="374"/>
      <c r="BX125" s="374"/>
      <c r="BY125" s="374"/>
      <c r="BZ125" s="380"/>
      <c r="CA125" s="374"/>
    </row>
    <row r="126" spans="2:79" ht="18" customHeight="1" x14ac:dyDescent="0.35">
      <c r="B126" s="1220"/>
      <c r="C126" s="1221"/>
      <c r="D126" s="1221"/>
      <c r="E126" s="1221"/>
      <c r="F126" s="1222"/>
      <c r="G126" s="1226"/>
      <c r="H126" s="1227"/>
      <c r="I126" s="1228"/>
      <c r="J126" s="1230"/>
      <c r="K126" s="1230"/>
      <c r="L126" s="1230"/>
      <c r="M126" s="1230"/>
      <c r="N126" s="1230"/>
      <c r="O126" s="1230"/>
      <c r="P126" s="1230"/>
      <c r="Q126" s="1230"/>
      <c r="R126" s="1230"/>
      <c r="S126" s="1230"/>
      <c r="T126" s="1230"/>
      <c r="U126" s="1230"/>
      <c r="V126" s="1230"/>
      <c r="W126" s="1230"/>
      <c r="X126" s="1230"/>
      <c r="Y126" s="1230"/>
      <c r="Z126" s="1231"/>
      <c r="AA126" s="1232"/>
      <c r="AB126" s="1233"/>
      <c r="AC126" s="1227"/>
      <c r="AD126" s="1227"/>
      <c r="AE126" s="1228"/>
      <c r="AF126" s="1230"/>
      <c r="AG126" s="1230"/>
      <c r="AH126" s="1230"/>
      <c r="AI126" s="1230"/>
      <c r="AJ126" s="1230"/>
      <c r="AK126" s="1230"/>
      <c r="AL126" s="1230"/>
      <c r="AM126" s="1230"/>
      <c r="AN126" s="1230"/>
      <c r="AO126" s="1230"/>
      <c r="AP126" s="1230"/>
      <c r="AQ126" s="1230"/>
      <c r="AR126" s="1230"/>
      <c r="AS126" s="1230"/>
      <c r="AT126" s="1230"/>
      <c r="AU126" s="1230"/>
      <c r="AV126" s="1231"/>
      <c r="AW126" s="1232"/>
      <c r="AX126" s="1233"/>
      <c r="BN126" s="374"/>
      <c r="BO126" s="520">
        <f t="shared" si="20"/>
        <v>11</v>
      </c>
      <c r="BP126" s="508">
        <f t="shared" si="25"/>
        <v>45240</v>
      </c>
      <c r="BQ126" s="674" t="str">
        <f t="shared" si="21"/>
        <v>金曜日</v>
      </c>
      <c r="BR126" s="674" t="str">
        <f t="shared" si="22"/>
        <v>110</v>
      </c>
      <c r="BS126" s="509" t="str">
        <f t="shared" si="23"/>
        <v>表示不可</v>
      </c>
      <c r="BT126" s="374"/>
      <c r="BU126" s="374"/>
      <c r="BV126" s="374"/>
      <c r="BW126" s="374"/>
      <c r="BX126" s="374"/>
      <c r="BY126" s="374"/>
      <c r="BZ126" s="380"/>
      <c r="CA126" s="374"/>
    </row>
    <row r="127" spans="2:79" ht="18" customHeight="1" x14ac:dyDescent="0.35">
      <c r="B127" s="1245" t="s">
        <v>1146</v>
      </c>
      <c r="C127" s="1218"/>
      <c r="D127" s="1218"/>
      <c r="E127" s="1218"/>
      <c r="F127" s="1219"/>
      <c r="G127" s="1223">
        <f>N88</f>
        <v>0</v>
      </c>
      <c r="H127" s="1224"/>
      <c r="I127" s="1225"/>
      <c r="J127" s="1229"/>
      <c r="K127" s="1230"/>
      <c r="L127" s="1230"/>
      <c r="M127" s="1230"/>
      <c r="N127" s="1230"/>
      <c r="O127" s="1230"/>
      <c r="P127" s="1230"/>
      <c r="Q127" s="1230"/>
      <c r="R127" s="1230"/>
      <c r="S127" s="1230"/>
      <c r="T127" s="1230"/>
      <c r="U127" s="1230"/>
      <c r="V127" s="1230"/>
      <c r="W127" s="1230"/>
      <c r="X127" s="1230"/>
      <c r="Y127" s="1230"/>
      <c r="Z127" s="1231"/>
      <c r="AA127" s="1232" t="str">
        <f xml:space="preserve">
IF(AND(G127&gt;2,COUNTA(J127)&lt;&gt;1),"要入力",
IF(AND(G127&gt;2,COUNTA(J127)=1),"入力済",
IF(G127&lt;=2,"入力"&amp;CHAR(10)&amp;"不要")))</f>
        <v>入力
不要</v>
      </c>
      <c r="AB127" s="1233"/>
      <c r="AC127" s="1234">
        <f>R88</f>
        <v>0</v>
      </c>
      <c r="AD127" s="1224"/>
      <c r="AE127" s="1225"/>
      <c r="AF127" s="1229"/>
      <c r="AG127" s="1230"/>
      <c r="AH127" s="1230"/>
      <c r="AI127" s="1230"/>
      <c r="AJ127" s="1230"/>
      <c r="AK127" s="1230"/>
      <c r="AL127" s="1230"/>
      <c r="AM127" s="1230"/>
      <c r="AN127" s="1230"/>
      <c r="AO127" s="1230"/>
      <c r="AP127" s="1230"/>
      <c r="AQ127" s="1230"/>
      <c r="AR127" s="1230"/>
      <c r="AS127" s="1230"/>
      <c r="AT127" s="1230"/>
      <c r="AU127" s="1230"/>
      <c r="AV127" s="1231"/>
      <c r="AW127" s="1232" t="str">
        <f xml:space="preserve">
IF(AND(AC127&gt;2,COUNTA(AF127)&lt;&gt;1),"要入力",
IF(AND(AC127&gt;2,COUNTA(AF127)=1),"入力済",
IF(AC127&lt;=2,"入力"&amp;CHAR(10)&amp;"不要")))</f>
        <v>入力
不要</v>
      </c>
      <c r="AX127" s="1233"/>
      <c r="BN127" s="374"/>
      <c r="BO127" s="520">
        <f t="shared" si="20"/>
        <v>11</v>
      </c>
      <c r="BP127" s="508">
        <f t="shared" si="25"/>
        <v>45241</v>
      </c>
      <c r="BQ127" s="674" t="str">
        <f t="shared" si="21"/>
        <v>土曜日</v>
      </c>
      <c r="BR127" s="674" t="str">
        <f t="shared" si="22"/>
        <v>110</v>
      </c>
      <c r="BS127" s="509" t="str">
        <f t="shared" si="23"/>
        <v>表示不可</v>
      </c>
      <c r="BT127" s="374"/>
      <c r="BU127" s="374"/>
      <c r="BV127" s="374"/>
      <c r="BW127" s="374"/>
      <c r="BX127" s="374"/>
      <c r="BY127" s="374"/>
      <c r="BZ127" s="380"/>
      <c r="CA127" s="374"/>
    </row>
    <row r="128" spans="2:79" ht="18" customHeight="1" x14ac:dyDescent="0.35">
      <c r="B128" s="1220"/>
      <c r="C128" s="1221"/>
      <c r="D128" s="1221"/>
      <c r="E128" s="1221"/>
      <c r="F128" s="1222"/>
      <c r="G128" s="1226"/>
      <c r="H128" s="1227"/>
      <c r="I128" s="1228"/>
      <c r="J128" s="1230"/>
      <c r="K128" s="1230"/>
      <c r="L128" s="1230"/>
      <c r="M128" s="1230"/>
      <c r="N128" s="1230"/>
      <c r="O128" s="1230"/>
      <c r="P128" s="1230"/>
      <c r="Q128" s="1230"/>
      <c r="R128" s="1230"/>
      <c r="S128" s="1230"/>
      <c r="T128" s="1230"/>
      <c r="U128" s="1230"/>
      <c r="V128" s="1230"/>
      <c r="W128" s="1230"/>
      <c r="X128" s="1230"/>
      <c r="Y128" s="1230"/>
      <c r="Z128" s="1231"/>
      <c r="AA128" s="1232"/>
      <c r="AB128" s="1233"/>
      <c r="AC128" s="1227"/>
      <c r="AD128" s="1227"/>
      <c r="AE128" s="1228"/>
      <c r="AF128" s="1230"/>
      <c r="AG128" s="1230"/>
      <c r="AH128" s="1230"/>
      <c r="AI128" s="1230"/>
      <c r="AJ128" s="1230"/>
      <c r="AK128" s="1230"/>
      <c r="AL128" s="1230"/>
      <c r="AM128" s="1230"/>
      <c r="AN128" s="1230"/>
      <c r="AO128" s="1230"/>
      <c r="AP128" s="1230"/>
      <c r="AQ128" s="1230"/>
      <c r="AR128" s="1230"/>
      <c r="AS128" s="1230"/>
      <c r="AT128" s="1230"/>
      <c r="AU128" s="1230"/>
      <c r="AV128" s="1231"/>
      <c r="AW128" s="1232"/>
      <c r="AX128" s="1233"/>
      <c r="BN128" s="374"/>
      <c r="BO128" s="520">
        <f t="shared" si="20"/>
        <v>11</v>
      </c>
      <c r="BP128" s="508">
        <f t="shared" si="25"/>
        <v>45242</v>
      </c>
      <c r="BQ128" s="674" t="str">
        <f t="shared" si="21"/>
        <v>日曜日</v>
      </c>
      <c r="BR128" s="674" t="str">
        <f t="shared" si="22"/>
        <v>110</v>
      </c>
      <c r="BS128" s="509" t="str">
        <f t="shared" si="23"/>
        <v>表示不可</v>
      </c>
      <c r="BT128" s="374"/>
      <c r="BU128" s="374"/>
      <c r="BV128" s="374"/>
      <c r="BW128" s="374"/>
      <c r="BX128" s="374"/>
      <c r="BY128" s="374"/>
      <c r="BZ128" s="380"/>
      <c r="CA128" s="374"/>
    </row>
    <row r="129" spans="2:79" ht="18" customHeight="1" x14ac:dyDescent="0.35">
      <c r="B129" s="1246" t="s">
        <v>1147</v>
      </c>
      <c r="C129" s="1218"/>
      <c r="D129" s="1218"/>
      <c r="E129" s="1218"/>
      <c r="F129" s="1219"/>
      <c r="G129" s="1247">
        <f>N91</f>
        <v>0</v>
      </c>
      <c r="H129" s="1248"/>
      <c r="I129" s="1249"/>
      <c r="J129" s="1229"/>
      <c r="K129" s="1230"/>
      <c r="L129" s="1230"/>
      <c r="M129" s="1230"/>
      <c r="N129" s="1230"/>
      <c r="O129" s="1230"/>
      <c r="P129" s="1230"/>
      <c r="Q129" s="1230"/>
      <c r="R129" s="1230"/>
      <c r="S129" s="1230"/>
      <c r="T129" s="1230"/>
      <c r="U129" s="1230"/>
      <c r="V129" s="1230"/>
      <c r="W129" s="1230"/>
      <c r="X129" s="1230"/>
      <c r="Y129" s="1230"/>
      <c r="Z129" s="1231"/>
      <c r="AA129" s="1232" t="str">
        <f xml:space="preserve">
IF(AND(G129&gt;2,COUNTA(J129)&lt;&gt;1),"要入力",
IF(AND(G129&gt;2,COUNTA(J129)=1),"入力済",
IF(G129&lt;=2,"入力"&amp;CHAR(10)&amp;"不要")))</f>
        <v>入力
不要</v>
      </c>
      <c r="AB129" s="1233"/>
      <c r="AC129" s="1253">
        <f>R91</f>
        <v>0</v>
      </c>
      <c r="AD129" s="1248"/>
      <c r="AE129" s="1249"/>
      <c r="AF129" s="1229"/>
      <c r="AG129" s="1230"/>
      <c r="AH129" s="1230"/>
      <c r="AI129" s="1230"/>
      <c r="AJ129" s="1230"/>
      <c r="AK129" s="1230"/>
      <c r="AL129" s="1230"/>
      <c r="AM129" s="1230"/>
      <c r="AN129" s="1230"/>
      <c r="AO129" s="1230"/>
      <c r="AP129" s="1230"/>
      <c r="AQ129" s="1230"/>
      <c r="AR129" s="1230"/>
      <c r="AS129" s="1230"/>
      <c r="AT129" s="1230"/>
      <c r="AU129" s="1230"/>
      <c r="AV129" s="1231"/>
      <c r="AW129" s="1232" t="str">
        <f xml:space="preserve">
IF(AND(AC129&gt;2,COUNTA(AF129)&lt;&gt;1),"要入力",
IF(AND(AC129&gt;2,COUNTA(AF129)=1),"入力済",
IF(AC129&lt;=2,"入力"&amp;CHAR(10)&amp;"不要")))</f>
        <v>入力
不要</v>
      </c>
      <c r="AX129" s="1233"/>
      <c r="BN129" s="374"/>
      <c r="BO129" s="520">
        <f t="shared" si="20"/>
        <v>11</v>
      </c>
      <c r="BP129" s="508">
        <f t="shared" si="25"/>
        <v>45243</v>
      </c>
      <c r="BQ129" s="674" t="str">
        <f t="shared" si="21"/>
        <v>月曜日</v>
      </c>
      <c r="BR129" s="674" t="str">
        <f t="shared" si="22"/>
        <v>110</v>
      </c>
      <c r="BS129" s="509" t="str">
        <f t="shared" si="23"/>
        <v>表示不可</v>
      </c>
      <c r="BT129" s="374"/>
      <c r="BU129" s="374"/>
      <c r="BV129" s="374"/>
      <c r="BW129" s="374"/>
      <c r="BX129" s="374"/>
      <c r="BY129" s="374"/>
      <c r="BZ129" s="380"/>
      <c r="CA129" s="374"/>
    </row>
    <row r="130" spans="2:79" ht="18" customHeight="1" x14ac:dyDescent="0.35">
      <c r="B130" s="1220"/>
      <c r="C130" s="1221"/>
      <c r="D130" s="1221"/>
      <c r="E130" s="1221"/>
      <c r="F130" s="1222"/>
      <c r="G130" s="1250"/>
      <c r="H130" s="1251"/>
      <c r="I130" s="1252"/>
      <c r="J130" s="1230"/>
      <c r="K130" s="1230"/>
      <c r="L130" s="1230"/>
      <c r="M130" s="1230"/>
      <c r="N130" s="1230"/>
      <c r="O130" s="1230"/>
      <c r="P130" s="1230"/>
      <c r="Q130" s="1230"/>
      <c r="R130" s="1230"/>
      <c r="S130" s="1230"/>
      <c r="T130" s="1230"/>
      <c r="U130" s="1230"/>
      <c r="V130" s="1230"/>
      <c r="W130" s="1230"/>
      <c r="X130" s="1230"/>
      <c r="Y130" s="1230"/>
      <c r="Z130" s="1231"/>
      <c r="AA130" s="1232"/>
      <c r="AB130" s="1233"/>
      <c r="AC130" s="1251"/>
      <c r="AD130" s="1251"/>
      <c r="AE130" s="1252"/>
      <c r="AF130" s="1230"/>
      <c r="AG130" s="1230"/>
      <c r="AH130" s="1230"/>
      <c r="AI130" s="1230"/>
      <c r="AJ130" s="1230"/>
      <c r="AK130" s="1230"/>
      <c r="AL130" s="1230"/>
      <c r="AM130" s="1230"/>
      <c r="AN130" s="1230"/>
      <c r="AO130" s="1230"/>
      <c r="AP130" s="1230"/>
      <c r="AQ130" s="1230"/>
      <c r="AR130" s="1230"/>
      <c r="AS130" s="1230"/>
      <c r="AT130" s="1230"/>
      <c r="AU130" s="1230"/>
      <c r="AV130" s="1231"/>
      <c r="AW130" s="1232"/>
      <c r="AX130" s="1233"/>
      <c r="BN130" s="374"/>
      <c r="BO130" s="520">
        <f t="shared" si="20"/>
        <v>11</v>
      </c>
      <c r="BP130" s="508">
        <f t="shared" si="25"/>
        <v>45244</v>
      </c>
      <c r="BQ130" s="674" t="str">
        <f t="shared" si="21"/>
        <v>火曜日</v>
      </c>
      <c r="BR130" s="674" t="str">
        <f t="shared" si="22"/>
        <v>110</v>
      </c>
      <c r="BS130" s="509" t="str">
        <f t="shared" si="23"/>
        <v>表示不可</v>
      </c>
      <c r="BT130" s="374"/>
      <c r="BU130" s="374"/>
      <c r="BV130" s="374"/>
      <c r="BW130" s="374"/>
      <c r="BX130" s="374"/>
      <c r="BY130" s="374"/>
      <c r="BZ130" s="380"/>
      <c r="CA130" s="374"/>
    </row>
    <row r="131" spans="2:79" ht="18" customHeight="1" x14ac:dyDescent="0.35">
      <c r="B131" s="1254" t="s">
        <v>1148</v>
      </c>
      <c r="C131" s="1218"/>
      <c r="D131" s="1218"/>
      <c r="E131" s="1218"/>
      <c r="F131" s="1219"/>
      <c r="G131" s="1223">
        <f>N94</f>
        <v>0</v>
      </c>
      <c r="H131" s="1224"/>
      <c r="I131" s="1225"/>
      <c r="J131" s="1229"/>
      <c r="K131" s="1230"/>
      <c r="L131" s="1230"/>
      <c r="M131" s="1230"/>
      <c r="N131" s="1230"/>
      <c r="O131" s="1230"/>
      <c r="P131" s="1230"/>
      <c r="Q131" s="1230"/>
      <c r="R131" s="1230"/>
      <c r="S131" s="1230"/>
      <c r="T131" s="1230"/>
      <c r="U131" s="1230"/>
      <c r="V131" s="1230"/>
      <c r="W131" s="1230"/>
      <c r="X131" s="1230"/>
      <c r="Y131" s="1230"/>
      <c r="Z131" s="1231"/>
      <c r="AA131" s="1232" t="str">
        <f xml:space="preserve">
IF(AND(G131&gt;8,COUNTA(J131)&lt;&gt;1),"要入力",
IF(AND(G131&gt;8,COUNTA(J131)=1),"入力済",
IF(G131&lt;=8,"入力"&amp;CHAR(10)&amp;"不要")))</f>
        <v>入力
不要</v>
      </c>
      <c r="AB131" s="1233"/>
      <c r="AC131" s="1234">
        <f>R94</f>
        <v>0</v>
      </c>
      <c r="AD131" s="1224"/>
      <c r="AE131" s="1225"/>
      <c r="AF131" s="1229"/>
      <c r="AG131" s="1230"/>
      <c r="AH131" s="1230"/>
      <c r="AI131" s="1230"/>
      <c r="AJ131" s="1230"/>
      <c r="AK131" s="1230"/>
      <c r="AL131" s="1230"/>
      <c r="AM131" s="1230"/>
      <c r="AN131" s="1230"/>
      <c r="AO131" s="1230"/>
      <c r="AP131" s="1230"/>
      <c r="AQ131" s="1230"/>
      <c r="AR131" s="1230"/>
      <c r="AS131" s="1230"/>
      <c r="AT131" s="1230"/>
      <c r="AU131" s="1230"/>
      <c r="AV131" s="1231"/>
      <c r="AW131" s="1232" t="str">
        <f xml:space="preserve">
IF(AND(AC131&gt;8,COUNTA(AF131)&lt;&gt;1),"要入力",
IF(AND(AC131&gt;8,COUNTA(AF131)=1),"入力済",
IF(AC131&lt;=8,"入力"&amp;CHAR(10)&amp;"不要")))</f>
        <v>入力
不要</v>
      </c>
      <c r="AX131" s="1233"/>
      <c r="BO131" s="520">
        <f t="shared" si="20"/>
        <v>11</v>
      </c>
      <c r="BP131" s="508">
        <f t="shared" si="25"/>
        <v>45245</v>
      </c>
      <c r="BQ131" s="674" t="str">
        <f t="shared" si="21"/>
        <v>水曜日</v>
      </c>
      <c r="BR131" s="674" t="str">
        <f t="shared" si="22"/>
        <v>110</v>
      </c>
      <c r="BS131" s="509" t="str">
        <f t="shared" si="23"/>
        <v>表示不可</v>
      </c>
    </row>
    <row r="132" spans="2:79" ht="18" customHeight="1" x14ac:dyDescent="0.35">
      <c r="B132" s="1220"/>
      <c r="C132" s="1221"/>
      <c r="D132" s="1221"/>
      <c r="E132" s="1221"/>
      <c r="F132" s="1222"/>
      <c r="G132" s="1226"/>
      <c r="H132" s="1227"/>
      <c r="I132" s="1228"/>
      <c r="J132" s="1230"/>
      <c r="K132" s="1230"/>
      <c r="L132" s="1230"/>
      <c r="M132" s="1230"/>
      <c r="N132" s="1230"/>
      <c r="O132" s="1230"/>
      <c r="P132" s="1230"/>
      <c r="Q132" s="1230"/>
      <c r="R132" s="1230"/>
      <c r="S132" s="1230"/>
      <c r="T132" s="1230"/>
      <c r="U132" s="1230"/>
      <c r="V132" s="1230"/>
      <c r="W132" s="1230"/>
      <c r="X132" s="1230"/>
      <c r="Y132" s="1230"/>
      <c r="Z132" s="1231"/>
      <c r="AA132" s="1232"/>
      <c r="AB132" s="1233"/>
      <c r="AC132" s="1227"/>
      <c r="AD132" s="1227"/>
      <c r="AE132" s="1228"/>
      <c r="AF132" s="1230"/>
      <c r="AG132" s="1230"/>
      <c r="AH132" s="1230"/>
      <c r="AI132" s="1230"/>
      <c r="AJ132" s="1230"/>
      <c r="AK132" s="1230"/>
      <c r="AL132" s="1230"/>
      <c r="AM132" s="1230"/>
      <c r="AN132" s="1230"/>
      <c r="AO132" s="1230"/>
      <c r="AP132" s="1230"/>
      <c r="AQ132" s="1230"/>
      <c r="AR132" s="1230"/>
      <c r="AS132" s="1230"/>
      <c r="AT132" s="1230"/>
      <c r="AU132" s="1230"/>
      <c r="AV132" s="1231"/>
      <c r="AW132" s="1232"/>
      <c r="AX132" s="1233"/>
      <c r="BO132" s="520">
        <f t="shared" si="20"/>
        <v>11</v>
      </c>
      <c r="BP132" s="508">
        <f t="shared" si="25"/>
        <v>45246</v>
      </c>
      <c r="BQ132" s="674" t="str">
        <f t="shared" si="21"/>
        <v>木曜日</v>
      </c>
      <c r="BR132" s="674" t="str">
        <f t="shared" si="22"/>
        <v>110</v>
      </c>
      <c r="BS132" s="509" t="str">
        <f t="shared" si="23"/>
        <v>表示不可</v>
      </c>
    </row>
    <row r="133" spans="2:79" ht="18" customHeight="1" x14ac:dyDescent="0.35">
      <c r="B133" s="1217" t="s">
        <v>1151</v>
      </c>
      <c r="C133" s="1218"/>
      <c r="D133" s="1218"/>
      <c r="E133" s="1218"/>
      <c r="F133" s="1219"/>
      <c r="G133" s="1255">
        <f>N97</f>
        <v>0</v>
      </c>
      <c r="H133" s="1256"/>
      <c r="I133" s="1257"/>
      <c r="J133" s="1229"/>
      <c r="K133" s="1230"/>
      <c r="L133" s="1230"/>
      <c r="M133" s="1230"/>
      <c r="N133" s="1230"/>
      <c r="O133" s="1230"/>
      <c r="P133" s="1230"/>
      <c r="Q133" s="1230"/>
      <c r="R133" s="1230"/>
      <c r="S133" s="1230"/>
      <c r="T133" s="1230"/>
      <c r="U133" s="1230"/>
      <c r="V133" s="1230"/>
      <c r="W133" s="1230"/>
      <c r="X133" s="1230"/>
      <c r="Y133" s="1230"/>
      <c r="Z133" s="1231"/>
      <c r="AA133" s="1232" t="str">
        <f xml:space="preserve">
IF(AND(G133&gt;0.5,COUNTA(J133)&lt;&gt;1),"要入力",
IF(AND(G133&gt;0.5,COUNTA(J133)=1),"入力済",
IF(G133&lt;=0.5,"入力"&amp;CHAR(10)&amp;"不要")))</f>
        <v>入力
不要</v>
      </c>
      <c r="AB133" s="1233"/>
      <c r="AC133" s="1261">
        <f>R97</f>
        <v>0</v>
      </c>
      <c r="AD133" s="1256"/>
      <c r="AE133" s="1257"/>
      <c r="AF133" s="1229"/>
      <c r="AG133" s="1230"/>
      <c r="AH133" s="1230"/>
      <c r="AI133" s="1230"/>
      <c r="AJ133" s="1230"/>
      <c r="AK133" s="1230"/>
      <c r="AL133" s="1230"/>
      <c r="AM133" s="1230"/>
      <c r="AN133" s="1230"/>
      <c r="AO133" s="1230"/>
      <c r="AP133" s="1230"/>
      <c r="AQ133" s="1230"/>
      <c r="AR133" s="1230"/>
      <c r="AS133" s="1230"/>
      <c r="AT133" s="1230"/>
      <c r="AU133" s="1230"/>
      <c r="AV133" s="1231"/>
      <c r="AW133" s="1232" t="str">
        <f xml:space="preserve">
IF(AND(AC133&gt;0.5,COUNTA(AF133)&lt;&gt;1),"要入力",
IF(AND(AC133&gt;0.5,COUNTA(AF133)=1),"入力済",
IF(AC133&lt;=0.5,"入力"&amp;CHAR(10)&amp;"不要")))</f>
        <v>入力
不要</v>
      </c>
      <c r="AX133" s="1233"/>
      <c r="BO133" s="520">
        <f t="shared" si="20"/>
        <v>11</v>
      </c>
      <c r="BP133" s="508">
        <f t="shared" si="25"/>
        <v>45247</v>
      </c>
      <c r="BQ133" s="674" t="str">
        <f t="shared" si="21"/>
        <v>金曜日</v>
      </c>
      <c r="BR133" s="674" t="str">
        <f t="shared" si="22"/>
        <v>110</v>
      </c>
      <c r="BS133" s="509" t="str">
        <f t="shared" si="23"/>
        <v>表示不可</v>
      </c>
    </row>
    <row r="134" spans="2:79" ht="18" customHeight="1" x14ac:dyDescent="0.35">
      <c r="B134" s="1220"/>
      <c r="C134" s="1221"/>
      <c r="D134" s="1221"/>
      <c r="E134" s="1221"/>
      <c r="F134" s="1222"/>
      <c r="G134" s="1258"/>
      <c r="H134" s="1259"/>
      <c r="I134" s="1260"/>
      <c r="J134" s="1230"/>
      <c r="K134" s="1230"/>
      <c r="L134" s="1230"/>
      <c r="M134" s="1230"/>
      <c r="N134" s="1230"/>
      <c r="O134" s="1230"/>
      <c r="P134" s="1230"/>
      <c r="Q134" s="1230"/>
      <c r="R134" s="1230"/>
      <c r="S134" s="1230"/>
      <c r="T134" s="1230"/>
      <c r="U134" s="1230"/>
      <c r="V134" s="1230"/>
      <c r="W134" s="1230"/>
      <c r="X134" s="1230"/>
      <c r="Y134" s="1230"/>
      <c r="Z134" s="1231"/>
      <c r="AA134" s="1232"/>
      <c r="AB134" s="1233"/>
      <c r="AC134" s="1259"/>
      <c r="AD134" s="1259"/>
      <c r="AE134" s="1260"/>
      <c r="AF134" s="1230"/>
      <c r="AG134" s="1230"/>
      <c r="AH134" s="1230"/>
      <c r="AI134" s="1230"/>
      <c r="AJ134" s="1230"/>
      <c r="AK134" s="1230"/>
      <c r="AL134" s="1230"/>
      <c r="AM134" s="1230"/>
      <c r="AN134" s="1230"/>
      <c r="AO134" s="1230"/>
      <c r="AP134" s="1230"/>
      <c r="AQ134" s="1230"/>
      <c r="AR134" s="1230"/>
      <c r="AS134" s="1230"/>
      <c r="AT134" s="1230"/>
      <c r="AU134" s="1230"/>
      <c r="AV134" s="1231"/>
      <c r="AW134" s="1232"/>
      <c r="AX134" s="1233"/>
      <c r="BO134" s="520">
        <f t="shared" si="20"/>
        <v>11</v>
      </c>
      <c r="BP134" s="508">
        <f t="shared" si="25"/>
        <v>45248</v>
      </c>
      <c r="BQ134" s="674" t="str">
        <f t="shared" si="21"/>
        <v>土曜日</v>
      </c>
      <c r="BR134" s="674" t="str">
        <f t="shared" si="22"/>
        <v>110</v>
      </c>
      <c r="BS134" s="509" t="str">
        <f t="shared" si="23"/>
        <v>表示不可</v>
      </c>
    </row>
    <row r="135" spans="2:79" ht="18" customHeight="1" x14ac:dyDescent="0.35">
      <c r="B135" s="1245" t="s">
        <v>1152</v>
      </c>
      <c r="C135" s="1218"/>
      <c r="D135" s="1218"/>
      <c r="E135" s="1218"/>
      <c r="F135" s="1219"/>
      <c r="G135" s="1255">
        <f>N100</f>
        <v>0</v>
      </c>
      <c r="H135" s="1256"/>
      <c r="I135" s="1257"/>
      <c r="J135" s="1229"/>
      <c r="K135" s="1230"/>
      <c r="L135" s="1230"/>
      <c r="M135" s="1230"/>
      <c r="N135" s="1230"/>
      <c r="O135" s="1230"/>
      <c r="P135" s="1230"/>
      <c r="Q135" s="1230"/>
      <c r="R135" s="1230"/>
      <c r="S135" s="1230"/>
      <c r="T135" s="1230"/>
      <c r="U135" s="1230"/>
      <c r="V135" s="1230"/>
      <c r="W135" s="1230"/>
      <c r="X135" s="1230"/>
      <c r="Y135" s="1230"/>
      <c r="Z135" s="1231"/>
      <c r="AA135" s="1232" t="str">
        <f xml:space="preserve">
IF(AND(G135&gt;0.5,COUNTA(J135)&lt;&gt;1),"要入力",
IF(AND(G135&gt;0.5,COUNTA(J135)=1),"入力済",
IF(G135&lt;=0.5,"入力"&amp;CHAR(10)&amp;"不要")))</f>
        <v>入力
不要</v>
      </c>
      <c r="AB135" s="1233"/>
      <c r="AC135" s="1261">
        <f>R100</f>
        <v>0</v>
      </c>
      <c r="AD135" s="1256"/>
      <c r="AE135" s="1257"/>
      <c r="AF135" s="1229"/>
      <c r="AG135" s="1230"/>
      <c r="AH135" s="1230"/>
      <c r="AI135" s="1230"/>
      <c r="AJ135" s="1230"/>
      <c r="AK135" s="1230"/>
      <c r="AL135" s="1230"/>
      <c r="AM135" s="1230"/>
      <c r="AN135" s="1230"/>
      <c r="AO135" s="1230"/>
      <c r="AP135" s="1230"/>
      <c r="AQ135" s="1230"/>
      <c r="AR135" s="1230"/>
      <c r="AS135" s="1230"/>
      <c r="AT135" s="1230"/>
      <c r="AU135" s="1230"/>
      <c r="AV135" s="1231"/>
      <c r="AW135" s="1232" t="str">
        <f xml:space="preserve">
IF(AND(AC135&gt;0.5,COUNTA(AF135)&lt;&gt;1),"要入力",
IF(AND(AC135&gt;0.5,COUNTA(AF135)=1),"入力済",
IF(AC135&lt;=0.5,"入力"&amp;CHAR(10)&amp;"不要")))</f>
        <v>入力
不要</v>
      </c>
      <c r="AX135" s="1233"/>
      <c r="BO135" s="520">
        <f t="shared" si="20"/>
        <v>11</v>
      </c>
      <c r="BP135" s="508">
        <f t="shared" si="25"/>
        <v>45249</v>
      </c>
      <c r="BQ135" s="674" t="str">
        <f t="shared" si="21"/>
        <v>日曜日</v>
      </c>
      <c r="BR135" s="674" t="str">
        <f t="shared" si="22"/>
        <v>110</v>
      </c>
      <c r="BS135" s="509" t="str">
        <f t="shared" si="23"/>
        <v>表示不可</v>
      </c>
    </row>
    <row r="136" spans="2:79" ht="18" customHeight="1" x14ac:dyDescent="0.35">
      <c r="B136" s="1220"/>
      <c r="C136" s="1221"/>
      <c r="D136" s="1221"/>
      <c r="E136" s="1221"/>
      <c r="F136" s="1222"/>
      <c r="G136" s="1258"/>
      <c r="H136" s="1259"/>
      <c r="I136" s="1260"/>
      <c r="J136" s="1230"/>
      <c r="K136" s="1230"/>
      <c r="L136" s="1230"/>
      <c r="M136" s="1230"/>
      <c r="N136" s="1230"/>
      <c r="O136" s="1230"/>
      <c r="P136" s="1230"/>
      <c r="Q136" s="1230"/>
      <c r="R136" s="1230"/>
      <c r="S136" s="1230"/>
      <c r="T136" s="1230"/>
      <c r="U136" s="1230"/>
      <c r="V136" s="1230"/>
      <c r="W136" s="1230"/>
      <c r="X136" s="1230"/>
      <c r="Y136" s="1230"/>
      <c r="Z136" s="1231"/>
      <c r="AA136" s="1232"/>
      <c r="AB136" s="1233"/>
      <c r="AC136" s="1259"/>
      <c r="AD136" s="1259"/>
      <c r="AE136" s="1260"/>
      <c r="AF136" s="1230"/>
      <c r="AG136" s="1230"/>
      <c r="AH136" s="1230"/>
      <c r="AI136" s="1230"/>
      <c r="AJ136" s="1230"/>
      <c r="AK136" s="1230"/>
      <c r="AL136" s="1230"/>
      <c r="AM136" s="1230"/>
      <c r="AN136" s="1230"/>
      <c r="AO136" s="1230"/>
      <c r="AP136" s="1230"/>
      <c r="AQ136" s="1230"/>
      <c r="AR136" s="1230"/>
      <c r="AS136" s="1230"/>
      <c r="AT136" s="1230"/>
      <c r="AU136" s="1230"/>
      <c r="AV136" s="1231"/>
      <c r="AW136" s="1232"/>
      <c r="AX136" s="1233"/>
      <c r="BO136" s="520">
        <f t="shared" si="20"/>
        <v>11</v>
      </c>
      <c r="BP136" s="508">
        <f t="shared" si="25"/>
        <v>45250</v>
      </c>
      <c r="BQ136" s="674" t="str">
        <f t="shared" si="21"/>
        <v>月曜日</v>
      </c>
      <c r="BR136" s="674" t="str">
        <f t="shared" si="22"/>
        <v>110</v>
      </c>
      <c r="BS136" s="509" t="str">
        <f t="shared" si="23"/>
        <v>表示不可</v>
      </c>
    </row>
    <row r="137" spans="2:79" ht="18" customHeight="1" x14ac:dyDescent="0.35">
      <c r="B137" s="1245" t="s">
        <v>1153</v>
      </c>
      <c r="C137" s="1218"/>
      <c r="D137" s="1218"/>
      <c r="E137" s="1218"/>
      <c r="F137" s="1219"/>
      <c r="G137" s="1255">
        <f>N103</f>
        <v>0</v>
      </c>
      <c r="H137" s="1256"/>
      <c r="I137" s="1257"/>
      <c r="J137" s="1229"/>
      <c r="K137" s="1230"/>
      <c r="L137" s="1230"/>
      <c r="M137" s="1230"/>
      <c r="N137" s="1230"/>
      <c r="O137" s="1230"/>
      <c r="P137" s="1230"/>
      <c r="Q137" s="1230"/>
      <c r="R137" s="1230"/>
      <c r="S137" s="1230"/>
      <c r="T137" s="1230"/>
      <c r="U137" s="1230"/>
      <c r="V137" s="1230"/>
      <c r="W137" s="1230"/>
      <c r="X137" s="1230"/>
      <c r="Y137" s="1230"/>
      <c r="Z137" s="1231"/>
      <c r="AA137" s="1232" t="str">
        <f xml:space="preserve">
IF(AND(G137&gt;2,COUNTA(J137)&lt;&gt;1),"要入力",
IF(AND(G137&gt;2,COUNTA(J137)=1),"入力済",
IF(G137&lt;=2,"入力"&amp;CHAR(10)&amp;"不要")))</f>
        <v>入力
不要</v>
      </c>
      <c r="AB137" s="1233"/>
      <c r="AC137" s="1261">
        <f>R103</f>
        <v>0</v>
      </c>
      <c r="AD137" s="1256"/>
      <c r="AE137" s="1257"/>
      <c r="AF137" s="1229"/>
      <c r="AG137" s="1230"/>
      <c r="AH137" s="1230"/>
      <c r="AI137" s="1230"/>
      <c r="AJ137" s="1230"/>
      <c r="AK137" s="1230"/>
      <c r="AL137" s="1230"/>
      <c r="AM137" s="1230"/>
      <c r="AN137" s="1230"/>
      <c r="AO137" s="1230"/>
      <c r="AP137" s="1230"/>
      <c r="AQ137" s="1230"/>
      <c r="AR137" s="1230"/>
      <c r="AS137" s="1230"/>
      <c r="AT137" s="1230"/>
      <c r="AU137" s="1230"/>
      <c r="AV137" s="1231"/>
      <c r="AW137" s="1232" t="str">
        <f xml:space="preserve">
IF(AND(AC137&gt;2,COUNTA(AF137)&lt;&gt;1),"要入力",
IF(AND(AC137&gt;2,COUNTA(AF137)=1),"入力済",
IF(AC137&lt;=2,"入力"&amp;CHAR(10)&amp;"不要")))</f>
        <v>入力
不要</v>
      </c>
      <c r="AX137" s="1233"/>
      <c r="BO137" s="520">
        <f t="shared" si="20"/>
        <v>11</v>
      </c>
      <c r="BP137" s="508">
        <f t="shared" si="25"/>
        <v>45251</v>
      </c>
      <c r="BQ137" s="674" t="str">
        <f t="shared" si="21"/>
        <v>火曜日</v>
      </c>
      <c r="BR137" s="674" t="str">
        <f t="shared" si="22"/>
        <v>110</v>
      </c>
      <c r="BS137" s="509" t="str">
        <f t="shared" si="23"/>
        <v>表示不可</v>
      </c>
    </row>
    <row r="138" spans="2:79" ht="18" customHeight="1" x14ac:dyDescent="0.35">
      <c r="B138" s="1220"/>
      <c r="C138" s="1221"/>
      <c r="D138" s="1221"/>
      <c r="E138" s="1221"/>
      <c r="F138" s="1222"/>
      <c r="G138" s="1258"/>
      <c r="H138" s="1259"/>
      <c r="I138" s="1260"/>
      <c r="J138" s="1230"/>
      <c r="K138" s="1230"/>
      <c r="L138" s="1230"/>
      <c r="M138" s="1230"/>
      <c r="N138" s="1230"/>
      <c r="O138" s="1230"/>
      <c r="P138" s="1230"/>
      <c r="Q138" s="1230"/>
      <c r="R138" s="1230"/>
      <c r="S138" s="1230"/>
      <c r="T138" s="1230"/>
      <c r="U138" s="1230"/>
      <c r="V138" s="1230"/>
      <c r="W138" s="1230"/>
      <c r="X138" s="1230"/>
      <c r="Y138" s="1230"/>
      <c r="Z138" s="1231"/>
      <c r="AA138" s="1232"/>
      <c r="AB138" s="1233"/>
      <c r="AC138" s="1259"/>
      <c r="AD138" s="1259"/>
      <c r="AE138" s="1260"/>
      <c r="AF138" s="1230"/>
      <c r="AG138" s="1230"/>
      <c r="AH138" s="1230"/>
      <c r="AI138" s="1230"/>
      <c r="AJ138" s="1230"/>
      <c r="AK138" s="1230"/>
      <c r="AL138" s="1230"/>
      <c r="AM138" s="1230"/>
      <c r="AN138" s="1230"/>
      <c r="AO138" s="1230"/>
      <c r="AP138" s="1230"/>
      <c r="AQ138" s="1230"/>
      <c r="AR138" s="1230"/>
      <c r="AS138" s="1230"/>
      <c r="AT138" s="1230"/>
      <c r="AU138" s="1230"/>
      <c r="AV138" s="1231"/>
      <c r="AW138" s="1232"/>
      <c r="AX138" s="1233"/>
      <c r="BO138" s="520">
        <f t="shared" si="20"/>
        <v>11</v>
      </c>
      <c r="BP138" s="508">
        <f t="shared" si="25"/>
        <v>45252</v>
      </c>
      <c r="BQ138" s="674" t="str">
        <f t="shared" si="21"/>
        <v>水曜日</v>
      </c>
      <c r="BR138" s="674" t="str">
        <f t="shared" si="22"/>
        <v>110</v>
      </c>
      <c r="BS138" s="509" t="str">
        <f t="shared" si="23"/>
        <v>表示不可</v>
      </c>
    </row>
    <row r="139" spans="2:79" ht="18" customHeight="1" x14ac:dyDescent="0.35">
      <c r="B139" s="1254" t="s">
        <v>1154</v>
      </c>
      <c r="C139" s="1218"/>
      <c r="D139" s="1218"/>
      <c r="E139" s="1218"/>
      <c r="F139" s="1219"/>
      <c r="G139" s="1223">
        <f>N106</f>
        <v>0</v>
      </c>
      <c r="H139" s="1224"/>
      <c r="I139" s="1225"/>
      <c r="J139" s="1229"/>
      <c r="K139" s="1230"/>
      <c r="L139" s="1230"/>
      <c r="M139" s="1230"/>
      <c r="N139" s="1230"/>
      <c r="O139" s="1230"/>
      <c r="P139" s="1230"/>
      <c r="Q139" s="1230"/>
      <c r="R139" s="1230"/>
      <c r="S139" s="1230"/>
      <c r="T139" s="1230"/>
      <c r="U139" s="1230"/>
      <c r="V139" s="1230"/>
      <c r="W139" s="1230"/>
      <c r="X139" s="1230"/>
      <c r="Y139" s="1230"/>
      <c r="Z139" s="1231"/>
      <c r="AA139" s="1232" t="str">
        <f xml:space="preserve">
IF(AND(G139&gt;2,COUNTA(J139)&lt;&gt;1),"要入力",
IF(AND(G139&gt;2,COUNTA(J139)=1),"入力済",
IF(G139&lt;=2,"入力"&amp;CHAR(10)&amp;"不要")))</f>
        <v>入力
不要</v>
      </c>
      <c r="AB139" s="1233"/>
      <c r="AC139" s="1234">
        <f>R106</f>
        <v>0</v>
      </c>
      <c r="AD139" s="1224"/>
      <c r="AE139" s="1225"/>
      <c r="AF139" s="1229"/>
      <c r="AG139" s="1230"/>
      <c r="AH139" s="1230"/>
      <c r="AI139" s="1230"/>
      <c r="AJ139" s="1230"/>
      <c r="AK139" s="1230"/>
      <c r="AL139" s="1230"/>
      <c r="AM139" s="1230"/>
      <c r="AN139" s="1230"/>
      <c r="AO139" s="1230"/>
      <c r="AP139" s="1230"/>
      <c r="AQ139" s="1230"/>
      <c r="AR139" s="1230"/>
      <c r="AS139" s="1230"/>
      <c r="AT139" s="1230"/>
      <c r="AU139" s="1230"/>
      <c r="AV139" s="1231"/>
      <c r="AW139" s="1232" t="str">
        <f xml:space="preserve">
IF(AND(AC139&gt;2,COUNTA(AF139)&lt;&gt;1),"要入力",
IF(AND(AC139&gt;2,COUNTA(AF139)=1),"入力済",
IF(AC139&lt;=2,"入力"&amp;CHAR(10)&amp;"不要")))</f>
        <v>入力
不要</v>
      </c>
      <c r="AX139" s="1233"/>
      <c r="BO139" s="520">
        <f t="shared" si="20"/>
        <v>11</v>
      </c>
      <c r="BP139" s="508">
        <f t="shared" si="25"/>
        <v>45253</v>
      </c>
      <c r="BQ139" s="674" t="str">
        <f t="shared" si="21"/>
        <v>木曜日</v>
      </c>
      <c r="BR139" s="674" t="str">
        <f t="shared" si="22"/>
        <v>110</v>
      </c>
      <c r="BS139" s="509" t="str">
        <f t="shared" si="23"/>
        <v>表示不可</v>
      </c>
    </row>
    <row r="140" spans="2:79" ht="18" customHeight="1" x14ac:dyDescent="0.35">
      <c r="B140" s="1220"/>
      <c r="C140" s="1221"/>
      <c r="D140" s="1221"/>
      <c r="E140" s="1221"/>
      <c r="F140" s="1222"/>
      <c r="G140" s="1226"/>
      <c r="H140" s="1227"/>
      <c r="I140" s="1228"/>
      <c r="J140" s="1230"/>
      <c r="K140" s="1230"/>
      <c r="L140" s="1230"/>
      <c r="M140" s="1230"/>
      <c r="N140" s="1230"/>
      <c r="O140" s="1230"/>
      <c r="P140" s="1230"/>
      <c r="Q140" s="1230"/>
      <c r="R140" s="1230"/>
      <c r="S140" s="1230"/>
      <c r="T140" s="1230"/>
      <c r="U140" s="1230"/>
      <c r="V140" s="1230"/>
      <c r="W140" s="1230"/>
      <c r="X140" s="1230"/>
      <c r="Y140" s="1230"/>
      <c r="Z140" s="1231"/>
      <c r="AA140" s="1232"/>
      <c r="AB140" s="1233"/>
      <c r="AC140" s="1227"/>
      <c r="AD140" s="1227"/>
      <c r="AE140" s="1228"/>
      <c r="AF140" s="1230"/>
      <c r="AG140" s="1230"/>
      <c r="AH140" s="1230"/>
      <c r="AI140" s="1230"/>
      <c r="AJ140" s="1230"/>
      <c r="AK140" s="1230"/>
      <c r="AL140" s="1230"/>
      <c r="AM140" s="1230"/>
      <c r="AN140" s="1230"/>
      <c r="AO140" s="1230"/>
      <c r="AP140" s="1230"/>
      <c r="AQ140" s="1230"/>
      <c r="AR140" s="1230"/>
      <c r="AS140" s="1230"/>
      <c r="AT140" s="1230"/>
      <c r="AU140" s="1230"/>
      <c r="AV140" s="1231"/>
      <c r="AW140" s="1232"/>
      <c r="AX140" s="1233"/>
      <c r="BO140" s="520">
        <f t="shared" si="20"/>
        <v>11</v>
      </c>
      <c r="BP140" s="508">
        <f t="shared" si="25"/>
        <v>45254</v>
      </c>
      <c r="BQ140" s="674" t="str">
        <f t="shared" si="21"/>
        <v>金曜日</v>
      </c>
      <c r="BR140" s="674" t="str">
        <f t="shared" si="22"/>
        <v>110</v>
      </c>
      <c r="BS140" s="509" t="str">
        <f t="shared" si="23"/>
        <v>表示不可</v>
      </c>
    </row>
    <row r="141" spans="2:79" ht="18" customHeight="1" x14ac:dyDescent="0.35">
      <c r="B141" s="1245" t="s">
        <v>1155</v>
      </c>
      <c r="C141" s="1218"/>
      <c r="D141" s="1218"/>
      <c r="E141" s="1218"/>
      <c r="F141" s="1219"/>
      <c r="G141" s="1223">
        <f>N109</f>
        <v>0</v>
      </c>
      <c r="H141" s="1224"/>
      <c r="I141" s="1225"/>
      <c r="J141" s="1229"/>
      <c r="K141" s="1230"/>
      <c r="L141" s="1230"/>
      <c r="M141" s="1230"/>
      <c r="N141" s="1230"/>
      <c r="O141" s="1230"/>
      <c r="P141" s="1230"/>
      <c r="Q141" s="1230"/>
      <c r="R141" s="1230"/>
      <c r="S141" s="1230"/>
      <c r="T141" s="1230"/>
      <c r="U141" s="1230"/>
      <c r="V141" s="1230"/>
      <c r="W141" s="1230"/>
      <c r="X141" s="1230"/>
      <c r="Y141" s="1230"/>
      <c r="Z141" s="1231"/>
      <c r="AA141" s="1232" t="str">
        <f xml:space="preserve">
IF(AND(G141&gt;2,COUNTA(J141)&lt;&gt;1),"要入力",
IF(AND(G141&gt;2,COUNTA(J141)=1),"入力済",
IF(G141&lt;=2,"入力"&amp;CHAR(10)&amp;"不要")))</f>
        <v>入力
不要</v>
      </c>
      <c r="AB141" s="1233"/>
      <c r="AC141" s="1234">
        <f>R109</f>
        <v>0</v>
      </c>
      <c r="AD141" s="1224"/>
      <c r="AE141" s="1225"/>
      <c r="AF141" s="1229"/>
      <c r="AG141" s="1230"/>
      <c r="AH141" s="1230"/>
      <c r="AI141" s="1230"/>
      <c r="AJ141" s="1230"/>
      <c r="AK141" s="1230"/>
      <c r="AL141" s="1230"/>
      <c r="AM141" s="1230"/>
      <c r="AN141" s="1230"/>
      <c r="AO141" s="1230"/>
      <c r="AP141" s="1230"/>
      <c r="AQ141" s="1230"/>
      <c r="AR141" s="1230"/>
      <c r="AS141" s="1230"/>
      <c r="AT141" s="1230"/>
      <c r="AU141" s="1230"/>
      <c r="AV141" s="1231"/>
      <c r="AW141" s="1232" t="str">
        <f xml:space="preserve">
IF(AND(AC141&gt;2,COUNTA(AF141)&lt;&gt;1),"要入力",
IF(AND(AC141&gt;2,COUNTA(AF141)=1),"入力済",
IF(AC141&lt;=2,"入力"&amp;CHAR(10)&amp;"不要")))</f>
        <v>入力
不要</v>
      </c>
      <c r="AX141" s="1233"/>
      <c r="BO141" s="520">
        <f t="shared" si="20"/>
        <v>11</v>
      </c>
      <c r="BP141" s="508">
        <f t="shared" si="25"/>
        <v>45255</v>
      </c>
      <c r="BQ141" s="674" t="str">
        <f t="shared" si="21"/>
        <v>土曜日</v>
      </c>
      <c r="BR141" s="674" t="str">
        <f t="shared" si="22"/>
        <v>110</v>
      </c>
      <c r="BS141" s="509" t="str">
        <f t="shared" si="23"/>
        <v>表示不可</v>
      </c>
    </row>
    <row r="142" spans="2:79" ht="18" customHeight="1" x14ac:dyDescent="0.35">
      <c r="B142" s="1220"/>
      <c r="C142" s="1221"/>
      <c r="D142" s="1221"/>
      <c r="E142" s="1221"/>
      <c r="F142" s="1222"/>
      <c r="G142" s="1226"/>
      <c r="H142" s="1227"/>
      <c r="I142" s="1228"/>
      <c r="J142" s="1230"/>
      <c r="K142" s="1230"/>
      <c r="L142" s="1230"/>
      <c r="M142" s="1230"/>
      <c r="N142" s="1230"/>
      <c r="O142" s="1230"/>
      <c r="P142" s="1230"/>
      <c r="Q142" s="1230"/>
      <c r="R142" s="1230"/>
      <c r="S142" s="1230"/>
      <c r="T142" s="1230"/>
      <c r="U142" s="1230"/>
      <c r="V142" s="1230"/>
      <c r="W142" s="1230"/>
      <c r="X142" s="1230"/>
      <c r="Y142" s="1230"/>
      <c r="Z142" s="1231"/>
      <c r="AA142" s="1232"/>
      <c r="AB142" s="1233"/>
      <c r="AC142" s="1227"/>
      <c r="AD142" s="1227"/>
      <c r="AE142" s="1228"/>
      <c r="AF142" s="1230"/>
      <c r="AG142" s="1230"/>
      <c r="AH142" s="1230"/>
      <c r="AI142" s="1230"/>
      <c r="AJ142" s="1230"/>
      <c r="AK142" s="1230"/>
      <c r="AL142" s="1230"/>
      <c r="AM142" s="1230"/>
      <c r="AN142" s="1230"/>
      <c r="AO142" s="1230"/>
      <c r="AP142" s="1230"/>
      <c r="AQ142" s="1230"/>
      <c r="AR142" s="1230"/>
      <c r="AS142" s="1230"/>
      <c r="AT142" s="1230"/>
      <c r="AU142" s="1230"/>
      <c r="AV142" s="1231"/>
      <c r="AW142" s="1232"/>
      <c r="AX142" s="1233"/>
      <c r="BO142" s="520">
        <f t="shared" si="20"/>
        <v>11</v>
      </c>
      <c r="BP142" s="508">
        <f t="shared" si="25"/>
        <v>45256</v>
      </c>
      <c r="BQ142" s="674" t="str">
        <f t="shared" si="21"/>
        <v>日曜日</v>
      </c>
      <c r="BR142" s="674" t="str">
        <f t="shared" si="22"/>
        <v>110</v>
      </c>
      <c r="BS142" s="509" t="str">
        <f t="shared" si="23"/>
        <v>表示不可</v>
      </c>
    </row>
    <row r="143" spans="2:79" ht="18" customHeight="1" x14ac:dyDescent="0.35">
      <c r="B143" s="1245" t="s">
        <v>1156</v>
      </c>
      <c r="C143" s="1218"/>
      <c r="D143" s="1218"/>
      <c r="E143" s="1218"/>
      <c r="F143" s="1219"/>
      <c r="G143" s="1255">
        <f>N112</f>
        <v>0</v>
      </c>
      <c r="H143" s="1256"/>
      <c r="I143" s="1257"/>
      <c r="J143" s="1229"/>
      <c r="K143" s="1230"/>
      <c r="L143" s="1230"/>
      <c r="M143" s="1230"/>
      <c r="N143" s="1230"/>
      <c r="O143" s="1230"/>
      <c r="P143" s="1230"/>
      <c r="Q143" s="1230"/>
      <c r="R143" s="1230"/>
      <c r="S143" s="1230"/>
      <c r="T143" s="1230"/>
      <c r="U143" s="1230"/>
      <c r="V143" s="1230"/>
      <c r="W143" s="1230"/>
      <c r="X143" s="1230"/>
      <c r="Y143" s="1230"/>
      <c r="Z143" s="1231"/>
      <c r="AA143" s="1232" t="str">
        <f xml:space="preserve">
IF(AND(G143&gt;0.5,COUNTA(J143)&lt;&gt;1),"要入力",
IF(AND(G143&gt;0.5,COUNTA(J143)=1),"入力済",
IF(G143&lt;=0.5,"入力"&amp;CHAR(10)&amp;"不要")))</f>
        <v>入力
不要</v>
      </c>
      <c r="AB143" s="1233"/>
      <c r="AC143" s="1261">
        <f>R112</f>
        <v>0</v>
      </c>
      <c r="AD143" s="1256"/>
      <c r="AE143" s="1257"/>
      <c r="AF143" s="1229"/>
      <c r="AG143" s="1230"/>
      <c r="AH143" s="1230"/>
      <c r="AI143" s="1230"/>
      <c r="AJ143" s="1230"/>
      <c r="AK143" s="1230"/>
      <c r="AL143" s="1230"/>
      <c r="AM143" s="1230"/>
      <c r="AN143" s="1230"/>
      <c r="AO143" s="1230"/>
      <c r="AP143" s="1230"/>
      <c r="AQ143" s="1230"/>
      <c r="AR143" s="1230"/>
      <c r="AS143" s="1230"/>
      <c r="AT143" s="1230"/>
      <c r="AU143" s="1230"/>
      <c r="AV143" s="1231"/>
      <c r="AW143" s="1232" t="str">
        <f xml:space="preserve">
IF(AND(AC143&gt;0.5,COUNTA(AF143)&lt;&gt;1),"要入力",
IF(AND(AC143&gt;0.5,COUNTA(AF143)=1),"入力済",
IF(AC143&lt;=0.5,"入力"&amp;CHAR(10)&amp;"不要")))</f>
        <v>入力
不要</v>
      </c>
      <c r="AX143" s="1233"/>
      <c r="BO143" s="520">
        <f t="shared" si="20"/>
        <v>11</v>
      </c>
      <c r="BP143" s="508">
        <f t="shared" si="25"/>
        <v>45257</v>
      </c>
      <c r="BQ143" s="674" t="str">
        <f t="shared" si="21"/>
        <v>月曜日</v>
      </c>
      <c r="BR143" s="674" t="str">
        <f t="shared" si="22"/>
        <v>110</v>
      </c>
      <c r="BS143" s="509" t="str">
        <f t="shared" si="23"/>
        <v>表示不可</v>
      </c>
    </row>
    <row r="144" spans="2:79" ht="18" customHeight="1" x14ac:dyDescent="0.35">
      <c r="B144" s="1220"/>
      <c r="C144" s="1221"/>
      <c r="D144" s="1221"/>
      <c r="E144" s="1221"/>
      <c r="F144" s="1222"/>
      <c r="G144" s="1258"/>
      <c r="H144" s="1259"/>
      <c r="I144" s="1260"/>
      <c r="J144" s="1230"/>
      <c r="K144" s="1230"/>
      <c r="L144" s="1230"/>
      <c r="M144" s="1230"/>
      <c r="N144" s="1230"/>
      <c r="O144" s="1230"/>
      <c r="P144" s="1230"/>
      <c r="Q144" s="1230"/>
      <c r="R144" s="1230"/>
      <c r="S144" s="1230"/>
      <c r="T144" s="1230"/>
      <c r="U144" s="1230"/>
      <c r="V144" s="1230"/>
      <c r="W144" s="1230"/>
      <c r="X144" s="1230"/>
      <c r="Y144" s="1230"/>
      <c r="Z144" s="1231"/>
      <c r="AA144" s="1232"/>
      <c r="AB144" s="1233"/>
      <c r="AC144" s="1259"/>
      <c r="AD144" s="1259"/>
      <c r="AE144" s="1260"/>
      <c r="AF144" s="1230"/>
      <c r="AG144" s="1230"/>
      <c r="AH144" s="1230"/>
      <c r="AI144" s="1230"/>
      <c r="AJ144" s="1230"/>
      <c r="AK144" s="1230"/>
      <c r="AL144" s="1230"/>
      <c r="AM144" s="1230"/>
      <c r="AN144" s="1230"/>
      <c r="AO144" s="1230"/>
      <c r="AP144" s="1230"/>
      <c r="AQ144" s="1230"/>
      <c r="AR144" s="1230"/>
      <c r="AS144" s="1230"/>
      <c r="AT144" s="1230"/>
      <c r="AU144" s="1230"/>
      <c r="AV144" s="1231"/>
      <c r="AW144" s="1232"/>
      <c r="AX144" s="1233"/>
      <c r="BO144" s="520">
        <f t="shared" si="20"/>
        <v>11</v>
      </c>
      <c r="BP144" s="508">
        <f t="shared" si="25"/>
        <v>45258</v>
      </c>
      <c r="BQ144" s="674" t="str">
        <f t="shared" si="21"/>
        <v>火曜日</v>
      </c>
      <c r="BR144" s="674" t="str">
        <f t="shared" si="22"/>
        <v>110</v>
      </c>
      <c r="BS144" s="509" t="str">
        <f t="shared" si="23"/>
        <v>表示不可</v>
      </c>
    </row>
    <row r="145" spans="2:71" ht="18" customHeight="1" x14ac:dyDescent="0.35">
      <c r="B145" s="1245" t="s">
        <v>1157</v>
      </c>
      <c r="C145" s="1218"/>
      <c r="D145" s="1218"/>
      <c r="E145" s="1218"/>
      <c r="F145" s="1219"/>
      <c r="G145" s="1223">
        <f>N115</f>
        <v>0</v>
      </c>
      <c r="H145" s="1224"/>
      <c r="I145" s="1225"/>
      <c r="J145" s="1229"/>
      <c r="K145" s="1230"/>
      <c r="L145" s="1230"/>
      <c r="M145" s="1230"/>
      <c r="N145" s="1230"/>
      <c r="O145" s="1230"/>
      <c r="P145" s="1230"/>
      <c r="Q145" s="1230"/>
      <c r="R145" s="1230"/>
      <c r="S145" s="1230"/>
      <c r="T145" s="1230"/>
      <c r="U145" s="1230"/>
      <c r="V145" s="1230"/>
      <c r="W145" s="1230"/>
      <c r="X145" s="1230"/>
      <c r="Y145" s="1230"/>
      <c r="Z145" s="1231"/>
      <c r="AA145" s="1232" t="str">
        <f xml:space="preserve">
IF(AND(G145&gt;2,COUNTA(J145)&lt;&gt;1),"要入力",
IF(AND(G145&gt;2,COUNTA(J145)=1),"入力済",
IF(G145&lt;=2,"入力"&amp;CHAR(10)&amp;"不要")))</f>
        <v>入力
不要</v>
      </c>
      <c r="AB145" s="1233"/>
      <c r="AC145" s="1234">
        <f>R115</f>
        <v>0</v>
      </c>
      <c r="AD145" s="1224"/>
      <c r="AE145" s="1225"/>
      <c r="AF145" s="1229"/>
      <c r="AG145" s="1230"/>
      <c r="AH145" s="1230"/>
      <c r="AI145" s="1230"/>
      <c r="AJ145" s="1230"/>
      <c r="AK145" s="1230"/>
      <c r="AL145" s="1230"/>
      <c r="AM145" s="1230"/>
      <c r="AN145" s="1230"/>
      <c r="AO145" s="1230"/>
      <c r="AP145" s="1230"/>
      <c r="AQ145" s="1230"/>
      <c r="AR145" s="1230"/>
      <c r="AS145" s="1230"/>
      <c r="AT145" s="1230"/>
      <c r="AU145" s="1230"/>
      <c r="AV145" s="1231"/>
      <c r="AW145" s="1232" t="str">
        <f xml:space="preserve">
IF(AND(AC145&gt;2,COUNTA(AF145)&lt;&gt;1),"要入力",
IF(AND(AC145&gt;2,COUNTA(AF145)=1),"入力済",
IF(AC145&lt;=2,"入力"&amp;CHAR(10)&amp;"不要")))</f>
        <v>入力
不要</v>
      </c>
      <c r="AX145" s="1233"/>
      <c r="BO145" s="520">
        <f t="shared" si="20"/>
        <v>11</v>
      </c>
      <c r="BP145" s="508">
        <f t="shared" si="25"/>
        <v>45259</v>
      </c>
      <c r="BQ145" s="674" t="str">
        <f t="shared" si="21"/>
        <v>水曜日</v>
      </c>
      <c r="BR145" s="674" t="str">
        <f t="shared" si="22"/>
        <v>110</v>
      </c>
      <c r="BS145" s="509" t="str">
        <f t="shared" si="23"/>
        <v>表示不可</v>
      </c>
    </row>
    <row r="146" spans="2:71" ht="18" customHeight="1" x14ac:dyDescent="0.35">
      <c r="B146" s="1220"/>
      <c r="C146" s="1221"/>
      <c r="D146" s="1221"/>
      <c r="E146" s="1221"/>
      <c r="F146" s="1222"/>
      <c r="G146" s="1226"/>
      <c r="H146" s="1227"/>
      <c r="I146" s="1228"/>
      <c r="J146" s="1230"/>
      <c r="K146" s="1230"/>
      <c r="L146" s="1230"/>
      <c r="M146" s="1230"/>
      <c r="N146" s="1230"/>
      <c r="O146" s="1230"/>
      <c r="P146" s="1230"/>
      <c r="Q146" s="1230"/>
      <c r="R146" s="1230"/>
      <c r="S146" s="1230"/>
      <c r="T146" s="1230"/>
      <c r="U146" s="1230"/>
      <c r="V146" s="1230"/>
      <c r="W146" s="1230"/>
      <c r="X146" s="1230"/>
      <c r="Y146" s="1230"/>
      <c r="Z146" s="1231"/>
      <c r="AA146" s="1232"/>
      <c r="AB146" s="1233"/>
      <c r="AC146" s="1227"/>
      <c r="AD146" s="1227"/>
      <c r="AE146" s="1228"/>
      <c r="AF146" s="1230"/>
      <c r="AG146" s="1230"/>
      <c r="AH146" s="1230"/>
      <c r="AI146" s="1230"/>
      <c r="AJ146" s="1230"/>
      <c r="AK146" s="1230"/>
      <c r="AL146" s="1230"/>
      <c r="AM146" s="1230"/>
      <c r="AN146" s="1230"/>
      <c r="AO146" s="1230"/>
      <c r="AP146" s="1230"/>
      <c r="AQ146" s="1230"/>
      <c r="AR146" s="1230"/>
      <c r="AS146" s="1230"/>
      <c r="AT146" s="1230"/>
      <c r="AU146" s="1230"/>
      <c r="AV146" s="1231"/>
      <c r="AW146" s="1232"/>
      <c r="AX146" s="1233"/>
      <c r="BO146" s="520">
        <f t="shared" si="20"/>
        <v>11</v>
      </c>
      <c r="BP146" s="508">
        <f t="shared" si="25"/>
        <v>45260</v>
      </c>
      <c r="BQ146" s="674" t="str">
        <f t="shared" si="21"/>
        <v>木曜日</v>
      </c>
      <c r="BR146" s="674" t="str">
        <f t="shared" si="22"/>
        <v>110</v>
      </c>
      <c r="BS146" s="509" t="str">
        <f t="shared" si="23"/>
        <v>表示不可</v>
      </c>
    </row>
    <row r="147" spans="2:71" ht="18" customHeight="1" x14ac:dyDescent="0.35">
      <c r="B147" s="1245" t="s">
        <v>1158</v>
      </c>
      <c r="C147" s="1218"/>
      <c r="D147" s="1218"/>
      <c r="E147" s="1218"/>
      <c r="F147" s="1219"/>
      <c r="G147" s="1223">
        <f>N118</f>
        <v>0</v>
      </c>
      <c r="H147" s="1224"/>
      <c r="I147" s="1225"/>
      <c r="J147" s="1229"/>
      <c r="K147" s="1230"/>
      <c r="L147" s="1230"/>
      <c r="M147" s="1230"/>
      <c r="N147" s="1230"/>
      <c r="O147" s="1230"/>
      <c r="P147" s="1230"/>
      <c r="Q147" s="1230"/>
      <c r="R147" s="1230"/>
      <c r="S147" s="1230"/>
      <c r="T147" s="1230"/>
      <c r="U147" s="1230"/>
      <c r="V147" s="1230"/>
      <c r="W147" s="1230"/>
      <c r="X147" s="1230"/>
      <c r="Y147" s="1230"/>
      <c r="Z147" s="1231"/>
      <c r="AA147" s="1232" t="str">
        <f xml:space="preserve">
IF(AND(G147&gt;0.5,COUNTA(J147)&lt;&gt;1),"要入力",
IF(AND(G147&gt;0.5,COUNTA(J147)=1),"入力済",
IF(G147&lt;=0.5,"入力"&amp;CHAR(10)&amp;"不要")))</f>
        <v>入力
不要</v>
      </c>
      <c r="AB147" s="1233"/>
      <c r="AC147" s="1234">
        <f>R118</f>
        <v>0</v>
      </c>
      <c r="AD147" s="1224"/>
      <c r="AE147" s="1225"/>
      <c r="AF147" s="1229"/>
      <c r="AG147" s="1230"/>
      <c r="AH147" s="1230"/>
      <c r="AI147" s="1230"/>
      <c r="AJ147" s="1230"/>
      <c r="AK147" s="1230"/>
      <c r="AL147" s="1230"/>
      <c r="AM147" s="1230"/>
      <c r="AN147" s="1230"/>
      <c r="AO147" s="1230"/>
      <c r="AP147" s="1230"/>
      <c r="AQ147" s="1230"/>
      <c r="AR147" s="1230"/>
      <c r="AS147" s="1230"/>
      <c r="AT147" s="1230"/>
      <c r="AU147" s="1230"/>
      <c r="AV147" s="1231"/>
      <c r="AW147" s="1232" t="str">
        <f xml:space="preserve">
IF(AND(AC147&gt;0.5,COUNTA(AF147)&lt;&gt;1),"要入力",
IF(AND(AC147&gt;0.5,COUNTA(AF147)=1),"入力済",
IF(AC147&lt;=0.5,"入力"&amp;CHAR(10)&amp;"不要")))</f>
        <v>入力
不要</v>
      </c>
      <c r="AX147" s="1233"/>
      <c r="BO147" s="520">
        <f t="shared" si="20"/>
        <v>12</v>
      </c>
      <c r="BP147" s="508">
        <f t="shared" si="25"/>
        <v>45261</v>
      </c>
      <c r="BQ147" s="674" t="str">
        <f t="shared" si="21"/>
        <v>金曜日</v>
      </c>
      <c r="BR147" s="674" t="str">
        <f t="shared" si="22"/>
        <v>120</v>
      </c>
      <c r="BS147" s="509" t="str">
        <f t="shared" si="23"/>
        <v>表示不可</v>
      </c>
    </row>
    <row r="148" spans="2:71" ht="18" customHeight="1" thickBot="1" x14ac:dyDescent="0.4">
      <c r="B148" s="1220"/>
      <c r="C148" s="1221"/>
      <c r="D148" s="1221"/>
      <c r="E148" s="1221"/>
      <c r="F148" s="1222"/>
      <c r="G148" s="1226"/>
      <c r="H148" s="1227"/>
      <c r="I148" s="1228"/>
      <c r="J148" s="1230"/>
      <c r="K148" s="1230"/>
      <c r="L148" s="1230"/>
      <c r="M148" s="1230"/>
      <c r="N148" s="1230"/>
      <c r="O148" s="1230"/>
      <c r="P148" s="1230"/>
      <c r="Q148" s="1230"/>
      <c r="R148" s="1230"/>
      <c r="S148" s="1230"/>
      <c r="T148" s="1230"/>
      <c r="U148" s="1230"/>
      <c r="V148" s="1230"/>
      <c r="W148" s="1230"/>
      <c r="X148" s="1230"/>
      <c r="Y148" s="1230"/>
      <c r="Z148" s="1231"/>
      <c r="AA148" s="1265"/>
      <c r="AB148" s="1266"/>
      <c r="AC148" s="1227"/>
      <c r="AD148" s="1227"/>
      <c r="AE148" s="1228"/>
      <c r="AF148" s="1230"/>
      <c r="AG148" s="1230"/>
      <c r="AH148" s="1230"/>
      <c r="AI148" s="1230"/>
      <c r="AJ148" s="1230"/>
      <c r="AK148" s="1230"/>
      <c r="AL148" s="1230"/>
      <c r="AM148" s="1230"/>
      <c r="AN148" s="1230"/>
      <c r="AO148" s="1230"/>
      <c r="AP148" s="1230"/>
      <c r="AQ148" s="1230"/>
      <c r="AR148" s="1230"/>
      <c r="AS148" s="1230"/>
      <c r="AT148" s="1230"/>
      <c r="AU148" s="1230"/>
      <c r="AV148" s="1231"/>
      <c r="AW148" s="1265"/>
      <c r="AX148" s="1266"/>
      <c r="BO148" s="520">
        <f t="shared" si="20"/>
        <v>12</v>
      </c>
      <c r="BP148" s="508">
        <f t="shared" si="25"/>
        <v>45262</v>
      </c>
      <c r="BQ148" s="674" t="str">
        <f t="shared" si="21"/>
        <v>土曜日</v>
      </c>
      <c r="BR148" s="674" t="str">
        <f t="shared" si="22"/>
        <v>120</v>
      </c>
      <c r="BS148" s="509" t="str">
        <f t="shared" si="23"/>
        <v>表示不可</v>
      </c>
    </row>
    <row r="149" spans="2:71" ht="18.75" thickTop="1" x14ac:dyDescent="0.35">
      <c r="BO149" s="520">
        <f t="shared" si="20"/>
        <v>12</v>
      </c>
      <c r="BP149" s="508">
        <f t="shared" si="25"/>
        <v>45263</v>
      </c>
      <c r="BQ149" s="674" t="str">
        <f t="shared" si="21"/>
        <v>日曜日</v>
      </c>
      <c r="BR149" s="674" t="str">
        <f t="shared" si="22"/>
        <v>120</v>
      </c>
      <c r="BS149" s="509" t="str">
        <f t="shared" si="23"/>
        <v>表示不可</v>
      </c>
    </row>
    <row r="150" spans="2:71" x14ac:dyDescent="0.35">
      <c r="BO150" s="520">
        <f t="shared" si="20"/>
        <v>12</v>
      </c>
      <c r="BP150" s="508">
        <f t="shared" si="25"/>
        <v>45264</v>
      </c>
      <c r="BQ150" s="674" t="str">
        <f t="shared" si="21"/>
        <v>月曜日</v>
      </c>
      <c r="BR150" s="674" t="str">
        <f t="shared" si="22"/>
        <v>120</v>
      </c>
      <c r="BS150" s="509" t="str">
        <f t="shared" si="23"/>
        <v>表示不可</v>
      </c>
    </row>
    <row r="151" spans="2:71" x14ac:dyDescent="0.35">
      <c r="BO151" s="520">
        <f t="shared" ref="BO151:BO214" si="35">MONTH(BP151)</f>
        <v>12</v>
      </c>
      <c r="BP151" s="508">
        <f t="shared" si="25"/>
        <v>45265</v>
      </c>
      <c r="BQ151" s="674" t="str">
        <f t="shared" ref="BQ151:BQ214" si="36">TEXT(BP151,"aaaa")</f>
        <v>火曜日</v>
      </c>
      <c r="BR151" s="674" t="str">
        <f t="shared" ref="BR151:BR214" si="37">BO151&amp;VLOOKUP(BQ151,$BU$86:$BV$92,2,FALSE)</f>
        <v>120</v>
      </c>
      <c r="BS151" s="509" t="str">
        <f t="shared" ref="BS151:BS214" si="38">VLOOKUP(BQ151,$B$22:$AO$28,38,FALSE)</f>
        <v>表示不可</v>
      </c>
    </row>
    <row r="152" spans="2:71" x14ac:dyDescent="0.35">
      <c r="BO152" s="520">
        <f t="shared" si="35"/>
        <v>12</v>
      </c>
      <c r="BP152" s="508">
        <f t="shared" ref="BP152:BP215" si="39">BP151+1</f>
        <v>45266</v>
      </c>
      <c r="BQ152" s="674" t="str">
        <f t="shared" si="36"/>
        <v>水曜日</v>
      </c>
      <c r="BR152" s="674" t="str">
        <f t="shared" si="37"/>
        <v>120</v>
      </c>
      <c r="BS152" s="509" t="str">
        <f t="shared" si="38"/>
        <v>表示不可</v>
      </c>
    </row>
    <row r="153" spans="2:71" x14ac:dyDescent="0.35">
      <c r="BO153" s="520">
        <f t="shared" si="35"/>
        <v>12</v>
      </c>
      <c r="BP153" s="508">
        <f t="shared" si="39"/>
        <v>45267</v>
      </c>
      <c r="BQ153" s="674" t="str">
        <f t="shared" si="36"/>
        <v>木曜日</v>
      </c>
      <c r="BR153" s="674" t="str">
        <f t="shared" si="37"/>
        <v>120</v>
      </c>
      <c r="BS153" s="509" t="str">
        <f t="shared" si="38"/>
        <v>表示不可</v>
      </c>
    </row>
    <row r="154" spans="2:71" x14ac:dyDescent="0.35">
      <c r="BO154" s="520">
        <f t="shared" si="35"/>
        <v>12</v>
      </c>
      <c r="BP154" s="508">
        <f t="shared" si="39"/>
        <v>45268</v>
      </c>
      <c r="BQ154" s="674" t="str">
        <f t="shared" si="36"/>
        <v>金曜日</v>
      </c>
      <c r="BR154" s="674" t="str">
        <f t="shared" si="37"/>
        <v>120</v>
      </c>
      <c r="BS154" s="509" t="str">
        <f t="shared" si="38"/>
        <v>表示不可</v>
      </c>
    </row>
    <row r="155" spans="2:71" x14ac:dyDescent="0.35">
      <c r="BO155" s="520">
        <f t="shared" si="35"/>
        <v>12</v>
      </c>
      <c r="BP155" s="508">
        <f t="shared" si="39"/>
        <v>45269</v>
      </c>
      <c r="BQ155" s="674" t="str">
        <f t="shared" si="36"/>
        <v>土曜日</v>
      </c>
      <c r="BR155" s="674" t="str">
        <f t="shared" si="37"/>
        <v>120</v>
      </c>
      <c r="BS155" s="509" t="str">
        <f t="shared" si="38"/>
        <v>表示不可</v>
      </c>
    </row>
    <row r="156" spans="2:71" x14ac:dyDescent="0.35">
      <c r="BO156" s="520">
        <f t="shared" si="35"/>
        <v>12</v>
      </c>
      <c r="BP156" s="508">
        <f t="shared" si="39"/>
        <v>45270</v>
      </c>
      <c r="BQ156" s="674" t="str">
        <f t="shared" si="36"/>
        <v>日曜日</v>
      </c>
      <c r="BR156" s="674" t="str">
        <f t="shared" si="37"/>
        <v>120</v>
      </c>
      <c r="BS156" s="509" t="str">
        <f t="shared" si="38"/>
        <v>表示不可</v>
      </c>
    </row>
    <row r="157" spans="2:71" x14ac:dyDescent="0.35">
      <c r="BO157" s="520">
        <f t="shared" si="35"/>
        <v>12</v>
      </c>
      <c r="BP157" s="508">
        <f t="shared" si="39"/>
        <v>45271</v>
      </c>
      <c r="BQ157" s="674" t="str">
        <f t="shared" si="36"/>
        <v>月曜日</v>
      </c>
      <c r="BR157" s="674" t="str">
        <f t="shared" si="37"/>
        <v>120</v>
      </c>
      <c r="BS157" s="509" t="str">
        <f t="shared" si="38"/>
        <v>表示不可</v>
      </c>
    </row>
    <row r="158" spans="2:71" x14ac:dyDescent="0.35">
      <c r="BO158" s="520">
        <f t="shared" si="35"/>
        <v>12</v>
      </c>
      <c r="BP158" s="508">
        <f t="shared" si="39"/>
        <v>45272</v>
      </c>
      <c r="BQ158" s="674" t="str">
        <f t="shared" si="36"/>
        <v>火曜日</v>
      </c>
      <c r="BR158" s="674" t="str">
        <f t="shared" si="37"/>
        <v>120</v>
      </c>
      <c r="BS158" s="509" t="str">
        <f t="shared" si="38"/>
        <v>表示不可</v>
      </c>
    </row>
    <row r="159" spans="2:71" x14ac:dyDescent="0.35">
      <c r="BO159" s="520">
        <f t="shared" si="35"/>
        <v>12</v>
      </c>
      <c r="BP159" s="508">
        <f t="shared" si="39"/>
        <v>45273</v>
      </c>
      <c r="BQ159" s="674" t="str">
        <f t="shared" si="36"/>
        <v>水曜日</v>
      </c>
      <c r="BR159" s="674" t="str">
        <f t="shared" si="37"/>
        <v>120</v>
      </c>
      <c r="BS159" s="509" t="str">
        <f t="shared" si="38"/>
        <v>表示不可</v>
      </c>
    </row>
    <row r="160" spans="2:71" x14ac:dyDescent="0.35">
      <c r="BO160" s="520">
        <f t="shared" si="35"/>
        <v>12</v>
      </c>
      <c r="BP160" s="508">
        <f t="shared" si="39"/>
        <v>45274</v>
      </c>
      <c r="BQ160" s="674" t="str">
        <f t="shared" si="36"/>
        <v>木曜日</v>
      </c>
      <c r="BR160" s="674" t="str">
        <f t="shared" si="37"/>
        <v>120</v>
      </c>
      <c r="BS160" s="509" t="str">
        <f t="shared" si="38"/>
        <v>表示不可</v>
      </c>
    </row>
    <row r="161" spans="67:71" x14ac:dyDescent="0.35">
      <c r="BO161" s="520">
        <f t="shared" si="35"/>
        <v>12</v>
      </c>
      <c r="BP161" s="508">
        <f t="shared" si="39"/>
        <v>45275</v>
      </c>
      <c r="BQ161" s="674" t="str">
        <f t="shared" si="36"/>
        <v>金曜日</v>
      </c>
      <c r="BR161" s="674" t="str">
        <f t="shared" si="37"/>
        <v>120</v>
      </c>
      <c r="BS161" s="509" t="str">
        <f t="shared" si="38"/>
        <v>表示不可</v>
      </c>
    </row>
    <row r="162" spans="67:71" x14ac:dyDescent="0.35">
      <c r="BO162" s="520">
        <f t="shared" si="35"/>
        <v>12</v>
      </c>
      <c r="BP162" s="508">
        <f t="shared" si="39"/>
        <v>45276</v>
      </c>
      <c r="BQ162" s="674" t="str">
        <f t="shared" si="36"/>
        <v>土曜日</v>
      </c>
      <c r="BR162" s="674" t="str">
        <f t="shared" si="37"/>
        <v>120</v>
      </c>
      <c r="BS162" s="509" t="str">
        <f t="shared" si="38"/>
        <v>表示不可</v>
      </c>
    </row>
    <row r="163" spans="67:71" x14ac:dyDescent="0.35">
      <c r="BO163" s="520">
        <f t="shared" si="35"/>
        <v>12</v>
      </c>
      <c r="BP163" s="508">
        <f t="shared" si="39"/>
        <v>45277</v>
      </c>
      <c r="BQ163" s="674" t="str">
        <f t="shared" si="36"/>
        <v>日曜日</v>
      </c>
      <c r="BR163" s="674" t="str">
        <f t="shared" si="37"/>
        <v>120</v>
      </c>
      <c r="BS163" s="509" t="str">
        <f t="shared" si="38"/>
        <v>表示不可</v>
      </c>
    </row>
    <row r="164" spans="67:71" x14ac:dyDescent="0.35">
      <c r="BO164" s="520">
        <f t="shared" si="35"/>
        <v>12</v>
      </c>
      <c r="BP164" s="508">
        <f t="shared" si="39"/>
        <v>45278</v>
      </c>
      <c r="BQ164" s="674" t="str">
        <f t="shared" si="36"/>
        <v>月曜日</v>
      </c>
      <c r="BR164" s="674" t="str">
        <f t="shared" si="37"/>
        <v>120</v>
      </c>
      <c r="BS164" s="509" t="str">
        <f t="shared" si="38"/>
        <v>表示不可</v>
      </c>
    </row>
    <row r="165" spans="67:71" x14ac:dyDescent="0.35">
      <c r="BO165" s="520">
        <f t="shared" si="35"/>
        <v>12</v>
      </c>
      <c r="BP165" s="508">
        <f t="shared" si="39"/>
        <v>45279</v>
      </c>
      <c r="BQ165" s="674" t="str">
        <f t="shared" si="36"/>
        <v>火曜日</v>
      </c>
      <c r="BR165" s="674" t="str">
        <f t="shared" si="37"/>
        <v>120</v>
      </c>
      <c r="BS165" s="509" t="str">
        <f t="shared" si="38"/>
        <v>表示不可</v>
      </c>
    </row>
    <row r="166" spans="67:71" x14ac:dyDescent="0.35">
      <c r="BO166" s="520">
        <f t="shared" si="35"/>
        <v>12</v>
      </c>
      <c r="BP166" s="508">
        <f t="shared" si="39"/>
        <v>45280</v>
      </c>
      <c r="BQ166" s="674" t="str">
        <f t="shared" si="36"/>
        <v>水曜日</v>
      </c>
      <c r="BR166" s="674" t="str">
        <f t="shared" si="37"/>
        <v>120</v>
      </c>
      <c r="BS166" s="509" t="str">
        <f t="shared" si="38"/>
        <v>表示不可</v>
      </c>
    </row>
    <row r="167" spans="67:71" x14ac:dyDescent="0.35">
      <c r="BO167" s="520">
        <f t="shared" si="35"/>
        <v>12</v>
      </c>
      <c r="BP167" s="508">
        <f t="shared" si="39"/>
        <v>45281</v>
      </c>
      <c r="BQ167" s="674" t="str">
        <f t="shared" si="36"/>
        <v>木曜日</v>
      </c>
      <c r="BR167" s="674" t="str">
        <f t="shared" si="37"/>
        <v>120</v>
      </c>
      <c r="BS167" s="509" t="str">
        <f t="shared" si="38"/>
        <v>表示不可</v>
      </c>
    </row>
    <row r="168" spans="67:71" x14ac:dyDescent="0.35">
      <c r="BO168" s="520">
        <f t="shared" si="35"/>
        <v>12</v>
      </c>
      <c r="BP168" s="508">
        <f t="shared" si="39"/>
        <v>45282</v>
      </c>
      <c r="BQ168" s="674" t="str">
        <f t="shared" si="36"/>
        <v>金曜日</v>
      </c>
      <c r="BR168" s="674" t="str">
        <f t="shared" si="37"/>
        <v>120</v>
      </c>
      <c r="BS168" s="509" t="str">
        <f t="shared" si="38"/>
        <v>表示不可</v>
      </c>
    </row>
    <row r="169" spans="67:71" x14ac:dyDescent="0.35">
      <c r="BO169" s="520">
        <f t="shared" si="35"/>
        <v>12</v>
      </c>
      <c r="BP169" s="508">
        <f t="shared" si="39"/>
        <v>45283</v>
      </c>
      <c r="BQ169" s="674" t="str">
        <f t="shared" si="36"/>
        <v>土曜日</v>
      </c>
      <c r="BR169" s="674" t="str">
        <f t="shared" si="37"/>
        <v>120</v>
      </c>
      <c r="BS169" s="509" t="str">
        <f t="shared" si="38"/>
        <v>表示不可</v>
      </c>
    </row>
    <row r="170" spans="67:71" x14ac:dyDescent="0.35">
      <c r="BO170" s="520">
        <f t="shared" si="35"/>
        <v>12</v>
      </c>
      <c r="BP170" s="508">
        <f t="shared" si="39"/>
        <v>45284</v>
      </c>
      <c r="BQ170" s="674" t="str">
        <f t="shared" si="36"/>
        <v>日曜日</v>
      </c>
      <c r="BR170" s="674" t="str">
        <f t="shared" si="37"/>
        <v>120</v>
      </c>
      <c r="BS170" s="509" t="str">
        <f t="shared" si="38"/>
        <v>表示不可</v>
      </c>
    </row>
    <row r="171" spans="67:71" x14ac:dyDescent="0.35">
      <c r="BO171" s="520">
        <f t="shared" si="35"/>
        <v>12</v>
      </c>
      <c r="BP171" s="508">
        <f t="shared" si="39"/>
        <v>45285</v>
      </c>
      <c r="BQ171" s="674" t="str">
        <f t="shared" si="36"/>
        <v>月曜日</v>
      </c>
      <c r="BR171" s="674" t="str">
        <f t="shared" si="37"/>
        <v>120</v>
      </c>
      <c r="BS171" s="509" t="str">
        <f t="shared" si="38"/>
        <v>表示不可</v>
      </c>
    </row>
    <row r="172" spans="67:71" x14ac:dyDescent="0.35">
      <c r="BO172" s="520">
        <f t="shared" si="35"/>
        <v>12</v>
      </c>
      <c r="BP172" s="508">
        <f t="shared" si="39"/>
        <v>45286</v>
      </c>
      <c r="BQ172" s="674" t="str">
        <f t="shared" si="36"/>
        <v>火曜日</v>
      </c>
      <c r="BR172" s="674" t="str">
        <f t="shared" si="37"/>
        <v>120</v>
      </c>
      <c r="BS172" s="509" t="str">
        <f t="shared" si="38"/>
        <v>表示不可</v>
      </c>
    </row>
    <row r="173" spans="67:71" x14ac:dyDescent="0.35">
      <c r="BO173" s="520">
        <f t="shared" si="35"/>
        <v>12</v>
      </c>
      <c r="BP173" s="508">
        <f t="shared" si="39"/>
        <v>45287</v>
      </c>
      <c r="BQ173" s="674" t="str">
        <f t="shared" si="36"/>
        <v>水曜日</v>
      </c>
      <c r="BR173" s="674" t="str">
        <f t="shared" si="37"/>
        <v>120</v>
      </c>
      <c r="BS173" s="509" t="str">
        <f t="shared" si="38"/>
        <v>表示不可</v>
      </c>
    </row>
    <row r="174" spans="67:71" x14ac:dyDescent="0.35">
      <c r="BO174" s="520">
        <f t="shared" si="35"/>
        <v>12</v>
      </c>
      <c r="BP174" s="508">
        <f t="shared" si="39"/>
        <v>45288</v>
      </c>
      <c r="BQ174" s="674" t="str">
        <f t="shared" si="36"/>
        <v>木曜日</v>
      </c>
      <c r="BR174" s="674" t="str">
        <f t="shared" si="37"/>
        <v>120</v>
      </c>
      <c r="BS174" s="509" t="str">
        <f t="shared" si="38"/>
        <v>表示不可</v>
      </c>
    </row>
    <row r="175" spans="67:71" x14ac:dyDescent="0.35">
      <c r="BO175" s="520">
        <f t="shared" si="35"/>
        <v>12</v>
      </c>
      <c r="BP175" s="508">
        <f t="shared" si="39"/>
        <v>45289</v>
      </c>
      <c r="BQ175" s="674" t="str">
        <f t="shared" si="36"/>
        <v>金曜日</v>
      </c>
      <c r="BR175" s="674" t="str">
        <f t="shared" si="37"/>
        <v>120</v>
      </c>
      <c r="BS175" s="509" t="str">
        <f t="shared" si="38"/>
        <v>表示不可</v>
      </c>
    </row>
    <row r="176" spans="67:71" x14ac:dyDescent="0.35">
      <c r="BO176" s="520">
        <f t="shared" si="35"/>
        <v>12</v>
      </c>
      <c r="BP176" s="508">
        <f t="shared" si="39"/>
        <v>45290</v>
      </c>
      <c r="BQ176" s="674" t="str">
        <f t="shared" si="36"/>
        <v>土曜日</v>
      </c>
      <c r="BR176" s="674" t="str">
        <f t="shared" si="37"/>
        <v>120</v>
      </c>
      <c r="BS176" s="509" t="str">
        <f t="shared" si="38"/>
        <v>表示不可</v>
      </c>
    </row>
    <row r="177" spans="67:71" x14ac:dyDescent="0.35">
      <c r="BO177" s="520">
        <f t="shared" si="35"/>
        <v>12</v>
      </c>
      <c r="BP177" s="508">
        <f t="shared" si="39"/>
        <v>45291</v>
      </c>
      <c r="BQ177" s="674" t="str">
        <f t="shared" si="36"/>
        <v>日曜日</v>
      </c>
      <c r="BR177" s="674" t="str">
        <f t="shared" si="37"/>
        <v>120</v>
      </c>
      <c r="BS177" s="509" t="str">
        <f t="shared" si="38"/>
        <v>表示不可</v>
      </c>
    </row>
    <row r="178" spans="67:71" x14ac:dyDescent="0.35">
      <c r="BO178" s="520">
        <f t="shared" si="35"/>
        <v>1</v>
      </c>
      <c r="BP178" s="508">
        <f t="shared" si="39"/>
        <v>45292</v>
      </c>
      <c r="BQ178" s="674" t="str">
        <f t="shared" si="36"/>
        <v>月曜日</v>
      </c>
      <c r="BR178" s="674" t="str">
        <f t="shared" si="37"/>
        <v>10</v>
      </c>
      <c r="BS178" s="509" t="str">
        <f t="shared" si="38"/>
        <v>表示不可</v>
      </c>
    </row>
    <row r="179" spans="67:71" x14ac:dyDescent="0.35">
      <c r="BO179" s="520">
        <f t="shared" si="35"/>
        <v>1</v>
      </c>
      <c r="BP179" s="508">
        <f t="shared" si="39"/>
        <v>45293</v>
      </c>
      <c r="BQ179" s="674" t="str">
        <f t="shared" si="36"/>
        <v>火曜日</v>
      </c>
      <c r="BR179" s="674" t="str">
        <f t="shared" si="37"/>
        <v>10</v>
      </c>
      <c r="BS179" s="509" t="str">
        <f t="shared" si="38"/>
        <v>表示不可</v>
      </c>
    </row>
    <row r="180" spans="67:71" x14ac:dyDescent="0.35">
      <c r="BO180" s="520">
        <f t="shared" si="35"/>
        <v>1</v>
      </c>
      <c r="BP180" s="508">
        <f t="shared" si="39"/>
        <v>45294</v>
      </c>
      <c r="BQ180" s="674" t="str">
        <f t="shared" si="36"/>
        <v>水曜日</v>
      </c>
      <c r="BR180" s="674" t="str">
        <f t="shared" si="37"/>
        <v>10</v>
      </c>
      <c r="BS180" s="509" t="str">
        <f t="shared" si="38"/>
        <v>表示不可</v>
      </c>
    </row>
    <row r="181" spans="67:71" x14ac:dyDescent="0.35">
      <c r="BO181" s="520">
        <f t="shared" si="35"/>
        <v>1</v>
      </c>
      <c r="BP181" s="508">
        <f t="shared" si="39"/>
        <v>45295</v>
      </c>
      <c r="BQ181" s="674" t="str">
        <f t="shared" si="36"/>
        <v>木曜日</v>
      </c>
      <c r="BR181" s="674" t="str">
        <f t="shared" si="37"/>
        <v>10</v>
      </c>
      <c r="BS181" s="509" t="str">
        <f t="shared" si="38"/>
        <v>表示不可</v>
      </c>
    </row>
    <row r="182" spans="67:71" x14ac:dyDescent="0.35">
      <c r="BO182" s="520">
        <f t="shared" si="35"/>
        <v>1</v>
      </c>
      <c r="BP182" s="508">
        <f t="shared" si="39"/>
        <v>45296</v>
      </c>
      <c r="BQ182" s="674" t="str">
        <f t="shared" si="36"/>
        <v>金曜日</v>
      </c>
      <c r="BR182" s="674" t="str">
        <f t="shared" si="37"/>
        <v>10</v>
      </c>
      <c r="BS182" s="509" t="str">
        <f t="shared" si="38"/>
        <v>表示不可</v>
      </c>
    </row>
    <row r="183" spans="67:71" x14ac:dyDescent="0.35">
      <c r="BO183" s="520">
        <f t="shared" si="35"/>
        <v>1</v>
      </c>
      <c r="BP183" s="508">
        <f t="shared" si="39"/>
        <v>45297</v>
      </c>
      <c r="BQ183" s="674" t="str">
        <f t="shared" si="36"/>
        <v>土曜日</v>
      </c>
      <c r="BR183" s="674" t="str">
        <f t="shared" si="37"/>
        <v>10</v>
      </c>
      <c r="BS183" s="509" t="str">
        <f t="shared" si="38"/>
        <v>表示不可</v>
      </c>
    </row>
    <row r="184" spans="67:71" x14ac:dyDescent="0.35">
      <c r="BO184" s="520">
        <f t="shared" si="35"/>
        <v>1</v>
      </c>
      <c r="BP184" s="508">
        <f t="shared" si="39"/>
        <v>45298</v>
      </c>
      <c r="BQ184" s="674" t="str">
        <f t="shared" si="36"/>
        <v>日曜日</v>
      </c>
      <c r="BR184" s="674" t="str">
        <f t="shared" si="37"/>
        <v>10</v>
      </c>
      <c r="BS184" s="509" t="str">
        <f t="shared" si="38"/>
        <v>表示不可</v>
      </c>
    </row>
    <row r="185" spans="67:71" x14ac:dyDescent="0.35">
      <c r="BO185" s="520">
        <f t="shared" si="35"/>
        <v>1</v>
      </c>
      <c r="BP185" s="508">
        <f t="shared" si="39"/>
        <v>45299</v>
      </c>
      <c r="BQ185" s="674" t="str">
        <f t="shared" si="36"/>
        <v>月曜日</v>
      </c>
      <c r="BR185" s="674" t="str">
        <f t="shared" si="37"/>
        <v>10</v>
      </c>
      <c r="BS185" s="509" t="str">
        <f t="shared" si="38"/>
        <v>表示不可</v>
      </c>
    </row>
    <row r="186" spans="67:71" x14ac:dyDescent="0.35">
      <c r="BO186" s="520">
        <f t="shared" si="35"/>
        <v>1</v>
      </c>
      <c r="BP186" s="508">
        <f t="shared" si="39"/>
        <v>45300</v>
      </c>
      <c r="BQ186" s="674" t="str">
        <f t="shared" si="36"/>
        <v>火曜日</v>
      </c>
      <c r="BR186" s="674" t="str">
        <f t="shared" si="37"/>
        <v>10</v>
      </c>
      <c r="BS186" s="509" t="str">
        <f t="shared" si="38"/>
        <v>表示不可</v>
      </c>
    </row>
    <row r="187" spans="67:71" x14ac:dyDescent="0.35">
      <c r="BO187" s="520">
        <f t="shared" si="35"/>
        <v>1</v>
      </c>
      <c r="BP187" s="508">
        <f t="shared" si="39"/>
        <v>45301</v>
      </c>
      <c r="BQ187" s="674" t="str">
        <f t="shared" si="36"/>
        <v>水曜日</v>
      </c>
      <c r="BR187" s="674" t="str">
        <f t="shared" si="37"/>
        <v>10</v>
      </c>
      <c r="BS187" s="509" t="str">
        <f t="shared" si="38"/>
        <v>表示不可</v>
      </c>
    </row>
    <row r="188" spans="67:71" x14ac:dyDescent="0.35">
      <c r="BO188" s="520">
        <f t="shared" si="35"/>
        <v>1</v>
      </c>
      <c r="BP188" s="508">
        <f t="shared" si="39"/>
        <v>45302</v>
      </c>
      <c r="BQ188" s="674" t="str">
        <f t="shared" si="36"/>
        <v>木曜日</v>
      </c>
      <c r="BR188" s="674" t="str">
        <f t="shared" si="37"/>
        <v>10</v>
      </c>
      <c r="BS188" s="509" t="str">
        <f t="shared" si="38"/>
        <v>表示不可</v>
      </c>
    </row>
    <row r="189" spans="67:71" x14ac:dyDescent="0.35">
      <c r="BO189" s="520">
        <f t="shared" si="35"/>
        <v>1</v>
      </c>
      <c r="BP189" s="508">
        <f t="shared" si="39"/>
        <v>45303</v>
      </c>
      <c r="BQ189" s="674" t="str">
        <f t="shared" si="36"/>
        <v>金曜日</v>
      </c>
      <c r="BR189" s="674" t="str">
        <f t="shared" si="37"/>
        <v>10</v>
      </c>
      <c r="BS189" s="509" t="str">
        <f t="shared" si="38"/>
        <v>表示不可</v>
      </c>
    </row>
    <row r="190" spans="67:71" x14ac:dyDescent="0.35">
      <c r="BO190" s="520">
        <f t="shared" si="35"/>
        <v>1</v>
      </c>
      <c r="BP190" s="508">
        <f t="shared" si="39"/>
        <v>45304</v>
      </c>
      <c r="BQ190" s="674" t="str">
        <f t="shared" si="36"/>
        <v>土曜日</v>
      </c>
      <c r="BR190" s="674" t="str">
        <f t="shared" si="37"/>
        <v>10</v>
      </c>
      <c r="BS190" s="509" t="str">
        <f t="shared" si="38"/>
        <v>表示不可</v>
      </c>
    </row>
    <row r="191" spans="67:71" x14ac:dyDescent="0.35">
      <c r="BO191" s="520">
        <f t="shared" si="35"/>
        <v>1</v>
      </c>
      <c r="BP191" s="508">
        <f t="shared" si="39"/>
        <v>45305</v>
      </c>
      <c r="BQ191" s="674" t="str">
        <f t="shared" si="36"/>
        <v>日曜日</v>
      </c>
      <c r="BR191" s="674" t="str">
        <f t="shared" si="37"/>
        <v>10</v>
      </c>
      <c r="BS191" s="509" t="str">
        <f t="shared" si="38"/>
        <v>表示不可</v>
      </c>
    </row>
    <row r="192" spans="67:71" x14ac:dyDescent="0.35">
      <c r="BO192" s="520">
        <f t="shared" si="35"/>
        <v>1</v>
      </c>
      <c r="BP192" s="508">
        <f t="shared" si="39"/>
        <v>45306</v>
      </c>
      <c r="BQ192" s="674" t="str">
        <f t="shared" si="36"/>
        <v>月曜日</v>
      </c>
      <c r="BR192" s="674" t="str">
        <f t="shared" si="37"/>
        <v>10</v>
      </c>
      <c r="BS192" s="509" t="str">
        <f t="shared" si="38"/>
        <v>表示不可</v>
      </c>
    </row>
    <row r="193" spans="67:71" x14ac:dyDescent="0.35">
      <c r="BO193" s="520">
        <f t="shared" si="35"/>
        <v>1</v>
      </c>
      <c r="BP193" s="508">
        <f t="shared" si="39"/>
        <v>45307</v>
      </c>
      <c r="BQ193" s="674" t="str">
        <f t="shared" si="36"/>
        <v>火曜日</v>
      </c>
      <c r="BR193" s="674" t="str">
        <f t="shared" si="37"/>
        <v>10</v>
      </c>
      <c r="BS193" s="509" t="str">
        <f t="shared" si="38"/>
        <v>表示不可</v>
      </c>
    </row>
    <row r="194" spans="67:71" x14ac:dyDescent="0.35">
      <c r="BO194" s="520">
        <f t="shared" si="35"/>
        <v>1</v>
      </c>
      <c r="BP194" s="508">
        <f t="shared" si="39"/>
        <v>45308</v>
      </c>
      <c r="BQ194" s="674" t="str">
        <f t="shared" si="36"/>
        <v>水曜日</v>
      </c>
      <c r="BR194" s="674" t="str">
        <f t="shared" si="37"/>
        <v>10</v>
      </c>
      <c r="BS194" s="509" t="str">
        <f t="shared" si="38"/>
        <v>表示不可</v>
      </c>
    </row>
    <row r="195" spans="67:71" x14ac:dyDescent="0.35">
      <c r="BO195" s="520">
        <f t="shared" si="35"/>
        <v>1</v>
      </c>
      <c r="BP195" s="508">
        <f t="shared" si="39"/>
        <v>45309</v>
      </c>
      <c r="BQ195" s="674" t="str">
        <f t="shared" si="36"/>
        <v>木曜日</v>
      </c>
      <c r="BR195" s="674" t="str">
        <f t="shared" si="37"/>
        <v>10</v>
      </c>
      <c r="BS195" s="509" t="str">
        <f t="shared" si="38"/>
        <v>表示不可</v>
      </c>
    </row>
    <row r="196" spans="67:71" x14ac:dyDescent="0.35">
      <c r="BO196" s="520">
        <f t="shared" si="35"/>
        <v>1</v>
      </c>
      <c r="BP196" s="508">
        <f t="shared" si="39"/>
        <v>45310</v>
      </c>
      <c r="BQ196" s="674" t="str">
        <f t="shared" si="36"/>
        <v>金曜日</v>
      </c>
      <c r="BR196" s="674" t="str">
        <f t="shared" si="37"/>
        <v>10</v>
      </c>
      <c r="BS196" s="509" t="str">
        <f t="shared" si="38"/>
        <v>表示不可</v>
      </c>
    </row>
    <row r="197" spans="67:71" x14ac:dyDescent="0.35">
      <c r="BO197" s="520">
        <f t="shared" si="35"/>
        <v>1</v>
      </c>
      <c r="BP197" s="508">
        <f t="shared" si="39"/>
        <v>45311</v>
      </c>
      <c r="BQ197" s="674" t="str">
        <f t="shared" si="36"/>
        <v>土曜日</v>
      </c>
      <c r="BR197" s="674" t="str">
        <f t="shared" si="37"/>
        <v>10</v>
      </c>
      <c r="BS197" s="509" t="str">
        <f t="shared" si="38"/>
        <v>表示不可</v>
      </c>
    </row>
    <row r="198" spans="67:71" x14ac:dyDescent="0.35">
      <c r="BO198" s="520">
        <f t="shared" si="35"/>
        <v>1</v>
      </c>
      <c r="BP198" s="508">
        <f t="shared" si="39"/>
        <v>45312</v>
      </c>
      <c r="BQ198" s="674" t="str">
        <f t="shared" si="36"/>
        <v>日曜日</v>
      </c>
      <c r="BR198" s="674" t="str">
        <f t="shared" si="37"/>
        <v>10</v>
      </c>
      <c r="BS198" s="509" t="str">
        <f t="shared" si="38"/>
        <v>表示不可</v>
      </c>
    </row>
    <row r="199" spans="67:71" x14ac:dyDescent="0.35">
      <c r="BO199" s="520">
        <f t="shared" si="35"/>
        <v>1</v>
      </c>
      <c r="BP199" s="508">
        <f t="shared" si="39"/>
        <v>45313</v>
      </c>
      <c r="BQ199" s="674" t="str">
        <f t="shared" si="36"/>
        <v>月曜日</v>
      </c>
      <c r="BR199" s="674" t="str">
        <f t="shared" si="37"/>
        <v>10</v>
      </c>
      <c r="BS199" s="509" t="str">
        <f t="shared" si="38"/>
        <v>表示不可</v>
      </c>
    </row>
    <row r="200" spans="67:71" x14ac:dyDescent="0.35">
      <c r="BO200" s="520">
        <f t="shared" si="35"/>
        <v>1</v>
      </c>
      <c r="BP200" s="508">
        <f t="shared" si="39"/>
        <v>45314</v>
      </c>
      <c r="BQ200" s="674" t="str">
        <f t="shared" si="36"/>
        <v>火曜日</v>
      </c>
      <c r="BR200" s="674" t="str">
        <f t="shared" si="37"/>
        <v>10</v>
      </c>
      <c r="BS200" s="509" t="str">
        <f t="shared" si="38"/>
        <v>表示不可</v>
      </c>
    </row>
    <row r="201" spans="67:71" x14ac:dyDescent="0.35">
      <c r="BO201" s="520">
        <f t="shared" si="35"/>
        <v>1</v>
      </c>
      <c r="BP201" s="508">
        <f t="shared" si="39"/>
        <v>45315</v>
      </c>
      <c r="BQ201" s="674" t="str">
        <f t="shared" si="36"/>
        <v>水曜日</v>
      </c>
      <c r="BR201" s="674" t="str">
        <f t="shared" si="37"/>
        <v>10</v>
      </c>
      <c r="BS201" s="509" t="str">
        <f t="shared" si="38"/>
        <v>表示不可</v>
      </c>
    </row>
    <row r="202" spans="67:71" x14ac:dyDescent="0.35">
      <c r="BO202" s="520">
        <f t="shared" si="35"/>
        <v>1</v>
      </c>
      <c r="BP202" s="508">
        <f t="shared" si="39"/>
        <v>45316</v>
      </c>
      <c r="BQ202" s="674" t="str">
        <f t="shared" si="36"/>
        <v>木曜日</v>
      </c>
      <c r="BR202" s="674" t="str">
        <f t="shared" si="37"/>
        <v>10</v>
      </c>
      <c r="BS202" s="509" t="str">
        <f t="shared" si="38"/>
        <v>表示不可</v>
      </c>
    </row>
    <row r="203" spans="67:71" x14ac:dyDescent="0.35">
      <c r="BO203" s="520">
        <f t="shared" si="35"/>
        <v>1</v>
      </c>
      <c r="BP203" s="508">
        <f t="shared" si="39"/>
        <v>45317</v>
      </c>
      <c r="BQ203" s="674" t="str">
        <f t="shared" si="36"/>
        <v>金曜日</v>
      </c>
      <c r="BR203" s="674" t="str">
        <f t="shared" si="37"/>
        <v>10</v>
      </c>
      <c r="BS203" s="509" t="str">
        <f t="shared" si="38"/>
        <v>表示不可</v>
      </c>
    </row>
    <row r="204" spans="67:71" x14ac:dyDescent="0.35">
      <c r="BO204" s="520">
        <f t="shared" si="35"/>
        <v>1</v>
      </c>
      <c r="BP204" s="508">
        <f t="shared" si="39"/>
        <v>45318</v>
      </c>
      <c r="BQ204" s="674" t="str">
        <f t="shared" si="36"/>
        <v>土曜日</v>
      </c>
      <c r="BR204" s="674" t="str">
        <f t="shared" si="37"/>
        <v>10</v>
      </c>
      <c r="BS204" s="509" t="str">
        <f t="shared" si="38"/>
        <v>表示不可</v>
      </c>
    </row>
    <row r="205" spans="67:71" x14ac:dyDescent="0.35">
      <c r="BO205" s="520">
        <f t="shared" si="35"/>
        <v>1</v>
      </c>
      <c r="BP205" s="508">
        <f t="shared" si="39"/>
        <v>45319</v>
      </c>
      <c r="BQ205" s="674" t="str">
        <f t="shared" si="36"/>
        <v>日曜日</v>
      </c>
      <c r="BR205" s="674" t="str">
        <f t="shared" si="37"/>
        <v>10</v>
      </c>
      <c r="BS205" s="509" t="str">
        <f t="shared" si="38"/>
        <v>表示不可</v>
      </c>
    </row>
    <row r="206" spans="67:71" x14ac:dyDescent="0.35">
      <c r="BO206" s="520">
        <f t="shared" si="35"/>
        <v>1</v>
      </c>
      <c r="BP206" s="508">
        <f t="shared" si="39"/>
        <v>45320</v>
      </c>
      <c r="BQ206" s="674" t="str">
        <f t="shared" si="36"/>
        <v>月曜日</v>
      </c>
      <c r="BR206" s="674" t="str">
        <f t="shared" si="37"/>
        <v>10</v>
      </c>
      <c r="BS206" s="509" t="str">
        <f t="shared" si="38"/>
        <v>表示不可</v>
      </c>
    </row>
    <row r="207" spans="67:71" x14ac:dyDescent="0.35">
      <c r="BO207" s="520">
        <f t="shared" si="35"/>
        <v>1</v>
      </c>
      <c r="BP207" s="508">
        <f t="shared" si="39"/>
        <v>45321</v>
      </c>
      <c r="BQ207" s="674" t="str">
        <f t="shared" si="36"/>
        <v>火曜日</v>
      </c>
      <c r="BR207" s="674" t="str">
        <f t="shared" si="37"/>
        <v>10</v>
      </c>
      <c r="BS207" s="509" t="str">
        <f t="shared" si="38"/>
        <v>表示不可</v>
      </c>
    </row>
    <row r="208" spans="67:71" x14ac:dyDescent="0.35">
      <c r="BO208" s="520">
        <f t="shared" si="35"/>
        <v>1</v>
      </c>
      <c r="BP208" s="508">
        <f t="shared" si="39"/>
        <v>45322</v>
      </c>
      <c r="BQ208" s="674" t="str">
        <f t="shared" si="36"/>
        <v>水曜日</v>
      </c>
      <c r="BR208" s="674" t="str">
        <f t="shared" si="37"/>
        <v>10</v>
      </c>
      <c r="BS208" s="509" t="str">
        <f t="shared" si="38"/>
        <v>表示不可</v>
      </c>
    </row>
    <row r="209" spans="67:71" x14ac:dyDescent="0.35">
      <c r="BO209" s="520">
        <f t="shared" si="35"/>
        <v>2</v>
      </c>
      <c r="BP209" s="508">
        <f t="shared" si="39"/>
        <v>45323</v>
      </c>
      <c r="BQ209" s="674" t="str">
        <f t="shared" si="36"/>
        <v>木曜日</v>
      </c>
      <c r="BR209" s="674" t="str">
        <f t="shared" si="37"/>
        <v>20</v>
      </c>
      <c r="BS209" s="509" t="str">
        <f t="shared" si="38"/>
        <v>表示不可</v>
      </c>
    </row>
    <row r="210" spans="67:71" x14ac:dyDescent="0.35">
      <c r="BO210" s="520">
        <f t="shared" si="35"/>
        <v>2</v>
      </c>
      <c r="BP210" s="508">
        <f t="shared" si="39"/>
        <v>45324</v>
      </c>
      <c r="BQ210" s="674" t="str">
        <f t="shared" si="36"/>
        <v>金曜日</v>
      </c>
      <c r="BR210" s="674" t="str">
        <f t="shared" si="37"/>
        <v>20</v>
      </c>
      <c r="BS210" s="509" t="str">
        <f t="shared" si="38"/>
        <v>表示不可</v>
      </c>
    </row>
    <row r="211" spans="67:71" x14ac:dyDescent="0.35">
      <c r="BO211" s="520">
        <f t="shared" si="35"/>
        <v>2</v>
      </c>
      <c r="BP211" s="508">
        <f t="shared" si="39"/>
        <v>45325</v>
      </c>
      <c r="BQ211" s="674" t="str">
        <f t="shared" si="36"/>
        <v>土曜日</v>
      </c>
      <c r="BR211" s="674" t="str">
        <f t="shared" si="37"/>
        <v>20</v>
      </c>
      <c r="BS211" s="509" t="str">
        <f t="shared" si="38"/>
        <v>表示不可</v>
      </c>
    </row>
    <row r="212" spans="67:71" x14ac:dyDescent="0.35">
      <c r="BO212" s="520">
        <f t="shared" si="35"/>
        <v>2</v>
      </c>
      <c r="BP212" s="508">
        <f t="shared" si="39"/>
        <v>45326</v>
      </c>
      <c r="BQ212" s="674" t="str">
        <f t="shared" si="36"/>
        <v>日曜日</v>
      </c>
      <c r="BR212" s="674" t="str">
        <f t="shared" si="37"/>
        <v>20</v>
      </c>
      <c r="BS212" s="509" t="str">
        <f t="shared" si="38"/>
        <v>表示不可</v>
      </c>
    </row>
    <row r="213" spans="67:71" x14ac:dyDescent="0.35">
      <c r="BO213" s="520">
        <f t="shared" si="35"/>
        <v>2</v>
      </c>
      <c r="BP213" s="508">
        <f t="shared" si="39"/>
        <v>45327</v>
      </c>
      <c r="BQ213" s="674" t="str">
        <f t="shared" si="36"/>
        <v>月曜日</v>
      </c>
      <c r="BR213" s="674" t="str">
        <f t="shared" si="37"/>
        <v>20</v>
      </c>
      <c r="BS213" s="509" t="str">
        <f t="shared" si="38"/>
        <v>表示不可</v>
      </c>
    </row>
    <row r="214" spans="67:71" x14ac:dyDescent="0.35">
      <c r="BO214" s="520">
        <f t="shared" si="35"/>
        <v>2</v>
      </c>
      <c r="BP214" s="508">
        <f t="shared" si="39"/>
        <v>45328</v>
      </c>
      <c r="BQ214" s="674" t="str">
        <f t="shared" si="36"/>
        <v>火曜日</v>
      </c>
      <c r="BR214" s="674" t="str">
        <f t="shared" si="37"/>
        <v>20</v>
      </c>
      <c r="BS214" s="509" t="str">
        <f t="shared" si="38"/>
        <v>表示不可</v>
      </c>
    </row>
    <row r="215" spans="67:71" x14ac:dyDescent="0.35">
      <c r="BO215" s="520">
        <f t="shared" ref="BO215:BO268" si="40">MONTH(BP215)</f>
        <v>2</v>
      </c>
      <c r="BP215" s="508">
        <f t="shared" si="39"/>
        <v>45329</v>
      </c>
      <c r="BQ215" s="674" t="str">
        <f t="shared" ref="BQ215:BQ231" si="41">TEXT(BP215,"aaaa")</f>
        <v>水曜日</v>
      </c>
      <c r="BR215" s="674" t="str">
        <f t="shared" ref="BR215:BR268" si="42">BO215&amp;VLOOKUP(BQ215,$BU$86:$BV$92,2,FALSE)</f>
        <v>20</v>
      </c>
      <c r="BS215" s="509" t="str">
        <f t="shared" ref="BS215:BS231" si="43">VLOOKUP(BQ215,$B$22:$AO$28,38,FALSE)</f>
        <v>表示不可</v>
      </c>
    </row>
    <row r="216" spans="67:71" x14ac:dyDescent="0.35">
      <c r="BO216" s="520">
        <f t="shared" si="40"/>
        <v>2</v>
      </c>
      <c r="BP216" s="508">
        <f t="shared" ref="BP216:BP231" si="44">BP215+1</f>
        <v>45330</v>
      </c>
      <c r="BQ216" s="674" t="str">
        <f t="shared" si="41"/>
        <v>木曜日</v>
      </c>
      <c r="BR216" s="674" t="str">
        <f t="shared" si="42"/>
        <v>20</v>
      </c>
      <c r="BS216" s="509" t="str">
        <f t="shared" si="43"/>
        <v>表示不可</v>
      </c>
    </row>
    <row r="217" spans="67:71" x14ac:dyDescent="0.35">
      <c r="BO217" s="520">
        <f t="shared" si="40"/>
        <v>2</v>
      </c>
      <c r="BP217" s="508">
        <f t="shared" si="44"/>
        <v>45331</v>
      </c>
      <c r="BQ217" s="674" t="str">
        <f t="shared" si="41"/>
        <v>金曜日</v>
      </c>
      <c r="BR217" s="674" t="str">
        <f t="shared" si="42"/>
        <v>20</v>
      </c>
      <c r="BS217" s="509" t="str">
        <f t="shared" si="43"/>
        <v>表示不可</v>
      </c>
    </row>
    <row r="218" spans="67:71" x14ac:dyDescent="0.35">
      <c r="BO218" s="520">
        <f t="shared" si="40"/>
        <v>2</v>
      </c>
      <c r="BP218" s="508">
        <f t="shared" si="44"/>
        <v>45332</v>
      </c>
      <c r="BQ218" s="674" t="str">
        <f t="shared" si="41"/>
        <v>土曜日</v>
      </c>
      <c r="BR218" s="674" t="str">
        <f t="shared" si="42"/>
        <v>20</v>
      </c>
      <c r="BS218" s="509" t="str">
        <f t="shared" si="43"/>
        <v>表示不可</v>
      </c>
    </row>
    <row r="219" spans="67:71" x14ac:dyDescent="0.35">
      <c r="BO219" s="520">
        <f t="shared" si="40"/>
        <v>2</v>
      </c>
      <c r="BP219" s="508">
        <f t="shared" si="44"/>
        <v>45333</v>
      </c>
      <c r="BQ219" s="674" t="str">
        <f t="shared" si="41"/>
        <v>日曜日</v>
      </c>
      <c r="BR219" s="674" t="str">
        <f t="shared" si="42"/>
        <v>20</v>
      </c>
      <c r="BS219" s="509" t="str">
        <f t="shared" si="43"/>
        <v>表示不可</v>
      </c>
    </row>
    <row r="220" spans="67:71" x14ac:dyDescent="0.35">
      <c r="BO220" s="520">
        <f t="shared" si="40"/>
        <v>2</v>
      </c>
      <c r="BP220" s="508">
        <f t="shared" si="44"/>
        <v>45334</v>
      </c>
      <c r="BQ220" s="674" t="str">
        <f t="shared" si="41"/>
        <v>月曜日</v>
      </c>
      <c r="BR220" s="674" t="str">
        <f t="shared" si="42"/>
        <v>20</v>
      </c>
      <c r="BS220" s="509" t="str">
        <f t="shared" si="43"/>
        <v>表示不可</v>
      </c>
    </row>
    <row r="221" spans="67:71" x14ac:dyDescent="0.35">
      <c r="BO221" s="520">
        <f t="shared" si="40"/>
        <v>2</v>
      </c>
      <c r="BP221" s="508">
        <f t="shared" si="44"/>
        <v>45335</v>
      </c>
      <c r="BQ221" s="674" t="str">
        <f t="shared" si="41"/>
        <v>火曜日</v>
      </c>
      <c r="BR221" s="674" t="str">
        <f t="shared" si="42"/>
        <v>20</v>
      </c>
      <c r="BS221" s="509" t="str">
        <f t="shared" si="43"/>
        <v>表示不可</v>
      </c>
    </row>
    <row r="222" spans="67:71" x14ac:dyDescent="0.35">
      <c r="BO222" s="520">
        <f t="shared" si="40"/>
        <v>2</v>
      </c>
      <c r="BP222" s="508">
        <f t="shared" si="44"/>
        <v>45336</v>
      </c>
      <c r="BQ222" s="674" t="str">
        <f t="shared" si="41"/>
        <v>水曜日</v>
      </c>
      <c r="BR222" s="674" t="str">
        <f t="shared" si="42"/>
        <v>20</v>
      </c>
      <c r="BS222" s="509" t="str">
        <f t="shared" si="43"/>
        <v>表示不可</v>
      </c>
    </row>
    <row r="223" spans="67:71" x14ac:dyDescent="0.35">
      <c r="BO223" s="520">
        <f t="shared" si="40"/>
        <v>2</v>
      </c>
      <c r="BP223" s="508">
        <f t="shared" si="44"/>
        <v>45337</v>
      </c>
      <c r="BQ223" s="674" t="str">
        <f t="shared" si="41"/>
        <v>木曜日</v>
      </c>
      <c r="BR223" s="674" t="str">
        <f t="shared" si="42"/>
        <v>20</v>
      </c>
      <c r="BS223" s="509" t="str">
        <f t="shared" si="43"/>
        <v>表示不可</v>
      </c>
    </row>
    <row r="224" spans="67:71" x14ac:dyDescent="0.35">
      <c r="BO224" s="520">
        <f t="shared" si="40"/>
        <v>2</v>
      </c>
      <c r="BP224" s="508">
        <f t="shared" si="44"/>
        <v>45338</v>
      </c>
      <c r="BQ224" s="674" t="str">
        <f t="shared" si="41"/>
        <v>金曜日</v>
      </c>
      <c r="BR224" s="674" t="str">
        <f t="shared" si="42"/>
        <v>20</v>
      </c>
      <c r="BS224" s="509" t="str">
        <f t="shared" si="43"/>
        <v>表示不可</v>
      </c>
    </row>
    <row r="225" spans="67:71" x14ac:dyDescent="0.35">
      <c r="BO225" s="520">
        <f t="shared" si="40"/>
        <v>2</v>
      </c>
      <c r="BP225" s="508">
        <f t="shared" si="44"/>
        <v>45339</v>
      </c>
      <c r="BQ225" s="674" t="str">
        <f t="shared" si="41"/>
        <v>土曜日</v>
      </c>
      <c r="BR225" s="674" t="str">
        <f t="shared" si="42"/>
        <v>20</v>
      </c>
      <c r="BS225" s="509" t="str">
        <f t="shared" si="43"/>
        <v>表示不可</v>
      </c>
    </row>
    <row r="226" spans="67:71" x14ac:dyDescent="0.35">
      <c r="BO226" s="520">
        <f t="shared" si="40"/>
        <v>2</v>
      </c>
      <c r="BP226" s="508">
        <f t="shared" si="44"/>
        <v>45340</v>
      </c>
      <c r="BQ226" s="674" t="str">
        <f t="shared" si="41"/>
        <v>日曜日</v>
      </c>
      <c r="BR226" s="674" t="str">
        <f t="shared" si="42"/>
        <v>20</v>
      </c>
      <c r="BS226" s="509" t="str">
        <f t="shared" si="43"/>
        <v>表示不可</v>
      </c>
    </row>
    <row r="227" spans="67:71" x14ac:dyDescent="0.35">
      <c r="BO227" s="520">
        <f t="shared" si="40"/>
        <v>2</v>
      </c>
      <c r="BP227" s="508">
        <f t="shared" si="44"/>
        <v>45341</v>
      </c>
      <c r="BQ227" s="674" t="str">
        <f t="shared" si="41"/>
        <v>月曜日</v>
      </c>
      <c r="BR227" s="674" t="str">
        <f t="shared" si="42"/>
        <v>20</v>
      </c>
      <c r="BS227" s="509" t="str">
        <f t="shared" si="43"/>
        <v>表示不可</v>
      </c>
    </row>
    <row r="228" spans="67:71" x14ac:dyDescent="0.35">
      <c r="BO228" s="520">
        <f t="shared" si="40"/>
        <v>2</v>
      </c>
      <c r="BP228" s="508">
        <f t="shared" si="44"/>
        <v>45342</v>
      </c>
      <c r="BQ228" s="674" t="str">
        <f t="shared" si="41"/>
        <v>火曜日</v>
      </c>
      <c r="BR228" s="674" t="str">
        <f t="shared" si="42"/>
        <v>20</v>
      </c>
      <c r="BS228" s="509" t="str">
        <f t="shared" si="43"/>
        <v>表示不可</v>
      </c>
    </row>
    <row r="229" spans="67:71" x14ac:dyDescent="0.35">
      <c r="BO229" s="520">
        <f t="shared" si="40"/>
        <v>2</v>
      </c>
      <c r="BP229" s="508">
        <f t="shared" si="44"/>
        <v>45343</v>
      </c>
      <c r="BQ229" s="674" t="str">
        <f t="shared" si="41"/>
        <v>水曜日</v>
      </c>
      <c r="BR229" s="674" t="str">
        <f t="shared" si="42"/>
        <v>20</v>
      </c>
      <c r="BS229" s="509" t="str">
        <f t="shared" si="43"/>
        <v>表示不可</v>
      </c>
    </row>
    <row r="230" spans="67:71" x14ac:dyDescent="0.35">
      <c r="BO230" s="520">
        <f t="shared" si="40"/>
        <v>2</v>
      </c>
      <c r="BP230" s="508">
        <f t="shared" si="44"/>
        <v>45344</v>
      </c>
      <c r="BQ230" s="674" t="str">
        <f t="shared" si="41"/>
        <v>木曜日</v>
      </c>
      <c r="BR230" s="674" t="str">
        <f t="shared" si="42"/>
        <v>20</v>
      </c>
      <c r="BS230" s="509" t="str">
        <f t="shared" si="43"/>
        <v>表示不可</v>
      </c>
    </row>
    <row r="231" spans="67:71" x14ac:dyDescent="0.35">
      <c r="BO231" s="520">
        <f t="shared" si="40"/>
        <v>2</v>
      </c>
      <c r="BP231" s="508">
        <f t="shared" si="44"/>
        <v>45345</v>
      </c>
      <c r="BQ231" s="674" t="str">
        <f t="shared" si="41"/>
        <v>金曜日</v>
      </c>
      <c r="BR231" s="674" t="str">
        <f t="shared" si="42"/>
        <v>20</v>
      </c>
      <c r="BS231" s="509" t="str">
        <f t="shared" si="43"/>
        <v>表示不可</v>
      </c>
    </row>
    <row r="232" spans="67:71" x14ac:dyDescent="0.35">
      <c r="BO232" s="520">
        <f t="shared" si="40"/>
        <v>2</v>
      </c>
      <c r="BP232" s="508">
        <f t="shared" ref="BP232:BP242" si="45">BP231+1</f>
        <v>45346</v>
      </c>
      <c r="BQ232" s="674" t="str">
        <f t="shared" ref="BQ232:BQ242" si="46">TEXT(BP232,"aaaa")</f>
        <v>土曜日</v>
      </c>
      <c r="BR232" s="674" t="str">
        <f t="shared" si="42"/>
        <v>20</v>
      </c>
      <c r="BS232" s="509" t="str">
        <f t="shared" ref="BS232:BS242" si="47">VLOOKUP(BQ232,$B$22:$AO$28,38,FALSE)</f>
        <v>表示不可</v>
      </c>
    </row>
    <row r="233" spans="67:71" x14ac:dyDescent="0.35">
      <c r="BO233" s="520">
        <f t="shared" si="40"/>
        <v>2</v>
      </c>
      <c r="BP233" s="508">
        <f t="shared" si="45"/>
        <v>45347</v>
      </c>
      <c r="BQ233" s="674" t="str">
        <f t="shared" si="46"/>
        <v>日曜日</v>
      </c>
      <c r="BR233" s="674" t="str">
        <f t="shared" si="42"/>
        <v>20</v>
      </c>
      <c r="BS233" s="509" t="str">
        <f t="shared" si="47"/>
        <v>表示不可</v>
      </c>
    </row>
    <row r="234" spans="67:71" x14ac:dyDescent="0.35">
      <c r="BO234" s="520">
        <f t="shared" si="40"/>
        <v>2</v>
      </c>
      <c r="BP234" s="508">
        <f t="shared" si="45"/>
        <v>45348</v>
      </c>
      <c r="BQ234" s="674" t="str">
        <f t="shared" si="46"/>
        <v>月曜日</v>
      </c>
      <c r="BR234" s="674" t="str">
        <f t="shared" si="42"/>
        <v>20</v>
      </c>
      <c r="BS234" s="509" t="str">
        <f t="shared" si="47"/>
        <v>表示不可</v>
      </c>
    </row>
    <row r="235" spans="67:71" x14ac:dyDescent="0.35">
      <c r="BO235" s="520">
        <f t="shared" si="40"/>
        <v>2</v>
      </c>
      <c r="BP235" s="508">
        <f t="shared" si="45"/>
        <v>45349</v>
      </c>
      <c r="BQ235" s="674" t="str">
        <f t="shared" si="46"/>
        <v>火曜日</v>
      </c>
      <c r="BR235" s="674" t="str">
        <f t="shared" si="42"/>
        <v>20</v>
      </c>
      <c r="BS235" s="509" t="str">
        <f t="shared" si="47"/>
        <v>表示不可</v>
      </c>
    </row>
    <row r="236" spans="67:71" x14ac:dyDescent="0.35">
      <c r="BO236" s="520">
        <f t="shared" si="40"/>
        <v>2</v>
      </c>
      <c r="BP236" s="508">
        <f t="shared" si="45"/>
        <v>45350</v>
      </c>
      <c r="BQ236" s="674" t="str">
        <f t="shared" si="46"/>
        <v>水曜日</v>
      </c>
      <c r="BR236" s="674" t="str">
        <f t="shared" si="42"/>
        <v>20</v>
      </c>
      <c r="BS236" s="509" t="str">
        <f t="shared" si="47"/>
        <v>表示不可</v>
      </c>
    </row>
    <row r="237" spans="67:71" x14ac:dyDescent="0.35">
      <c r="BO237" s="520">
        <f t="shared" si="40"/>
        <v>2</v>
      </c>
      <c r="BP237" s="508">
        <f t="shared" si="45"/>
        <v>45351</v>
      </c>
      <c r="BQ237" s="674" t="str">
        <f t="shared" si="46"/>
        <v>木曜日</v>
      </c>
      <c r="BR237" s="674" t="str">
        <f t="shared" si="42"/>
        <v>20</v>
      </c>
      <c r="BS237" s="509" t="str">
        <f t="shared" si="47"/>
        <v>表示不可</v>
      </c>
    </row>
    <row r="238" spans="67:71" x14ac:dyDescent="0.35">
      <c r="BO238" s="520">
        <f t="shared" si="40"/>
        <v>3</v>
      </c>
      <c r="BP238" s="508">
        <f t="shared" si="45"/>
        <v>45352</v>
      </c>
      <c r="BQ238" s="674" t="str">
        <f t="shared" si="46"/>
        <v>金曜日</v>
      </c>
      <c r="BR238" s="674" t="str">
        <f t="shared" si="42"/>
        <v>30</v>
      </c>
      <c r="BS238" s="509" t="str">
        <f t="shared" si="47"/>
        <v>表示不可</v>
      </c>
    </row>
    <row r="239" spans="67:71" x14ac:dyDescent="0.35">
      <c r="BO239" s="520">
        <f t="shared" si="40"/>
        <v>3</v>
      </c>
      <c r="BP239" s="508">
        <f t="shared" si="45"/>
        <v>45353</v>
      </c>
      <c r="BQ239" s="674" t="str">
        <f t="shared" si="46"/>
        <v>土曜日</v>
      </c>
      <c r="BR239" s="674" t="str">
        <f t="shared" si="42"/>
        <v>30</v>
      </c>
      <c r="BS239" s="509" t="str">
        <f t="shared" si="47"/>
        <v>表示不可</v>
      </c>
    </row>
    <row r="240" spans="67:71" x14ac:dyDescent="0.35">
      <c r="BO240" s="520">
        <f t="shared" si="40"/>
        <v>3</v>
      </c>
      <c r="BP240" s="508">
        <f t="shared" si="45"/>
        <v>45354</v>
      </c>
      <c r="BQ240" s="674" t="str">
        <f t="shared" si="46"/>
        <v>日曜日</v>
      </c>
      <c r="BR240" s="674" t="str">
        <f t="shared" si="42"/>
        <v>30</v>
      </c>
      <c r="BS240" s="509" t="str">
        <f t="shared" si="47"/>
        <v>表示不可</v>
      </c>
    </row>
    <row r="241" spans="67:71" x14ac:dyDescent="0.35">
      <c r="BO241" s="520">
        <f t="shared" si="40"/>
        <v>3</v>
      </c>
      <c r="BP241" s="508">
        <f t="shared" si="45"/>
        <v>45355</v>
      </c>
      <c r="BQ241" s="674" t="str">
        <f t="shared" si="46"/>
        <v>月曜日</v>
      </c>
      <c r="BR241" s="674" t="str">
        <f t="shared" si="42"/>
        <v>30</v>
      </c>
      <c r="BS241" s="509" t="str">
        <f t="shared" si="47"/>
        <v>表示不可</v>
      </c>
    </row>
    <row r="242" spans="67:71" x14ac:dyDescent="0.35">
      <c r="BO242" s="520">
        <f t="shared" si="40"/>
        <v>3</v>
      </c>
      <c r="BP242" s="508">
        <f t="shared" si="45"/>
        <v>45356</v>
      </c>
      <c r="BQ242" s="674" t="str">
        <f t="shared" si="46"/>
        <v>火曜日</v>
      </c>
      <c r="BR242" s="674" t="str">
        <f t="shared" si="42"/>
        <v>30</v>
      </c>
      <c r="BS242" s="509" t="str">
        <f t="shared" si="47"/>
        <v>表示不可</v>
      </c>
    </row>
    <row r="243" spans="67:71" x14ac:dyDescent="0.35">
      <c r="BO243" s="520">
        <f t="shared" si="40"/>
        <v>3</v>
      </c>
      <c r="BP243" s="508">
        <f t="shared" ref="BP243:BP268" si="48">BP242+1</f>
        <v>45357</v>
      </c>
      <c r="BQ243" s="674" t="str">
        <f t="shared" ref="BQ243:BQ268" si="49">TEXT(BP243,"aaaa")</f>
        <v>水曜日</v>
      </c>
      <c r="BR243" s="674" t="str">
        <f t="shared" si="42"/>
        <v>30</v>
      </c>
      <c r="BS243" s="509" t="str">
        <f t="shared" ref="BS243:BS268" si="50">VLOOKUP(BQ243,$B$22:$AO$28,38,FALSE)</f>
        <v>表示不可</v>
      </c>
    </row>
    <row r="244" spans="67:71" x14ac:dyDescent="0.35">
      <c r="BO244" s="520">
        <f t="shared" si="40"/>
        <v>3</v>
      </c>
      <c r="BP244" s="508">
        <f t="shared" si="48"/>
        <v>45358</v>
      </c>
      <c r="BQ244" s="674" t="str">
        <f t="shared" si="49"/>
        <v>木曜日</v>
      </c>
      <c r="BR244" s="674" t="str">
        <f t="shared" si="42"/>
        <v>30</v>
      </c>
      <c r="BS244" s="509" t="str">
        <f t="shared" si="50"/>
        <v>表示不可</v>
      </c>
    </row>
    <row r="245" spans="67:71" x14ac:dyDescent="0.35">
      <c r="BO245" s="520">
        <f t="shared" si="40"/>
        <v>3</v>
      </c>
      <c r="BP245" s="508">
        <f t="shared" si="48"/>
        <v>45359</v>
      </c>
      <c r="BQ245" s="674" t="str">
        <f t="shared" si="49"/>
        <v>金曜日</v>
      </c>
      <c r="BR245" s="674" t="str">
        <f t="shared" si="42"/>
        <v>30</v>
      </c>
      <c r="BS245" s="509" t="str">
        <f t="shared" si="50"/>
        <v>表示不可</v>
      </c>
    </row>
    <row r="246" spans="67:71" x14ac:dyDescent="0.35">
      <c r="BO246" s="520">
        <f t="shared" si="40"/>
        <v>3</v>
      </c>
      <c r="BP246" s="508">
        <f t="shared" si="48"/>
        <v>45360</v>
      </c>
      <c r="BQ246" s="674" t="str">
        <f t="shared" si="49"/>
        <v>土曜日</v>
      </c>
      <c r="BR246" s="674" t="str">
        <f t="shared" si="42"/>
        <v>30</v>
      </c>
      <c r="BS246" s="509" t="str">
        <f t="shared" si="50"/>
        <v>表示不可</v>
      </c>
    </row>
    <row r="247" spans="67:71" x14ac:dyDescent="0.35">
      <c r="BO247" s="520">
        <f t="shared" si="40"/>
        <v>3</v>
      </c>
      <c r="BP247" s="508">
        <f t="shared" si="48"/>
        <v>45361</v>
      </c>
      <c r="BQ247" s="674" t="str">
        <f t="shared" si="49"/>
        <v>日曜日</v>
      </c>
      <c r="BR247" s="674" t="str">
        <f t="shared" si="42"/>
        <v>30</v>
      </c>
      <c r="BS247" s="509" t="str">
        <f t="shared" si="50"/>
        <v>表示不可</v>
      </c>
    </row>
    <row r="248" spans="67:71" x14ac:dyDescent="0.35">
      <c r="BO248" s="520">
        <f t="shared" si="40"/>
        <v>3</v>
      </c>
      <c r="BP248" s="508">
        <f t="shared" si="48"/>
        <v>45362</v>
      </c>
      <c r="BQ248" s="674" t="str">
        <f t="shared" si="49"/>
        <v>月曜日</v>
      </c>
      <c r="BR248" s="674" t="str">
        <f t="shared" si="42"/>
        <v>30</v>
      </c>
      <c r="BS248" s="509" t="str">
        <f t="shared" si="50"/>
        <v>表示不可</v>
      </c>
    </row>
    <row r="249" spans="67:71" x14ac:dyDescent="0.35">
      <c r="BO249" s="520">
        <f t="shared" si="40"/>
        <v>3</v>
      </c>
      <c r="BP249" s="508">
        <f t="shared" si="48"/>
        <v>45363</v>
      </c>
      <c r="BQ249" s="674" t="str">
        <f t="shared" si="49"/>
        <v>火曜日</v>
      </c>
      <c r="BR249" s="674" t="str">
        <f t="shared" si="42"/>
        <v>30</v>
      </c>
      <c r="BS249" s="509" t="str">
        <f t="shared" si="50"/>
        <v>表示不可</v>
      </c>
    </row>
    <row r="250" spans="67:71" x14ac:dyDescent="0.35">
      <c r="BO250" s="520">
        <f t="shared" si="40"/>
        <v>3</v>
      </c>
      <c r="BP250" s="508">
        <f t="shared" si="48"/>
        <v>45364</v>
      </c>
      <c r="BQ250" s="674" t="str">
        <f t="shared" si="49"/>
        <v>水曜日</v>
      </c>
      <c r="BR250" s="674" t="str">
        <f t="shared" si="42"/>
        <v>30</v>
      </c>
      <c r="BS250" s="509" t="str">
        <f t="shared" si="50"/>
        <v>表示不可</v>
      </c>
    </row>
    <row r="251" spans="67:71" x14ac:dyDescent="0.35">
      <c r="BO251" s="520">
        <f t="shared" si="40"/>
        <v>3</v>
      </c>
      <c r="BP251" s="508">
        <f t="shared" si="48"/>
        <v>45365</v>
      </c>
      <c r="BQ251" s="674" t="str">
        <f t="shared" si="49"/>
        <v>木曜日</v>
      </c>
      <c r="BR251" s="674" t="str">
        <f t="shared" si="42"/>
        <v>30</v>
      </c>
      <c r="BS251" s="509" t="str">
        <f t="shared" si="50"/>
        <v>表示不可</v>
      </c>
    </row>
    <row r="252" spans="67:71" x14ac:dyDescent="0.35">
      <c r="BO252" s="520">
        <f t="shared" si="40"/>
        <v>3</v>
      </c>
      <c r="BP252" s="508">
        <f t="shared" si="48"/>
        <v>45366</v>
      </c>
      <c r="BQ252" s="674" t="str">
        <f t="shared" si="49"/>
        <v>金曜日</v>
      </c>
      <c r="BR252" s="674" t="str">
        <f t="shared" si="42"/>
        <v>30</v>
      </c>
      <c r="BS252" s="509" t="str">
        <f t="shared" si="50"/>
        <v>表示不可</v>
      </c>
    </row>
    <row r="253" spans="67:71" x14ac:dyDescent="0.35">
      <c r="BO253" s="520">
        <f t="shared" si="40"/>
        <v>3</v>
      </c>
      <c r="BP253" s="508">
        <f t="shared" si="48"/>
        <v>45367</v>
      </c>
      <c r="BQ253" s="674" t="str">
        <f t="shared" si="49"/>
        <v>土曜日</v>
      </c>
      <c r="BR253" s="674" t="str">
        <f t="shared" si="42"/>
        <v>30</v>
      </c>
      <c r="BS253" s="509" t="str">
        <f t="shared" si="50"/>
        <v>表示不可</v>
      </c>
    </row>
    <row r="254" spans="67:71" x14ac:dyDescent="0.35">
      <c r="BO254" s="520">
        <f t="shared" si="40"/>
        <v>3</v>
      </c>
      <c r="BP254" s="508">
        <f t="shared" si="48"/>
        <v>45368</v>
      </c>
      <c r="BQ254" s="674" t="str">
        <f t="shared" si="49"/>
        <v>日曜日</v>
      </c>
      <c r="BR254" s="674" t="str">
        <f t="shared" si="42"/>
        <v>30</v>
      </c>
      <c r="BS254" s="509" t="str">
        <f t="shared" si="50"/>
        <v>表示不可</v>
      </c>
    </row>
    <row r="255" spans="67:71" x14ac:dyDescent="0.35">
      <c r="BO255" s="520">
        <f t="shared" si="40"/>
        <v>3</v>
      </c>
      <c r="BP255" s="508">
        <f t="shared" si="48"/>
        <v>45369</v>
      </c>
      <c r="BQ255" s="674" t="str">
        <f t="shared" si="49"/>
        <v>月曜日</v>
      </c>
      <c r="BR255" s="674" t="str">
        <f t="shared" si="42"/>
        <v>30</v>
      </c>
      <c r="BS255" s="509" t="str">
        <f t="shared" si="50"/>
        <v>表示不可</v>
      </c>
    </row>
    <row r="256" spans="67:71" x14ac:dyDescent="0.35">
      <c r="BO256" s="520">
        <f t="shared" si="40"/>
        <v>3</v>
      </c>
      <c r="BP256" s="508">
        <f t="shared" si="48"/>
        <v>45370</v>
      </c>
      <c r="BQ256" s="674" t="str">
        <f t="shared" si="49"/>
        <v>火曜日</v>
      </c>
      <c r="BR256" s="674" t="str">
        <f t="shared" si="42"/>
        <v>30</v>
      </c>
      <c r="BS256" s="509" t="str">
        <f t="shared" si="50"/>
        <v>表示不可</v>
      </c>
    </row>
    <row r="257" spans="67:71" x14ac:dyDescent="0.35">
      <c r="BO257" s="520">
        <f t="shared" si="40"/>
        <v>3</v>
      </c>
      <c r="BP257" s="508">
        <f t="shared" si="48"/>
        <v>45371</v>
      </c>
      <c r="BQ257" s="674" t="str">
        <f t="shared" si="49"/>
        <v>水曜日</v>
      </c>
      <c r="BR257" s="674" t="str">
        <f t="shared" si="42"/>
        <v>30</v>
      </c>
      <c r="BS257" s="509" t="str">
        <f t="shared" si="50"/>
        <v>表示不可</v>
      </c>
    </row>
    <row r="258" spans="67:71" x14ac:dyDescent="0.35">
      <c r="BO258" s="520">
        <f t="shared" si="40"/>
        <v>3</v>
      </c>
      <c r="BP258" s="508">
        <f t="shared" si="48"/>
        <v>45372</v>
      </c>
      <c r="BQ258" s="674" t="str">
        <f t="shared" si="49"/>
        <v>木曜日</v>
      </c>
      <c r="BR258" s="674" t="str">
        <f t="shared" si="42"/>
        <v>30</v>
      </c>
      <c r="BS258" s="509" t="str">
        <f t="shared" si="50"/>
        <v>表示不可</v>
      </c>
    </row>
    <row r="259" spans="67:71" x14ac:dyDescent="0.35">
      <c r="BO259" s="520">
        <f t="shared" si="40"/>
        <v>3</v>
      </c>
      <c r="BP259" s="508">
        <f t="shared" si="48"/>
        <v>45373</v>
      </c>
      <c r="BQ259" s="674" t="str">
        <f t="shared" si="49"/>
        <v>金曜日</v>
      </c>
      <c r="BR259" s="674" t="str">
        <f t="shared" si="42"/>
        <v>30</v>
      </c>
      <c r="BS259" s="509" t="str">
        <f t="shared" si="50"/>
        <v>表示不可</v>
      </c>
    </row>
    <row r="260" spans="67:71" x14ac:dyDescent="0.35">
      <c r="BO260" s="520">
        <f t="shared" si="40"/>
        <v>3</v>
      </c>
      <c r="BP260" s="508">
        <f t="shared" si="48"/>
        <v>45374</v>
      </c>
      <c r="BQ260" s="674" t="str">
        <f t="shared" si="49"/>
        <v>土曜日</v>
      </c>
      <c r="BR260" s="674" t="str">
        <f t="shared" si="42"/>
        <v>30</v>
      </c>
      <c r="BS260" s="509" t="str">
        <f t="shared" si="50"/>
        <v>表示不可</v>
      </c>
    </row>
    <row r="261" spans="67:71" x14ac:dyDescent="0.35">
      <c r="BO261" s="520">
        <f t="shared" si="40"/>
        <v>3</v>
      </c>
      <c r="BP261" s="508">
        <f t="shared" si="48"/>
        <v>45375</v>
      </c>
      <c r="BQ261" s="674" t="str">
        <f t="shared" si="49"/>
        <v>日曜日</v>
      </c>
      <c r="BR261" s="674" t="str">
        <f t="shared" si="42"/>
        <v>30</v>
      </c>
      <c r="BS261" s="509" t="str">
        <f t="shared" si="50"/>
        <v>表示不可</v>
      </c>
    </row>
    <row r="262" spans="67:71" x14ac:dyDescent="0.35">
      <c r="BO262" s="520">
        <f t="shared" si="40"/>
        <v>3</v>
      </c>
      <c r="BP262" s="508">
        <f t="shared" si="48"/>
        <v>45376</v>
      </c>
      <c r="BQ262" s="674" t="str">
        <f t="shared" si="49"/>
        <v>月曜日</v>
      </c>
      <c r="BR262" s="674" t="str">
        <f t="shared" si="42"/>
        <v>30</v>
      </c>
      <c r="BS262" s="509" t="str">
        <f t="shared" si="50"/>
        <v>表示不可</v>
      </c>
    </row>
    <row r="263" spans="67:71" x14ac:dyDescent="0.35">
      <c r="BO263" s="520">
        <f t="shared" si="40"/>
        <v>3</v>
      </c>
      <c r="BP263" s="508">
        <f t="shared" si="48"/>
        <v>45377</v>
      </c>
      <c r="BQ263" s="674" t="str">
        <f t="shared" si="49"/>
        <v>火曜日</v>
      </c>
      <c r="BR263" s="674" t="str">
        <f t="shared" si="42"/>
        <v>30</v>
      </c>
      <c r="BS263" s="509" t="str">
        <f t="shared" si="50"/>
        <v>表示不可</v>
      </c>
    </row>
    <row r="264" spans="67:71" x14ac:dyDescent="0.35">
      <c r="BO264" s="520">
        <f t="shared" si="40"/>
        <v>3</v>
      </c>
      <c r="BP264" s="508">
        <f t="shared" si="48"/>
        <v>45378</v>
      </c>
      <c r="BQ264" s="674" t="str">
        <f t="shared" si="49"/>
        <v>水曜日</v>
      </c>
      <c r="BR264" s="674" t="str">
        <f t="shared" si="42"/>
        <v>30</v>
      </c>
      <c r="BS264" s="509" t="str">
        <f t="shared" si="50"/>
        <v>表示不可</v>
      </c>
    </row>
    <row r="265" spans="67:71" x14ac:dyDescent="0.35">
      <c r="BO265" s="520">
        <f t="shared" si="40"/>
        <v>3</v>
      </c>
      <c r="BP265" s="508">
        <f t="shared" si="48"/>
        <v>45379</v>
      </c>
      <c r="BQ265" s="674" t="str">
        <f t="shared" si="49"/>
        <v>木曜日</v>
      </c>
      <c r="BR265" s="674" t="str">
        <f t="shared" si="42"/>
        <v>30</v>
      </c>
      <c r="BS265" s="509" t="str">
        <f t="shared" si="50"/>
        <v>表示不可</v>
      </c>
    </row>
    <row r="266" spans="67:71" x14ac:dyDescent="0.35">
      <c r="BO266" s="520">
        <f t="shared" si="40"/>
        <v>3</v>
      </c>
      <c r="BP266" s="508">
        <f t="shared" si="48"/>
        <v>45380</v>
      </c>
      <c r="BQ266" s="674" t="str">
        <f t="shared" si="49"/>
        <v>金曜日</v>
      </c>
      <c r="BR266" s="674" t="str">
        <f t="shared" si="42"/>
        <v>30</v>
      </c>
      <c r="BS266" s="509" t="str">
        <f t="shared" si="50"/>
        <v>表示不可</v>
      </c>
    </row>
    <row r="267" spans="67:71" x14ac:dyDescent="0.35">
      <c r="BO267" s="520">
        <f t="shared" si="40"/>
        <v>3</v>
      </c>
      <c r="BP267" s="508">
        <f t="shared" si="48"/>
        <v>45381</v>
      </c>
      <c r="BQ267" s="674" t="str">
        <f t="shared" si="49"/>
        <v>土曜日</v>
      </c>
      <c r="BR267" s="674" t="str">
        <f t="shared" si="42"/>
        <v>30</v>
      </c>
      <c r="BS267" s="509" t="str">
        <f t="shared" si="50"/>
        <v>表示不可</v>
      </c>
    </row>
    <row r="268" spans="67:71" x14ac:dyDescent="0.35">
      <c r="BO268" s="520">
        <f t="shared" si="40"/>
        <v>3</v>
      </c>
      <c r="BP268" s="508">
        <f t="shared" si="48"/>
        <v>45382</v>
      </c>
      <c r="BQ268" s="674" t="str">
        <f t="shared" si="49"/>
        <v>日曜日</v>
      </c>
      <c r="BR268" s="674" t="str">
        <f t="shared" si="42"/>
        <v>30</v>
      </c>
      <c r="BS268" s="509" t="str">
        <f t="shared" si="50"/>
        <v>表示不可</v>
      </c>
    </row>
  </sheetData>
  <sheetProtection algorithmName="SHA-512" hashValue="IGEyqV8d5DdZkEqGJRAr0ZkD6b98xwPVewtmlluWNLa+FMnsL6/KWTHmdfh+hJ5N9yilK8KGHR24/APf/OUQUg==" saltValue="+64iwYNlvsRcAunQdLl8Pw==" spinCount="100000" sheet="1" objects="1" scenarios="1"/>
  <mergeCells count="567">
    <mergeCell ref="AZ109:AZ111"/>
    <mergeCell ref="AZ112:AZ114"/>
    <mergeCell ref="AZ115:AZ117"/>
    <mergeCell ref="AZ118:AZ120"/>
    <mergeCell ref="AZ88:AZ90"/>
    <mergeCell ref="AZ82:AZ84"/>
    <mergeCell ref="AZ85:AZ87"/>
    <mergeCell ref="AZ91:AZ93"/>
    <mergeCell ref="AZ94:AZ96"/>
    <mergeCell ref="AZ97:AZ99"/>
    <mergeCell ref="AZ100:AZ102"/>
    <mergeCell ref="AZ103:AZ105"/>
    <mergeCell ref="AZ106:AZ108"/>
    <mergeCell ref="E60:L60"/>
    <mergeCell ref="AW48:AX48"/>
    <mergeCell ref="AW49:AX49"/>
    <mergeCell ref="AW50:AX50"/>
    <mergeCell ref="AW52:AX52"/>
    <mergeCell ref="AW53:AX53"/>
    <mergeCell ref="AW54:AX54"/>
    <mergeCell ref="AW55:AX55"/>
    <mergeCell ref="AW56:AX56"/>
    <mergeCell ref="AW57:AX57"/>
    <mergeCell ref="AW58:AX58"/>
    <mergeCell ref="AW59:AX59"/>
    <mergeCell ref="AW60:AX60"/>
    <mergeCell ref="AQ48:AV48"/>
    <mergeCell ref="AQ49:AV49"/>
    <mergeCell ref="AQ50:AV50"/>
    <mergeCell ref="AQ52:AV52"/>
    <mergeCell ref="AQ53:AV53"/>
    <mergeCell ref="AQ54:AV54"/>
    <mergeCell ref="AQ55:AV55"/>
    <mergeCell ref="AQ56:AV56"/>
    <mergeCell ref="AQ57:AV57"/>
    <mergeCell ref="AL48:AP48"/>
    <mergeCell ref="AL49:AP49"/>
    <mergeCell ref="AZ48:BO48"/>
    <mergeCell ref="AW147:AX148"/>
    <mergeCell ref="AW133:AX134"/>
    <mergeCell ref="AW135:AX136"/>
    <mergeCell ref="AW137:AX138"/>
    <mergeCell ref="AW139:AX140"/>
    <mergeCell ref="AW141:AX142"/>
    <mergeCell ref="AF124:AV124"/>
    <mergeCell ref="AW124:AX124"/>
    <mergeCell ref="AF115:AX117"/>
    <mergeCell ref="AF118:AX120"/>
    <mergeCell ref="AZ49:BO49"/>
    <mergeCell ref="AZ50:BO50"/>
    <mergeCell ref="AZ52:BO52"/>
    <mergeCell ref="AZ53:BO53"/>
    <mergeCell ref="AZ54:BO54"/>
    <mergeCell ref="AZ55:BO55"/>
    <mergeCell ref="AF139:AV140"/>
    <mergeCell ref="AF141:AV142"/>
    <mergeCell ref="AF147:AV148"/>
    <mergeCell ref="AW127:AX128"/>
    <mergeCell ref="AW129:AX130"/>
    <mergeCell ref="AW131:AX132"/>
    <mergeCell ref="AZ56:BO56"/>
    <mergeCell ref="AW32:AX34"/>
    <mergeCell ref="AS35:AV42"/>
    <mergeCell ref="AW35:AX42"/>
    <mergeCell ref="AZ32:BP34"/>
    <mergeCell ref="AZ35:BP42"/>
    <mergeCell ref="AZ31:BP31"/>
    <mergeCell ref="AF145:AV146"/>
    <mergeCell ref="AW145:AX146"/>
    <mergeCell ref="AF125:AV126"/>
    <mergeCell ref="AW125:AX126"/>
    <mergeCell ref="AF143:AV144"/>
    <mergeCell ref="AW143:AX144"/>
    <mergeCell ref="AF112:AX114"/>
    <mergeCell ref="AZ58:BO58"/>
    <mergeCell ref="AZ59:BO59"/>
    <mergeCell ref="AZ60:BO60"/>
    <mergeCell ref="AZ57:BO57"/>
    <mergeCell ref="B61:AX61"/>
    <mergeCell ref="J125:Z126"/>
    <mergeCell ref="J127:Z128"/>
    <mergeCell ref="AA127:AB128"/>
    <mergeCell ref="J145:Z146"/>
    <mergeCell ref="AA145:AB146"/>
    <mergeCell ref="AL50:AP50"/>
    <mergeCell ref="AC133:AE134"/>
    <mergeCell ref="AC135:AE136"/>
    <mergeCell ref="AC137:AE138"/>
    <mergeCell ref="AC139:AE140"/>
    <mergeCell ref="AC141:AE142"/>
    <mergeCell ref="AS32:AV34"/>
    <mergeCell ref="AL52:AP52"/>
    <mergeCell ref="AL53:AP53"/>
    <mergeCell ref="AL54:AP54"/>
    <mergeCell ref="AL55:AP55"/>
    <mergeCell ref="AL56:AP56"/>
    <mergeCell ref="AL57:AP57"/>
    <mergeCell ref="AF129:AV130"/>
    <mergeCell ref="AF131:AV132"/>
    <mergeCell ref="AC129:AE130"/>
    <mergeCell ref="AC131:AE132"/>
    <mergeCell ref="Z112:AC114"/>
    <mergeCell ref="AD112:AE114"/>
    <mergeCell ref="AA124:AB124"/>
    <mergeCell ref="AD115:AE117"/>
    <mergeCell ref="AD118:AE120"/>
    <mergeCell ref="AL58:AP58"/>
    <mergeCell ref="AL59:AP59"/>
    <mergeCell ref="AL60:AP60"/>
    <mergeCell ref="B109:E120"/>
    <mergeCell ref="F109:M111"/>
    <mergeCell ref="N109:Q111"/>
    <mergeCell ref="R109:U111"/>
    <mergeCell ref="V109:Y111"/>
    <mergeCell ref="Z109:AC111"/>
    <mergeCell ref="AD109:AE111"/>
    <mergeCell ref="AF109:AX111"/>
    <mergeCell ref="J147:Z148"/>
    <mergeCell ref="AA147:AB148"/>
    <mergeCell ref="AF127:AV128"/>
    <mergeCell ref="AF137:AV138"/>
    <mergeCell ref="J139:Z140"/>
    <mergeCell ref="AA139:AB140"/>
    <mergeCell ref="J141:Z142"/>
    <mergeCell ref="J135:Z136"/>
    <mergeCell ref="AA135:AB136"/>
    <mergeCell ref="J137:Z138"/>
    <mergeCell ref="AA137:AB138"/>
    <mergeCell ref="AA141:AB142"/>
    <mergeCell ref="J143:Z144"/>
    <mergeCell ref="AA143:AB144"/>
    <mergeCell ref="AF133:AV134"/>
    <mergeCell ref="AF135:AV136"/>
    <mergeCell ref="G124:I124"/>
    <mergeCell ref="AC124:AE124"/>
    <mergeCell ref="AC143:AE144"/>
    <mergeCell ref="AC145:AE146"/>
    <mergeCell ref="AC147:AE148"/>
    <mergeCell ref="B125:F126"/>
    <mergeCell ref="G125:I126"/>
    <mergeCell ref="AC125:AE126"/>
    <mergeCell ref="G127:I128"/>
    <mergeCell ref="AC127:AE128"/>
    <mergeCell ref="B127:F128"/>
    <mergeCell ref="G129:I130"/>
    <mergeCell ref="G131:I132"/>
    <mergeCell ref="G133:I134"/>
    <mergeCell ref="J129:Z130"/>
    <mergeCell ref="AA129:AB130"/>
    <mergeCell ref="J131:Z132"/>
    <mergeCell ref="AA131:AB132"/>
    <mergeCell ref="J133:Z134"/>
    <mergeCell ref="AA133:AB134"/>
    <mergeCell ref="AA125:AB126"/>
    <mergeCell ref="G143:I144"/>
    <mergeCell ref="G145:I146"/>
    <mergeCell ref="G147:I148"/>
    <mergeCell ref="B129:F130"/>
    <mergeCell ref="B131:F132"/>
    <mergeCell ref="B133:F134"/>
    <mergeCell ref="B135:F136"/>
    <mergeCell ref="B137:F138"/>
    <mergeCell ref="B139:F140"/>
    <mergeCell ref="B141:F142"/>
    <mergeCell ref="B143:F144"/>
    <mergeCell ref="B145:F146"/>
    <mergeCell ref="B147:F148"/>
    <mergeCell ref="G135:I136"/>
    <mergeCell ref="G137:I138"/>
    <mergeCell ref="G139:I140"/>
    <mergeCell ref="G141:I142"/>
    <mergeCell ref="F112:M114"/>
    <mergeCell ref="N112:Q114"/>
    <mergeCell ref="R112:U114"/>
    <mergeCell ref="V112:Y114"/>
    <mergeCell ref="B123:F124"/>
    <mergeCell ref="J124:Z124"/>
    <mergeCell ref="Z115:AC117"/>
    <mergeCell ref="F118:M120"/>
    <mergeCell ref="N118:Q120"/>
    <mergeCell ref="R118:U120"/>
    <mergeCell ref="V118:Y120"/>
    <mergeCell ref="Z118:AC120"/>
    <mergeCell ref="F115:M117"/>
    <mergeCell ref="N115:Q117"/>
    <mergeCell ref="R115:U117"/>
    <mergeCell ref="V115:Y117"/>
    <mergeCell ref="G123:AB123"/>
    <mergeCell ref="AC123:AX123"/>
    <mergeCell ref="B122:AX122"/>
    <mergeCell ref="R103:U105"/>
    <mergeCell ref="V103:Y105"/>
    <mergeCell ref="Z103:AC105"/>
    <mergeCell ref="AD103:AE105"/>
    <mergeCell ref="AF103:AX105"/>
    <mergeCell ref="B106:M108"/>
    <mergeCell ref="N106:Q108"/>
    <mergeCell ref="R106:U108"/>
    <mergeCell ref="V106:Y108"/>
    <mergeCell ref="Z106:AC108"/>
    <mergeCell ref="AD106:AE108"/>
    <mergeCell ref="AF106:AX108"/>
    <mergeCell ref="B94:M96"/>
    <mergeCell ref="N94:Q96"/>
    <mergeCell ref="R94:U96"/>
    <mergeCell ref="V94:Y96"/>
    <mergeCell ref="Z94:AC96"/>
    <mergeCell ref="AD94:AE96"/>
    <mergeCell ref="AF94:AX96"/>
    <mergeCell ref="B97:E105"/>
    <mergeCell ref="F97:M99"/>
    <mergeCell ref="N97:Q99"/>
    <mergeCell ref="R97:U99"/>
    <mergeCell ref="V97:Y99"/>
    <mergeCell ref="Z97:AC99"/>
    <mergeCell ref="AD97:AE99"/>
    <mergeCell ref="AF97:AX99"/>
    <mergeCell ref="F100:M102"/>
    <mergeCell ref="N100:Q102"/>
    <mergeCell ref="R100:U102"/>
    <mergeCell ref="V100:Y102"/>
    <mergeCell ref="Z100:AC102"/>
    <mergeCell ref="AD100:AE102"/>
    <mergeCell ref="AF100:AX102"/>
    <mergeCell ref="F103:M105"/>
    <mergeCell ref="N103:Q105"/>
    <mergeCell ref="N88:Q90"/>
    <mergeCell ref="R88:U90"/>
    <mergeCell ref="V88:Y90"/>
    <mergeCell ref="Z88:AC90"/>
    <mergeCell ref="AD88:AE90"/>
    <mergeCell ref="AF88:AX90"/>
    <mergeCell ref="B91:M93"/>
    <mergeCell ref="N91:Q93"/>
    <mergeCell ref="R91:U93"/>
    <mergeCell ref="V91:Y93"/>
    <mergeCell ref="Z91:AC93"/>
    <mergeCell ref="AD91:AE93"/>
    <mergeCell ref="AF91:AX93"/>
    <mergeCell ref="B78:M81"/>
    <mergeCell ref="N78:Y79"/>
    <mergeCell ref="Z78:AC81"/>
    <mergeCell ref="AD78:AE81"/>
    <mergeCell ref="AF78:AX81"/>
    <mergeCell ref="N80:Q81"/>
    <mergeCell ref="R80:U81"/>
    <mergeCell ref="V80:Y81"/>
    <mergeCell ref="B82:E90"/>
    <mergeCell ref="F82:M84"/>
    <mergeCell ref="N82:Q84"/>
    <mergeCell ref="R82:U84"/>
    <mergeCell ref="V82:Y84"/>
    <mergeCell ref="Z82:AC84"/>
    <mergeCell ref="AD82:AE84"/>
    <mergeCell ref="AF82:AX84"/>
    <mergeCell ref="F85:M87"/>
    <mergeCell ref="N85:Q87"/>
    <mergeCell ref="R85:U87"/>
    <mergeCell ref="V85:Y87"/>
    <mergeCell ref="Z85:AC87"/>
    <mergeCell ref="AD85:AE87"/>
    <mergeCell ref="AF85:AX87"/>
    <mergeCell ref="F88:M90"/>
    <mergeCell ref="B74:G74"/>
    <mergeCell ref="H74:K74"/>
    <mergeCell ref="L74:O74"/>
    <mergeCell ref="P74:S74"/>
    <mergeCell ref="T74:U74"/>
    <mergeCell ref="X74:AB74"/>
    <mergeCell ref="AC74:AG74"/>
    <mergeCell ref="AI74:AX76"/>
    <mergeCell ref="B75:G76"/>
    <mergeCell ref="H75:K76"/>
    <mergeCell ref="L75:O76"/>
    <mergeCell ref="P75:S76"/>
    <mergeCell ref="T75:U76"/>
    <mergeCell ref="X75:AB76"/>
    <mergeCell ref="AC75:AG76"/>
    <mergeCell ref="AQ25:AX25"/>
    <mergeCell ref="AQ26:AX26"/>
    <mergeCell ref="Y16:Z16"/>
    <mergeCell ref="AB16:AX16"/>
    <mergeCell ref="Y18:Z18"/>
    <mergeCell ref="AB18:AX18"/>
    <mergeCell ref="B47:AX47"/>
    <mergeCell ref="AG42:AJ42"/>
    <mergeCell ref="AK42:AN42"/>
    <mergeCell ref="AO42:AR42"/>
    <mergeCell ref="B44:AY44"/>
    <mergeCell ref="B45:AW45"/>
    <mergeCell ref="B46:AW46"/>
    <mergeCell ref="AG41:AJ41"/>
    <mergeCell ref="AK41:AN41"/>
    <mergeCell ref="AO41:AR41"/>
    <mergeCell ref="E42:H42"/>
    <mergeCell ref="I42:L42"/>
    <mergeCell ref="M42:P42"/>
    <mergeCell ref="AO39:AR39"/>
    <mergeCell ref="E40:H40"/>
    <mergeCell ref="I40:L40"/>
    <mergeCell ref="M40:P40"/>
    <mergeCell ref="Q40:T40"/>
    <mergeCell ref="AQ58:AV58"/>
    <mergeCell ref="AQ59:AV59"/>
    <mergeCell ref="AQ60:AV60"/>
    <mergeCell ref="W56:AA56"/>
    <mergeCell ref="W55:AA55"/>
    <mergeCell ref="AB55:AF55"/>
    <mergeCell ref="AG55:AK55"/>
    <mergeCell ref="W50:AA50"/>
    <mergeCell ref="AB50:AF50"/>
    <mergeCell ref="AG50:AK50"/>
    <mergeCell ref="W52:AA52"/>
    <mergeCell ref="AB52:AF52"/>
    <mergeCell ref="AG52:AK52"/>
    <mergeCell ref="W58:AA58"/>
    <mergeCell ref="AB58:AF58"/>
    <mergeCell ref="AG58:AK58"/>
    <mergeCell ref="W59:AA59"/>
    <mergeCell ref="W57:AA57"/>
    <mergeCell ref="AB57:AF57"/>
    <mergeCell ref="AG57:AK57"/>
    <mergeCell ref="M60:Q60"/>
    <mergeCell ref="AB56:AF56"/>
    <mergeCell ref="AG56:AK56"/>
    <mergeCell ref="AB53:AF53"/>
    <mergeCell ref="AG53:AK53"/>
    <mergeCell ref="AB54:AF54"/>
    <mergeCell ref="AG54:AK54"/>
    <mergeCell ref="R55:V55"/>
    <mergeCell ref="R53:V53"/>
    <mergeCell ref="W53:AA53"/>
    <mergeCell ref="R54:V54"/>
    <mergeCell ref="W54:AA54"/>
    <mergeCell ref="R56:V56"/>
    <mergeCell ref="R57:V57"/>
    <mergeCell ref="AB59:AF59"/>
    <mergeCell ref="AG59:AK59"/>
    <mergeCell ref="R60:V60"/>
    <mergeCell ref="W60:AA60"/>
    <mergeCell ref="AB60:AF60"/>
    <mergeCell ref="AG60:AK60"/>
    <mergeCell ref="R58:V58"/>
    <mergeCell ref="R59:V59"/>
    <mergeCell ref="R48:V48"/>
    <mergeCell ref="W48:AA48"/>
    <mergeCell ref="AB48:AF48"/>
    <mergeCell ref="AG48:AK48"/>
    <mergeCell ref="R49:V49"/>
    <mergeCell ref="W49:AA49"/>
    <mergeCell ref="AB49:AF49"/>
    <mergeCell ref="AG49:AK49"/>
    <mergeCell ref="M56:Q56"/>
    <mergeCell ref="R50:V50"/>
    <mergeCell ref="R52:V52"/>
    <mergeCell ref="M52:Q52"/>
    <mergeCell ref="M53:Q53"/>
    <mergeCell ref="M54:Q54"/>
    <mergeCell ref="M55:Q55"/>
    <mergeCell ref="M48:Q48"/>
    <mergeCell ref="M49:Q49"/>
    <mergeCell ref="B48:F49"/>
    <mergeCell ref="M57:Q57"/>
    <mergeCell ref="M58:Q58"/>
    <mergeCell ref="M59:Q59"/>
    <mergeCell ref="G48:L48"/>
    <mergeCell ref="G49:L49"/>
    <mergeCell ref="B50:L50"/>
    <mergeCell ref="B52:L52"/>
    <mergeCell ref="B53:L53"/>
    <mergeCell ref="B54:L54"/>
    <mergeCell ref="E55:L55"/>
    <mergeCell ref="E56:L56"/>
    <mergeCell ref="E57:L57"/>
    <mergeCell ref="E58:L58"/>
    <mergeCell ref="E59:L59"/>
    <mergeCell ref="Q42:T42"/>
    <mergeCell ref="U42:X42"/>
    <mergeCell ref="Y42:AB42"/>
    <mergeCell ref="AC42:AF42"/>
    <mergeCell ref="AG40:AJ40"/>
    <mergeCell ref="AK40:AN40"/>
    <mergeCell ref="BA82:BC82"/>
    <mergeCell ref="BA80:BC80"/>
    <mergeCell ref="BA81:BC81"/>
    <mergeCell ref="AZ71:BO72"/>
    <mergeCell ref="AZ69:BO70"/>
    <mergeCell ref="B69:AX72"/>
    <mergeCell ref="BA61:BC61"/>
    <mergeCell ref="B66:AY66"/>
    <mergeCell ref="BA66:BC66"/>
    <mergeCell ref="B67:AX67"/>
    <mergeCell ref="B68:AX68"/>
    <mergeCell ref="B55:D57"/>
    <mergeCell ref="B58:D60"/>
    <mergeCell ref="M50:Q50"/>
    <mergeCell ref="AO40:AR40"/>
    <mergeCell ref="E41:H41"/>
    <mergeCell ref="I41:L41"/>
    <mergeCell ref="M41:P41"/>
    <mergeCell ref="Q41:T41"/>
    <mergeCell ref="U41:X41"/>
    <mergeCell ref="Y41:AB41"/>
    <mergeCell ref="AC41:AF41"/>
    <mergeCell ref="E39:H39"/>
    <mergeCell ref="I39:L39"/>
    <mergeCell ref="M39:P39"/>
    <mergeCell ref="Q39:T39"/>
    <mergeCell ref="U39:X39"/>
    <mergeCell ref="Y39:AB39"/>
    <mergeCell ref="AC39:AF39"/>
    <mergeCell ref="AG39:AJ39"/>
    <mergeCell ref="AK39:AN39"/>
    <mergeCell ref="U40:X40"/>
    <mergeCell ref="Y40:AB40"/>
    <mergeCell ref="AC40:AF40"/>
    <mergeCell ref="Y37:AB37"/>
    <mergeCell ref="AC37:AF37"/>
    <mergeCell ref="AG37:AJ37"/>
    <mergeCell ref="AK37:AN37"/>
    <mergeCell ref="AO37:AR37"/>
    <mergeCell ref="E38:H38"/>
    <mergeCell ref="I38:L38"/>
    <mergeCell ref="M38:P38"/>
    <mergeCell ref="Q38:T38"/>
    <mergeCell ref="U38:X38"/>
    <mergeCell ref="Y38:AB38"/>
    <mergeCell ref="AC38:AF38"/>
    <mergeCell ref="AG38:AJ38"/>
    <mergeCell ref="AK38:AN38"/>
    <mergeCell ref="AO38:AR38"/>
    <mergeCell ref="E36:H36"/>
    <mergeCell ref="I36:L36"/>
    <mergeCell ref="M36:P36"/>
    <mergeCell ref="Q36:T36"/>
    <mergeCell ref="U36:X36"/>
    <mergeCell ref="Y36:AB36"/>
    <mergeCell ref="AC36:AF36"/>
    <mergeCell ref="AG36:AJ36"/>
    <mergeCell ref="AK36:AN36"/>
    <mergeCell ref="AO36:AR36"/>
    <mergeCell ref="E37:H37"/>
    <mergeCell ref="I37:L37"/>
    <mergeCell ref="M37:P37"/>
    <mergeCell ref="Q37:T37"/>
    <mergeCell ref="U37:X37"/>
    <mergeCell ref="AO34:AR34"/>
    <mergeCell ref="B35:D42"/>
    <mergeCell ref="E35:H35"/>
    <mergeCell ref="I35:L35"/>
    <mergeCell ref="M35:P35"/>
    <mergeCell ref="Q35:T35"/>
    <mergeCell ref="U35:X35"/>
    <mergeCell ref="Y35:AB35"/>
    <mergeCell ref="AC35:AF35"/>
    <mergeCell ref="AG35:AJ35"/>
    <mergeCell ref="AK35:AN35"/>
    <mergeCell ref="AO35:AR35"/>
    <mergeCell ref="E34:H34"/>
    <mergeCell ref="I34:L34"/>
    <mergeCell ref="M34:P34"/>
    <mergeCell ref="Q34:T34"/>
    <mergeCell ref="U34:X34"/>
    <mergeCell ref="Y34:AB34"/>
    <mergeCell ref="AG34:AJ34"/>
    <mergeCell ref="AK34:AN34"/>
    <mergeCell ref="E33:H33"/>
    <mergeCell ref="I33:L33"/>
    <mergeCell ref="M33:P33"/>
    <mergeCell ref="Q33:T33"/>
    <mergeCell ref="U33:X33"/>
    <mergeCell ref="Y33:AB33"/>
    <mergeCell ref="AC33:AF33"/>
    <mergeCell ref="AG33:AJ33"/>
    <mergeCell ref="AK33:AN33"/>
    <mergeCell ref="AO33:AR33"/>
    <mergeCell ref="U32:X32"/>
    <mergeCell ref="Y32:AB32"/>
    <mergeCell ref="AC32:AF32"/>
    <mergeCell ref="AG32:AJ32"/>
    <mergeCell ref="AK32:AN32"/>
    <mergeCell ref="AO32:AR32"/>
    <mergeCell ref="AM28:AO28"/>
    <mergeCell ref="B30:AY30"/>
    <mergeCell ref="B31:D31"/>
    <mergeCell ref="E31:AR31"/>
    <mergeCell ref="AS31:AX31"/>
    <mergeCell ref="B32:D34"/>
    <mergeCell ref="E32:H32"/>
    <mergeCell ref="I32:L32"/>
    <mergeCell ref="M32:P32"/>
    <mergeCell ref="Q32:T32"/>
    <mergeCell ref="B28:D28"/>
    <mergeCell ref="E28:G28"/>
    <mergeCell ref="AC28:AD28"/>
    <mergeCell ref="AE28:AF28"/>
    <mergeCell ref="AG28:AH28"/>
    <mergeCell ref="AI28:AJ28"/>
    <mergeCell ref="AC34:AF34"/>
    <mergeCell ref="AM26:AO26"/>
    <mergeCell ref="B27:D27"/>
    <mergeCell ref="E27:G27"/>
    <mergeCell ref="AC27:AD27"/>
    <mergeCell ref="AE27:AF27"/>
    <mergeCell ref="AG27:AH27"/>
    <mergeCell ref="AI27:AJ27"/>
    <mergeCell ref="AM27:AO27"/>
    <mergeCell ref="B26:D26"/>
    <mergeCell ref="E26:G26"/>
    <mergeCell ref="AC26:AD26"/>
    <mergeCell ref="AE26:AF26"/>
    <mergeCell ref="AG26:AH26"/>
    <mergeCell ref="AI26:AJ26"/>
    <mergeCell ref="AM24:AO24"/>
    <mergeCell ref="B25:D25"/>
    <mergeCell ref="E25:G25"/>
    <mergeCell ref="AC25:AD25"/>
    <mergeCell ref="AE25:AF25"/>
    <mergeCell ref="AG25:AH25"/>
    <mergeCell ref="AI25:AJ25"/>
    <mergeCell ref="AM25:AO25"/>
    <mergeCell ref="B24:D24"/>
    <mergeCell ref="E24:G24"/>
    <mergeCell ref="AC24:AD24"/>
    <mergeCell ref="AE24:AF24"/>
    <mergeCell ref="AG24:AH24"/>
    <mergeCell ref="AI24:AJ24"/>
    <mergeCell ref="AM22:AO22"/>
    <mergeCell ref="B23:D23"/>
    <mergeCell ref="E23:G23"/>
    <mergeCell ref="AC23:AD23"/>
    <mergeCell ref="AE23:AF23"/>
    <mergeCell ref="AG23:AH23"/>
    <mergeCell ref="AI23:AJ23"/>
    <mergeCell ref="AM23:AO23"/>
    <mergeCell ref="B22:D22"/>
    <mergeCell ref="E22:G22"/>
    <mergeCell ref="AC22:AD22"/>
    <mergeCell ref="AE22:AF22"/>
    <mergeCell ref="AG22:AH22"/>
    <mergeCell ref="AI22:AJ22"/>
    <mergeCell ref="B20:D21"/>
    <mergeCell ref="E20:G21"/>
    <mergeCell ref="AK20:AK21"/>
    <mergeCell ref="AM20:AX21"/>
    <mergeCell ref="BA20:BE20"/>
    <mergeCell ref="AI21:AJ21"/>
    <mergeCell ref="D16:W16"/>
    <mergeCell ref="BA16:BD16"/>
    <mergeCell ref="B17:AX17"/>
    <mergeCell ref="D18:W18"/>
    <mergeCell ref="BA18:BE18"/>
    <mergeCell ref="B19:AX19"/>
    <mergeCell ref="BA19:BE19"/>
    <mergeCell ref="H20:AB20"/>
    <mergeCell ref="B9:AX9"/>
    <mergeCell ref="B10:AX11"/>
    <mergeCell ref="B12:AX12"/>
    <mergeCell ref="B14:AY14"/>
    <mergeCell ref="B15:AX15"/>
    <mergeCell ref="BA15:BD15"/>
    <mergeCell ref="A2:AY2"/>
    <mergeCell ref="B4:AX4"/>
    <mergeCell ref="B5:AX5"/>
    <mergeCell ref="B6:AX6"/>
    <mergeCell ref="B7:AX7"/>
    <mergeCell ref="B8:AX8"/>
  </mergeCells>
  <phoneticPr fontId="1"/>
  <conditionalFormatting sqref="J51">
    <cfRule type="expression" dxfId="152" priority="239">
      <formula>#REF!="休"</formula>
    </cfRule>
    <cfRule type="expression" dxfId="151" priority="245">
      <formula>#REF!="休"</formula>
    </cfRule>
  </conditionalFormatting>
  <conditionalFormatting sqref="K51">
    <cfRule type="expression" dxfId="150" priority="244">
      <formula>#REF!="休"</formula>
    </cfRule>
  </conditionalFormatting>
  <conditionalFormatting sqref="N51 S51 X51 AC51 AH51 AM51">
    <cfRule type="expression" dxfId="149" priority="238">
      <formula>#REF!="休"</formula>
    </cfRule>
  </conditionalFormatting>
  <conditionalFormatting sqref="O51 T51 Y51 AD51 AI51 AN51">
    <cfRule type="expression" dxfId="148" priority="242">
      <formula>#REF!="休"</formula>
    </cfRule>
  </conditionalFormatting>
  <conditionalFormatting sqref="P51 U51 Z51 AE51 AJ51 AO51">
    <cfRule type="expression" dxfId="147" priority="241">
      <formula>#REF!="休"</formula>
    </cfRule>
  </conditionalFormatting>
  <conditionalFormatting sqref="Q51 V51 AA51 AF51 AK51 AP51">
    <cfRule type="expression" dxfId="146" priority="237">
      <formula>#REF!="休"</formula>
    </cfRule>
  </conditionalFormatting>
  <conditionalFormatting sqref="M60 R60 W60 AB60 AG60 AL60">
    <cfRule type="expression" dxfId="145" priority="200">
      <formula>#REF!="休"</formula>
    </cfRule>
    <cfRule type="expression" priority="203">
      <formula>#REF!="休"</formula>
    </cfRule>
  </conditionalFormatting>
  <conditionalFormatting sqref="M57:Q57">
    <cfRule type="cellIs" dxfId="144" priority="161" operator="greaterThan">
      <formula>$M$56</formula>
    </cfRule>
  </conditionalFormatting>
  <conditionalFormatting sqref="R57:V57">
    <cfRule type="cellIs" dxfId="143" priority="160" operator="greaterThan">
      <formula>$R$56</formula>
    </cfRule>
  </conditionalFormatting>
  <conditionalFormatting sqref="W57:AA57">
    <cfRule type="cellIs" dxfId="142" priority="159" operator="greaterThan">
      <formula>$W$56</formula>
    </cfRule>
  </conditionalFormatting>
  <conditionalFormatting sqref="AB57:AF57">
    <cfRule type="cellIs" dxfId="141" priority="158" operator="greaterThan">
      <formula>$AB$56</formula>
    </cfRule>
  </conditionalFormatting>
  <conditionalFormatting sqref="AG57:AP57">
    <cfRule type="cellIs" dxfId="140" priority="157" operator="greaterThan">
      <formula>$AG$56</formula>
    </cfRule>
  </conditionalFormatting>
  <conditionalFormatting sqref="M60:Q60">
    <cfRule type="cellIs" dxfId="139" priority="148" operator="greaterThan">
      <formula>$M$59</formula>
    </cfRule>
  </conditionalFormatting>
  <conditionalFormatting sqref="R60:V60">
    <cfRule type="cellIs" dxfId="138" priority="147" operator="greaterThan">
      <formula>$R$59</formula>
    </cfRule>
  </conditionalFormatting>
  <conditionalFormatting sqref="W60:AA60">
    <cfRule type="cellIs" dxfId="137" priority="146" operator="greaterThan">
      <formula>$W$59</formula>
    </cfRule>
  </conditionalFormatting>
  <conditionalFormatting sqref="AB60:AF60">
    <cfRule type="cellIs" dxfId="136" priority="145" operator="greaterThan">
      <formula>$AB$59</formula>
    </cfRule>
  </conditionalFormatting>
  <conditionalFormatting sqref="AG60:AP60">
    <cfRule type="cellIs" dxfId="135" priority="144" operator="greaterThan">
      <formula>$AG$59</formula>
    </cfRule>
  </conditionalFormatting>
  <conditionalFormatting sqref="M55:AP55">
    <cfRule type="cellIs" dxfId="134" priority="143" operator="greaterThan">
      <formula>$AS$32</formula>
    </cfRule>
  </conditionalFormatting>
  <conditionalFormatting sqref="M58:AP58">
    <cfRule type="cellIs" dxfId="133" priority="142" operator="greaterThan">
      <formula>$AS$35</formula>
    </cfRule>
  </conditionalFormatting>
  <conditionalFormatting sqref="AQ50:AU60">
    <cfRule type="cellIs" dxfId="132" priority="132" operator="equal">
      <formula>0</formula>
    </cfRule>
  </conditionalFormatting>
  <conditionalFormatting sqref="AA16 AA18">
    <cfRule type="containsText" dxfId="131" priority="130" operator="containsText" text="×">
      <formula>NOT(ISERROR(SEARCH("×",AA16)))</formula>
    </cfRule>
  </conditionalFormatting>
  <conditionalFormatting sqref="AQ49:AU49">
    <cfRule type="containsText" dxfId="130" priority="128" operator="containsText" text="要修正">
      <formula>NOT(ISERROR(SEARCH("要修正",AQ49)))</formula>
    </cfRule>
  </conditionalFormatting>
  <conditionalFormatting sqref="B14:AY14">
    <cfRule type="containsText" dxfId="129" priority="125" operator="containsText" text="×">
      <formula>NOT(ISERROR(SEARCH("×",B14)))</formula>
    </cfRule>
  </conditionalFormatting>
  <conditionalFormatting sqref="B30:AY30">
    <cfRule type="containsText" dxfId="128" priority="124" operator="containsText" text="×">
      <formula>NOT(ISERROR(SEARCH("×",B30)))</formula>
    </cfRule>
  </conditionalFormatting>
  <conditionalFormatting sqref="B44:AY44">
    <cfRule type="containsText" dxfId="127" priority="123" operator="containsText" text="×">
      <formula>NOT(ISERROR(SEARCH("×",B44)))</formula>
    </cfRule>
  </conditionalFormatting>
  <conditionalFormatting sqref="AD82:AE120">
    <cfRule type="containsText" dxfId="126" priority="94" operator="containsText" text="×">
      <formula>NOT(ISERROR(SEARCH("×",AD82)))</formula>
    </cfRule>
  </conditionalFormatting>
  <conditionalFormatting sqref="N82:U84">
    <cfRule type="cellIs" dxfId="125" priority="92" operator="greaterThan">
      <formula>2</formula>
    </cfRule>
  </conditionalFormatting>
  <conditionalFormatting sqref="N85:U87">
    <cfRule type="cellIs" dxfId="124" priority="91" operator="greaterThan">
      <formula>2</formula>
    </cfRule>
  </conditionalFormatting>
  <conditionalFormatting sqref="N88:U90">
    <cfRule type="cellIs" dxfId="123" priority="90" operator="greaterThan">
      <formula>2</formula>
    </cfRule>
  </conditionalFormatting>
  <conditionalFormatting sqref="N94:U96">
    <cfRule type="cellIs" dxfId="122" priority="89" operator="greaterThan">
      <formula>8</formula>
    </cfRule>
  </conditionalFormatting>
  <conditionalFormatting sqref="N97:U99">
    <cfRule type="cellIs" dxfId="121" priority="88" operator="greaterThan">
      <formula>0.5</formula>
    </cfRule>
  </conditionalFormatting>
  <conditionalFormatting sqref="N100:U102">
    <cfRule type="cellIs" dxfId="120" priority="87" operator="greaterThan">
      <formula>0.5</formula>
    </cfRule>
  </conditionalFormatting>
  <conditionalFormatting sqref="N103:U105">
    <cfRule type="cellIs" dxfId="119" priority="86" operator="greaterThan">
      <formula>1</formula>
    </cfRule>
  </conditionalFormatting>
  <conditionalFormatting sqref="N106:U108">
    <cfRule type="cellIs" dxfId="118" priority="85" operator="greaterThan">
      <formula>2</formula>
    </cfRule>
  </conditionalFormatting>
  <conditionalFormatting sqref="N109:U111">
    <cfRule type="cellIs" dxfId="117" priority="60" operator="greaterThan">
      <formula>2</formula>
    </cfRule>
    <cfRule type="cellIs" dxfId="116" priority="84" operator="greaterThan">
      <formula>2</formula>
    </cfRule>
  </conditionalFormatting>
  <conditionalFormatting sqref="N112:U114">
    <cfRule type="cellIs" dxfId="115" priority="83" operator="greaterThan">
      <formula>0.5</formula>
    </cfRule>
  </conditionalFormatting>
  <conditionalFormatting sqref="N118:U120">
    <cfRule type="cellIs" dxfId="114" priority="81" operator="greaterThan">
      <formula>0.5</formula>
    </cfRule>
  </conditionalFormatting>
  <conditionalFormatting sqref="N91:U93">
    <cfRule type="cellIs" dxfId="113" priority="80" operator="greaterThan">
      <formula>1</formula>
    </cfRule>
  </conditionalFormatting>
  <conditionalFormatting sqref="T75:U76">
    <cfRule type="containsText" dxfId="112" priority="78" operator="containsText" text="×">
      <formula>NOT(ISERROR(SEARCH("×",T75)))</formula>
    </cfRule>
  </conditionalFormatting>
  <conditionalFormatting sqref="X75:AG76">
    <cfRule type="containsText" dxfId="111" priority="77" operator="containsText" text="要修正">
      <formula>NOT(ISERROR(SEARCH("要修正",X75)))</formula>
    </cfRule>
  </conditionalFormatting>
  <conditionalFormatting sqref="B66:AY66">
    <cfRule type="containsText" dxfId="110" priority="75" operator="containsText" text="×">
      <formula>NOT(ISERROR(SEARCH("×",B66)))</formula>
    </cfRule>
  </conditionalFormatting>
  <conditionalFormatting sqref="N115:U117">
    <cfRule type="cellIs" dxfId="109" priority="56" operator="greaterThan">
      <formula>2</formula>
    </cfRule>
  </conditionalFormatting>
  <conditionalFormatting sqref="G125:I126 AC125:AE126">
    <cfRule type="cellIs" dxfId="108" priority="52" operator="greaterThan">
      <formula>2</formula>
    </cfRule>
  </conditionalFormatting>
  <conditionalFormatting sqref="G127:I128 AC127:AE128">
    <cfRule type="cellIs" dxfId="107" priority="51" operator="greaterThan">
      <formula>2</formula>
    </cfRule>
  </conditionalFormatting>
  <conditionalFormatting sqref="G129:I130 AC129:AE130">
    <cfRule type="cellIs" dxfId="106" priority="50" operator="greaterThan">
      <formula>2</formula>
    </cfRule>
  </conditionalFormatting>
  <conditionalFormatting sqref="G131:I132 AC131:AE132">
    <cfRule type="cellIs" dxfId="105" priority="49" operator="greaterThan">
      <formula>8</formula>
    </cfRule>
  </conditionalFormatting>
  <conditionalFormatting sqref="G133:I134 AC133:AE134">
    <cfRule type="cellIs" dxfId="104" priority="48" operator="greaterThan">
      <formula>0.5</formula>
    </cfRule>
  </conditionalFormatting>
  <conditionalFormatting sqref="G135:I136 AC135:AE136">
    <cfRule type="cellIs" dxfId="103" priority="47" operator="greaterThan">
      <formula>0.5</formula>
    </cfRule>
  </conditionalFormatting>
  <conditionalFormatting sqref="G137:I138 AC137:AE138">
    <cfRule type="cellIs" dxfId="102" priority="46" operator="greaterThan">
      <formula>2</formula>
    </cfRule>
  </conditionalFormatting>
  <conditionalFormatting sqref="G139:I140 AC139:AE140">
    <cfRule type="cellIs" dxfId="101" priority="45" operator="greaterThan">
      <formula>2</formula>
    </cfRule>
  </conditionalFormatting>
  <conditionalFormatting sqref="G141:I142 AC141:AE142">
    <cfRule type="cellIs" dxfId="100" priority="41" operator="greaterThan">
      <formula>2</formula>
    </cfRule>
    <cfRule type="cellIs" dxfId="99" priority="43" operator="greaterThan">
      <formula>2</formula>
    </cfRule>
    <cfRule type="cellIs" dxfId="98" priority="44" operator="greaterThan">
      <formula>1</formula>
    </cfRule>
  </conditionalFormatting>
  <conditionalFormatting sqref="G143:I144 AC143:AE144">
    <cfRule type="cellIs" dxfId="97" priority="42" operator="greaterThan">
      <formula>0.5</formula>
    </cfRule>
  </conditionalFormatting>
  <conditionalFormatting sqref="G145:I146 AC145:AE146">
    <cfRule type="cellIs" dxfId="96" priority="40" operator="greaterThan">
      <formula>2</formula>
    </cfRule>
  </conditionalFormatting>
  <conditionalFormatting sqref="G147:I148 AC147:AE148">
    <cfRule type="cellIs" dxfId="95" priority="39" operator="greaterThan">
      <formula>0.5</formula>
    </cfRule>
  </conditionalFormatting>
  <conditionalFormatting sqref="AA125:AB148 AW125:AX148">
    <cfRule type="containsText" dxfId="94" priority="29" operator="containsText" text="入力済">
      <formula>NOT(ISERROR(SEARCH("入力済",AA125)))</formula>
    </cfRule>
    <cfRule type="cellIs" dxfId="93" priority="38" operator="greaterThan">
      <formula>"要入力"</formula>
    </cfRule>
  </conditionalFormatting>
  <conditionalFormatting sqref="AA125:AB148 AW125:AX148">
    <cfRule type="containsText" dxfId="92" priority="37" operator="containsText" text="要入力">
      <formula>NOT(ISERROR(SEARCH("要入力",AA125)))</formula>
    </cfRule>
  </conditionalFormatting>
  <conditionalFormatting sqref="J125:Z148">
    <cfRule type="expression" dxfId="91" priority="36">
      <formula>AA125="入力"&amp;CHAR(10)&amp;"不要"</formula>
    </cfRule>
  </conditionalFormatting>
  <conditionalFormatting sqref="AF125:AV148">
    <cfRule type="expression" dxfId="90" priority="35">
      <formula>AW125="入力"&amp;CHAR(10)&amp;"不要"</formula>
    </cfRule>
  </conditionalFormatting>
  <conditionalFormatting sqref="AF82:AS120">
    <cfRule type="containsText" dxfId="89" priority="33" operator="containsText" text="してください">
      <formula>NOT(ISERROR(SEARCH("してください",AF82)))</formula>
    </cfRule>
    <cfRule type="containsText" dxfId="88" priority="34" operator="containsText" text="理由">
      <formula>NOT(ISERROR(SEARCH("理由",AF82)))</formula>
    </cfRule>
  </conditionalFormatting>
  <conditionalFormatting sqref="AW32:AX42">
    <cfRule type="containsText" dxfId="87" priority="32" operator="containsText" text="×">
      <formula>NOT(ISERROR(SEARCH("×",AW32)))</formula>
    </cfRule>
  </conditionalFormatting>
  <conditionalFormatting sqref="AS32:AV42">
    <cfRule type="cellIs" dxfId="86" priority="31" operator="equal">
      <formula>0</formula>
    </cfRule>
  </conditionalFormatting>
  <conditionalFormatting sqref="AZ32:BP42">
    <cfRule type="containsText" dxfId="85" priority="30" operator="containsText" text="要修正">
      <formula>NOT(ISERROR(SEARCH("要修正",AZ32)))</formula>
    </cfRule>
  </conditionalFormatting>
  <conditionalFormatting sqref="AB16:AX16 AB18:AX18">
    <cfRule type="containsText" dxfId="84" priority="28" operator="containsText" text="要修正">
      <formula>NOT(ISERROR(SEARCH("要修正",AB16)))</formula>
    </cfRule>
  </conditionalFormatting>
  <conditionalFormatting sqref="H75:K76">
    <cfRule type="cellIs" dxfId="83" priority="27" operator="greaterThan">
      <formula>$AS$32</formula>
    </cfRule>
  </conditionalFormatting>
  <conditionalFormatting sqref="L75:O76">
    <cfRule type="cellIs" dxfId="82" priority="26" operator="greaterThan">
      <formula>$AS$35</formula>
    </cfRule>
  </conditionalFormatting>
  <conditionalFormatting sqref="AC22:AH28">
    <cfRule type="containsText" dxfId="81" priority="20" operator="containsText" text="要修正">
      <formula>NOT(ISERROR(SEARCH("要修正",AC22)))</formula>
    </cfRule>
  </conditionalFormatting>
  <conditionalFormatting sqref="AK22:AK28">
    <cfRule type="containsText" dxfId="80" priority="19" operator="containsText" text="×">
      <formula>NOT(ISERROR(SEARCH("×",AK22)))</formula>
    </cfRule>
  </conditionalFormatting>
  <conditionalFormatting sqref="AM22:AO28">
    <cfRule type="containsText" dxfId="79" priority="18" operator="containsText" text="表示不可">
      <formula>NOT(ISERROR(SEARCH("表示不可",AM22)))</formula>
    </cfRule>
  </conditionalFormatting>
  <conditionalFormatting sqref="AQ26:AW26">
    <cfRule type="containsText" dxfId="78" priority="17" operator="containsText" text="表示不可">
      <formula>NOT(ISERROR(SEARCH("表示不可",AQ26)))</formula>
    </cfRule>
  </conditionalFormatting>
  <conditionalFormatting sqref="AI22:AJ28">
    <cfRule type="containsText" dxfId="77" priority="16" operator="containsText" text="表示不可">
      <formula>NOT(ISERROR(SEARCH("表示不可",AI22)))</formula>
    </cfRule>
  </conditionalFormatting>
  <conditionalFormatting sqref="M54:AP54">
    <cfRule type="containsText" dxfId="76" priority="13" operator="containsText" text="×">
      <formula>NOT(ISERROR(SEARCH("×",M54)))</formula>
    </cfRule>
  </conditionalFormatting>
  <conditionalFormatting sqref="M53:AP53">
    <cfRule type="containsText" dxfId="75" priority="8" operator="containsText" text="×">
      <formula>NOT(ISERROR(SEARCH("×",M53)))</formula>
    </cfRule>
  </conditionalFormatting>
  <conditionalFormatting sqref="AL50:AP60">
    <cfRule type="expression" dxfId="74" priority="7">
      <formula>$AL$48="－"</formula>
    </cfRule>
  </conditionalFormatting>
  <conditionalFormatting sqref="AL48:AP49">
    <cfRule type="expression" dxfId="73" priority="6">
      <formula>$AL$48="－"</formula>
    </cfRule>
  </conditionalFormatting>
  <conditionalFormatting sqref="M56:AK56">
    <cfRule type="containsText" dxfId="72" priority="5" operator="containsText" text="×">
      <formula>NOT(ISERROR(SEARCH("×",M56)))</formula>
    </cfRule>
  </conditionalFormatting>
  <conditionalFormatting sqref="M59:AK59">
    <cfRule type="containsText" dxfId="71" priority="4" operator="containsText" text="×">
      <formula>NOT(ISERROR(SEARCH("×",M59)))</formula>
    </cfRule>
  </conditionalFormatting>
  <conditionalFormatting sqref="M52:AK52">
    <cfRule type="expression" dxfId="70" priority="3">
      <formula>M$52&gt;M$50</formula>
    </cfRule>
  </conditionalFormatting>
  <conditionalFormatting sqref="AW49:AX60">
    <cfRule type="containsText" dxfId="69" priority="2" operator="containsText" text="×">
      <formula>NOT(ISERROR(SEARCH("×",AW49)))</formula>
    </cfRule>
  </conditionalFormatting>
  <conditionalFormatting sqref="M56:AP56 M59:AP59">
    <cfRule type="cellIs" dxfId="68" priority="1" operator="equal">
      <formula>0</formula>
    </cfRule>
  </conditionalFormatting>
  <dataValidations count="13">
    <dataValidation type="decimal" operator="lessThanOrEqual" allowBlank="1" showInputMessage="1" showErrorMessage="1" error="上段の「２．職員情報」で入力した看護師の員数の範囲内の数値を入力してください。" sqref="M58 W58 R58 AG58 AB58 AL58" xr:uid="{9E1E11E5-20D6-4AD2-B517-747188A05A09}">
      <formula1>$AS$35</formula1>
    </dataValidation>
    <dataValidation type="list" allowBlank="1" showInputMessage="1" showErrorMessage="1" sqref="D18:Q18" xr:uid="{4D575905-AFEA-4C84-A873-DFDC07835580}">
      <formula1>$BA$18:$BA$20</formula1>
    </dataValidation>
    <dataValidation type="list" allowBlank="1" showInputMessage="1" showErrorMessage="1" sqref="D16:L16" xr:uid="{A2A7ECB1-1CAC-4C3D-807D-FA38C48ED8E6}">
      <formula1>$BA$15:$BA$16</formula1>
    </dataValidation>
    <dataValidation type="decimal" operator="lessThanOrEqual" allowBlank="1" showInputMessage="1" showErrorMessage="1" error="上段の「２．職員情報」で入力した医師の員数の範囲内の数値を入力してください。" sqref="M55:AP55" xr:uid="{EE60F043-76C3-4B82-9B9C-DBD9E6F5DB3C}">
      <formula1>$AS$32</formula1>
    </dataValidation>
    <dataValidation type="list" allowBlank="1" showInputMessage="1" showErrorMessage="1" sqref="BG23:BG28 BG47 BG44:BG45 BD44:BF47 BD51:BF51 E22:E28" xr:uid="{62633EFD-6C76-4AE6-A4F0-89CAF279BB74}">
      <formula1>$BN$86:$BN$87</formula1>
    </dataValidation>
    <dataValidation type="whole" operator="greaterThanOrEqual" allowBlank="1" showInputMessage="1" showErrorMessage="1" sqref="M50:AP50" xr:uid="{6D8097CF-376E-4F68-B7C0-2F761DE117B9}">
      <formula1>0</formula1>
    </dataValidation>
    <dataValidation type="custom" allowBlank="1" showInputMessage="1" showErrorMessage="1" errorTitle="購入箱数を超過した値の入力" error="購入箱数の範囲内の数値を入力してください。" sqref="BJ80:BJ82 BJ61:BJ68" xr:uid="{47D744C1-522C-477E-86BE-3073BAC8D378}">
      <formula1>BJ61&lt;=BF61</formula1>
    </dataValidation>
    <dataValidation type="decimal" operator="lessThanOrEqual" allowBlank="1" showInputMessage="1" showErrorMessage="1" error="上段に記載の最大勤務時間数（当該月の診療時間数の合計）の範囲内の数値を入力してください。" sqref="M57:AP57 M60:AP60" xr:uid="{C9121374-835A-4DA1-9DF9-ECDE89FE3251}">
      <formula1>M56</formula1>
    </dataValidation>
    <dataValidation type="textLength" operator="lessThanOrEqual" allowBlank="1" showInputMessage="1" showErrorMessage="1" error="休診日とされている日には外来患者数は入力しないでください。" sqref="AU51 M51:AP51 J51:K51" xr:uid="{773B7CCF-E523-4E7B-8CB9-025455ED2424}">
      <formula1>IF(J50="休",0)</formula1>
    </dataValidation>
    <dataValidation type="whole" operator="lessThanOrEqual" showInputMessage="1" showErrorMessage="1" error="上段に疑い外来患者数が入力されていないか、上段に入力の数値を超えた値が入力されています。" sqref="AL52:AP52" xr:uid="{A9006364-7750-4345-A06F-4DC77CFBDA45}">
      <formula1>IF(AL50="",0,AL50)</formula1>
    </dataValidation>
    <dataValidation type="whole" operator="lessThanOrEqual" allowBlank="1" showInputMessage="1" showErrorMessage="1" error="「２．職員情報」で入力した医師の員数の範囲内の数値を入力してください。" sqref="H75:K76" xr:uid="{4708545B-0D89-404D-86FC-EA05A5F20B07}">
      <formula1>AS32</formula1>
    </dataValidation>
    <dataValidation type="whole" operator="lessThanOrEqual" allowBlank="1" showInputMessage="1" showErrorMessage="1" error="「２．職員情報」で入力した看護師の員数の範囲内の数値を入力してください。" sqref="L75:O76" xr:uid="{16750467-EF09-4F44-B113-4116288F9C5D}">
      <formula1>AS35</formula1>
    </dataValidation>
    <dataValidation type="whole" operator="lessThanOrEqual" showInputMessage="1" showErrorMessage="1" error="上段に疑い外来患者数が入力されていないか、上段に入力の数値を超えた値が入力されています。" sqref="M52:AK52" xr:uid="{6F130854-E904-48DF-8370-23640E828204}">
      <formula1>IF(M$50="",0,M$50)</formula1>
    </dataValidation>
  </dataValidations>
  <printOptions horizontalCentered="1"/>
  <pageMargins left="0.70866141732283472" right="0.70866141732283472" top="0.74803149606299213" bottom="0.74803149606299213" header="0.31496062992125984" footer="0.31496062992125984"/>
  <pageSetup paperSize="9" scale="43" fitToHeight="0" orientation="portrait" r:id="rId1"/>
  <rowBreaks count="1" manualBreakCount="1">
    <brk id="61" max="50" man="1"/>
  </rowBreaks>
  <colBreaks count="1" manualBreakCount="1">
    <brk id="64" max="1048575"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19A81AAC-94AD-4ACA-B22E-119AF770C528}">
          <x14:formula1>
            <xm:f>テーブル!$G$22:$G$25</xm:f>
          </x14:formula1>
          <xm:sqref>AB22:AB28 X22:X28 N22:N28 J22:J28 Q22:Q28 U22:U28</xm:sqref>
        </x14:dataValidation>
        <x14:dataValidation type="list" allowBlank="1" showInputMessage="1" showErrorMessage="1" xr:uid="{336334BE-1F8F-457E-85C1-15E5CCCE722F}">
          <x14:formula1>
            <xm:f>テーブル!$F$22:$F$46</xm:f>
          </x14:formula1>
          <xm:sqref>Z22:Z28 V22:V28 H22:H28 L22:L28 O22:O28 S22:S28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J56"/>
  <sheetViews>
    <sheetView showGridLines="0" view="pageBreakPreview" zoomScale="60" zoomScaleNormal="100" workbookViewId="0">
      <selection sqref="A1:XFD1048576"/>
    </sheetView>
  </sheetViews>
  <sheetFormatPr defaultColWidth="9" defaultRowHeight="18" x14ac:dyDescent="0.4"/>
  <cols>
    <col min="1" max="36" width="4.125" style="53" customWidth="1"/>
    <col min="37" max="16384" width="9" style="53"/>
  </cols>
  <sheetData>
    <row r="1" spans="1:36" x14ac:dyDescent="0.4">
      <c r="A1" s="53">
        <v>1</v>
      </c>
      <c r="B1" s="53">
        <v>2</v>
      </c>
      <c r="C1" s="53">
        <v>3</v>
      </c>
      <c r="D1" s="53">
        <v>4</v>
      </c>
      <c r="E1" s="53">
        <v>5</v>
      </c>
      <c r="F1" s="53">
        <v>6</v>
      </c>
      <c r="G1" s="53">
        <v>7</v>
      </c>
      <c r="H1" s="53">
        <v>8</v>
      </c>
      <c r="I1" s="53">
        <v>9</v>
      </c>
      <c r="J1" s="53">
        <v>10</v>
      </c>
      <c r="K1" s="53">
        <v>11</v>
      </c>
      <c r="L1" s="53">
        <v>12</v>
      </c>
      <c r="M1" s="53">
        <v>13</v>
      </c>
      <c r="N1" s="53">
        <v>14</v>
      </c>
      <c r="O1" s="53">
        <v>15</v>
      </c>
      <c r="P1" s="53">
        <v>16</v>
      </c>
      <c r="Q1" s="53">
        <v>17</v>
      </c>
      <c r="R1" s="53">
        <v>18</v>
      </c>
      <c r="S1" s="53">
        <v>19</v>
      </c>
      <c r="T1" s="53">
        <v>20</v>
      </c>
      <c r="U1" s="53">
        <v>21</v>
      </c>
      <c r="V1" s="53">
        <v>22</v>
      </c>
      <c r="W1" s="53">
        <v>23</v>
      </c>
      <c r="X1" s="53">
        <v>24</v>
      </c>
      <c r="Y1" s="53">
        <v>25</v>
      </c>
      <c r="Z1" s="53">
        <v>26</v>
      </c>
      <c r="AA1" s="53">
        <v>27</v>
      </c>
      <c r="AB1" s="53">
        <v>28</v>
      </c>
      <c r="AC1" s="53">
        <v>29</v>
      </c>
      <c r="AD1" s="53">
        <v>30</v>
      </c>
      <c r="AE1" s="53">
        <v>31</v>
      </c>
      <c r="AF1" s="53">
        <v>32</v>
      </c>
      <c r="AG1" s="53">
        <v>33</v>
      </c>
      <c r="AH1" s="53">
        <v>34</v>
      </c>
      <c r="AI1" s="53">
        <v>35</v>
      </c>
      <c r="AJ1" s="53">
        <v>36</v>
      </c>
    </row>
    <row r="2" spans="1:36" s="102" customFormat="1" ht="24" x14ac:dyDescent="0.35">
      <c r="A2" s="23"/>
      <c r="B2" s="24"/>
      <c r="C2" s="25"/>
      <c r="D2" s="26"/>
      <c r="E2" s="26"/>
      <c r="F2" s="26"/>
      <c r="G2" s="26"/>
      <c r="H2" s="26"/>
      <c r="I2" s="26"/>
      <c r="J2" s="26"/>
      <c r="K2" s="26"/>
      <c r="L2" s="26"/>
      <c r="M2" s="26"/>
      <c r="N2" s="26"/>
      <c r="O2" s="26"/>
      <c r="P2" s="26"/>
      <c r="Q2" s="26"/>
      <c r="R2" s="26"/>
      <c r="S2" s="26"/>
      <c r="T2" s="26"/>
      <c r="U2" s="26"/>
      <c r="V2" s="26"/>
      <c r="W2" s="26"/>
      <c r="X2" s="26"/>
      <c r="Y2" s="26"/>
      <c r="Z2" s="26"/>
      <c r="AA2" s="26"/>
      <c r="AB2" s="1449" t="str">
        <f xml:space="preserve">
IF(テーブル!B3="交付申請","（５月８日～９月30日分）",
IF(テーブル!B3="変更申請","（５月８日～９月30日分）",
IF(テーブル!B3="実績報告（１次）","（５月８日～９月30日分）",
IF(テーブル!B3="交付申請（２次）","（10月１日～３月31日分）",
IF(テーブル!B3="交付申請兼実績報告（２次）","（10月１日～３月31日分）",
IF(テーブル!B3="実績報告（２次）","（10月１日～３月31日分）"))))))</f>
        <v>（10月１日～３月31日分）</v>
      </c>
      <c r="AC2" s="1450"/>
      <c r="AD2" s="1450"/>
      <c r="AE2" s="1450"/>
      <c r="AF2" s="1450"/>
      <c r="AG2" s="1450"/>
      <c r="AH2" s="1450"/>
      <c r="AI2" s="1450"/>
      <c r="AJ2" s="1450"/>
    </row>
    <row r="3" spans="1:36" s="102" customFormat="1" x14ac:dyDescent="0.35">
      <c r="A3" s="1457" t="s">
        <v>1392</v>
      </c>
      <c r="B3" s="1458"/>
      <c r="C3" s="1458"/>
      <c r="D3" s="1458"/>
      <c r="E3" s="1458"/>
      <c r="F3" s="1458"/>
      <c r="G3" s="1458"/>
      <c r="H3" s="1458"/>
      <c r="I3" s="1458"/>
      <c r="J3" s="1458"/>
      <c r="K3" s="1458"/>
      <c r="L3" s="1458"/>
      <c r="M3" s="1458"/>
      <c r="N3" s="1458"/>
      <c r="O3" s="1458"/>
      <c r="P3" s="1458"/>
      <c r="Q3" s="1458"/>
      <c r="R3" s="1458"/>
      <c r="S3" s="1458"/>
      <c r="T3" s="1458"/>
      <c r="U3" s="1458"/>
      <c r="V3" s="1458"/>
      <c r="W3" s="1458"/>
      <c r="X3" s="1458"/>
      <c r="Y3" s="1458"/>
      <c r="Z3" s="1458"/>
      <c r="AA3" s="1458"/>
      <c r="AB3" s="1458"/>
      <c r="AC3" s="1458"/>
      <c r="AD3" s="1458"/>
      <c r="AE3" s="1458"/>
      <c r="AF3" s="1458"/>
      <c r="AG3" s="1458"/>
      <c r="AH3" s="1458"/>
      <c r="AI3" s="1458"/>
      <c r="AJ3" s="1458"/>
    </row>
    <row r="4" spans="1:36" s="102" customFormat="1" x14ac:dyDescent="0.35">
      <c r="A4" s="1457"/>
      <c r="B4" s="1458"/>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c r="AD4" s="1458"/>
      <c r="AE4" s="1458"/>
      <c r="AF4" s="1458"/>
      <c r="AG4" s="1458"/>
      <c r="AH4" s="1458"/>
      <c r="AI4" s="1458"/>
      <c r="AJ4" s="1458"/>
    </row>
    <row r="5" spans="1:36" s="102" customFormat="1" x14ac:dyDescent="0.35">
      <c r="A5" s="1458"/>
      <c r="B5" s="1458"/>
      <c r="C5" s="1458"/>
      <c r="D5" s="1458"/>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c r="AG5" s="1458"/>
      <c r="AH5" s="1458"/>
      <c r="AI5" s="1458"/>
      <c r="AJ5" s="1458"/>
    </row>
    <row r="6" spans="1:36" s="102" customFormat="1" x14ac:dyDescent="0.35"/>
    <row r="7" spans="1:36" s="102" customFormat="1" x14ac:dyDescent="0.35">
      <c r="N7" s="1026" t="str">
        <f>表紙!I9</f>
        <v>補助事業者名</v>
      </c>
      <c r="O7" s="1026"/>
      <c r="P7" s="1026"/>
      <c r="Q7" s="1026"/>
      <c r="R7" s="1026"/>
      <c r="S7" s="1459" t="str">
        <f>表紙!L9</f>
        <v/>
      </c>
      <c r="T7" s="1459"/>
      <c r="U7" s="1459"/>
      <c r="V7" s="1459"/>
      <c r="W7" s="1459"/>
      <c r="X7" s="1459"/>
      <c r="Y7" s="1459"/>
      <c r="Z7" s="1459"/>
      <c r="AA7" s="1459"/>
      <c r="AB7" s="1459"/>
      <c r="AC7" s="1459"/>
      <c r="AD7" s="1459"/>
      <c r="AE7" s="1459"/>
      <c r="AF7" s="1459"/>
      <c r="AG7" s="1459"/>
      <c r="AH7" s="1459"/>
      <c r="AI7" s="1459"/>
      <c r="AJ7" s="1459"/>
    </row>
    <row r="8" spans="1:36" s="102" customFormat="1" x14ac:dyDescent="0.35">
      <c r="N8" s="1026"/>
      <c r="O8" s="1026"/>
      <c r="P8" s="1026"/>
      <c r="Q8" s="1026"/>
      <c r="R8" s="1026"/>
      <c r="S8" s="1459"/>
      <c r="T8" s="1459"/>
      <c r="U8" s="1459"/>
      <c r="V8" s="1459"/>
      <c r="W8" s="1459"/>
      <c r="X8" s="1459"/>
      <c r="Y8" s="1459"/>
      <c r="Z8" s="1459"/>
      <c r="AA8" s="1459"/>
      <c r="AB8" s="1459"/>
      <c r="AC8" s="1459"/>
      <c r="AD8" s="1459"/>
      <c r="AE8" s="1459"/>
      <c r="AF8" s="1459"/>
      <c r="AG8" s="1459"/>
      <c r="AH8" s="1459"/>
      <c r="AI8" s="1459"/>
      <c r="AJ8" s="1459"/>
    </row>
    <row r="9" spans="1:36" s="102" customFormat="1" x14ac:dyDescent="0.35">
      <c r="N9" s="1026" t="str">
        <f>表紙!I8</f>
        <v>所　  在 　 地</v>
      </c>
      <c r="O9" s="1026"/>
      <c r="P9" s="1026"/>
      <c r="Q9" s="1026"/>
      <c r="R9" s="1026"/>
      <c r="S9" s="1459" t="str">
        <f>表紙!L8</f>
        <v/>
      </c>
      <c r="T9" s="1459"/>
      <c r="U9" s="1459"/>
      <c r="V9" s="1459"/>
      <c r="W9" s="1459"/>
      <c r="X9" s="1459"/>
      <c r="Y9" s="1459"/>
      <c r="Z9" s="1459"/>
      <c r="AA9" s="1459"/>
      <c r="AB9" s="1459"/>
      <c r="AC9" s="1459"/>
      <c r="AD9" s="1459"/>
      <c r="AE9" s="1459"/>
      <c r="AF9" s="1459"/>
      <c r="AG9" s="1459"/>
      <c r="AH9" s="1459"/>
      <c r="AI9" s="1459"/>
      <c r="AJ9" s="1459"/>
    </row>
    <row r="10" spans="1:36" s="102" customFormat="1" x14ac:dyDescent="0.35">
      <c r="N10" s="1026"/>
      <c r="O10" s="1026"/>
      <c r="P10" s="1026"/>
      <c r="Q10" s="1026"/>
      <c r="R10" s="1026"/>
      <c r="S10" s="1459"/>
      <c r="T10" s="1459"/>
      <c r="U10" s="1459"/>
      <c r="V10" s="1459"/>
      <c r="W10" s="1459"/>
      <c r="X10" s="1459"/>
      <c r="Y10" s="1459"/>
      <c r="Z10" s="1459"/>
      <c r="AA10" s="1459"/>
      <c r="AB10" s="1459"/>
      <c r="AC10" s="1459"/>
      <c r="AD10" s="1459"/>
      <c r="AE10" s="1459"/>
      <c r="AF10" s="1459"/>
      <c r="AG10" s="1459"/>
      <c r="AH10" s="1459"/>
      <c r="AI10" s="1459"/>
      <c r="AJ10" s="1459"/>
    </row>
    <row r="11" spans="1:36" s="102" customFormat="1" x14ac:dyDescent="0.35">
      <c r="N11" s="1026" t="str">
        <f>表紙!I10</f>
        <v>代表者職氏名</v>
      </c>
      <c r="O11" s="1026"/>
      <c r="P11" s="1026"/>
      <c r="Q11" s="1026"/>
      <c r="R11" s="1026"/>
      <c r="S11" s="1462" t="str">
        <f>表紙!L10</f>
        <v>　</v>
      </c>
      <c r="T11" s="1463"/>
      <c r="U11" s="1463"/>
      <c r="V11" s="1463"/>
      <c r="W11" s="1463"/>
      <c r="X11" s="1464"/>
      <c r="Y11" s="1464"/>
      <c r="Z11" s="1464"/>
      <c r="AA11" s="1464"/>
      <c r="AB11" s="1464"/>
      <c r="AC11" s="1464"/>
      <c r="AD11" s="1464"/>
      <c r="AE11" s="1464"/>
      <c r="AF11" s="1464"/>
      <c r="AG11" s="1464"/>
      <c r="AH11" s="1464"/>
      <c r="AI11" s="1464"/>
      <c r="AJ11" s="1465"/>
    </row>
    <row r="12" spans="1:36" s="102" customFormat="1" x14ac:dyDescent="0.35">
      <c r="N12" s="1026"/>
      <c r="O12" s="1026"/>
      <c r="P12" s="1026"/>
      <c r="Q12" s="1026"/>
      <c r="R12" s="1026"/>
      <c r="S12" s="1466"/>
      <c r="T12" s="1467"/>
      <c r="U12" s="1467"/>
      <c r="V12" s="1467"/>
      <c r="W12" s="1467"/>
      <c r="X12" s="1468"/>
      <c r="Y12" s="1468"/>
      <c r="Z12" s="1468"/>
      <c r="AA12" s="1468"/>
      <c r="AB12" s="1468"/>
      <c r="AC12" s="1468"/>
      <c r="AD12" s="1468"/>
      <c r="AE12" s="1468"/>
      <c r="AF12" s="1468"/>
      <c r="AG12" s="1468"/>
      <c r="AH12" s="1468"/>
      <c r="AI12" s="1468"/>
      <c r="AJ12" s="1469"/>
    </row>
    <row r="13" spans="1:36" s="102" customFormat="1" x14ac:dyDescent="0.35">
      <c r="N13" s="1026" t="s">
        <v>83</v>
      </c>
      <c r="O13" s="1026"/>
      <c r="P13" s="1026"/>
      <c r="Q13" s="1026"/>
      <c r="R13" s="1026"/>
      <c r="S13" s="1455" t="s">
        <v>82</v>
      </c>
      <c r="T13" s="1455"/>
      <c r="U13" s="1455"/>
      <c r="V13" s="1455"/>
      <c r="W13" s="1456" t="str">
        <f>表紙!L44</f>
        <v/>
      </c>
      <c r="X13" s="1456"/>
      <c r="Y13" s="1456"/>
      <c r="Z13" s="1456"/>
      <c r="AA13" s="1456"/>
      <c r="AB13" s="1456"/>
      <c r="AC13" s="1456"/>
      <c r="AD13" s="1456"/>
      <c r="AE13" s="1456"/>
      <c r="AF13" s="1456"/>
      <c r="AG13" s="1456"/>
      <c r="AH13" s="1456"/>
      <c r="AI13" s="1456"/>
      <c r="AJ13" s="1456"/>
    </row>
    <row r="14" spans="1:36" s="102" customFormat="1" x14ac:dyDescent="0.35">
      <c r="N14" s="1026"/>
      <c r="O14" s="1026"/>
      <c r="P14" s="1026"/>
      <c r="Q14" s="1026"/>
      <c r="R14" s="1026"/>
      <c r="S14" s="1455"/>
      <c r="T14" s="1455"/>
      <c r="U14" s="1455"/>
      <c r="V14" s="1455"/>
      <c r="W14" s="1456"/>
      <c r="X14" s="1456"/>
      <c r="Y14" s="1456"/>
      <c r="Z14" s="1456"/>
      <c r="AA14" s="1456"/>
      <c r="AB14" s="1456"/>
      <c r="AC14" s="1456"/>
      <c r="AD14" s="1456"/>
      <c r="AE14" s="1456"/>
      <c r="AF14" s="1456"/>
      <c r="AG14" s="1456"/>
      <c r="AH14" s="1456"/>
      <c r="AI14" s="1456"/>
      <c r="AJ14" s="1456"/>
    </row>
    <row r="15" spans="1:36" s="102" customFormat="1" x14ac:dyDescent="0.35">
      <c r="N15" s="1026"/>
      <c r="O15" s="1026"/>
      <c r="P15" s="1026"/>
      <c r="Q15" s="1026"/>
      <c r="R15" s="1026"/>
      <c r="S15" s="1455" t="s">
        <v>84</v>
      </c>
      <c r="T15" s="1455"/>
      <c r="U15" s="1455"/>
      <c r="V15" s="1455"/>
      <c r="W15" s="1456" t="str">
        <f>表紙!L45</f>
        <v/>
      </c>
      <c r="X15" s="1456"/>
      <c r="Y15" s="1456"/>
      <c r="Z15" s="1456"/>
      <c r="AA15" s="1456"/>
      <c r="AB15" s="1456"/>
      <c r="AC15" s="1456"/>
      <c r="AD15" s="1456"/>
      <c r="AE15" s="1456"/>
      <c r="AF15" s="1456"/>
      <c r="AG15" s="1456"/>
      <c r="AH15" s="1456"/>
      <c r="AI15" s="1456"/>
      <c r="AJ15" s="1456"/>
    </row>
    <row r="16" spans="1:36" s="102" customFormat="1" x14ac:dyDescent="0.35">
      <c r="N16" s="1026"/>
      <c r="O16" s="1026"/>
      <c r="P16" s="1026"/>
      <c r="Q16" s="1026"/>
      <c r="R16" s="1026"/>
      <c r="S16" s="1455"/>
      <c r="T16" s="1455"/>
      <c r="U16" s="1455"/>
      <c r="V16" s="1455"/>
      <c r="W16" s="1456"/>
      <c r="X16" s="1456"/>
      <c r="Y16" s="1456"/>
      <c r="Z16" s="1456"/>
      <c r="AA16" s="1456"/>
      <c r="AB16" s="1456"/>
      <c r="AC16" s="1456"/>
      <c r="AD16" s="1456"/>
      <c r="AE16" s="1456"/>
      <c r="AF16" s="1456"/>
      <c r="AG16" s="1456"/>
      <c r="AH16" s="1456"/>
      <c r="AI16" s="1456"/>
      <c r="AJ16" s="1456"/>
    </row>
    <row r="17" spans="1:36" s="102" customFormat="1" x14ac:dyDescent="0.35">
      <c r="N17" s="1026"/>
      <c r="O17" s="1026"/>
      <c r="P17" s="1026"/>
      <c r="Q17" s="1026"/>
      <c r="R17" s="1026"/>
      <c r="S17" s="1455" t="s">
        <v>85</v>
      </c>
      <c r="T17" s="1455"/>
      <c r="U17" s="1455"/>
      <c r="V17" s="1455"/>
      <c r="W17" s="1470" t="str">
        <f>表紙!L46</f>
        <v/>
      </c>
      <c r="X17" s="1456"/>
      <c r="Y17" s="1456"/>
      <c r="Z17" s="1456"/>
      <c r="AA17" s="1456"/>
      <c r="AB17" s="1456"/>
      <c r="AC17" s="1456"/>
      <c r="AD17" s="1456"/>
      <c r="AE17" s="1456"/>
      <c r="AF17" s="1456"/>
      <c r="AG17" s="1456"/>
      <c r="AH17" s="1456"/>
      <c r="AI17" s="1456"/>
      <c r="AJ17" s="1456"/>
    </row>
    <row r="18" spans="1:36" s="102" customFormat="1" x14ac:dyDescent="0.35">
      <c r="N18" s="1026"/>
      <c r="O18" s="1026"/>
      <c r="P18" s="1026"/>
      <c r="Q18" s="1026"/>
      <c r="R18" s="1026"/>
      <c r="S18" s="1455"/>
      <c r="T18" s="1455"/>
      <c r="U18" s="1455"/>
      <c r="V18" s="1455"/>
      <c r="W18" s="1456"/>
      <c r="X18" s="1456"/>
      <c r="Y18" s="1456"/>
      <c r="Z18" s="1456"/>
      <c r="AA18" s="1456"/>
      <c r="AB18" s="1456"/>
      <c r="AC18" s="1456"/>
      <c r="AD18" s="1456"/>
      <c r="AE18" s="1456"/>
      <c r="AF18" s="1456"/>
      <c r="AG18" s="1456"/>
      <c r="AH18" s="1456"/>
      <c r="AI18" s="1456"/>
      <c r="AJ18" s="1456"/>
    </row>
    <row r="19" spans="1:36" s="102" customFormat="1" x14ac:dyDescent="0.35"/>
    <row r="20" spans="1:36" s="102" customFormat="1" ht="24" x14ac:dyDescent="0.5">
      <c r="A20" s="1471" t="str">
        <f>"　標記の補助金交付申請（申請額："&amp;IF(表紙!H20="金　　　　　　　　　円","　　　　　　　　",TEXT(表紙!H20,"###,0"))&amp;"円）に係る振込先口座情報及び当該口座の通帳写しについては"</f>
        <v>　標記の補助金交付申請（申請額：　　　　　　　　円）に係る振込先口座情報及び当該口座の通帳写しについては</v>
      </c>
      <c r="B20" s="1472"/>
      <c r="C20" s="1472"/>
      <c r="D20" s="1472"/>
      <c r="E20" s="1472"/>
      <c r="F20" s="1472"/>
      <c r="G20" s="1472"/>
      <c r="H20" s="1473"/>
      <c r="I20" s="1473"/>
      <c r="J20" s="1473"/>
      <c r="K20" s="1473"/>
      <c r="L20" s="1473"/>
      <c r="M20" s="1473"/>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row>
    <row r="21" spans="1:36" s="102" customFormat="1" ht="24" x14ac:dyDescent="0.5">
      <c r="A21" s="27" t="s">
        <v>94</v>
      </c>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row>
    <row r="22" spans="1:36" s="102" customFormat="1" x14ac:dyDescent="0.35"/>
    <row r="23" spans="1:36" s="102" customFormat="1" ht="24" x14ac:dyDescent="0.35">
      <c r="A23" s="1474" t="s">
        <v>95</v>
      </c>
      <c r="B23" s="1480" t="s">
        <v>86</v>
      </c>
      <c r="C23" s="1481"/>
      <c r="D23" s="1481"/>
      <c r="E23" s="1481"/>
      <c r="F23" s="1482"/>
      <c r="G23" s="103" t="str">
        <f>IF(はじめに入力してください!H19="","",はじめに入力してください!H19)</f>
        <v/>
      </c>
      <c r="H23" s="104" t="str">
        <f>IF(はじめに入力してください!I19="","",はじめに入力してください!I19)</f>
        <v/>
      </c>
      <c r="I23" s="104" t="str">
        <f>IF(はじめに入力してください!J19="","",はじめに入力してください!J19)</f>
        <v/>
      </c>
      <c r="J23" s="105" t="str">
        <f>IF(はじめに入力してください!K19="","",はじめに入力してください!K19)</f>
        <v/>
      </c>
      <c r="K23" s="1483"/>
      <c r="L23" s="1479"/>
      <c r="M23" s="1479"/>
      <c r="N23" s="1479"/>
      <c r="O23" s="1479"/>
      <c r="P23" s="1479"/>
      <c r="Q23" s="1479"/>
      <c r="R23" s="1479"/>
      <c r="S23" s="1479"/>
      <c r="T23" s="1479"/>
      <c r="U23" s="1479"/>
      <c r="V23" s="1479"/>
      <c r="W23" s="1479"/>
      <c r="X23" s="1479"/>
      <c r="Y23" s="1479"/>
      <c r="Z23" s="1479"/>
      <c r="AA23" s="1479"/>
      <c r="AB23" s="1479"/>
      <c r="AC23" s="1479"/>
      <c r="AD23" s="1479"/>
      <c r="AE23" s="1479"/>
      <c r="AF23" s="1479"/>
      <c r="AG23" s="1479"/>
      <c r="AH23" s="1479"/>
      <c r="AI23" s="1479"/>
      <c r="AJ23" s="1479"/>
    </row>
    <row r="24" spans="1:36" s="102" customFormat="1" ht="24" x14ac:dyDescent="0.35">
      <c r="A24" s="1475"/>
      <c r="B24" s="1451" t="s">
        <v>87</v>
      </c>
      <c r="C24" s="1452"/>
      <c r="D24" s="1452"/>
      <c r="E24" s="1452"/>
      <c r="F24" s="1452"/>
      <c r="G24" s="103" t="str">
        <f>IF(はじめに入力してください!H21="","",はじめに入力してください!H21)</f>
        <v/>
      </c>
      <c r="H24" s="104" t="str">
        <f>IF(はじめに入力してください!I21="","",はじめに入力してください!I21)</f>
        <v/>
      </c>
      <c r="I24" s="105" t="str">
        <f>IF(はじめに入力してください!J21="","",はじめに入力してください!J21)</f>
        <v/>
      </c>
      <c r="J24" s="101"/>
      <c r="K24" s="1479"/>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row>
    <row r="25" spans="1:36" s="102" customFormat="1" ht="24" x14ac:dyDescent="0.35">
      <c r="A25" s="1475"/>
      <c r="B25" s="1453" t="s">
        <v>88</v>
      </c>
      <c r="C25" s="1405"/>
      <c r="D25" s="1405"/>
      <c r="E25" s="1405"/>
      <c r="F25" s="1454"/>
      <c r="G25" s="1476" t="str">
        <f>IF(はじめに入力してください!H20="","",はじめに入力してください!H20)</f>
        <v/>
      </c>
      <c r="H25" s="1477"/>
      <c r="I25" s="1477"/>
      <c r="J25" s="1477"/>
      <c r="K25" s="1477"/>
      <c r="L25" s="1477"/>
      <c r="M25" s="1478"/>
      <c r="N25" s="1460"/>
      <c r="O25" s="1461"/>
      <c r="P25" s="1461"/>
      <c r="Q25" s="1461"/>
      <c r="R25" s="1461"/>
      <c r="S25" s="1461"/>
      <c r="T25" s="1461"/>
      <c r="U25" s="1461"/>
      <c r="V25" s="1461"/>
      <c r="W25" s="1461"/>
      <c r="X25" s="1461"/>
      <c r="Y25" s="1461"/>
      <c r="Z25" s="1461"/>
      <c r="AA25" s="1461"/>
      <c r="AB25" s="1461"/>
      <c r="AC25" s="1461"/>
      <c r="AD25" s="1461"/>
      <c r="AE25" s="1461"/>
      <c r="AF25" s="1461"/>
      <c r="AG25" s="1461"/>
      <c r="AH25" s="1461"/>
      <c r="AI25" s="1461"/>
      <c r="AJ25" s="1461"/>
    </row>
    <row r="26" spans="1:36" s="102" customFormat="1" ht="24" x14ac:dyDescent="0.35">
      <c r="A26" s="1475"/>
      <c r="B26" s="1453" t="s">
        <v>89</v>
      </c>
      <c r="C26" s="1405"/>
      <c r="D26" s="1405"/>
      <c r="E26" s="1405"/>
      <c r="F26" s="1454"/>
      <c r="G26" s="1497" t="str">
        <f>IF(はじめに入力してください!H22="","",はじめに入力してください!H22)</f>
        <v/>
      </c>
      <c r="H26" s="1498"/>
      <c r="I26" s="1498"/>
      <c r="J26" s="1498"/>
      <c r="K26" s="1498"/>
      <c r="L26" s="1498"/>
      <c r="M26" s="1499"/>
      <c r="N26" s="1483"/>
      <c r="O26" s="1479"/>
      <c r="P26" s="1479"/>
      <c r="Q26" s="1479"/>
      <c r="R26" s="1479"/>
      <c r="S26" s="1479"/>
      <c r="T26" s="1479"/>
      <c r="U26" s="1479"/>
      <c r="V26" s="1479"/>
      <c r="W26" s="1479"/>
      <c r="X26" s="1479"/>
      <c r="Y26" s="1479"/>
      <c r="Z26" s="1479"/>
      <c r="AA26" s="1479"/>
      <c r="AB26" s="1479"/>
      <c r="AC26" s="1479"/>
      <c r="AD26" s="1479"/>
      <c r="AE26" s="1479"/>
      <c r="AF26" s="1479"/>
      <c r="AG26" s="1479"/>
      <c r="AH26" s="1479"/>
      <c r="AI26" s="1479"/>
      <c r="AJ26" s="1479"/>
    </row>
    <row r="27" spans="1:36" s="102" customFormat="1" ht="24" hidden="1" x14ac:dyDescent="0.35">
      <c r="A27" s="1475"/>
      <c r="B27" s="1500"/>
      <c r="C27" s="1479"/>
      <c r="D27" s="1479"/>
      <c r="E27" s="1479"/>
      <c r="F27" s="1479"/>
      <c r="G27" s="1479"/>
      <c r="H27" s="1479"/>
      <c r="I27" s="1479"/>
      <c r="J27" s="1479"/>
      <c r="K27" s="1479"/>
      <c r="L27" s="1479"/>
      <c r="M27" s="1479"/>
      <c r="N27" s="1479"/>
      <c r="O27" s="1479"/>
      <c r="P27" s="1479"/>
      <c r="Q27" s="1479"/>
      <c r="R27" s="1479"/>
      <c r="S27" s="1479"/>
      <c r="T27" s="1479"/>
      <c r="U27" s="1479"/>
      <c r="V27" s="1479"/>
      <c r="W27" s="1479"/>
      <c r="X27" s="1479"/>
      <c r="Y27" s="1479"/>
      <c r="Z27" s="1479"/>
      <c r="AA27" s="1479"/>
      <c r="AB27" s="1479"/>
      <c r="AC27" s="1479"/>
      <c r="AD27" s="1479"/>
      <c r="AE27" s="1479"/>
      <c r="AF27" s="1479"/>
      <c r="AG27" s="1479"/>
      <c r="AH27" s="1479"/>
      <c r="AI27" s="1479"/>
      <c r="AJ27" s="1479"/>
    </row>
    <row r="28" spans="1:36" s="102" customFormat="1" ht="24" x14ac:dyDescent="0.35">
      <c r="A28" s="1475"/>
      <c r="B28" s="1453" t="s">
        <v>90</v>
      </c>
      <c r="C28" s="1405"/>
      <c r="D28" s="1405"/>
      <c r="E28" s="1405"/>
      <c r="F28" s="1405"/>
      <c r="G28" s="1501" t="str">
        <f>IF(はじめに入力してください!H23="","",はじめに入力してください!H23)</f>
        <v/>
      </c>
      <c r="H28" s="1502"/>
      <c r="I28" s="1503"/>
      <c r="J28" s="1504"/>
      <c r="K28" s="1504"/>
      <c r="L28" s="1504"/>
      <c r="M28" s="1504"/>
      <c r="N28" s="1504"/>
      <c r="O28" s="1504"/>
      <c r="P28" s="1504"/>
      <c r="Q28" s="1504"/>
      <c r="R28" s="1504"/>
      <c r="S28" s="1504"/>
      <c r="T28" s="1504"/>
      <c r="U28" s="1504"/>
      <c r="V28" s="1504"/>
      <c r="W28" s="1504"/>
      <c r="X28" s="1504"/>
      <c r="Y28" s="1504"/>
      <c r="Z28" s="1504"/>
      <c r="AA28" s="1504"/>
      <c r="AB28" s="1504"/>
      <c r="AC28" s="1504"/>
      <c r="AD28" s="1504"/>
      <c r="AE28" s="1504"/>
      <c r="AF28" s="1504"/>
      <c r="AG28" s="1504"/>
      <c r="AH28" s="1504"/>
      <c r="AI28" s="1504"/>
      <c r="AJ28" s="1504"/>
    </row>
    <row r="29" spans="1:36" s="102" customFormat="1" ht="24" x14ac:dyDescent="0.35">
      <c r="A29" s="1475"/>
      <c r="B29" s="1453" t="s">
        <v>91</v>
      </c>
      <c r="C29" s="1405"/>
      <c r="D29" s="1405"/>
      <c r="E29" s="1405"/>
      <c r="F29" s="1405"/>
      <c r="G29" s="106" t="str">
        <f>IF(はじめに入力してください!H24="","",はじめに入力してください!H24)</f>
        <v/>
      </c>
      <c r="H29" s="107" t="str">
        <f>IF(はじめに入力してください!I24="","",はじめに入力してください!I24)</f>
        <v/>
      </c>
      <c r="I29" s="107" t="str">
        <f>IF(はじめに入力してください!J24="","",はじめに入力してください!J24)</f>
        <v/>
      </c>
      <c r="J29" s="107" t="str">
        <f>IF(はじめに入力してください!K24="","",はじめに入力してください!K24)</f>
        <v/>
      </c>
      <c r="K29" s="107" t="str">
        <f>IF(はじめに入力してください!L24="","",はじめに入力してください!L24)</f>
        <v/>
      </c>
      <c r="L29" s="107" t="str">
        <f>IF(はじめに入力してください!M24="","",はじめに入力してください!M24)</f>
        <v/>
      </c>
      <c r="M29" s="108" t="str">
        <f>IF(はじめに入力してください!N24="","",はじめに入力してください!N24)</f>
        <v/>
      </c>
      <c r="N29" s="1505"/>
      <c r="O29" s="1506"/>
      <c r="P29" s="1506"/>
      <c r="Q29" s="1506"/>
      <c r="R29" s="1506"/>
      <c r="S29" s="1506"/>
      <c r="T29" s="1506"/>
      <c r="U29" s="1506"/>
      <c r="V29" s="1506"/>
      <c r="W29" s="1506"/>
      <c r="X29" s="1506"/>
      <c r="Y29" s="1506"/>
      <c r="Z29" s="1506"/>
      <c r="AA29" s="1506"/>
      <c r="AB29" s="1506"/>
      <c r="AC29" s="1506"/>
      <c r="AD29" s="1506"/>
      <c r="AE29" s="1506"/>
      <c r="AF29" s="1506"/>
      <c r="AG29" s="1506"/>
      <c r="AH29" s="1506"/>
      <c r="AI29" s="1506"/>
      <c r="AJ29" s="1506"/>
    </row>
    <row r="30" spans="1:36" s="102" customFormat="1" ht="24.75" customHeight="1" x14ac:dyDescent="0.35">
      <c r="A30" s="1475"/>
      <c r="B30" s="1481" t="s">
        <v>92</v>
      </c>
      <c r="C30" s="1481"/>
      <c r="D30" s="1481"/>
      <c r="E30" s="1481"/>
      <c r="F30" s="1482"/>
      <c r="G30" s="1507" t="str">
        <f>IF(はじめに入力してください!H25="","",はじめに入力してください!H25)</f>
        <v/>
      </c>
      <c r="H30" s="1508"/>
      <c r="I30" s="1508"/>
      <c r="J30" s="1508"/>
      <c r="K30" s="1508"/>
      <c r="L30" s="1508"/>
      <c r="M30" s="1508"/>
      <c r="N30" s="1508"/>
      <c r="O30" s="1508"/>
      <c r="P30" s="1508"/>
      <c r="Q30" s="1508"/>
      <c r="R30" s="1508"/>
      <c r="S30" s="1508"/>
      <c r="T30" s="1508"/>
      <c r="U30" s="1508"/>
      <c r="V30" s="1508"/>
      <c r="W30" s="1508"/>
      <c r="X30" s="1508"/>
      <c r="Y30" s="1508"/>
      <c r="Z30" s="1508"/>
      <c r="AA30" s="1508"/>
      <c r="AB30" s="1508"/>
      <c r="AC30" s="1508"/>
      <c r="AD30" s="1508"/>
      <c r="AE30" s="1508"/>
      <c r="AF30" s="1508"/>
      <c r="AG30" s="1508"/>
      <c r="AH30" s="1508"/>
      <c r="AI30" s="1508"/>
      <c r="AJ30" s="1508"/>
    </row>
    <row r="31" spans="1:36" s="102" customFormat="1" ht="24" x14ac:dyDescent="0.35">
      <c r="A31" s="1495" t="s">
        <v>93</v>
      </c>
      <c r="B31" s="1496"/>
      <c r="C31" s="1496"/>
      <c r="D31" s="1496"/>
      <c r="E31" s="1496"/>
      <c r="F31" s="1496"/>
      <c r="G31" s="1496"/>
      <c r="H31" s="1496"/>
      <c r="I31" s="1496"/>
      <c r="J31" s="1496"/>
      <c r="K31" s="1496"/>
      <c r="L31" s="1496"/>
      <c r="M31" s="1496"/>
      <c r="N31" s="1496"/>
      <c r="O31" s="1496"/>
      <c r="P31" s="1496"/>
      <c r="Q31" s="1496"/>
      <c r="R31" s="1496"/>
      <c r="S31" s="1496"/>
      <c r="T31" s="1496"/>
      <c r="U31" s="1496"/>
      <c r="V31" s="1496"/>
      <c r="W31" s="1496"/>
      <c r="X31" s="1496"/>
      <c r="Y31" s="1496"/>
      <c r="Z31" s="1496"/>
      <c r="AA31" s="1496"/>
      <c r="AB31" s="1496"/>
      <c r="AC31" s="1496"/>
      <c r="AD31" s="1496"/>
      <c r="AE31" s="1496"/>
      <c r="AF31" s="1496"/>
      <c r="AG31" s="1496"/>
      <c r="AH31" s="1496"/>
      <c r="AI31" s="1496"/>
      <c r="AJ31" s="1496"/>
    </row>
    <row r="32" spans="1:36" s="102" customFormat="1" ht="24.75" thickBot="1" x14ac:dyDescent="0.55000000000000004">
      <c r="C32" s="54"/>
    </row>
    <row r="33" spans="2:35" s="102" customFormat="1" x14ac:dyDescent="0.35">
      <c r="B33" s="1486" t="s">
        <v>1221</v>
      </c>
      <c r="C33" s="1487"/>
      <c r="D33" s="1487"/>
      <c r="E33" s="1487"/>
      <c r="F33" s="1487"/>
      <c r="G33" s="1487"/>
      <c r="H33" s="1487"/>
      <c r="I33" s="1487"/>
      <c r="J33" s="1487"/>
      <c r="K33" s="1487"/>
      <c r="L33" s="1487"/>
      <c r="M33" s="1487"/>
      <c r="N33" s="1487"/>
      <c r="O33" s="1487"/>
      <c r="P33" s="1487"/>
      <c r="Q33" s="1487"/>
      <c r="R33" s="1487"/>
      <c r="S33" s="1487"/>
      <c r="T33" s="1487"/>
      <c r="U33" s="1487"/>
      <c r="V33" s="1487"/>
      <c r="W33" s="1487"/>
      <c r="X33" s="1487"/>
      <c r="Y33" s="1487"/>
      <c r="Z33" s="1487"/>
      <c r="AA33" s="1487"/>
      <c r="AB33" s="1487"/>
      <c r="AC33" s="1487"/>
      <c r="AD33" s="1487"/>
      <c r="AE33" s="1487"/>
      <c r="AF33" s="1487"/>
      <c r="AG33" s="1487"/>
      <c r="AH33" s="1487"/>
      <c r="AI33" s="1488"/>
    </row>
    <row r="34" spans="2:35" s="102" customFormat="1" x14ac:dyDescent="0.35">
      <c r="B34" s="1489"/>
      <c r="C34" s="1490"/>
      <c r="D34" s="1490"/>
      <c r="E34" s="1490"/>
      <c r="F34" s="1490"/>
      <c r="G34" s="1490"/>
      <c r="H34" s="1490"/>
      <c r="I34" s="1490"/>
      <c r="J34" s="1490"/>
      <c r="K34" s="1490"/>
      <c r="L34" s="1490"/>
      <c r="M34" s="1490"/>
      <c r="N34" s="1490"/>
      <c r="O34" s="1490"/>
      <c r="P34" s="1490"/>
      <c r="Q34" s="1490"/>
      <c r="R34" s="1490"/>
      <c r="S34" s="1490"/>
      <c r="T34" s="1490"/>
      <c r="U34" s="1490"/>
      <c r="V34" s="1490"/>
      <c r="W34" s="1490"/>
      <c r="X34" s="1490"/>
      <c r="Y34" s="1490"/>
      <c r="Z34" s="1490"/>
      <c r="AA34" s="1490"/>
      <c r="AB34" s="1490"/>
      <c r="AC34" s="1490"/>
      <c r="AD34" s="1490"/>
      <c r="AE34" s="1490"/>
      <c r="AF34" s="1490"/>
      <c r="AG34" s="1490"/>
      <c r="AH34" s="1490"/>
      <c r="AI34" s="1491"/>
    </row>
    <row r="35" spans="2:35" s="102" customFormat="1" x14ac:dyDescent="0.35">
      <c r="B35" s="1489"/>
      <c r="C35" s="1490"/>
      <c r="D35" s="1490"/>
      <c r="E35" s="1490"/>
      <c r="F35" s="1490"/>
      <c r="G35" s="1490"/>
      <c r="H35" s="1490"/>
      <c r="I35" s="1490"/>
      <c r="J35" s="1490"/>
      <c r="K35" s="1490"/>
      <c r="L35" s="1490"/>
      <c r="M35" s="1490"/>
      <c r="N35" s="1490"/>
      <c r="O35" s="1490"/>
      <c r="P35" s="1490"/>
      <c r="Q35" s="1490"/>
      <c r="R35" s="1490"/>
      <c r="S35" s="1490"/>
      <c r="T35" s="1490"/>
      <c r="U35" s="1490"/>
      <c r="V35" s="1490"/>
      <c r="W35" s="1490"/>
      <c r="X35" s="1490"/>
      <c r="Y35" s="1490"/>
      <c r="Z35" s="1490"/>
      <c r="AA35" s="1490"/>
      <c r="AB35" s="1490"/>
      <c r="AC35" s="1490"/>
      <c r="AD35" s="1490"/>
      <c r="AE35" s="1490"/>
      <c r="AF35" s="1490"/>
      <c r="AG35" s="1490"/>
      <c r="AH35" s="1490"/>
      <c r="AI35" s="1491"/>
    </row>
    <row r="36" spans="2:35" s="102" customFormat="1" x14ac:dyDescent="0.35">
      <c r="B36" s="1489"/>
      <c r="C36" s="1490"/>
      <c r="D36" s="1490"/>
      <c r="E36" s="1490"/>
      <c r="F36" s="1490"/>
      <c r="G36" s="1490"/>
      <c r="H36" s="1490"/>
      <c r="I36" s="1490"/>
      <c r="J36" s="1490"/>
      <c r="K36" s="1490"/>
      <c r="L36" s="1490"/>
      <c r="M36" s="1490"/>
      <c r="N36" s="1490"/>
      <c r="O36" s="1490"/>
      <c r="P36" s="1490"/>
      <c r="Q36" s="1490"/>
      <c r="R36" s="1490"/>
      <c r="S36" s="1490"/>
      <c r="T36" s="1490"/>
      <c r="U36" s="1490"/>
      <c r="V36" s="1490"/>
      <c r="W36" s="1490"/>
      <c r="X36" s="1490"/>
      <c r="Y36" s="1490"/>
      <c r="Z36" s="1490"/>
      <c r="AA36" s="1490"/>
      <c r="AB36" s="1490"/>
      <c r="AC36" s="1490"/>
      <c r="AD36" s="1490"/>
      <c r="AE36" s="1490"/>
      <c r="AF36" s="1490"/>
      <c r="AG36" s="1490"/>
      <c r="AH36" s="1490"/>
      <c r="AI36" s="1491"/>
    </row>
    <row r="37" spans="2:35" s="102" customFormat="1" x14ac:dyDescent="0.35">
      <c r="B37" s="1489"/>
      <c r="C37" s="1490"/>
      <c r="D37" s="1490"/>
      <c r="E37" s="1490"/>
      <c r="F37" s="1490"/>
      <c r="G37" s="1490"/>
      <c r="H37" s="1490"/>
      <c r="I37" s="1490"/>
      <c r="J37" s="1490"/>
      <c r="K37" s="1490"/>
      <c r="L37" s="1490"/>
      <c r="M37" s="1490"/>
      <c r="N37" s="1490"/>
      <c r="O37" s="1490"/>
      <c r="P37" s="1490"/>
      <c r="Q37" s="1490"/>
      <c r="R37" s="1490"/>
      <c r="S37" s="1490"/>
      <c r="T37" s="1490"/>
      <c r="U37" s="1490"/>
      <c r="V37" s="1490"/>
      <c r="W37" s="1490"/>
      <c r="X37" s="1490"/>
      <c r="Y37" s="1490"/>
      <c r="Z37" s="1490"/>
      <c r="AA37" s="1490"/>
      <c r="AB37" s="1490"/>
      <c r="AC37" s="1490"/>
      <c r="AD37" s="1490"/>
      <c r="AE37" s="1490"/>
      <c r="AF37" s="1490"/>
      <c r="AG37" s="1490"/>
      <c r="AH37" s="1490"/>
      <c r="AI37" s="1491"/>
    </row>
    <row r="38" spans="2:35" s="102" customFormat="1" x14ac:dyDescent="0.35">
      <c r="B38" s="1489"/>
      <c r="C38" s="1490"/>
      <c r="D38" s="1490"/>
      <c r="E38" s="1490"/>
      <c r="F38" s="1490"/>
      <c r="G38" s="1490"/>
      <c r="H38" s="1490"/>
      <c r="I38" s="1490"/>
      <c r="J38" s="1490"/>
      <c r="K38" s="1490"/>
      <c r="L38" s="1490"/>
      <c r="M38" s="1490"/>
      <c r="N38" s="1490"/>
      <c r="O38" s="1490"/>
      <c r="P38" s="1490"/>
      <c r="Q38" s="1490"/>
      <c r="R38" s="1490"/>
      <c r="S38" s="1490"/>
      <c r="T38" s="1490"/>
      <c r="U38" s="1490"/>
      <c r="V38" s="1490"/>
      <c r="W38" s="1490"/>
      <c r="X38" s="1490"/>
      <c r="Y38" s="1490"/>
      <c r="Z38" s="1490"/>
      <c r="AA38" s="1490"/>
      <c r="AB38" s="1490"/>
      <c r="AC38" s="1490"/>
      <c r="AD38" s="1490"/>
      <c r="AE38" s="1490"/>
      <c r="AF38" s="1490"/>
      <c r="AG38" s="1490"/>
      <c r="AH38" s="1490"/>
      <c r="AI38" s="1491"/>
    </row>
    <row r="39" spans="2:35" s="102" customFormat="1" x14ac:dyDescent="0.35">
      <c r="B39" s="1489"/>
      <c r="C39" s="1490"/>
      <c r="D39" s="1490"/>
      <c r="E39" s="1490"/>
      <c r="F39" s="1490"/>
      <c r="G39" s="1490"/>
      <c r="H39" s="1490"/>
      <c r="I39" s="1490"/>
      <c r="J39" s="1490"/>
      <c r="K39" s="1490"/>
      <c r="L39" s="1490"/>
      <c r="M39" s="1490"/>
      <c r="N39" s="1490"/>
      <c r="O39" s="1490"/>
      <c r="P39" s="1490"/>
      <c r="Q39" s="1490"/>
      <c r="R39" s="1490"/>
      <c r="S39" s="1490"/>
      <c r="T39" s="1490"/>
      <c r="U39" s="1490"/>
      <c r="V39" s="1490"/>
      <c r="W39" s="1490"/>
      <c r="X39" s="1490"/>
      <c r="Y39" s="1490"/>
      <c r="Z39" s="1490"/>
      <c r="AA39" s="1490"/>
      <c r="AB39" s="1490"/>
      <c r="AC39" s="1490"/>
      <c r="AD39" s="1490"/>
      <c r="AE39" s="1490"/>
      <c r="AF39" s="1490"/>
      <c r="AG39" s="1490"/>
      <c r="AH39" s="1490"/>
      <c r="AI39" s="1491"/>
    </row>
    <row r="40" spans="2:35" s="102" customFormat="1" x14ac:dyDescent="0.35">
      <c r="B40" s="1489"/>
      <c r="C40" s="1490"/>
      <c r="D40" s="1490"/>
      <c r="E40" s="1490"/>
      <c r="F40" s="1490"/>
      <c r="G40" s="1490"/>
      <c r="H40" s="1490"/>
      <c r="I40" s="1490"/>
      <c r="J40" s="1490"/>
      <c r="K40" s="1490"/>
      <c r="L40" s="1490"/>
      <c r="M40" s="1490"/>
      <c r="N40" s="1490"/>
      <c r="O40" s="1490"/>
      <c r="P40" s="1490"/>
      <c r="Q40" s="1490"/>
      <c r="R40" s="1490"/>
      <c r="S40" s="1490"/>
      <c r="T40" s="1490"/>
      <c r="U40" s="1490"/>
      <c r="V40" s="1490"/>
      <c r="W40" s="1490"/>
      <c r="X40" s="1490"/>
      <c r="Y40" s="1490"/>
      <c r="Z40" s="1490"/>
      <c r="AA40" s="1490"/>
      <c r="AB40" s="1490"/>
      <c r="AC40" s="1490"/>
      <c r="AD40" s="1490"/>
      <c r="AE40" s="1490"/>
      <c r="AF40" s="1490"/>
      <c r="AG40" s="1490"/>
      <c r="AH40" s="1490"/>
      <c r="AI40" s="1491"/>
    </row>
    <row r="41" spans="2:35" s="102" customFormat="1" x14ac:dyDescent="0.35">
      <c r="B41" s="1489"/>
      <c r="C41" s="1490"/>
      <c r="D41" s="1490"/>
      <c r="E41" s="1490"/>
      <c r="F41" s="1490"/>
      <c r="G41" s="1490"/>
      <c r="H41" s="1490"/>
      <c r="I41" s="1490"/>
      <c r="J41" s="1490"/>
      <c r="K41" s="1490"/>
      <c r="L41" s="1490"/>
      <c r="M41" s="1490"/>
      <c r="N41" s="1490"/>
      <c r="O41" s="1490"/>
      <c r="P41" s="1490"/>
      <c r="Q41" s="1490"/>
      <c r="R41" s="1490"/>
      <c r="S41" s="1490"/>
      <c r="T41" s="1490"/>
      <c r="U41" s="1490"/>
      <c r="V41" s="1490"/>
      <c r="W41" s="1490"/>
      <c r="X41" s="1490"/>
      <c r="Y41" s="1490"/>
      <c r="Z41" s="1490"/>
      <c r="AA41" s="1490"/>
      <c r="AB41" s="1490"/>
      <c r="AC41" s="1490"/>
      <c r="AD41" s="1490"/>
      <c r="AE41" s="1490"/>
      <c r="AF41" s="1490"/>
      <c r="AG41" s="1490"/>
      <c r="AH41" s="1490"/>
      <c r="AI41" s="1491"/>
    </row>
    <row r="42" spans="2:35" s="102" customFormat="1" x14ac:dyDescent="0.35">
      <c r="B42" s="1489"/>
      <c r="C42" s="1490"/>
      <c r="D42" s="1490"/>
      <c r="E42" s="1490"/>
      <c r="F42" s="1490"/>
      <c r="G42" s="1490"/>
      <c r="H42" s="1490"/>
      <c r="I42" s="1490"/>
      <c r="J42" s="1490"/>
      <c r="K42" s="1490"/>
      <c r="L42" s="1490"/>
      <c r="M42" s="1490"/>
      <c r="N42" s="1490"/>
      <c r="O42" s="1490"/>
      <c r="P42" s="1490"/>
      <c r="Q42" s="1490"/>
      <c r="R42" s="1490"/>
      <c r="S42" s="1490"/>
      <c r="T42" s="1490"/>
      <c r="U42" s="1490"/>
      <c r="V42" s="1490"/>
      <c r="W42" s="1490"/>
      <c r="X42" s="1490"/>
      <c r="Y42" s="1490"/>
      <c r="Z42" s="1490"/>
      <c r="AA42" s="1490"/>
      <c r="AB42" s="1490"/>
      <c r="AC42" s="1490"/>
      <c r="AD42" s="1490"/>
      <c r="AE42" s="1490"/>
      <c r="AF42" s="1490"/>
      <c r="AG42" s="1490"/>
      <c r="AH42" s="1490"/>
      <c r="AI42" s="1491"/>
    </row>
    <row r="43" spans="2:35" s="102" customFormat="1" x14ac:dyDescent="0.35">
      <c r="B43" s="1489"/>
      <c r="C43" s="1490"/>
      <c r="D43" s="1490"/>
      <c r="E43" s="1490"/>
      <c r="F43" s="1490"/>
      <c r="G43" s="1490"/>
      <c r="H43" s="1490"/>
      <c r="I43" s="1490"/>
      <c r="J43" s="1490"/>
      <c r="K43" s="1490"/>
      <c r="L43" s="1490"/>
      <c r="M43" s="1490"/>
      <c r="N43" s="1490"/>
      <c r="O43" s="1490"/>
      <c r="P43" s="1490"/>
      <c r="Q43" s="1490"/>
      <c r="R43" s="1490"/>
      <c r="S43" s="1490"/>
      <c r="T43" s="1490"/>
      <c r="U43" s="1490"/>
      <c r="V43" s="1490"/>
      <c r="W43" s="1490"/>
      <c r="X43" s="1490"/>
      <c r="Y43" s="1490"/>
      <c r="Z43" s="1490"/>
      <c r="AA43" s="1490"/>
      <c r="AB43" s="1490"/>
      <c r="AC43" s="1490"/>
      <c r="AD43" s="1490"/>
      <c r="AE43" s="1490"/>
      <c r="AF43" s="1490"/>
      <c r="AG43" s="1490"/>
      <c r="AH43" s="1490"/>
      <c r="AI43" s="1491"/>
    </row>
    <row r="44" spans="2:35" s="102" customFormat="1" x14ac:dyDescent="0.35">
      <c r="B44" s="1489"/>
      <c r="C44" s="1490"/>
      <c r="D44" s="1490"/>
      <c r="E44" s="1490"/>
      <c r="F44" s="1490"/>
      <c r="G44" s="1490"/>
      <c r="H44" s="1490"/>
      <c r="I44" s="1490"/>
      <c r="J44" s="1490"/>
      <c r="K44" s="1490"/>
      <c r="L44" s="1490"/>
      <c r="M44" s="1490"/>
      <c r="N44" s="1490"/>
      <c r="O44" s="1490"/>
      <c r="P44" s="1490"/>
      <c r="Q44" s="1490"/>
      <c r="R44" s="1490"/>
      <c r="S44" s="1490"/>
      <c r="T44" s="1490"/>
      <c r="U44" s="1490"/>
      <c r="V44" s="1490"/>
      <c r="W44" s="1490"/>
      <c r="X44" s="1490"/>
      <c r="Y44" s="1490"/>
      <c r="Z44" s="1490"/>
      <c r="AA44" s="1490"/>
      <c r="AB44" s="1490"/>
      <c r="AC44" s="1490"/>
      <c r="AD44" s="1490"/>
      <c r="AE44" s="1490"/>
      <c r="AF44" s="1490"/>
      <c r="AG44" s="1490"/>
      <c r="AH44" s="1490"/>
      <c r="AI44" s="1491"/>
    </row>
    <row r="45" spans="2:35" s="102" customFormat="1" x14ac:dyDescent="0.35">
      <c r="B45" s="1489"/>
      <c r="C45" s="1490"/>
      <c r="D45" s="1490"/>
      <c r="E45" s="1490"/>
      <c r="F45" s="1490"/>
      <c r="G45" s="1490"/>
      <c r="H45" s="1490"/>
      <c r="I45" s="1490"/>
      <c r="J45" s="1490"/>
      <c r="K45" s="1490"/>
      <c r="L45" s="1490"/>
      <c r="M45" s="1490"/>
      <c r="N45" s="1490"/>
      <c r="O45" s="1490"/>
      <c r="P45" s="1490"/>
      <c r="Q45" s="1490"/>
      <c r="R45" s="1490"/>
      <c r="S45" s="1490"/>
      <c r="T45" s="1490"/>
      <c r="U45" s="1490"/>
      <c r="V45" s="1490"/>
      <c r="W45" s="1490"/>
      <c r="X45" s="1490"/>
      <c r="Y45" s="1490"/>
      <c r="Z45" s="1490"/>
      <c r="AA45" s="1490"/>
      <c r="AB45" s="1490"/>
      <c r="AC45" s="1490"/>
      <c r="AD45" s="1490"/>
      <c r="AE45" s="1490"/>
      <c r="AF45" s="1490"/>
      <c r="AG45" s="1490"/>
      <c r="AH45" s="1490"/>
      <c r="AI45" s="1491"/>
    </row>
    <row r="46" spans="2:35" s="102" customFormat="1" x14ac:dyDescent="0.35">
      <c r="B46" s="1489"/>
      <c r="C46" s="1490"/>
      <c r="D46" s="1490"/>
      <c r="E46" s="1490"/>
      <c r="F46" s="1490"/>
      <c r="G46" s="1490"/>
      <c r="H46" s="1490"/>
      <c r="I46" s="1490"/>
      <c r="J46" s="1490"/>
      <c r="K46" s="1490"/>
      <c r="L46" s="1490"/>
      <c r="M46" s="1490"/>
      <c r="N46" s="1490"/>
      <c r="O46" s="1490"/>
      <c r="P46" s="1490"/>
      <c r="Q46" s="1490"/>
      <c r="R46" s="1490"/>
      <c r="S46" s="1490"/>
      <c r="T46" s="1490"/>
      <c r="U46" s="1490"/>
      <c r="V46" s="1490"/>
      <c r="W46" s="1490"/>
      <c r="X46" s="1490"/>
      <c r="Y46" s="1490"/>
      <c r="Z46" s="1490"/>
      <c r="AA46" s="1490"/>
      <c r="AB46" s="1490"/>
      <c r="AC46" s="1490"/>
      <c r="AD46" s="1490"/>
      <c r="AE46" s="1490"/>
      <c r="AF46" s="1490"/>
      <c r="AG46" s="1490"/>
      <c r="AH46" s="1490"/>
      <c r="AI46" s="1491"/>
    </row>
    <row r="47" spans="2:35" s="102" customFormat="1" x14ac:dyDescent="0.35">
      <c r="B47" s="1489"/>
      <c r="C47" s="1490"/>
      <c r="D47" s="1490"/>
      <c r="E47" s="1490"/>
      <c r="F47" s="1490"/>
      <c r="G47" s="1490"/>
      <c r="H47" s="1490"/>
      <c r="I47" s="1490"/>
      <c r="J47" s="1490"/>
      <c r="K47" s="1490"/>
      <c r="L47" s="1490"/>
      <c r="M47" s="1490"/>
      <c r="N47" s="1490"/>
      <c r="O47" s="1490"/>
      <c r="P47" s="1490"/>
      <c r="Q47" s="1490"/>
      <c r="R47" s="1490"/>
      <c r="S47" s="1490"/>
      <c r="T47" s="1490"/>
      <c r="U47" s="1490"/>
      <c r="V47" s="1490"/>
      <c r="W47" s="1490"/>
      <c r="X47" s="1490"/>
      <c r="Y47" s="1490"/>
      <c r="Z47" s="1490"/>
      <c r="AA47" s="1490"/>
      <c r="AB47" s="1490"/>
      <c r="AC47" s="1490"/>
      <c r="AD47" s="1490"/>
      <c r="AE47" s="1490"/>
      <c r="AF47" s="1490"/>
      <c r="AG47" s="1490"/>
      <c r="AH47" s="1490"/>
      <c r="AI47" s="1491"/>
    </row>
    <row r="48" spans="2:35" s="102" customFormat="1" x14ac:dyDescent="0.35">
      <c r="B48" s="1489"/>
      <c r="C48" s="1490"/>
      <c r="D48" s="1490"/>
      <c r="E48" s="1490"/>
      <c r="F48" s="1490"/>
      <c r="G48" s="1490"/>
      <c r="H48" s="1490"/>
      <c r="I48" s="1490"/>
      <c r="J48" s="1490"/>
      <c r="K48" s="1490"/>
      <c r="L48" s="1490"/>
      <c r="M48" s="1490"/>
      <c r="N48" s="1490"/>
      <c r="O48" s="1490"/>
      <c r="P48" s="1490"/>
      <c r="Q48" s="1490"/>
      <c r="R48" s="1490"/>
      <c r="S48" s="1490"/>
      <c r="T48" s="1490"/>
      <c r="U48" s="1490"/>
      <c r="V48" s="1490"/>
      <c r="W48" s="1490"/>
      <c r="X48" s="1490"/>
      <c r="Y48" s="1490"/>
      <c r="Z48" s="1490"/>
      <c r="AA48" s="1490"/>
      <c r="AB48" s="1490"/>
      <c r="AC48" s="1490"/>
      <c r="AD48" s="1490"/>
      <c r="AE48" s="1490"/>
      <c r="AF48" s="1490"/>
      <c r="AG48" s="1490"/>
      <c r="AH48" s="1490"/>
      <c r="AI48" s="1491"/>
    </row>
    <row r="49" spans="2:35" s="102" customFormat="1" x14ac:dyDescent="0.35">
      <c r="B49" s="1489"/>
      <c r="C49" s="1490"/>
      <c r="D49" s="1490"/>
      <c r="E49" s="1490"/>
      <c r="F49" s="1490"/>
      <c r="G49" s="1490"/>
      <c r="H49" s="1490"/>
      <c r="I49" s="1490"/>
      <c r="J49" s="1490"/>
      <c r="K49" s="1490"/>
      <c r="L49" s="1490"/>
      <c r="M49" s="1490"/>
      <c r="N49" s="1490"/>
      <c r="O49" s="1490"/>
      <c r="P49" s="1490"/>
      <c r="Q49" s="1490"/>
      <c r="R49" s="1490"/>
      <c r="S49" s="1490"/>
      <c r="T49" s="1490"/>
      <c r="U49" s="1490"/>
      <c r="V49" s="1490"/>
      <c r="W49" s="1490"/>
      <c r="X49" s="1490"/>
      <c r="Y49" s="1490"/>
      <c r="Z49" s="1490"/>
      <c r="AA49" s="1490"/>
      <c r="AB49" s="1490"/>
      <c r="AC49" s="1490"/>
      <c r="AD49" s="1490"/>
      <c r="AE49" s="1490"/>
      <c r="AF49" s="1490"/>
      <c r="AG49" s="1490"/>
      <c r="AH49" s="1490"/>
      <c r="AI49" s="1491"/>
    </row>
    <row r="50" spans="2:35" s="102" customFormat="1" x14ac:dyDescent="0.35">
      <c r="B50" s="1489"/>
      <c r="C50" s="1490"/>
      <c r="D50" s="1490"/>
      <c r="E50" s="1490"/>
      <c r="F50" s="1490"/>
      <c r="G50" s="1490"/>
      <c r="H50" s="1490"/>
      <c r="I50" s="1490"/>
      <c r="J50" s="1490"/>
      <c r="K50" s="1490"/>
      <c r="L50" s="1490"/>
      <c r="M50" s="1490"/>
      <c r="N50" s="1490"/>
      <c r="O50" s="1490"/>
      <c r="P50" s="1490"/>
      <c r="Q50" s="1490"/>
      <c r="R50" s="1490"/>
      <c r="S50" s="1490"/>
      <c r="T50" s="1490"/>
      <c r="U50" s="1490"/>
      <c r="V50" s="1490"/>
      <c r="W50" s="1490"/>
      <c r="X50" s="1490"/>
      <c r="Y50" s="1490"/>
      <c r="Z50" s="1490"/>
      <c r="AA50" s="1490"/>
      <c r="AB50" s="1490"/>
      <c r="AC50" s="1490"/>
      <c r="AD50" s="1490"/>
      <c r="AE50" s="1490"/>
      <c r="AF50" s="1490"/>
      <c r="AG50" s="1490"/>
      <c r="AH50" s="1490"/>
      <c r="AI50" s="1491"/>
    </row>
    <row r="51" spans="2:35" s="102" customFormat="1" x14ac:dyDescent="0.35">
      <c r="B51" s="1489"/>
      <c r="C51" s="1490"/>
      <c r="D51" s="1490"/>
      <c r="E51" s="1490"/>
      <c r="F51" s="1490"/>
      <c r="G51" s="1490"/>
      <c r="H51" s="1490"/>
      <c r="I51" s="1490"/>
      <c r="J51" s="1490"/>
      <c r="K51" s="1490"/>
      <c r="L51" s="1490"/>
      <c r="M51" s="1490"/>
      <c r="N51" s="1490"/>
      <c r="O51" s="1490"/>
      <c r="P51" s="1490"/>
      <c r="Q51" s="1490"/>
      <c r="R51" s="1490"/>
      <c r="S51" s="1490"/>
      <c r="T51" s="1490"/>
      <c r="U51" s="1490"/>
      <c r="V51" s="1490"/>
      <c r="W51" s="1490"/>
      <c r="X51" s="1490"/>
      <c r="Y51" s="1490"/>
      <c r="Z51" s="1490"/>
      <c r="AA51" s="1490"/>
      <c r="AB51" s="1490"/>
      <c r="AC51" s="1490"/>
      <c r="AD51" s="1490"/>
      <c r="AE51" s="1490"/>
      <c r="AF51" s="1490"/>
      <c r="AG51" s="1490"/>
      <c r="AH51" s="1490"/>
      <c r="AI51" s="1491"/>
    </row>
    <row r="52" spans="2:35" s="102" customFormat="1" ht="18.75" thickBot="1" x14ac:dyDescent="0.4">
      <c r="B52" s="1492"/>
      <c r="C52" s="1493"/>
      <c r="D52" s="1493"/>
      <c r="E52" s="1493"/>
      <c r="F52" s="1493"/>
      <c r="G52" s="1493"/>
      <c r="H52" s="1493"/>
      <c r="I52" s="1493"/>
      <c r="J52" s="1493"/>
      <c r="K52" s="1493"/>
      <c r="L52" s="1493"/>
      <c r="M52" s="1493"/>
      <c r="N52" s="1493"/>
      <c r="O52" s="1493"/>
      <c r="P52" s="1493"/>
      <c r="Q52" s="1493"/>
      <c r="R52" s="1493"/>
      <c r="S52" s="1493"/>
      <c r="T52" s="1493"/>
      <c r="U52" s="1493"/>
      <c r="V52" s="1493"/>
      <c r="W52" s="1493"/>
      <c r="X52" s="1493"/>
      <c r="Y52" s="1493"/>
      <c r="Z52" s="1493"/>
      <c r="AA52" s="1493"/>
      <c r="AB52" s="1493"/>
      <c r="AC52" s="1493"/>
      <c r="AD52" s="1493"/>
      <c r="AE52" s="1493"/>
      <c r="AF52" s="1493"/>
      <c r="AG52" s="1493"/>
      <c r="AH52" s="1493"/>
      <c r="AI52" s="1494"/>
    </row>
    <row r="54" spans="2:35" s="231" customFormat="1" ht="30" x14ac:dyDescent="0.4">
      <c r="B54" s="63" t="s">
        <v>1220</v>
      </c>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row>
    <row r="55" spans="2:35" ht="15" customHeight="1" x14ac:dyDescent="0.4">
      <c r="B55" s="1484"/>
      <c r="C55" s="1485"/>
      <c r="D55" s="1485"/>
      <c r="E55" s="1485"/>
      <c r="F55" s="1485"/>
      <c r="G55" s="1485"/>
      <c r="H55" s="1485"/>
      <c r="I55" s="1485"/>
      <c r="J55" s="1485"/>
      <c r="K55" s="1485"/>
      <c r="L55" s="1485"/>
      <c r="M55" s="1485"/>
      <c r="N55" s="1485"/>
      <c r="O55" s="1485"/>
      <c r="P55" s="1485"/>
      <c r="Q55" s="1485"/>
      <c r="R55" s="1485"/>
      <c r="S55" s="1485"/>
      <c r="T55" s="1485"/>
      <c r="U55" s="1485"/>
      <c r="V55" s="1485"/>
      <c r="W55" s="1485"/>
      <c r="X55" s="1485"/>
      <c r="Y55" s="1485"/>
      <c r="Z55" s="1485"/>
      <c r="AA55" s="1485"/>
      <c r="AB55" s="1485"/>
      <c r="AC55" s="1485"/>
      <c r="AD55" s="1485"/>
      <c r="AE55" s="1485"/>
      <c r="AF55" s="1485"/>
      <c r="AG55" s="1485"/>
      <c r="AH55" s="1485"/>
      <c r="AI55" s="1485"/>
    </row>
    <row r="56" spans="2:35" ht="30" customHeight="1" x14ac:dyDescent="0.4">
      <c r="B56" s="63"/>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row>
  </sheetData>
  <sheetProtection algorithmName="SHA-512" hashValue="HWe+ReiAOBeV1x1IjVpesSiBNCeJUjJW5Ht6+JnCnRD0nso6jrKTKTMTk0s/CarvhVQYSyGT47XsW7V+562GvQ==" saltValue="YTqwF4FxGrc9UglorhIUZA==" spinCount="100000" sheet="1" objects="1" scenarios="1"/>
  <mergeCells count="38">
    <mergeCell ref="B55:AI55"/>
    <mergeCell ref="B33:AI52"/>
    <mergeCell ref="A31:AJ31"/>
    <mergeCell ref="B26:F26"/>
    <mergeCell ref="G26:M26"/>
    <mergeCell ref="N26:AJ26"/>
    <mergeCell ref="B27:AJ27"/>
    <mergeCell ref="B28:F28"/>
    <mergeCell ref="G28:H28"/>
    <mergeCell ref="I28:AJ28"/>
    <mergeCell ref="B29:F29"/>
    <mergeCell ref="N29:AJ29"/>
    <mergeCell ref="B30:F30"/>
    <mergeCell ref="G30:AJ30"/>
    <mergeCell ref="S17:V18"/>
    <mergeCell ref="W17:AJ18"/>
    <mergeCell ref="A20:AJ20"/>
    <mergeCell ref="A23:A30"/>
    <mergeCell ref="G25:M25"/>
    <mergeCell ref="K24:AJ24"/>
    <mergeCell ref="B23:F23"/>
    <mergeCell ref="K23:AJ23"/>
    <mergeCell ref="AB2:AJ2"/>
    <mergeCell ref="B24:F24"/>
    <mergeCell ref="B25:F25"/>
    <mergeCell ref="N13:R18"/>
    <mergeCell ref="S13:V14"/>
    <mergeCell ref="W13:AJ14"/>
    <mergeCell ref="S15:V16"/>
    <mergeCell ref="A3:AJ5"/>
    <mergeCell ref="N7:R8"/>
    <mergeCell ref="S7:AJ8"/>
    <mergeCell ref="N9:R10"/>
    <mergeCell ref="S9:AJ10"/>
    <mergeCell ref="N11:R12"/>
    <mergeCell ref="N25:AJ25"/>
    <mergeCell ref="S11:AJ12"/>
    <mergeCell ref="W15:AJ16"/>
  </mergeCells>
  <phoneticPr fontId="1"/>
  <conditionalFormatting sqref="AK22">
    <cfRule type="containsText" dxfId="67" priority="1" operator="containsText" text="不十分">
      <formula>NOT(ISERROR(SEARCH("不十分",AK22)))</formula>
    </cfRule>
    <cfRule type="containsText" dxfId="66" priority="2" operator="containsText" text="藤生bん">
      <formula>NOT(ISERROR(SEARCH("藤生bん",AK22)))</formula>
    </cfRule>
  </conditionalFormatting>
  <dataValidations count="4">
    <dataValidation allowBlank="1" showInputMessage="1" showErrorMessage="1" errorTitle="指定口座への振り込みが希望されています。" error="国保連登録口座以外への振込を希望する際は上段で「希望する」を選択してください。" promptTitle="金融機関名の入力" prompt="略称等は用いず、正式な名称を誤りのないように入力してください。" sqref="G25" xr:uid="{00000000-0002-0000-0200-000000000000}"/>
    <dataValidation type="custom" imeMode="halfAlpha"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29:M29" xr:uid="{00000000-0002-0000-0200-000001000000}">
      <formula1>AND(LENB(G29:M29)=LEN(G29:M29))</formula1>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24:I24" xr:uid="{00000000-0002-0000-0200-000002000000}">
      <formula1>AND(LENB(G24:I24)=LEN(G24:I24))</formula1>
    </dataValidation>
    <dataValidation type="custom" allowBlank="1" showInputMessage="1" showErrorMessage="1" errorTitle="半角数字以外が入力されています。" error="全角数字等の入力は制限されています。_x000a_必ず半角数字で入力してください。" promptTitle="半角数字を入力" prompt="全角数字等の入力は制限されています。_x000a_半角数字を１マスに１字ずつ入力してください。" sqref="G23:J23" xr:uid="{00000000-0002-0000-0200-000003000000}">
      <formula1>AND(LENB(D23:G23)=LEN(D23:G23))</formula1>
    </dataValidation>
  </dataValidations>
  <pageMargins left="0.7" right="0.7" top="0.75" bottom="0.75" header="0.3" footer="0.3"/>
  <pageSetup paperSize="9" scale="48"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AI53"/>
  <sheetViews>
    <sheetView showGridLines="0" view="pageBreakPreview" topLeftCell="A18" zoomScale="60" zoomScaleNormal="100" workbookViewId="0">
      <selection activeCell="L7" sqref="L7"/>
    </sheetView>
  </sheetViews>
  <sheetFormatPr defaultColWidth="8.625" defaultRowHeight="35.25" x14ac:dyDescent="0.4"/>
  <cols>
    <col min="1" max="4" width="15.625" style="78" customWidth="1"/>
    <col min="5" max="5" width="30.625" style="78" customWidth="1"/>
    <col min="6" max="6" width="3.625" style="78" customWidth="1"/>
    <col min="7" max="10" width="15.625" style="78" customWidth="1"/>
    <col min="11" max="13" width="8.625" style="78"/>
    <col min="14" max="14" width="90.625" style="78" customWidth="1"/>
    <col min="15" max="16384" width="8.625" style="78"/>
  </cols>
  <sheetData>
    <row r="1" spans="1:10" ht="45" customHeight="1" x14ac:dyDescent="0.4">
      <c r="G1" s="1509" t="str">
        <f xml:space="preserve">
IF(テーブル!B3="交付申請","（５月８日～９月30日分）",
IF(テーブル!B3="変更申請","（５月８日～９月30日分）",
IF(テーブル!B3="実績報告（１次）","（５月８日～９月30日分）",
IF(テーブル!B3="交付申請（２次）","（10月１日～３月31日分）",
IF(テーブル!B3="交付申請兼実績報告（２次）","（10月１日～３月31日分）",
IF(テーブル!B3="実績報告（２次）","（10月１日～３月31日分）"))))))</f>
        <v>（10月１日～３月31日分）</v>
      </c>
      <c r="H1" s="1510"/>
      <c r="I1" s="1510"/>
      <c r="J1" s="1510"/>
    </row>
    <row r="2" spans="1:10" ht="45" customHeight="1" x14ac:dyDescent="0.4"/>
    <row r="3" spans="1:10" ht="45" customHeight="1" x14ac:dyDescent="0.4">
      <c r="J3" s="79" t="s">
        <v>157</v>
      </c>
    </row>
    <row r="4" spans="1:10" ht="45" customHeight="1" x14ac:dyDescent="0.4">
      <c r="A4" s="1515" t="s">
        <v>158</v>
      </c>
      <c r="B4" s="1516"/>
      <c r="C4" s="1516"/>
    </row>
    <row r="5" spans="1:10" ht="45" customHeight="1" x14ac:dyDescent="0.4"/>
    <row r="6" spans="1:10" ht="45" customHeight="1" x14ac:dyDescent="0.4">
      <c r="E6" s="1530" t="s">
        <v>159</v>
      </c>
      <c r="F6" s="651"/>
      <c r="G6" s="1511" t="str">
        <f>IF(はじめに入力してください!H9="","",はじめに入力してください!H9)</f>
        <v/>
      </c>
      <c r="H6" s="1512"/>
      <c r="I6" s="1512"/>
      <c r="J6" s="1512"/>
    </row>
    <row r="7" spans="1:10" ht="45" customHeight="1" x14ac:dyDescent="0.4">
      <c r="E7" s="1531"/>
      <c r="F7" s="652"/>
      <c r="G7" s="1512"/>
      <c r="H7" s="1512"/>
      <c r="I7" s="1512"/>
      <c r="J7" s="1512"/>
    </row>
    <row r="8" spans="1:10" ht="45" customHeight="1" x14ac:dyDescent="0.4">
      <c r="E8" s="80" t="s">
        <v>11</v>
      </c>
      <c r="F8" s="80"/>
      <c r="G8" s="1511" t="str">
        <f>IF(はじめに入力してください!H6="","",はじめに入力してください!H6)</f>
        <v/>
      </c>
      <c r="H8" s="1512"/>
      <c r="I8" s="1512"/>
      <c r="J8" s="1512"/>
    </row>
    <row r="9" spans="1:10" ht="45" customHeight="1" x14ac:dyDescent="0.4">
      <c r="E9" s="80" t="s">
        <v>38</v>
      </c>
      <c r="F9" s="80"/>
      <c r="G9" s="1511" t="str">
        <f>IF(はじめに入力してください!H7&amp;"　"&amp;はじめに入力してください!H8="","",はじめに入力してください!H7&amp;"　"&amp;はじめに入力してください!H8)</f>
        <v>　</v>
      </c>
      <c r="H9" s="1512"/>
      <c r="I9" s="1512"/>
      <c r="J9" s="1512"/>
    </row>
    <row r="10" spans="1:10" ht="45" customHeight="1" x14ac:dyDescent="0.4">
      <c r="E10" s="80" t="s">
        <v>130</v>
      </c>
      <c r="F10" s="80"/>
      <c r="G10" s="1511" t="str">
        <f>IF(はじめに入力してください!H10="","",はじめに入力してください!H10)</f>
        <v/>
      </c>
      <c r="H10" s="1512"/>
      <c r="I10" s="1512"/>
      <c r="J10" s="1512"/>
    </row>
    <row r="11" spans="1:10" ht="45" customHeight="1" x14ac:dyDescent="0.4"/>
    <row r="12" spans="1:10" ht="45" customHeight="1" x14ac:dyDescent="0.4">
      <c r="A12" s="1513" t="s">
        <v>160</v>
      </c>
      <c r="B12" s="1514"/>
      <c r="C12" s="1514"/>
      <c r="D12" s="1514"/>
      <c r="E12" s="1514"/>
      <c r="F12" s="1514"/>
      <c r="G12" s="1514"/>
      <c r="H12" s="1514"/>
      <c r="I12" s="1514"/>
      <c r="J12" s="1514"/>
    </row>
    <row r="13" spans="1:10" ht="45" customHeight="1" x14ac:dyDescent="0.4">
      <c r="A13" s="1514"/>
      <c r="B13" s="1514"/>
      <c r="C13" s="1514"/>
      <c r="D13" s="1514"/>
      <c r="E13" s="1514"/>
      <c r="F13" s="1514"/>
      <c r="G13" s="1514"/>
      <c r="H13" s="1514"/>
      <c r="I13" s="1514"/>
      <c r="J13" s="1514"/>
    </row>
    <row r="14" spans="1:10" ht="45" customHeight="1" x14ac:dyDescent="0.4"/>
    <row r="15" spans="1:10" ht="50.1" customHeight="1" x14ac:dyDescent="0.4">
      <c r="A15" s="1526" t="str">
        <f xml:space="preserve">
IF(テーブル!B3="交付申請","　令和５年度愛知県新型コロナウイルス感染症外来対応医療機関等設備整備費補助金"&amp;CHAR(10)&amp;"（５月８日～９月30日分）について、下記の金額を請求します。"&amp;CHAR(10)&amp;"　なお、支払は下記の口座に振り込んでください。",
IF(テーブル!B3="変更申請","　令和５年度愛知県新型コロナウイルス感染症外来対応医療機関等設備整備費補助金"&amp;CHAR(10)&amp;"（10月１日～３月31日分）について、下記の金額を請求します。"&amp;CHAR(10)&amp;"　なお、支払は下記の口座に振り込んでください。",
IF(テーブル!B3="実績報告（１次）","　令和５年度愛知県新型コロナウイルス感染症外来対応医療機関等設備整備費補助金"&amp;CHAR(10)&amp;"（５月８日～９月30日分）について、下記の金額を請求します。"&amp;CHAR(10)&amp;"　なお、支払は下記の口座に振り込んでください。",
IF(テーブル!B3="交付申請（２次）","　令和５年度愛知県新型コロナウイルス感染症外来対応医療機関等設備整備費補助金"&amp;CHAR(10)&amp;"（10月１日～３月31日分）について、下記の金額を請求します。"&amp;CHAR(10)&amp;"　なお、支払は下記の口座に振り込んでください。",
IF(テーブル!B3="交付申請兼実績報告（２次）","　令和５年度愛知県新型コロナウイルス感染症外来対応医療機関等設備整備費補助金"&amp;CHAR(10)&amp;"（10月１日～３月31日分）について、下記の金額を請求します。"&amp;CHAR(10)&amp;"　なお、支払は下記の口座に振り込んでください。",
IF(テーブル!B3="実績報告（２次）","　令和５年度愛知県新型コロナウイルス感染症外来対応医療機関等設備整備費補助金"&amp;CHAR(10)&amp;"（10月１日～３月31日分）について、下記の金額を請求します。"&amp;CHAR(10)&amp;"　なお、支払は下記の口座に振り込んでください。"))))))</f>
        <v>　令和５年度愛知県新型コロナウイルス感染症外来対応医療機関等設備整備費補助金
（10月１日～３月31日分）について、下記の金額を請求します。
　なお、支払は下記の口座に振り込んでください。</v>
      </c>
      <c r="B15" s="1527"/>
      <c r="C15" s="1527"/>
      <c r="D15" s="1527"/>
      <c r="E15" s="1527"/>
      <c r="F15" s="1527"/>
      <c r="G15" s="1527"/>
      <c r="H15" s="1527"/>
      <c r="I15" s="1527"/>
      <c r="J15" s="1527"/>
    </row>
    <row r="16" spans="1:10" ht="50.1" customHeight="1" x14ac:dyDescent="0.4">
      <c r="A16" s="1527"/>
      <c r="B16" s="1527"/>
      <c r="C16" s="1527"/>
      <c r="D16" s="1527"/>
      <c r="E16" s="1527"/>
      <c r="F16" s="1527"/>
      <c r="G16" s="1527"/>
      <c r="H16" s="1527"/>
      <c r="I16" s="1527"/>
      <c r="J16" s="1527"/>
    </row>
    <row r="17" spans="1:10" ht="45" customHeight="1" x14ac:dyDescent="0.4">
      <c r="A17" s="1528" t="s">
        <v>16</v>
      </c>
      <c r="B17" s="1529"/>
      <c r="C17" s="1529"/>
      <c r="D17" s="1529"/>
      <c r="E17" s="1529"/>
      <c r="F17" s="1529"/>
      <c r="G17" s="1529"/>
      <c r="H17" s="1529"/>
      <c r="I17" s="1529"/>
      <c r="J17" s="1529"/>
    </row>
    <row r="18" spans="1:10" ht="45" customHeight="1" x14ac:dyDescent="0.4">
      <c r="A18" s="78" t="s">
        <v>161</v>
      </c>
    </row>
    <row r="19" spans="1:10" ht="45" customHeight="1" x14ac:dyDescent="0.4">
      <c r="A19" s="78" t="str">
        <f>IF(表紙!H20="金　　　　　　　　　円","　　金　　　　　　　　　円","　　金"&amp;TEXT(表紙!H20,"#,###")&amp;"円")</f>
        <v>　　金　　　　　　　　　円</v>
      </c>
    </row>
    <row r="20" spans="1:10" ht="45" customHeight="1" x14ac:dyDescent="0.4"/>
    <row r="21" spans="1:10" ht="45" customHeight="1" x14ac:dyDescent="0.4">
      <c r="A21" s="78" t="s">
        <v>162</v>
      </c>
    </row>
    <row r="22" spans="1:10" ht="45" customHeight="1" x14ac:dyDescent="0.4">
      <c r="B22" s="1521" t="s">
        <v>163</v>
      </c>
      <c r="C22" s="1522"/>
      <c r="D22" s="1523" t="str">
        <f>IFERROR(VLOOKUP(はじめに入力してください!L18,リスト!A:N,14,FALSE),"")</f>
        <v>三菱ＵＦＪ銀行</v>
      </c>
      <c r="E22" s="1335"/>
      <c r="F22" s="1335"/>
      <c r="G22" s="1335"/>
      <c r="H22" s="1335"/>
      <c r="I22" s="1335"/>
    </row>
    <row r="23" spans="1:10" ht="45" customHeight="1" x14ac:dyDescent="0.4">
      <c r="B23" s="1521" t="s">
        <v>131</v>
      </c>
      <c r="C23" s="1522"/>
      <c r="D23" s="1523" t="str">
        <f>IFERROR(VLOOKUP(はじめに入力してください!L18,リスト!A:O,15,FALSE),"")</f>
        <v>一宮支店</v>
      </c>
      <c r="E23" s="1335"/>
      <c r="F23" s="1335"/>
      <c r="G23" s="1335"/>
      <c r="H23" s="1335"/>
      <c r="I23" s="1335"/>
    </row>
    <row r="24" spans="1:10" ht="45" customHeight="1" x14ac:dyDescent="0.4">
      <c r="B24" s="1521" t="s">
        <v>164</v>
      </c>
      <c r="C24" s="1522"/>
      <c r="D24" s="1523" t="str">
        <f>IFERROR(VLOOKUP(はじめに入力してください!L18,リスト!A:P,16,FALSE),"")</f>
        <v>普通</v>
      </c>
      <c r="E24" s="1335"/>
      <c r="F24" s="1335"/>
      <c r="G24" s="1335"/>
      <c r="H24" s="1335"/>
      <c r="I24" s="1335"/>
    </row>
    <row r="25" spans="1:10" ht="45" customHeight="1" x14ac:dyDescent="0.4">
      <c r="B25" s="1521" t="s">
        <v>132</v>
      </c>
      <c r="C25" s="1522"/>
      <c r="D25" s="1524" t="str">
        <f>はじめに入力してください!AF24</f>
        <v/>
      </c>
      <c r="E25" s="1525"/>
      <c r="F25" s="1525"/>
      <c r="G25" s="1525"/>
      <c r="H25" s="1525"/>
      <c r="I25" s="1525"/>
    </row>
    <row r="26" spans="1:10" ht="45" customHeight="1" x14ac:dyDescent="0.4"/>
    <row r="27" spans="1:10" ht="45" customHeight="1" x14ac:dyDescent="0.4"/>
    <row r="28" spans="1:10" ht="30" customHeight="1" x14ac:dyDescent="0.4"/>
    <row r="29" spans="1:10" ht="30" customHeight="1" thickBot="1" x14ac:dyDescent="0.45">
      <c r="A29" s="1484" t="s">
        <v>1070</v>
      </c>
      <c r="B29" s="1516"/>
      <c r="C29" s="1516"/>
      <c r="D29" s="1516"/>
      <c r="E29" s="1516"/>
      <c r="F29" s="1516"/>
      <c r="G29" s="1516"/>
      <c r="H29" s="1516"/>
      <c r="I29" s="1516"/>
      <c r="J29" s="1516"/>
    </row>
    <row r="30" spans="1:10" ht="30" hidden="1" customHeight="1" thickTop="1" x14ac:dyDescent="0.4">
      <c r="A30" s="1538" t="s">
        <v>1115</v>
      </c>
      <c r="B30" s="1539"/>
      <c r="C30" s="1539"/>
      <c r="D30" s="1539"/>
      <c r="E30" s="1539"/>
      <c r="F30" s="1539"/>
      <c r="G30" s="1539"/>
      <c r="H30" s="1539"/>
      <c r="I30" s="1539"/>
      <c r="J30" s="1540"/>
    </row>
    <row r="31" spans="1:10" ht="30" hidden="1" customHeight="1" x14ac:dyDescent="0.4">
      <c r="A31" s="1532" t="s">
        <v>1113</v>
      </c>
      <c r="B31" s="1533"/>
      <c r="C31" s="1533"/>
      <c r="D31" s="1533"/>
      <c r="E31" s="1533"/>
      <c r="F31" s="1533"/>
      <c r="G31" s="1533"/>
      <c r="H31" s="1533"/>
      <c r="I31" s="1533"/>
      <c r="J31" s="1534"/>
    </row>
    <row r="32" spans="1:10" ht="30" hidden="1" customHeight="1" thickBot="1" x14ac:dyDescent="0.45">
      <c r="A32" s="1535" t="s">
        <v>1114</v>
      </c>
      <c r="B32" s="1536"/>
      <c r="C32" s="1536"/>
      <c r="D32" s="1536"/>
      <c r="E32" s="1536"/>
      <c r="F32" s="1536"/>
      <c r="G32" s="1536"/>
      <c r="H32" s="1536"/>
      <c r="I32" s="1536"/>
      <c r="J32" s="1537"/>
    </row>
    <row r="33" spans="1:35" ht="30" hidden="1" customHeight="1" thickBot="1" x14ac:dyDescent="0.45">
      <c r="A33" s="243"/>
    </row>
    <row r="34" spans="1:35" ht="30" customHeight="1" thickTop="1" x14ac:dyDescent="0.4">
      <c r="A34" s="1538" t="s">
        <v>1116</v>
      </c>
      <c r="B34" s="1539"/>
      <c r="C34" s="1539"/>
      <c r="D34" s="1539"/>
      <c r="E34" s="1539"/>
      <c r="F34" s="1539"/>
      <c r="G34" s="1539"/>
      <c r="H34" s="1539"/>
      <c r="I34" s="1539"/>
      <c r="J34" s="1540"/>
    </row>
    <row r="35" spans="1:35" ht="30" customHeight="1" thickBot="1" x14ac:dyDescent="0.45">
      <c r="A35" s="1535" t="str">
        <f xml:space="preserve">
IF(テーブル!B3="交付申請","□　添付資料は不要",
IF(テーブル!B3="変更申請","□　納品書または請求書（購入した品名、入数、箱数、単価（税抜、税込の別）及び金額がわかるもの）",
IF(テーブル!B3="実績報告（１次）","□　納品書または請求書（購入した品名、入数、箱数、単価（税抜、税込の別）及び金額がわかるもの）",
IF(テーブル!B3="交付申請（２次）","□　添付資料は不要",
IF(テーブル!B3="交付申請兼実績報告（２次）","□　納品書または請求書（購入した品名、入数、箱数、単価（税抜、税込の別）及び金額がわかるもの）",
IF(テーブル!B3="実績報告（２次）","□　納品書または請求書（購入した品名、入数、箱数、単価（税抜、税込の別）及び金額がわかるもの）"))))))</f>
        <v>□　添付資料は不要</v>
      </c>
      <c r="B35" s="1536"/>
      <c r="C35" s="1536"/>
      <c r="D35" s="1536"/>
      <c r="E35" s="1536"/>
      <c r="F35" s="1536"/>
      <c r="G35" s="1536"/>
      <c r="H35" s="1536"/>
      <c r="I35" s="1536"/>
      <c r="J35" s="1537"/>
    </row>
    <row r="36" spans="1:35" ht="15" customHeight="1" thickTop="1" thickBot="1" x14ac:dyDescent="0.45">
      <c r="A36" s="243"/>
      <c r="C36" s="63"/>
      <c r="D36" s="63"/>
      <c r="E36" s="63"/>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row>
    <row r="37" spans="1:35" ht="30" customHeight="1" thickTop="1" x14ac:dyDescent="0.4">
      <c r="A37" s="1538" t="s">
        <v>1117</v>
      </c>
      <c r="B37" s="1539"/>
      <c r="C37" s="1539"/>
      <c r="D37" s="1539"/>
      <c r="E37" s="1539"/>
      <c r="F37" s="1539"/>
      <c r="G37" s="1539"/>
      <c r="H37" s="1539"/>
      <c r="I37" s="1539"/>
      <c r="J37" s="1540"/>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row>
    <row r="38" spans="1:35" ht="30" customHeight="1" x14ac:dyDescent="0.4">
      <c r="A38" s="1532" t="str">
        <f xml:space="preserve">
IF(テーブル!B3="交付申請","□　添付資料は不要",
IF(テーブル!B3="変更申請","□　納品書または請求書（品名、入数、箱数、単価（税抜、税込の別）、希釈消毒液の場合は希釈倍率及び金額がわかるもの）",
IF(テーブル!B3="実績報告（１次）","□　納品書または請求書（品名、入数、箱数、単価（税抜、税込の別）、希釈消毒液の場合は希釈倍率及び金額がわかるもの）",
IF(テーブル!B3="交付申請（２次）","－",
IF(テーブル!B3="交付申請兼実績報告（２次）","－",
IF(テーブル!B3="実績報告（２次）","－"))))))</f>
        <v>－</v>
      </c>
      <c r="B38" s="1533"/>
      <c r="C38" s="1533"/>
      <c r="D38" s="1533"/>
      <c r="E38" s="1533"/>
      <c r="F38" s="1533"/>
      <c r="G38" s="1533"/>
      <c r="H38" s="1533"/>
      <c r="I38" s="1533"/>
      <c r="J38" s="1534"/>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row>
    <row r="39" spans="1:35" ht="30" customHeight="1" x14ac:dyDescent="0.4">
      <c r="A39" s="1532" t="str">
        <f xml:space="preserve">
IF(テーブル!B3="交付申請","□　発生見込人件費の積算内訳（適用した給与単価、作業内訳及び所要時間）がわかるもの",
IF(テーブル!B3="変更申請","□　発生見込人件費の積算内訳（適用した給与単価、作業内訳及び所要時間）がわかるもの",
IF(テーブル!B3="実績報告（１次）","□　発生した人件費の積算内訳（適用した給与単価、作業内訳及び所要時間）がわかるもの",
IF(テーブル!B3="交付申請（２次）","－",
IF(テーブル!B3="交付申請兼実績報告（２次）","－",
IF(テーブル!B3="実績報告（２次）","－"))))))</f>
        <v>－</v>
      </c>
      <c r="B39" s="1533"/>
      <c r="C39" s="1533"/>
      <c r="D39" s="1533"/>
      <c r="E39" s="1533"/>
      <c r="F39" s="1533"/>
      <c r="G39" s="1533"/>
      <c r="H39" s="1533"/>
      <c r="I39" s="1533"/>
      <c r="J39" s="1534"/>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row>
    <row r="40" spans="1:35" ht="30" customHeight="1" thickBot="1" x14ac:dyDescent="0.45">
      <c r="A40" s="1535" t="str">
        <f xml:space="preserve">
IF(テーブル!B3="交付申請","□　委託契約書及び作業対象・実施内容が判るもの",
IF(テーブル!B3="変更申請","□　委託契約書及び作業対象・実施内容が判るもの",
IF(テーブル!B3="実績報告（１次）","□　委託料の請求書及び作業内訳（作業実施箇所、作業内容、実施日等）が判る業務報告書、日報等）",
IF(テーブル!B3="交付申請（２次）","－",
IF(テーブル!B3="交付申請兼実績報告（２次）","－",
IF(テーブル!B3="実績報告（２次）","－"))))))</f>
        <v>－</v>
      </c>
      <c r="B40" s="1536"/>
      <c r="C40" s="1536"/>
      <c r="D40" s="1536"/>
      <c r="E40" s="1536"/>
      <c r="F40" s="1536"/>
      <c r="G40" s="1536"/>
      <c r="H40" s="1536"/>
      <c r="I40" s="1536"/>
      <c r="J40" s="1537"/>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row>
    <row r="41" spans="1:35" ht="15" customHeight="1" thickTop="1" thickBot="1" x14ac:dyDescent="0.45">
      <c r="A41" s="243"/>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row>
    <row r="42" spans="1:35" ht="30" customHeight="1" thickTop="1" x14ac:dyDescent="0.4">
      <c r="A42" s="1538" t="s">
        <v>1112</v>
      </c>
      <c r="B42" s="1539"/>
      <c r="C42" s="1539"/>
      <c r="D42" s="1539"/>
      <c r="E42" s="1539"/>
      <c r="F42" s="1539"/>
      <c r="G42" s="1539"/>
      <c r="H42" s="1539"/>
      <c r="I42" s="1539"/>
      <c r="J42" s="1540"/>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row>
    <row r="43" spans="1:35" ht="30" customHeight="1" x14ac:dyDescent="0.4">
      <c r="A43" s="1532" t="str">
        <f xml:space="preserve">
IF(テーブル!B3="交付申請","□　カタログ、見積書（簡易診療室をプレハブ、コンテナで整備する場合はリース見積必須）",
IF(テーブル!B3="変更申請","□　カタログ、見積書（簡易診療室をプレハブ、コンテナで整備する場合はリース見積必須）",
IF(テーブル!B3="実績報告（１次）","□　納品書または請求書（経費細目が明記されたもの）",
IF(テーブル!B3="交付申請（２次）","□　カタログ、見積書（簡易診療室をプレハブ、コンテナで整備する場合はリース見積必須）",
IF(テーブル!B3="交付申請兼実績報告（２次）","－",
IF(テーブル!B3="実績報告（２次）","□　納品書または請求書（経費細目が明記されたもの）"))))))</f>
        <v>□　カタログ、見積書（簡易診療室をプレハブ、コンテナで整備する場合はリース見積必須）</v>
      </c>
      <c r="B43" s="1533"/>
      <c r="C43" s="1533"/>
      <c r="D43" s="1533"/>
      <c r="E43" s="1533"/>
      <c r="F43" s="1533"/>
      <c r="G43" s="1533"/>
      <c r="H43" s="1533"/>
      <c r="I43" s="1533"/>
      <c r="J43" s="1534"/>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242"/>
    </row>
    <row r="44" spans="1:35" ht="30" customHeight="1" x14ac:dyDescent="0.4">
      <c r="A44" s="1532" t="str">
        <f xml:space="preserve">
IF(テーブル!B3="交付申請","□　設置予定箇所がわかる敷地内平面図及び室内配置状況がわかる内部平面図（手書きでも可）",
IF(テーブル!B3="変更申請","□　設置予定箇所がわかる敷地内平面図及び室内配置状況がわかる内部平面図（手書きでも可）",
IF(テーブル!B3="実績報告（１次）","□　設置箇所がわかる敷地内平面図及び室内配置状況がわかる内部平面図（手書きでも可）",
IF(テーブル!B3="交付申請（２次）","□　設置予定箇所がわかる敷地内平面図及び室内配置状況がわかる内部平面図（手書きでも可）",
IF(テーブル!B3="交付申請兼実績報告（２次）","－",
IF(テーブル!B3="実績報告（２次）","□　設置箇所がわかる敷地内平面図及び室内配置状況がわかる内部平面図（手書きでも可）"))))))</f>
        <v>□　設置予定箇所がわかる敷地内平面図及び室内配置状況がわかる内部平面図（手書きでも可）</v>
      </c>
      <c r="B44" s="1533"/>
      <c r="C44" s="1533"/>
      <c r="D44" s="1533"/>
      <c r="E44" s="1533"/>
      <c r="F44" s="1533"/>
      <c r="G44" s="1533"/>
      <c r="H44" s="1533"/>
      <c r="I44" s="1533"/>
      <c r="J44" s="1534"/>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c r="AI44" s="242"/>
    </row>
    <row r="45" spans="1:35" ht="30" customHeight="1" thickBot="1" x14ac:dyDescent="0.45">
      <c r="A45" s="1535" t="str">
        <f xml:space="preserve">
IF(テーブル!B3="交付申請","－",
IF(テーブル!B3="変更申請","ー",
IF(テーブル!B3="実績報告（１次）","□　整備した設備の外景及び簡易診療室については内部の全景がわかる写真（備品の配置状況がわかるもの）",
IF(テーブル!B3="交付申請（２次）","－",
IF(テーブル!B3="交付申請兼実績報告（２次）","－",
IF(テーブル!B3="実績報告（２次）","□　整備した設備の外景及び簡易診療室については内部の全景がわかる写真（備品の配置状況がわかるもの）"))))))</f>
        <v>－</v>
      </c>
      <c r="B45" s="1536"/>
      <c r="C45" s="1536"/>
      <c r="D45" s="1536"/>
      <c r="E45" s="1536"/>
      <c r="F45" s="1536"/>
      <c r="G45" s="1536"/>
      <c r="H45" s="1536"/>
      <c r="I45" s="1536"/>
      <c r="J45" s="1537"/>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row>
    <row r="46" spans="1:35" ht="15" customHeight="1" thickTop="1" x14ac:dyDescent="0.4">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242"/>
      <c r="AC46" s="242"/>
      <c r="AD46" s="242"/>
      <c r="AE46" s="242"/>
      <c r="AF46" s="242"/>
      <c r="AG46" s="242"/>
      <c r="AH46" s="242"/>
      <c r="AI46" s="242"/>
    </row>
    <row r="47" spans="1:35" x14ac:dyDescent="0.4">
      <c r="C47" s="242"/>
      <c r="D47" s="242"/>
      <c r="E47" s="242"/>
      <c r="F47" s="242"/>
      <c r="G47" s="242"/>
      <c r="H47" s="242"/>
      <c r="I47" s="242"/>
      <c r="J47" s="242"/>
      <c r="K47" s="242"/>
      <c r="L47" s="242"/>
      <c r="M47" s="242"/>
      <c r="N47" s="242"/>
      <c r="O47" s="242"/>
      <c r="P47" s="242"/>
      <c r="Q47" s="242"/>
      <c r="R47" s="242"/>
      <c r="S47" s="242"/>
      <c r="T47" s="242"/>
      <c r="U47" s="242"/>
      <c r="V47" s="242"/>
      <c r="W47" s="242"/>
      <c r="X47" s="242"/>
      <c r="Y47" s="242"/>
      <c r="Z47" s="242"/>
      <c r="AA47" s="242"/>
      <c r="AB47" s="242"/>
      <c r="AC47" s="242"/>
      <c r="AD47" s="242"/>
      <c r="AE47" s="242"/>
      <c r="AF47" s="242"/>
      <c r="AG47" s="242"/>
      <c r="AH47" s="242"/>
      <c r="AI47" s="242"/>
    </row>
    <row r="48" spans="1:35" x14ac:dyDescent="0.4">
      <c r="C48" s="242"/>
      <c r="D48" s="242"/>
      <c r="E48" s="242"/>
      <c r="F48" s="242"/>
      <c r="G48" s="242"/>
      <c r="H48" s="242"/>
      <c r="I48" s="242"/>
      <c r="J48" s="242"/>
      <c r="K48" s="242"/>
      <c r="L48" s="242"/>
      <c r="M48" s="99" t="s">
        <v>178</v>
      </c>
      <c r="N48" s="99" t="s">
        <v>179</v>
      </c>
      <c r="O48" s="242"/>
      <c r="P48" s="242"/>
      <c r="Q48" s="242"/>
      <c r="R48" s="242"/>
      <c r="S48" s="242"/>
      <c r="T48" s="242"/>
      <c r="U48" s="242"/>
      <c r="V48" s="242"/>
      <c r="W48" s="242"/>
      <c r="X48" s="242"/>
      <c r="Y48" s="242"/>
      <c r="Z48" s="242"/>
      <c r="AA48" s="242"/>
      <c r="AB48" s="242"/>
      <c r="AC48" s="242"/>
      <c r="AD48" s="242"/>
      <c r="AE48" s="242"/>
      <c r="AF48" s="242"/>
      <c r="AG48" s="242"/>
      <c r="AH48" s="242"/>
      <c r="AI48" s="242"/>
    </row>
    <row r="49" spans="1:35" x14ac:dyDescent="0.4">
      <c r="C49" s="242"/>
      <c r="D49" s="242"/>
      <c r="E49" s="242"/>
      <c r="F49" s="242"/>
      <c r="G49" s="242"/>
      <c r="H49" s="242"/>
      <c r="I49" s="242"/>
      <c r="J49" s="242"/>
      <c r="K49" s="242"/>
      <c r="L49" s="242"/>
      <c r="M49" s="1517" t="str">
        <f>IF(LEN(D25)=7,"○","×")</f>
        <v>×</v>
      </c>
      <c r="N49" s="1519" t="str">
        <f>IF(LEN(D25)=7,"適切に入力がされました。"&amp;CHAR(10)&amp;"※右肩の日付は入力しないでください。",
"【要修正】７桁の振込先口座番号を入力してください。"&amp;CHAR(10)&amp;"※先頭が０の場合も必ず入力してください。"&amp;CHAR(10)&amp;"※右肩の日付は入力しないでください。")</f>
        <v>【要修正】７桁の振込先口座番号を入力してください。
※先頭が０の場合も必ず入力してください。
※右肩の日付は入力しないでください。</v>
      </c>
      <c r="O49" s="242"/>
      <c r="P49" s="242"/>
      <c r="Q49" s="242"/>
      <c r="R49" s="242"/>
      <c r="S49" s="242"/>
      <c r="T49" s="242"/>
      <c r="U49" s="242"/>
      <c r="V49" s="242"/>
      <c r="W49" s="242"/>
      <c r="X49" s="242"/>
      <c r="Y49" s="242"/>
      <c r="Z49" s="242"/>
      <c r="AA49" s="242"/>
      <c r="AB49" s="242"/>
      <c r="AC49" s="242"/>
      <c r="AD49" s="242"/>
      <c r="AE49" s="242"/>
      <c r="AF49" s="242"/>
      <c r="AG49" s="242"/>
      <c r="AH49" s="242"/>
      <c r="AI49" s="242"/>
    </row>
    <row r="50" spans="1:35" x14ac:dyDescent="0.4">
      <c r="C50" s="242"/>
      <c r="D50" s="242"/>
      <c r="E50" s="242"/>
      <c r="F50" s="242"/>
      <c r="G50" s="242"/>
      <c r="H50" s="242"/>
      <c r="I50" s="242"/>
      <c r="J50" s="242"/>
      <c r="K50" s="242"/>
      <c r="L50" s="242"/>
      <c r="M50" s="1518"/>
      <c r="N50" s="1520"/>
      <c r="O50" s="242"/>
      <c r="P50" s="242"/>
      <c r="Q50" s="242"/>
      <c r="R50" s="242"/>
      <c r="S50" s="242"/>
      <c r="T50" s="242"/>
      <c r="U50" s="242"/>
      <c r="V50" s="242"/>
      <c r="W50" s="242"/>
      <c r="X50" s="242"/>
      <c r="Y50" s="242"/>
      <c r="Z50" s="242"/>
      <c r="AA50" s="242"/>
      <c r="AB50" s="242"/>
      <c r="AC50" s="242"/>
      <c r="AD50" s="242"/>
      <c r="AE50" s="242"/>
      <c r="AF50" s="242"/>
      <c r="AG50" s="242"/>
      <c r="AH50" s="242"/>
      <c r="AI50" s="242"/>
    </row>
    <row r="51" spans="1:35" x14ac:dyDescent="0.4">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2"/>
      <c r="AG51" s="242"/>
      <c r="AH51" s="242"/>
      <c r="AI51" s="242"/>
    </row>
    <row r="52" spans="1:35" x14ac:dyDescent="0.4">
      <c r="C52" s="242"/>
      <c r="D52" s="242"/>
      <c r="E52" s="242"/>
      <c r="F52" s="242"/>
      <c r="G52" s="242"/>
      <c r="H52" s="242"/>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2"/>
      <c r="AG52" s="242"/>
      <c r="AH52" s="242"/>
      <c r="AI52" s="242"/>
    </row>
    <row r="53" spans="1:35" x14ac:dyDescent="0.4">
      <c r="A53" s="1484"/>
      <c r="B53" s="1485"/>
      <c r="C53" s="1485"/>
      <c r="D53" s="1485"/>
      <c r="E53" s="1485"/>
      <c r="F53" s="1485"/>
      <c r="G53" s="1485"/>
      <c r="H53" s="1485"/>
      <c r="I53" s="1485"/>
      <c r="J53" s="1485"/>
      <c r="K53" s="1485"/>
      <c r="L53" s="1485"/>
      <c r="M53" s="1485"/>
      <c r="N53" s="1485"/>
      <c r="O53" s="1485"/>
      <c r="P53" s="1485"/>
      <c r="Q53" s="1485"/>
      <c r="R53" s="1485"/>
      <c r="S53" s="1485"/>
      <c r="T53" s="1485"/>
      <c r="U53" s="1485"/>
      <c r="V53" s="1485"/>
      <c r="W53" s="1485"/>
      <c r="X53" s="1485"/>
      <c r="Y53" s="1485"/>
      <c r="Z53" s="1485"/>
      <c r="AA53" s="1485"/>
      <c r="AB53" s="1485"/>
      <c r="AC53" s="1485"/>
      <c r="AD53" s="1485"/>
      <c r="AE53" s="1485"/>
      <c r="AF53" s="1485"/>
      <c r="AG53" s="1485"/>
      <c r="AH53" s="1485"/>
      <c r="AI53" s="1485"/>
    </row>
  </sheetData>
  <mergeCells count="35">
    <mergeCell ref="A32:J32"/>
    <mergeCell ref="A30:J30"/>
    <mergeCell ref="A29:J29"/>
    <mergeCell ref="A34:J34"/>
    <mergeCell ref="A35:J35"/>
    <mergeCell ref="A53:AI53"/>
    <mergeCell ref="A43:J43"/>
    <mergeCell ref="A44:J44"/>
    <mergeCell ref="A45:J45"/>
    <mergeCell ref="A37:J37"/>
    <mergeCell ref="A38:J38"/>
    <mergeCell ref="A39:J39"/>
    <mergeCell ref="A40:J40"/>
    <mergeCell ref="A42:J42"/>
    <mergeCell ref="A12:J13"/>
    <mergeCell ref="A4:C4"/>
    <mergeCell ref="M49:M50"/>
    <mergeCell ref="N49:N50"/>
    <mergeCell ref="B25:C25"/>
    <mergeCell ref="D22:I22"/>
    <mergeCell ref="D23:I23"/>
    <mergeCell ref="D24:I24"/>
    <mergeCell ref="D25:I25"/>
    <mergeCell ref="B24:C24"/>
    <mergeCell ref="A15:J16"/>
    <mergeCell ref="A17:J17"/>
    <mergeCell ref="B22:C22"/>
    <mergeCell ref="B23:C23"/>
    <mergeCell ref="E6:E7"/>
    <mergeCell ref="A31:J31"/>
    <mergeCell ref="G1:J1"/>
    <mergeCell ref="G6:J7"/>
    <mergeCell ref="G8:J8"/>
    <mergeCell ref="G9:J9"/>
    <mergeCell ref="G10:J10"/>
  </mergeCells>
  <phoneticPr fontId="1"/>
  <conditionalFormatting sqref="M49:M50">
    <cfRule type="containsText" dxfId="65" priority="2" operator="containsText" text="×">
      <formula>NOT(ISERROR(SEARCH("×",M49)))</formula>
    </cfRule>
  </conditionalFormatting>
  <conditionalFormatting sqref="N49:N50">
    <cfRule type="containsText" dxfId="64" priority="1" operator="containsText" text="要修正">
      <formula>NOT(ISERROR(SEARCH("要修正",N49)))</formula>
    </cfRule>
  </conditionalFormatting>
  <pageMargins left="0.7" right="0.7" top="0.75" bottom="0.75" header="0.3" footer="0.3"/>
  <pageSetup paperSize="9" scale="49" orientation="portrait" r:id="rId1"/>
  <rowBreaks count="1" manualBreakCount="1">
    <brk id="27" max="8"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B56"/>
  <sheetViews>
    <sheetView showGridLines="0" view="pageBreakPreview" topLeftCell="A24" zoomScale="115" zoomScaleNormal="100" zoomScaleSheetLayoutView="115" workbookViewId="0">
      <selection activeCell="AK53" sqref="AK53"/>
    </sheetView>
  </sheetViews>
  <sheetFormatPr defaultColWidth="5.625" defaultRowHeight="20.100000000000001" customHeight="1" x14ac:dyDescent="0.4"/>
  <cols>
    <col min="1" max="1" width="2.625" style="53" customWidth="1"/>
    <col min="2" max="18" width="4.625" style="53" customWidth="1"/>
    <col min="19" max="19" width="2.625" style="53" customWidth="1"/>
    <col min="20" max="20" width="1.75" style="53" customWidth="1"/>
    <col min="21" max="25" width="10.125" style="53" customWidth="1"/>
    <col min="26" max="26" width="7" style="53" customWidth="1"/>
    <col min="27" max="38" width="10.25" style="53" customWidth="1"/>
    <col min="39" max="39" width="4.625" style="53" customWidth="1"/>
    <col min="40" max="41" width="10.625" style="53" customWidth="1"/>
    <col min="42" max="42" width="4.625" style="53" customWidth="1"/>
    <col min="43" max="44" width="10.25" style="53" customWidth="1"/>
    <col min="45" max="47" width="6.625" style="53" customWidth="1"/>
    <col min="48" max="54" width="10.25" style="53" customWidth="1"/>
    <col min="55" max="16384" width="5.625" style="53"/>
  </cols>
  <sheetData>
    <row r="1" spans="1:54" ht="9.9499999999999993" customHeight="1" x14ac:dyDescent="0.4"/>
    <row r="2" spans="1:54" ht="15.95" customHeight="1" x14ac:dyDescent="0.4">
      <c r="O2" s="1541" t="str">
        <f xml:space="preserve">
IF(テーブル!B3="交付申請","（５月８日～９月30日分）",
IF(テーブル!B3="変更申請","（５月８日～９月30日分）",
IF(テーブル!B3="実績報告（１次）","（５月８日～９月30日分）",
IF(テーブル!B3="交付申請（２次）","（10月１日～３月31日分）",
IF(テーブル!B3="交付申請兼実績報告（２次）","（10月１日～３月31日分）",
IF(テーブル!B3="実績報告（２次）","（10月１日～３月31日分）"))))))</f>
        <v>（10月１日～３月31日分）</v>
      </c>
      <c r="P2" s="1542"/>
      <c r="Q2" s="1542"/>
      <c r="R2" s="1542"/>
      <c r="S2" s="1542"/>
    </row>
    <row r="3" spans="1:54" ht="15.95" customHeight="1" x14ac:dyDescent="0.4">
      <c r="B3" s="53" t="str">
        <f xml:space="preserve">
IF(テーブル!B3="交付申請","様式２",
IF(テーブル!B3="変更申請","様式３",
IF(テーブル!B3="実績報告（１次）","様式４",
IF(テーブル!B3="交付申請（２次）","様式２",
IF(テーブル!B3="交付申請兼実績報告（２次）","様式１",
IF(テーブル!B3="実績報告（２次）","様式４"))))))</f>
        <v>様式２</v>
      </c>
      <c r="U3" s="146" t="s">
        <v>1338</v>
      </c>
      <c r="V3" s="610" t="s">
        <v>1378</v>
      </c>
    </row>
    <row r="4" spans="1:54" ht="15.95" customHeight="1" x14ac:dyDescent="0.4">
      <c r="N4" s="1554" t="str">
        <f>IF(はじめに入力してください!H13="","",はじめに入力してください!H13)</f>
        <v/>
      </c>
      <c r="O4" s="1554"/>
      <c r="P4" s="1554"/>
      <c r="Q4" s="1554"/>
      <c r="R4" s="1544"/>
      <c r="Z4" s="407"/>
      <c r="AA4" s="407"/>
      <c r="AB4" s="408"/>
      <c r="AC4" s="407"/>
      <c r="AD4" s="409"/>
      <c r="AE4" s="409"/>
      <c r="AF4" s="409"/>
      <c r="AG4" s="407"/>
      <c r="AH4" s="407"/>
      <c r="AI4" s="409"/>
      <c r="AJ4" s="409"/>
      <c r="AK4" s="410"/>
      <c r="AL4" s="410"/>
      <c r="AM4" s="410"/>
      <c r="AN4" s="410"/>
      <c r="AO4" s="410"/>
      <c r="AP4" s="410"/>
      <c r="AQ4" s="410"/>
      <c r="AR4" s="410"/>
      <c r="AS4" s="409"/>
      <c r="AT4" s="411"/>
      <c r="AU4" s="411"/>
      <c r="AV4" s="26"/>
      <c r="AW4" s="26"/>
      <c r="AX4" s="26"/>
      <c r="AY4" s="26"/>
      <c r="AZ4" s="26"/>
      <c r="BA4" s="135"/>
      <c r="BB4" s="135"/>
    </row>
    <row r="5" spans="1:54" ht="15.95" customHeight="1" x14ac:dyDescent="0.4">
      <c r="N5" s="1558" t="str">
        <f>IF(COUNTA(はじめに入力してください!I12,はじめに入力してください!K12,はじめに入力してください!M12)&lt;&gt;3,
"令和　年　月　　日",
はじめに入力してください!H12&amp;はじめに入力してください!I12&amp;はじめに入力してください!J12&amp;はじめに入力してください!K12&amp;はじめに入力してください!L12&amp;はじめに入力してください!M12&amp;はじめに入力してください!N12)</f>
        <v>令和　年　月　　日</v>
      </c>
      <c r="O5" s="1559"/>
      <c r="P5" s="1559"/>
      <c r="Q5" s="1559"/>
      <c r="R5" s="1560"/>
      <c r="Z5" s="407"/>
      <c r="AA5" s="407"/>
      <c r="AB5" s="408"/>
      <c r="AC5" s="407"/>
      <c r="AD5" s="409"/>
      <c r="AE5" s="409"/>
      <c r="AF5" s="409"/>
      <c r="AG5" s="407"/>
      <c r="AH5" s="407"/>
      <c r="AI5" s="409"/>
      <c r="AJ5" s="409"/>
      <c r="AK5" s="412"/>
      <c r="AL5" s="413"/>
      <c r="AM5" s="412"/>
      <c r="AN5" s="413"/>
      <c r="AO5" s="410"/>
      <c r="AP5" s="412"/>
      <c r="AQ5" s="413"/>
      <c r="AR5" s="410"/>
      <c r="AS5" s="409"/>
      <c r="AT5" s="411"/>
      <c r="AU5" s="411"/>
      <c r="AV5" s="26"/>
      <c r="AW5" s="26"/>
      <c r="AX5" s="26"/>
      <c r="AY5" s="26"/>
      <c r="AZ5" s="26"/>
      <c r="BA5" s="135"/>
      <c r="BB5" s="135"/>
    </row>
    <row r="6" spans="1:54" ht="15.95" customHeight="1" x14ac:dyDescent="0.4">
      <c r="B6" s="1565" t="s">
        <v>13</v>
      </c>
      <c r="C6" s="1565"/>
      <c r="D6" s="1565"/>
      <c r="E6" s="1565"/>
      <c r="F6" s="1565"/>
      <c r="G6" s="1565"/>
      <c r="Z6" s="414"/>
      <c r="AA6" s="26"/>
      <c r="AB6" s="26"/>
      <c r="AC6" s="415"/>
      <c r="AD6" s="415"/>
      <c r="AE6" s="415"/>
      <c r="AF6" s="415"/>
      <c r="AG6" s="415"/>
      <c r="AH6" s="415"/>
      <c r="AI6" s="415"/>
      <c r="AJ6" s="415"/>
      <c r="AK6" s="415"/>
      <c r="AL6" s="415"/>
      <c r="AM6" s="415"/>
      <c r="AN6" s="415"/>
      <c r="AO6" s="415"/>
      <c r="AP6" s="415"/>
      <c r="AQ6" s="415"/>
      <c r="AR6" s="415"/>
      <c r="AS6" s="26"/>
      <c r="AT6" s="416"/>
      <c r="AU6" s="26"/>
      <c r="AV6" s="26"/>
      <c r="AW6" s="26"/>
      <c r="AX6" s="26"/>
      <c r="AY6" s="26"/>
      <c r="AZ6" s="26"/>
      <c r="BA6" s="26"/>
      <c r="BB6" s="26"/>
    </row>
    <row r="7" spans="1:54" ht="15.95" customHeight="1" x14ac:dyDescent="0.4">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row>
    <row r="8" spans="1:54" ht="15.95" customHeight="1" x14ac:dyDescent="0.4">
      <c r="I8" s="1550" t="s">
        <v>58</v>
      </c>
      <c r="J8" s="1550"/>
      <c r="K8" s="1550"/>
      <c r="L8" s="1566" t="str">
        <f>IF(はじめに入力してください!H9=0,"",はじめに入力してください!H9)</f>
        <v/>
      </c>
      <c r="M8" s="1566"/>
      <c r="N8" s="1566"/>
      <c r="O8" s="1566"/>
      <c r="P8" s="1566"/>
      <c r="Q8" s="1566"/>
      <c r="R8" s="1566"/>
      <c r="Z8" s="26"/>
      <c r="AA8" s="56"/>
      <c r="AB8" s="56"/>
      <c r="AC8" s="56"/>
      <c r="AD8" s="56"/>
      <c r="AE8" s="56"/>
      <c r="AF8" s="56"/>
      <c r="AG8" s="56"/>
      <c r="AH8" s="26"/>
      <c r="AI8" s="26"/>
      <c r="AJ8" s="26"/>
      <c r="AK8" s="26"/>
      <c r="AL8" s="26"/>
      <c r="AM8" s="26"/>
      <c r="AN8" s="26"/>
      <c r="AO8" s="26"/>
      <c r="AP8" s="26"/>
      <c r="AQ8" s="26"/>
      <c r="AR8" s="26"/>
      <c r="AS8" s="26"/>
      <c r="AT8" s="26"/>
      <c r="AU8" s="26"/>
      <c r="AV8" s="26"/>
      <c r="AW8" s="26"/>
      <c r="AX8" s="26"/>
      <c r="AY8" s="26"/>
      <c r="AZ8" s="26"/>
      <c r="BA8" s="26"/>
      <c r="BB8" s="26"/>
    </row>
    <row r="9" spans="1:54" ht="15.95" customHeight="1" x14ac:dyDescent="0.4">
      <c r="I9" s="1550" t="s">
        <v>11</v>
      </c>
      <c r="J9" s="1550"/>
      <c r="K9" s="1550"/>
      <c r="L9" s="1566" t="str">
        <f xml:space="preserve">
IF(はじめに入力してください!O3="×","",
IF(はじめに入力してください!O3="○"&amp;CHAR(10)&amp;"（個人）",はじめに入力してください!H6,
IF(はじめに入力してください!O3="○"&amp;CHAR(10)&amp;"（法人）",はじめに入力してください!H6&amp;"("&amp;はじめに入力してください!H10&amp;")",
IF(はじめに入力してください!O3="○"&amp;CHAR(10)&amp;"（公立）",はじめに入力してください!H6&amp;"("&amp;はじめに入力してください!H10&amp;")"))))</f>
        <v/>
      </c>
      <c r="M9" s="1566"/>
      <c r="N9" s="1566"/>
      <c r="O9" s="1566"/>
      <c r="P9" s="1566"/>
      <c r="Q9" s="1566"/>
      <c r="R9" s="1566"/>
      <c r="Z9" s="26"/>
      <c r="AA9" s="56"/>
      <c r="AB9" s="56"/>
      <c r="AC9" s="56"/>
      <c r="AD9" s="56"/>
      <c r="AE9" s="56"/>
      <c r="AF9" s="56"/>
      <c r="AG9" s="56"/>
      <c r="AH9" s="26"/>
      <c r="AI9" s="26"/>
      <c r="AJ9" s="26"/>
      <c r="AK9" s="26"/>
      <c r="AL9" s="26"/>
      <c r="AM9" s="26"/>
      <c r="AN9" s="26"/>
      <c r="AO9" s="26"/>
      <c r="AP9" s="26"/>
      <c r="AQ9" s="26"/>
      <c r="AR9" s="26"/>
      <c r="AS9" s="26"/>
      <c r="AT9" s="26"/>
      <c r="AU9" s="26"/>
      <c r="AV9" s="26"/>
      <c r="AW9" s="26"/>
      <c r="AX9" s="26"/>
      <c r="AY9" s="26"/>
      <c r="AZ9" s="26"/>
      <c r="BA9" s="26"/>
      <c r="BB9" s="26"/>
    </row>
    <row r="10" spans="1:54" ht="15.95" customHeight="1" x14ac:dyDescent="0.4">
      <c r="I10" s="1550" t="s">
        <v>38</v>
      </c>
      <c r="J10" s="1550"/>
      <c r="K10" s="1550"/>
      <c r="L10" s="1567" t="str">
        <f>はじめに入力してください!H7&amp;"　"&amp;はじめに入力してください!H8</f>
        <v>　</v>
      </c>
      <c r="M10" s="1567"/>
      <c r="N10" s="1567"/>
      <c r="O10" s="1567"/>
      <c r="P10" s="1567"/>
      <c r="Q10" s="1567"/>
      <c r="R10" s="1567"/>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row>
    <row r="11" spans="1:54" ht="9.9499999999999993" customHeight="1" x14ac:dyDescent="0.4"/>
    <row r="12" spans="1:54" ht="32.1" customHeight="1" x14ac:dyDescent="0.4">
      <c r="B12" s="1552" t="str">
        <f xml:space="preserve">
IF(テーブル!B3="交付申請","　　　令和５年度新型コロナウイルス感染症外来対応医療機関等設備整備費補助金"&amp;CHAR(10)&amp;"　　　交付申請書",
IF(テーブル!B3="変更申請","　　　令和５年度新型コロナウイルス感染症外来対応医療機関等設備整備費補助金"&amp;CHAR(10)&amp;"　　　変更交付申請書",
IF(テーブル!B3="実績報告（１次）","　　　令和５年度新型コロナウイルス感染症外来対応医療機関等設備整備費補助金"&amp;CHAR(10)&amp;"　　　事業実績報告書",
IF(テーブル!B3="交付申請（２次）","　　　令和５年度新型コロナウイルス感染症外来対応医療機関等設備整備費補助金"&amp;CHAR(10)&amp;"　　　交付申請書",
IF(テーブル!B3="交付申請兼実績報告（２次）","　　　令和５年度新型コロナウイルス感染症外来対応医療機関等設備整備費補助金"&amp;CHAR(10)&amp;"　　　交付申請書兼実績報告書兼請求書",
IF(テーブル!B3="実績報告（２次）","　　　令和５年度新型コロナウイルス感染症外来対応医療機関等設備整備費補助金"&amp;CHAR(10)&amp;"　　　事業実績報告書"))))))</f>
        <v>　　　令和５年度新型コロナウイルス感染症外来対応医療機関等設備整備費補助金
　　　交付申請書</v>
      </c>
      <c r="C12" s="1552"/>
      <c r="D12" s="1552"/>
      <c r="E12" s="1552"/>
      <c r="F12" s="1552"/>
      <c r="G12" s="1552"/>
      <c r="H12" s="1552"/>
      <c r="I12" s="1552"/>
      <c r="J12" s="1552"/>
      <c r="K12" s="1552"/>
      <c r="L12" s="1552"/>
      <c r="M12" s="1552"/>
      <c r="N12" s="1552"/>
      <c r="O12" s="1552"/>
      <c r="P12" s="1552"/>
      <c r="Q12" s="1552"/>
      <c r="R12" s="1552"/>
    </row>
    <row r="13" spans="1:54" ht="9.9499999999999993" customHeight="1" x14ac:dyDescent="0.4"/>
    <row r="14" spans="1:54" ht="32.1" customHeight="1" x14ac:dyDescent="0.4">
      <c r="A14" s="1553" t="str">
        <f xml:space="preserve">
IF(テーブル!B3="交付申請","　　このことについて、下記により申請します。",
IF(テーブル!B3="変更申請","　　このことについて、下記により申請します。",
IF(テーブル!B3="実績報告（１次）","　　このことについて、下記により提出します。",
IF(テーブル!B3="交付申請（２次）","　　このことについて、下記により申請します。",
IF(テーブル!B3="交付申請兼実績報告（２次）","　　このことについて、下記のとおり申請、実績額を報告の上、請求します。"&amp;CHAR(10)&amp;"　　なお、支払は下記の口座に振り込んでください。",
IF(テーブル!B3="実績報告（２次）","　　このことについて、下記により提出します。"))))))</f>
        <v>　　このことについて、下記により申請します。</v>
      </c>
      <c r="B14" s="1551"/>
      <c r="C14" s="1551"/>
      <c r="D14" s="1551"/>
      <c r="E14" s="1551"/>
      <c r="F14" s="1551"/>
      <c r="G14" s="1551"/>
      <c r="H14" s="1551"/>
      <c r="I14" s="1551"/>
      <c r="J14" s="1551"/>
      <c r="K14" s="1551"/>
      <c r="L14" s="1551"/>
      <c r="M14" s="1551"/>
      <c r="N14" s="1551"/>
      <c r="O14" s="1551"/>
      <c r="P14" s="1551"/>
      <c r="Q14" s="1551"/>
      <c r="R14" s="1551"/>
      <c r="S14" s="1551"/>
    </row>
    <row r="15" spans="1:54" ht="15.95" customHeight="1" x14ac:dyDescent="0.4">
      <c r="B15" s="1550" t="s">
        <v>16</v>
      </c>
      <c r="C15" s="1550"/>
      <c r="D15" s="1550"/>
      <c r="E15" s="1550"/>
      <c r="F15" s="1550"/>
      <c r="G15" s="1550"/>
      <c r="H15" s="1550"/>
      <c r="I15" s="1550"/>
      <c r="J15" s="1550"/>
      <c r="K15" s="1550"/>
      <c r="L15" s="1550"/>
      <c r="M15" s="1550"/>
      <c r="N15" s="1550"/>
      <c r="O15" s="1550"/>
      <c r="P15" s="1550"/>
      <c r="Q15" s="1550"/>
      <c r="R15" s="1550"/>
    </row>
    <row r="16" spans="1:54" ht="18" customHeight="1" x14ac:dyDescent="0.4">
      <c r="B16" s="53" t="s">
        <v>39</v>
      </c>
      <c r="C16" s="277"/>
      <c r="D16" s="277"/>
      <c r="E16" s="277"/>
      <c r="F16" s="277"/>
      <c r="G16" s="277"/>
      <c r="H16" s="277"/>
      <c r="I16" s="277"/>
      <c r="J16" s="277"/>
      <c r="K16" s="277"/>
      <c r="L16" s="277"/>
      <c r="M16" s="277"/>
      <c r="N16" s="277"/>
      <c r="O16" s="277"/>
      <c r="P16" s="277"/>
      <c r="Q16" s="277"/>
      <c r="R16" s="277"/>
      <c r="V16" s="26"/>
      <c r="W16" s="111"/>
    </row>
    <row r="17" spans="2:23" ht="18" customHeight="1" x14ac:dyDescent="0.4">
      <c r="C17" s="1551" t="str">
        <f>IF(はじめに入力してください!H10=0,"",はじめに入力してください!H10)</f>
        <v/>
      </c>
      <c r="D17" s="1551"/>
      <c r="E17" s="1551"/>
      <c r="F17" s="1551"/>
      <c r="G17" s="1551"/>
      <c r="H17" s="1551"/>
      <c r="I17" s="1551"/>
      <c r="J17" s="1551"/>
      <c r="K17" s="1551"/>
      <c r="L17" s="1551"/>
      <c r="M17" s="1551"/>
      <c r="N17" s="1551"/>
      <c r="O17" s="1551"/>
      <c r="P17" s="1551"/>
      <c r="Q17" s="1551"/>
      <c r="R17" s="1551"/>
      <c r="V17" s="111"/>
      <c r="W17" s="111"/>
    </row>
    <row r="18" spans="2:23" ht="18" customHeight="1" x14ac:dyDescent="0.4">
      <c r="C18" s="1551" t="str">
        <f>IF(はじめに入力してください!H11=0,"",はじめに入力してください!H11)</f>
        <v/>
      </c>
      <c r="D18" s="1551"/>
      <c r="E18" s="1551"/>
      <c r="F18" s="1551"/>
      <c r="G18" s="1551"/>
      <c r="H18" s="1551"/>
      <c r="I18" s="1551"/>
      <c r="J18" s="1551"/>
      <c r="K18" s="1551"/>
      <c r="L18" s="1551"/>
      <c r="M18" s="1551"/>
      <c r="N18" s="1551"/>
      <c r="O18" s="1551"/>
      <c r="P18" s="1551"/>
      <c r="Q18" s="1551"/>
      <c r="R18" s="1551"/>
      <c r="V18" s="1035"/>
      <c r="W18" s="1035"/>
    </row>
    <row r="19" spans="2:23" ht="18" customHeight="1" x14ac:dyDescent="0.4">
      <c r="B19" s="1553" t="str">
        <f xml:space="preserve">
IF(テーブル!B3="交付申請","２　補助金申請額",
IF(テーブル!B3="変更申請","２　補助額",
IF(テーブル!B3="実績報告（１次）","２　補助金精算額",
IF(テーブル!B3="交付申請（２次）","２　補助金申請額",
IF(テーブル!B3="交付申請兼実績報告（２次）","２　補助金精算額",
IF(テーブル!B3="実績報告（２次）","２　補助金精算額"))))))</f>
        <v>２　補助金申請額</v>
      </c>
      <c r="C19" s="1557"/>
      <c r="D19" s="1557"/>
      <c r="E19" s="1557"/>
      <c r="F19" s="1557"/>
      <c r="G19" s="1557"/>
      <c r="H19" s="1557"/>
      <c r="I19" s="1557"/>
      <c r="J19" s="1557"/>
      <c r="K19" s="1557"/>
      <c r="L19" s="1557"/>
      <c r="M19" s="1557"/>
      <c r="N19" s="1557"/>
      <c r="O19" s="1557"/>
      <c r="P19" s="1557"/>
      <c r="Q19" s="1557"/>
      <c r="R19" s="1557"/>
      <c r="V19" s="1035"/>
      <c r="W19" s="1035"/>
    </row>
    <row r="20" spans="2:23" ht="18" customHeight="1" x14ac:dyDescent="0.4">
      <c r="C20" s="1543" t="str">
        <f xml:space="preserve">
IF(テーブル!B3="交付申請","",
IF(テーブル!B3="変更申請","（１）申請額",
IF(テーブル!B3="実績報告（１次）","",
IF(テーブル!B3="交付申請（２次）","",
IF(テーブル!B3="交付申請兼実績報告（２次）","",
IF(テーブル!B3="実績報告（２次）",""))))))</f>
        <v/>
      </c>
      <c r="D20" s="1544"/>
      <c r="E20" s="1544"/>
      <c r="F20" s="1544"/>
      <c r="H20" s="1545" t="str">
        <f xml:space="preserve">
IF(AND(テーブル!B3="交付申請",はじめに入力してください!F42="×"),"金　　　　　　　　　円",
IF(AND(テーブル!B3="交付申請",はじめに入力してください!F42="○"),経費書!J19,
IF(AND(テーブル!B3="変更申請",はじめに入力してください!F42="×"),"金　　　　　　　　　円",
IF(AND(テーブル!B3="変更申請",はじめに入力してください!F42="○"),経費書!J19,
IF(AND(テーブル!B3="実績報告（１次）",はじめに入力してください!F42="×"),"金　　　　　　　　　円",
IF(AND(テーブル!B3="実績報告（１次）",はじめに入力してください!F42="○"),経費書!M20,
IF(AND(テーブル!B3="交付申請（２次）",はじめに入力してください!F42="×"),"金　　　　　　　　　円",
IF(AND(テーブル!B3="交付申請（２次）",はじめに入力してください!F42="○"),経費書!J19,
IF(AND(テーブル!B3="交付申請兼実績報告（２次）",はじめに入力してください!F42="×"),"金　　　　　　　　　円",
IF(AND(テーブル!B3="交付申請兼実績報告（２次）",はじめに入力してください!F42="○"),経費書!J19,
IF(AND(テーブル!B3="実績報告（２次）",はじめに入力してください!F42="×"),"金　　　　　　　　　円",
IF(AND(テーブル!B3="実績報告（２次）",はじめに入力してください!F42="○"),経費書!M20))))))))))))</f>
        <v>金　　　　　　　　　円</v>
      </c>
      <c r="I20" s="1546"/>
      <c r="J20" s="1546"/>
      <c r="K20" s="1546"/>
      <c r="L20" s="1547"/>
      <c r="M20" s="1555" t="str">
        <f xml:space="preserve">
IF(テーブル!B3="交付申請","",
IF(テーブル!B3="変更申請","",
IF(AND(テーブル!B3="実績報告（１次）",はじめに入力してください!F42="×"),"",
IF(AND(テーブル!B3="実績報告（１次）",はじめに入力してください!F42="○"),"　　交付決定額：　"&amp;TEXT(経費書!M19,"#,###円")&amp;CHAR(10)&amp;IF(経費書!M19=経費書!N19,"　→交付決定の額と一致","　→差　引　額："&amp;TEXT(経費書!M19-経費書!N19,"△"&amp;"#,##0円")),
IF(テーブル!B3="交付申請（２次）","",
IF(テーブル!B3="交付申請兼実績報告（２次）","",
IF(AND(テーブル!B3="実績報告（２次）",はじめに入力してください!F42="×"),"",
IF(AND(テーブル!B3="実績報告（２次）",はじめに入力してください!F42="○"),"　　交付決定額：　"&amp;TEXT(経費書!M19,"#,###円")&amp;CHAR(10)&amp;IF(経費書!M19=経費書!N19,"　→交付決定の額と一致","　→差　引　額："&amp;TEXT(経費書!M19-経費書!N19,"△"&amp;"#,##0円"))))))))))</f>
        <v/>
      </c>
      <c r="N20" s="1556"/>
      <c r="O20" s="1556"/>
      <c r="P20" s="1556"/>
      <c r="Q20" s="1556"/>
      <c r="R20" s="1556"/>
      <c r="S20" s="1556"/>
      <c r="V20" s="111"/>
      <c r="W20" s="111"/>
    </row>
    <row r="21" spans="2:23" ht="18" customHeight="1" x14ac:dyDescent="0.4">
      <c r="C21" s="1543" t="str">
        <f xml:space="preserve">
IF(テーブル!B3="交付申請","",
IF(テーブル!B3="変更申請","（２）既交付決定額",
IF(テーブル!B3="実績報告（１次）","",
IF(テーブル!B3="交付申請（２次）","",
IF(テーブル!B3="交付申請兼実績報告（２次）","",
IF(テーブル!B3="実績報告（２次）",""))))))</f>
        <v/>
      </c>
      <c r="D21" s="1544"/>
      <c r="E21" s="1544"/>
      <c r="F21" s="1544"/>
      <c r="H21" s="1549" t="str">
        <f xml:space="preserve">
IF(テーブル!B3="交付申請","",
IF(AND(テーブル!B3="変更申請",はじめに入力してください!L18=""),"金　　　　　　　　　円",
IF(AND(テーブル!B3="変更申請",はじめに入力してください!L18&lt;&gt;""),経費書!J20,
IF(テーブル!B3="実績報告（１次）","",
IF(テーブル!B3="交付申請（２次）","",
IF(テーブル!B3="交付申請兼実績報告（２次）","",
IF(テーブル!B3="実績報告（２次）","")))))))</f>
        <v/>
      </c>
      <c r="I21" s="1546"/>
      <c r="J21" s="1546"/>
      <c r="K21" s="1546"/>
      <c r="L21" s="1547"/>
      <c r="M21" s="1556"/>
      <c r="N21" s="1556"/>
      <c r="O21" s="1556"/>
      <c r="P21" s="1556"/>
      <c r="Q21" s="1556"/>
      <c r="R21" s="1556"/>
      <c r="S21" s="1556"/>
      <c r="V21" s="111"/>
      <c r="W21" s="111"/>
    </row>
    <row r="22" spans="2:23" ht="15.95" customHeight="1" x14ac:dyDescent="0.4">
      <c r="C22" s="1543" t="str">
        <f xml:space="preserve">
IF(テーブル!B3="交付申請","",
IF(テーブル!B3="変更申請","（３）差引増減額",
IF(テーブル!B3="実績報告（１次）","",
IF(テーブル!B3="交付申請（２次）","",
IF(テーブル!B3="交付申請兼実績報告（２次）","",
IF(テーブル!B3="実績報告（２次）",""))))))</f>
        <v/>
      </c>
      <c r="D22" s="1544"/>
      <c r="E22" s="1544"/>
      <c r="F22" s="1544"/>
      <c r="H22" s="1548" t="str">
        <f xml:space="preserve">
IF(テーブル!B3="交付申請","",
IF(AND(テーブル!B3="変更申請",はじめに入力してください!L18=""),"金　　　　　　　　　円",
IF(AND(テーブル!B3="変更申請",はじめに入力してください!L18&lt;&gt;""),IFERROR(H20-H21,"金　　　　　　　　　円"),
IF(テーブル!B3="実績報告（１次）","",
IF(テーブル!B3="交付申請（２次）","",
IF(テーブル!B3="交付申請兼実績報告（２次）","",
IF(テーブル!B3="実績報告（２次）","")))))))</f>
        <v/>
      </c>
      <c r="I22" s="1546"/>
      <c r="J22" s="1546"/>
      <c r="K22" s="1546"/>
      <c r="L22" s="1547"/>
      <c r="M22" s="417"/>
      <c r="N22" s="417"/>
      <c r="O22" s="417"/>
      <c r="P22" s="417"/>
    </row>
    <row r="23" spans="2:23" ht="15.95" customHeight="1" x14ac:dyDescent="0.4">
      <c r="B23" s="53" t="str">
        <f xml:space="preserve">
IF(テーブル!B3="交付申請","３　所要額調書（様式２－４）",
IF(テーブル!B3="変更申請","３　所要額調書（様式２－４）",
IF(テーブル!B3="実績報告（１次）","３　経費精算書（様式１－４）",
IF(テーブル!B3="交付申請（２次）","３　所要額調書（様式２－４）",
IF(テーブル!B3="交付申請兼実績報告（２次）","３　所要額調書（様式１－４）",
IF(テーブル!B3="実績報告（２次）","３　所要額調書（様式３－１）"))))))</f>
        <v>３　所要額調書（様式２－４）</v>
      </c>
    </row>
    <row r="24" spans="2:23" ht="15.95" customHeight="1" x14ac:dyDescent="0.4">
      <c r="B24" s="418" t="str">
        <f xml:space="preserve">
IF(テーブル!B3="交付申請","４　設備整備基準算出内訳及び対象経費支出予定額内訳（様式２－５）",
IF(テーブル!B3="変更申請","４　設備整備基準算出内訳及び対象経費支出予定額内訳（様式２－５）",
IF(テーブル!B3="実績報告（１次）","４　設備整備基準算出内訳及び対象経費実支出額内訳（様式１－２）",
IF(テーブル!B3="交付申請（２次）","４　設備整備基準算出内訳及び対象経費支出予定額内訳（様式２－５）",
IF(テーブル!B3="交付申請兼実績報告（２次）","４　設備整備基準算出内訳及び対象経費実支出額内訳（様式１－５）",
IF(テーブル!B3="実績報告（２次）","４　設備整備基準算出内訳及び対象経費実支出額内訳（様式３－２）"))))))</f>
        <v>４　設備整備基準算出内訳及び対象経費支出予定額内訳（様式２－５）</v>
      </c>
    </row>
    <row r="25" spans="2:23" ht="15.95" customHeight="1" x14ac:dyDescent="0.4">
      <c r="B25" s="419" t="s">
        <v>40</v>
      </c>
      <c r="C25" s="420"/>
      <c r="D25" s="420"/>
      <c r="E25" s="420"/>
      <c r="F25" s="420"/>
      <c r="G25" s="420"/>
      <c r="H25" s="420"/>
      <c r="I25" s="420"/>
      <c r="J25" s="420"/>
      <c r="K25" s="420"/>
      <c r="L25" s="420"/>
      <c r="M25" s="420"/>
    </row>
    <row r="26" spans="2:23" ht="15.95" customHeight="1" x14ac:dyDescent="0.4">
      <c r="B26" s="1561" t="str">
        <f xml:space="preserve">
IF(テーブル!B3="交付申請","（１）歳入歳出決算書（見込書）抄本（様式１－３）",
IF(テーブル!B3="変更申請","（１）歳入歳出決算書（見込書）抄本（様式１－３）",
IF(テーブル!B3="実績報告（１次）","（１）歳入歳出予算書（又は見込書）抄本（様式２－３）",
IF(テーブル!B3="交付申請（２次）","（１）歳入歳出決算書（見込書）抄本（様式１－３）",
IF(テーブル!B3="交付申請兼実績報告（２次）","（１）歳入歳出決算書（見込書）抄本（様式１－３）",
IF(テーブル!B3="実績報告（２次）","（１）歳入歳出予算書（又は見込書）抄本（様式２－３）"))))))</f>
        <v>（１）歳入歳出決算書（見込書）抄本（様式１－３）</v>
      </c>
      <c r="C26" s="1561"/>
      <c r="D26" s="1561"/>
      <c r="E26" s="1561"/>
      <c r="F26" s="1561"/>
      <c r="G26" s="1561"/>
      <c r="H26" s="1561"/>
      <c r="I26" s="1561"/>
      <c r="J26" s="1561"/>
      <c r="K26" s="1561"/>
      <c r="L26" s="1561"/>
      <c r="M26" s="1561"/>
      <c r="N26" s="1561"/>
      <c r="O26" s="1561"/>
      <c r="P26" s="1561"/>
      <c r="Q26" s="1561"/>
      <c r="R26" s="1561"/>
    </row>
    <row r="27" spans="2:23" s="421" customFormat="1" ht="32.1" customHeight="1" x14ac:dyDescent="0.4">
      <c r="B27" s="1562" t="str">
        <f xml:space="preserve">
IF(テーブル!B3="交付申請","　　（注）公立医療機関に限る。"&amp;CHAR(10)&amp;"　　　　　予算書には、当該事業の補助対象事業に係る額を備考欄に記入すること。",
IF(テーブル!B3="変更申請","　　（注）公立医療機関に限る。"&amp;CHAR(10)&amp;"　　　　　予算書には、当該事業の補助対象事業に係る額を備考欄に記入すること。",
IF(テーブル!B3="実績報告（１次）","　　（注）公立医療機関に限る。"&amp;CHAR(10)&amp;"　　　　　決算書には、当該事業の補助対象事業に係る額を備考欄に記入すること。",
IF(テーブル!B3="交付申請（２次）","　　（注）公立医療機関に限る。"&amp;CHAR(10)&amp;"　　　　　予算書には、当該事業の補助対象事業に係る額を備考欄に記入すること。",
IF(テーブル!B3="交付申請兼実績報告（２次）","　　（注）公立医療機関に限る。"&amp;CHAR(10)&amp;"　　　　　決算書には、当該事業の補助対象事業に係る額を備考欄に記入すること。",
IF(テーブル!B3="実績報告（２次）","　　（注）公立医療機関に限る。"&amp;CHAR(10)&amp;"　　　　　決算書には、当該事業の補助対象事業に係る額を備考欄に記入すること。"))))))</f>
        <v>　　（注）公立医療機関に限る。
　　　　　予算書には、当該事業の補助対象事業に係る額を備考欄に記入すること。</v>
      </c>
      <c r="C27" s="1562"/>
      <c r="D27" s="1562"/>
      <c r="E27" s="1562"/>
      <c r="F27" s="1562"/>
      <c r="G27" s="1562"/>
      <c r="H27" s="1562"/>
      <c r="I27" s="1562"/>
      <c r="J27" s="1562"/>
      <c r="K27" s="1562"/>
      <c r="L27" s="1562"/>
      <c r="M27" s="1562"/>
      <c r="N27" s="1562"/>
      <c r="O27" s="1562"/>
      <c r="P27" s="1562"/>
      <c r="Q27" s="1562"/>
      <c r="R27" s="1562"/>
    </row>
    <row r="28" spans="2:23" s="421" customFormat="1" ht="15.95" customHeight="1" x14ac:dyDescent="0.4">
      <c r="B28" s="1561" t="str">
        <f xml:space="preserve">
IF(テーブル!B3="交付申請","（２）見積書の写し等整備品目の規格（型式）、数量、単価及び金額の確認資料",
IF(テーブル!B3="変更申請","（２）見積書の写し等整備品目の規格（型式）、数量、単価及び金額の確認資料",
IF(テーブル!B3="実績報告（１次）","（２）契約書及び納品書の写し、検収調書の写し等事業経費等を確認できる書類",
IF(テーブル!B3="交付申請（２次）","（２）見積書の写し等整備品目の規格（型式）、数量、単価及び金額の確認資料",
IF(テーブル!B3="交付申請兼実績報告（２次）","（２）契約書及び納品書の写し、検収調書の写し等事業経費等を確認できる書類",
IF(テーブル!B3="実績報告（２次）","（２）契約書及び納品書の写し、検収調書の写し等事業経費等を確認できる書類"))))))</f>
        <v>（２）見積書の写し等整備品目の規格（型式）、数量、単価及び金額の確認資料</v>
      </c>
      <c r="C28" s="1561"/>
      <c r="D28" s="1561"/>
      <c r="E28" s="1561"/>
      <c r="F28" s="1561"/>
      <c r="G28" s="1561"/>
      <c r="H28" s="1561"/>
      <c r="I28" s="1561"/>
      <c r="J28" s="1561"/>
      <c r="K28" s="1561"/>
      <c r="L28" s="1561"/>
      <c r="M28" s="1561"/>
      <c r="N28" s="1561"/>
      <c r="O28" s="1561"/>
      <c r="P28" s="1561"/>
      <c r="Q28" s="1561"/>
      <c r="R28" s="1561"/>
    </row>
    <row r="29" spans="2:23" ht="15.95" customHeight="1" x14ac:dyDescent="0.4">
      <c r="B29" s="1561" t="str">
        <f xml:space="preserve">
IF(テーブル!B3="交付申請","（３）簡易診療室関係の内容がわかる資料",
IF(テーブル!B3="変更申請","（３）簡易診療室関係の内容がわかる資料",
IF(テーブル!B3="実績報告（１次）","（３）簡易診療室関係",
IF(テーブル!B3="交付申請（２次）","（３）簡易診療室関係の内容がわかる資料",
IF(テーブル!B3="交付申請兼実績報告（２次）","（３）簡易診療室関係",
IF(テーブル!B3="実績報告（２次）","（３）簡易診療室関係"))))))</f>
        <v>（３）簡易診療室関係の内容がわかる資料</v>
      </c>
      <c r="C29" s="1561"/>
      <c r="D29" s="1561"/>
      <c r="E29" s="1561"/>
      <c r="F29" s="1561"/>
      <c r="G29" s="1561"/>
      <c r="H29" s="1561"/>
      <c r="I29" s="1561"/>
      <c r="J29" s="1561"/>
      <c r="K29" s="1561"/>
      <c r="L29" s="1561"/>
      <c r="M29" s="1561"/>
      <c r="N29" s="1561"/>
      <c r="O29" s="1561"/>
      <c r="P29" s="1561"/>
      <c r="Q29" s="1561"/>
      <c r="R29" s="1561"/>
    </row>
    <row r="30" spans="2:23" ht="15.95" customHeight="1" x14ac:dyDescent="0.4">
      <c r="B30" s="422"/>
      <c r="C30" s="1571" t="str">
        <f xml:space="preserve">
IF(テーブル!B3="交付申請","・使用する場所",
IF(テーブル!B3="変更申請","・使用する場所",
IF(テーブル!B3="実績報告（１次）","事業の完成を確認できる全景及び室内主要部分の写真",
IF(テーブル!B3="交付申請（２次）","・使用する場所",
IF(テーブル!B3="交付申請兼実績報告（２次）","事業の完成を確認できる全景及び室内主要部分の写真",
IF(テーブル!B3="実績報告（２次）","事業の完成を確認できる全景及び室内主要部分の写真"))))))</f>
        <v>・使用する場所</v>
      </c>
      <c r="D30" s="1571"/>
      <c r="E30" s="1571"/>
      <c r="F30" s="1571"/>
      <c r="G30" s="1571"/>
      <c r="H30" s="1571"/>
      <c r="I30" s="1571"/>
      <c r="J30" s="1572"/>
      <c r="K30" s="1572"/>
      <c r="L30" s="1572"/>
      <c r="M30" s="1572"/>
      <c r="N30" s="1573"/>
      <c r="O30" s="26"/>
      <c r="P30" s="26"/>
      <c r="Q30" s="26"/>
      <c r="R30" s="26"/>
      <c r="S30" s="57"/>
    </row>
    <row r="31" spans="2:23" ht="15.95" customHeight="1" x14ac:dyDescent="0.4">
      <c r="B31" s="422"/>
      <c r="C31" s="1571" t="str">
        <f xml:space="preserve">
IF(テーブル!B3="交付申請","・設備の仕様",
IF(テーブル!B3="変更申請","・設備の仕様",
IF(テーブル!B3="実績報告（１次）","",
IF(テーブル!B3="交付申請（２次）","・設備の仕様",
IF(テーブル!B3="交付申請兼実績報告（２次）","",
IF(テーブル!B3="実績報告（２次）",""))))))</f>
        <v>・設備の仕様</v>
      </c>
      <c r="D31" s="1571"/>
      <c r="E31" s="1571"/>
      <c r="F31" s="1571"/>
      <c r="G31" s="1571"/>
      <c r="H31" s="1571"/>
      <c r="I31" s="1571"/>
      <c r="J31" s="423"/>
      <c r="K31" s="423"/>
      <c r="L31" s="423"/>
      <c r="M31" s="423"/>
      <c r="N31" s="26"/>
      <c r="O31" s="26"/>
      <c r="P31" s="26"/>
      <c r="Q31" s="26"/>
      <c r="R31" s="26"/>
      <c r="S31" s="57"/>
    </row>
    <row r="32" spans="2:23" ht="15.95" customHeight="1" x14ac:dyDescent="0.4">
      <c r="B32" s="1561" t="s">
        <v>43</v>
      </c>
      <c r="C32" s="1571"/>
      <c r="D32" s="1571"/>
      <c r="E32" s="1571"/>
      <c r="F32" s="1571"/>
      <c r="G32" s="1571"/>
      <c r="H32" s="1571"/>
      <c r="I32" s="1571"/>
      <c r="J32" s="424"/>
      <c r="K32" s="424"/>
      <c r="L32" s="424"/>
      <c r="M32" s="424"/>
      <c r="N32" s="26"/>
      <c r="O32" s="26"/>
      <c r="P32" s="26"/>
      <c r="Q32" s="26"/>
      <c r="R32" s="26"/>
      <c r="S32" s="57"/>
    </row>
    <row r="33" spans="2:22" ht="35.1" customHeight="1" x14ac:dyDescent="0.4">
      <c r="B33" s="1563" t="str">
        <f xml:space="preserve">
IF(COUNTIF(はじめに入力してください!O19:O25,"○")&lt;&gt;7,"",
IF(テーブル!$B$3="交付申請",
"６　支払先口座情報（金融機関名・支店名・口座種別・口座番号）"&amp;CHAR(10)
&amp;"　　"&amp;はじめに入力してください!H20&amp;"・"&amp;はじめに入力してください!H22&amp;IF(はじめに入力してください!H23=1,"・普通",IF(はじめに入力してください!H23=2,"・当座",""))&amp;"・"&amp;はじめに入力してください!AF24,
IF(テーブル!$B$3="変更申請","",
IF(テーブル!$B$3="実績報告（１次）","",
IF(テーブル!$B$3="交付申請（２次）","６　支払先口座情報（金融機関名・支店名・口座種別・口座番号）"&amp;CHAR(10)
&amp;"　　"&amp;はじめに入力してください!H20&amp;"・"&amp;はじめに入力してください!H22&amp;IF(はじめに入力してください!H23=1,"・普通",IF(はじめに入力してください!H23=2,"・当座",""))&amp;"・"&amp;はじめに入力してください!AF24,
IF(テーブル!$B$3="交付申請兼実績報告（２次）","６　支払先口座情報（金融機関名・支店名・口座種別・口座番号）"&amp;CHAR(10)
&amp;"　　"&amp;はじめに入力してください!H20&amp;"・"&amp;はじめに入力してください!H22&amp;IF(はじめに入力してください!H23=1,"・普通",IF(はじめに入力してください!H23=2,"・当座",""))&amp;"・"&amp;はじめに入力してください!AF24,
IF(テーブル!$B$3="実績報告（２次）","")))))))</f>
        <v/>
      </c>
      <c r="C33" s="1564"/>
      <c r="D33" s="1564"/>
      <c r="E33" s="1564"/>
      <c r="F33" s="1564"/>
      <c r="G33" s="1564"/>
      <c r="H33" s="1564"/>
      <c r="I33" s="1564"/>
      <c r="J33" s="947"/>
      <c r="K33" s="947"/>
      <c r="L33" s="947"/>
      <c r="M33" s="947"/>
      <c r="N33" s="947"/>
      <c r="O33" s="947"/>
      <c r="P33" s="947"/>
      <c r="Q33" s="947"/>
      <c r="R33" s="947"/>
      <c r="S33" s="57"/>
    </row>
    <row r="34" spans="2:22" ht="15.95" customHeight="1" x14ac:dyDescent="0.4">
      <c r="N34" s="26"/>
      <c r="O34" s="26"/>
      <c r="P34" s="26"/>
      <c r="Q34" s="26"/>
      <c r="R34" s="26"/>
      <c r="S34" s="57"/>
      <c r="V34" s="130" t="s">
        <v>929</v>
      </c>
    </row>
    <row r="35" spans="2:22" ht="15.95" customHeight="1" x14ac:dyDescent="0.4">
      <c r="B35" s="57" t="str">
        <f xml:space="preserve">
IF(テーブル!B3="交付申請","【申請にあたっての申立事項】",
IF(テーブル!B3="変更申請","",
IF(テーブル!B3="実績報告（１次）","",
IF(テーブル!B3="交付申請（２次）","【申請にあたっての申立事項】",
IF(テーブル!B3="交付申請兼実績報告（２次）","【申請にあたっての申立事項】",
IF(テーブル!B3="実績報告（２次）",""))))))</f>
        <v>【申請にあたっての申立事項】</v>
      </c>
      <c r="C35" s="57"/>
      <c r="D35" s="57"/>
      <c r="E35" s="57"/>
      <c r="F35" s="57"/>
      <c r="G35" s="57"/>
      <c r="H35" s="57"/>
      <c r="I35" s="57"/>
      <c r="J35" s="57"/>
      <c r="K35" s="57"/>
      <c r="L35" s="57"/>
      <c r="M35" s="57"/>
      <c r="N35" s="57"/>
      <c r="O35" s="26"/>
      <c r="P35" s="26"/>
      <c r="Q35" s="26"/>
      <c r="R35" s="26"/>
      <c r="S35" s="57"/>
      <c r="V35" s="130" t="s">
        <v>928</v>
      </c>
    </row>
    <row r="36" spans="2:22" ht="5.0999999999999996" customHeight="1" x14ac:dyDescent="0.4">
      <c r="B36" s="1574" t="str">
        <f xml:space="preserve">
IF(AND(テーブル!B3="交付申請",はじめに入力してください!O36="×"),V34,
IF(AND(テーブル!B3="交付申請",はじめに入力してください!O36="○"),V35,
IF(テーブル!B3="変更申請","",
IF(テーブル!B3="実績報告（１次）","",
IF(AND(テーブル!B3="交付申請（２次）",はじめに入力してください!O36="×"),V34,
IF(AND(テーブル!B3="交付申請（２次）",はじめに入力してください!O36="○"),V35,
IF(AND(テーブル!B3="交付申請兼実績報告（２次）",はじめに入力してください!O36="×"),V34,
IF(AND(テーブル!B3="交付申請兼実績報告（２次）",はじめに入力してください!O36="○"),V35,
IF(テーブル!B3="実績報告（２次）","")))))))))</f>
        <v>　申請者は、以下いずれの事項にも該当するものであることを申し立てます。
□　補助を受ける経費について他の補助金等の交付を受けていないこと。
□　本補助金により整備した設備は新型コロナウイルス感染症対策に基づく本事業の目的以外に使用しないこと。
□　本補助金の収入、支出等に係る証拠書類を５年間適切に整備保管すること。
□　暴力団員又は暴力団関係者と実質的を含めいかなる関係も有していないこと。</v>
      </c>
      <c r="C36" s="1574"/>
      <c r="D36" s="1574"/>
      <c r="E36" s="1574"/>
      <c r="F36" s="1574"/>
      <c r="G36" s="1574"/>
      <c r="H36" s="1574"/>
      <c r="I36" s="1574"/>
      <c r="J36" s="1574"/>
      <c r="K36" s="1574"/>
      <c r="L36" s="1574"/>
      <c r="M36" s="1574"/>
      <c r="N36" s="1574"/>
      <c r="O36" s="1574"/>
      <c r="P36" s="1574"/>
      <c r="Q36" s="1574"/>
      <c r="R36" s="1574"/>
    </row>
    <row r="37" spans="2:22" ht="18" customHeight="1" x14ac:dyDescent="0.4">
      <c r="B37" s="1574"/>
      <c r="C37" s="1574"/>
      <c r="D37" s="1574"/>
      <c r="E37" s="1574"/>
      <c r="F37" s="1574"/>
      <c r="G37" s="1574"/>
      <c r="H37" s="1574"/>
      <c r="I37" s="1574"/>
      <c r="J37" s="1574"/>
      <c r="K37" s="1574"/>
      <c r="L37" s="1574"/>
      <c r="M37" s="1574"/>
      <c r="N37" s="1574"/>
      <c r="O37" s="1574"/>
      <c r="P37" s="1574"/>
      <c r="Q37" s="1574"/>
      <c r="R37" s="1574"/>
    </row>
    <row r="38" spans="2:22" ht="18" customHeight="1" x14ac:dyDescent="0.4">
      <c r="B38" s="1574"/>
      <c r="C38" s="1574"/>
      <c r="D38" s="1574"/>
      <c r="E38" s="1574"/>
      <c r="F38" s="1574"/>
      <c r="G38" s="1574"/>
      <c r="H38" s="1574"/>
      <c r="I38" s="1574"/>
      <c r="J38" s="1574"/>
      <c r="K38" s="1574"/>
      <c r="L38" s="1574"/>
      <c r="M38" s="1574"/>
      <c r="N38" s="1574"/>
      <c r="O38" s="1574"/>
      <c r="P38" s="1574"/>
      <c r="Q38" s="1574"/>
      <c r="R38" s="1574"/>
    </row>
    <row r="39" spans="2:22" ht="18" customHeight="1" x14ac:dyDescent="0.4">
      <c r="B39" s="1574"/>
      <c r="C39" s="1574"/>
      <c r="D39" s="1574"/>
      <c r="E39" s="1574"/>
      <c r="F39" s="1574"/>
      <c r="G39" s="1574"/>
      <c r="H39" s="1574"/>
      <c r="I39" s="1574"/>
      <c r="J39" s="1574"/>
      <c r="K39" s="1574"/>
      <c r="L39" s="1574"/>
      <c r="M39" s="1574"/>
      <c r="N39" s="1574"/>
      <c r="O39" s="1574"/>
      <c r="P39" s="1574"/>
      <c r="Q39" s="1574"/>
      <c r="R39" s="1574"/>
    </row>
    <row r="40" spans="2:22" ht="18" customHeight="1" x14ac:dyDescent="0.4">
      <c r="B40" s="1574"/>
      <c r="C40" s="1574"/>
      <c r="D40" s="1574"/>
      <c r="E40" s="1574"/>
      <c r="F40" s="1574"/>
      <c r="G40" s="1574"/>
      <c r="H40" s="1574"/>
      <c r="I40" s="1574"/>
      <c r="J40" s="1574"/>
      <c r="K40" s="1574"/>
      <c r="L40" s="1574"/>
      <c r="M40" s="1574"/>
      <c r="N40" s="1574"/>
      <c r="O40" s="1574"/>
      <c r="P40" s="1574"/>
      <c r="Q40" s="1574"/>
      <c r="R40" s="1574"/>
    </row>
    <row r="41" spans="2:22" ht="5.0999999999999996" customHeight="1" x14ac:dyDescent="0.4">
      <c r="B41" s="1574"/>
      <c r="C41" s="1574"/>
      <c r="D41" s="1574"/>
      <c r="E41" s="1574"/>
      <c r="F41" s="1574"/>
      <c r="G41" s="1574"/>
      <c r="H41" s="1574"/>
      <c r="I41" s="1574"/>
      <c r="J41" s="1574"/>
      <c r="K41" s="1574"/>
      <c r="L41" s="1574"/>
      <c r="M41" s="1574"/>
      <c r="N41" s="1574"/>
      <c r="O41" s="1574"/>
      <c r="P41" s="1574"/>
      <c r="Q41" s="1574"/>
      <c r="R41" s="1574"/>
    </row>
    <row r="42" spans="2:22" ht="9.9499999999999993" customHeight="1" x14ac:dyDescent="0.4">
      <c r="B42" s="135"/>
      <c r="C42" s="135"/>
      <c r="D42" s="135"/>
      <c r="E42" s="135"/>
      <c r="F42" s="135"/>
      <c r="G42" s="135"/>
      <c r="H42" s="135"/>
      <c r="I42" s="135"/>
      <c r="J42" s="135"/>
      <c r="K42" s="135"/>
      <c r="L42" s="135"/>
      <c r="M42" s="135"/>
      <c r="N42" s="135"/>
      <c r="O42" s="135"/>
      <c r="P42" s="135"/>
      <c r="Q42" s="135"/>
      <c r="R42" s="135"/>
    </row>
    <row r="43" spans="2:22" ht="15.95" customHeight="1" x14ac:dyDescent="0.4">
      <c r="B43" s="1569" t="str">
        <f xml:space="preserve">
IF(テーブル!B3="交付申請","",
IF(テーブル!B3="変更申請","（注）様式２－１において当初申請と異なる箇所については変更前を下段に（）書きし、変更後を上段に対応して記入すること。",
IF(テーブル!B3="実績報告（１次）","",
IF(テーブル!B3="交付申請（２次）","",
IF(テーブル!B3="交付申請兼実績報告（２次）","",
IF(テーブル!B3="実績報告（２次）",""))))))</f>
        <v/>
      </c>
      <c r="C43" s="1570"/>
      <c r="D43" s="1570"/>
      <c r="E43" s="1570"/>
      <c r="F43" s="1570"/>
      <c r="G43" s="1570"/>
      <c r="H43" s="1570"/>
      <c r="J43" s="1554" t="s">
        <v>19</v>
      </c>
      <c r="K43" s="1554"/>
      <c r="L43" s="1575" t="str">
        <f>IF(はじめに入力してください!O14="×","",はじめに入力してください!H14)</f>
        <v/>
      </c>
      <c r="M43" s="1575"/>
      <c r="N43" s="1575"/>
      <c r="O43" s="1575"/>
      <c r="P43" s="1575"/>
      <c r="Q43" s="1575"/>
      <c r="R43" s="1575"/>
    </row>
    <row r="44" spans="2:22" ht="15.95" customHeight="1" x14ac:dyDescent="0.4">
      <c r="B44" s="1570"/>
      <c r="C44" s="1570"/>
      <c r="D44" s="1570"/>
      <c r="E44" s="1570"/>
      <c r="F44" s="1570"/>
      <c r="G44" s="1570"/>
      <c r="H44" s="1570"/>
      <c r="J44" s="1554" t="s">
        <v>20</v>
      </c>
      <c r="K44" s="1554"/>
      <c r="L44" s="1575" t="str">
        <f>IF(はじめに入力してください!O15="×","",はじめに入力してください!H15)</f>
        <v/>
      </c>
      <c r="M44" s="1575"/>
      <c r="N44" s="1575"/>
      <c r="O44" s="1575"/>
      <c r="P44" s="1575"/>
      <c r="Q44" s="1575"/>
      <c r="R44" s="1575"/>
    </row>
    <row r="45" spans="2:22" ht="15.95" customHeight="1" x14ac:dyDescent="0.4">
      <c r="B45" s="1570"/>
      <c r="C45" s="1570"/>
      <c r="D45" s="1570"/>
      <c r="E45" s="1570"/>
      <c r="F45" s="1570"/>
      <c r="G45" s="1570"/>
      <c r="H45" s="1570"/>
      <c r="J45" s="1554" t="s">
        <v>21</v>
      </c>
      <c r="K45" s="1554"/>
      <c r="L45" s="1575" t="str">
        <f>IF(はじめに入力してください!O16="×","",はじめに入力してください!AF16)</f>
        <v/>
      </c>
      <c r="M45" s="1575"/>
      <c r="N45" s="1575"/>
      <c r="O45" s="1575"/>
      <c r="P45" s="1575"/>
      <c r="Q45" s="1575"/>
      <c r="R45" s="1575"/>
    </row>
    <row r="46" spans="2:22" ht="15.95" customHeight="1" x14ac:dyDescent="0.4">
      <c r="B46" s="425"/>
      <c r="C46" s="425"/>
      <c r="D46" s="425"/>
      <c r="E46" s="425"/>
      <c r="F46" s="425"/>
      <c r="G46" s="425"/>
      <c r="H46" s="425"/>
      <c r="J46" s="1543" t="s">
        <v>22</v>
      </c>
      <c r="K46" s="1543"/>
      <c r="L46" s="1576" t="str">
        <f>IF(はじめに入力してください!O17="×","",はじめに入力してください!H17)</f>
        <v/>
      </c>
      <c r="M46" s="1576"/>
      <c r="N46" s="1576"/>
      <c r="O46" s="1576"/>
      <c r="P46" s="1576"/>
      <c r="Q46" s="1576"/>
      <c r="R46" s="1576"/>
    </row>
    <row r="47" spans="2:22" ht="18" customHeight="1" x14ac:dyDescent="0.4"/>
    <row r="48" spans="2:22" ht="18" customHeight="1" x14ac:dyDescent="0.4"/>
    <row r="49" spans="37:42" ht="18" customHeight="1" x14ac:dyDescent="0.4"/>
    <row r="50" spans="37:42" ht="30" customHeight="1" x14ac:dyDescent="0.4">
      <c r="AM50" s="426"/>
      <c r="AN50" s="427"/>
      <c r="AO50" s="427"/>
      <c r="AP50" s="428"/>
    </row>
    <row r="51" spans="37:42" ht="30" customHeight="1" x14ac:dyDescent="0.4">
      <c r="AM51" s="429"/>
      <c r="AN51" s="57"/>
      <c r="AO51" s="57"/>
      <c r="AP51" s="430"/>
    </row>
    <row r="52" spans="37:42" ht="27" customHeight="1" x14ac:dyDescent="0.4">
      <c r="AM52" s="431"/>
      <c r="AN52" s="2082" t="str">
        <f>はじめに入力してください!AF12</f>
        <v/>
      </c>
      <c r="AO52" s="2082"/>
      <c r="AP52" s="432"/>
    </row>
    <row r="53" spans="37:42" ht="27" customHeight="1" x14ac:dyDescent="0.4">
      <c r="AK53" s="207"/>
      <c r="AM53" s="433"/>
      <c r="AN53" s="1568" t="str">
        <f xml:space="preserve">
IF(AND(テーブル!B3="交付申請",AK53=""),"",
IF(AND(テーブル!B3="交付申請",AK53&lt;&gt;""),"５外設第"&amp;AK53&amp;"号",
IF(AND(テーブル!B3="変更申請",はじめに入力してください!L18=""),"",
IF(AND(テーブル!B3="変更申請",はじめに入力してください!L18&lt;&gt;""),"５外設第"&amp;はじめに入力してください!L18&amp;"号",
IF(AND(テーブル!B3="実績報告（１次）",はじめに入力してください!L18=""),"",
IF(AND(テーブル!B3="実績報告（１次）",はじめに入力してください!L18&lt;&gt;""),"５外設第"&amp;はじめに入力してください!L18&amp;"号",
IF(AND(テーブル!B3="交付申請（２次）",AK53=""),"",
IF(AND(テーブル!B3="交付申請（２次）",AK53&lt;&gt;""),"５外設第"&amp;AK53&amp;"号",
IF(AND(テーブル!B3="交付申請兼実績報告（２次）",AK53=""),"",
IF(AND(テーブル!B3="交付申請兼実績報告（２次）",AK53&lt;&gt;""),"５外設第"&amp;AK53&amp;"号",
IF(AND(テーブル!B3="実績報告（２次）",はじめに入力してください!L18=""),"",
IF(AND(テーブル!B3="実績報告（２次）",はじめに入力してください!L18&lt;&gt;""),"５外設第"&amp;はじめに入力してください!L18&amp;"号"))))))))))))</f>
        <v/>
      </c>
      <c r="AO53" s="1568"/>
      <c r="AP53" s="432"/>
    </row>
    <row r="54" spans="37:42" ht="24.95" customHeight="1" x14ac:dyDescent="0.4">
      <c r="AM54" s="433"/>
      <c r="AN54" s="434"/>
      <c r="AO54" s="435"/>
      <c r="AP54" s="432"/>
    </row>
    <row r="55" spans="37:42" ht="30" customHeight="1" x14ac:dyDescent="0.4">
      <c r="AM55" s="436"/>
      <c r="AN55" s="437"/>
      <c r="AO55" s="437"/>
      <c r="AP55" s="438"/>
    </row>
    <row r="56" spans="37:42" ht="20.100000000000001" customHeight="1" x14ac:dyDescent="0.4">
      <c r="AM56" s="439"/>
      <c r="AN56" s="440"/>
      <c r="AO56" s="440"/>
      <c r="AP56" s="441"/>
    </row>
  </sheetData>
  <sheetProtection algorithmName="SHA-512" hashValue="OcChTzJE/oSCY8wj7ARjpHB5vv8ZSozQ/rj3UIqTRf6N7aMjMWvk3/qkeW+zm2JxAkyoQEWdj97591NIty9DNA==" saltValue="DZiXurEBCtaFcPHJI1heXA==" spinCount="100000" sheet="1" formatCells="0" formatColumns="0" formatRows="0"/>
  <mergeCells count="44">
    <mergeCell ref="V18:W19"/>
    <mergeCell ref="AN52:AO52"/>
    <mergeCell ref="AN53:AO53"/>
    <mergeCell ref="B43:H45"/>
    <mergeCell ref="C30:N30"/>
    <mergeCell ref="B26:R26"/>
    <mergeCell ref="B29:R29"/>
    <mergeCell ref="B32:I32"/>
    <mergeCell ref="B36:R41"/>
    <mergeCell ref="C31:I31"/>
    <mergeCell ref="J46:K46"/>
    <mergeCell ref="L43:R43"/>
    <mergeCell ref="L44:R44"/>
    <mergeCell ref="L45:R45"/>
    <mergeCell ref="L46:R46"/>
    <mergeCell ref="J45:K45"/>
    <mergeCell ref="B6:G6"/>
    <mergeCell ref="B15:R15"/>
    <mergeCell ref="L8:R8"/>
    <mergeCell ref="L9:R9"/>
    <mergeCell ref="L10:R10"/>
    <mergeCell ref="I8:K8"/>
    <mergeCell ref="I9:K9"/>
    <mergeCell ref="J43:K43"/>
    <mergeCell ref="J44:K44"/>
    <mergeCell ref="B28:R28"/>
    <mergeCell ref="B27:R27"/>
    <mergeCell ref="B33:R33"/>
    <mergeCell ref="O2:S2"/>
    <mergeCell ref="C21:F21"/>
    <mergeCell ref="C22:F22"/>
    <mergeCell ref="H20:L20"/>
    <mergeCell ref="H22:L22"/>
    <mergeCell ref="H21:L21"/>
    <mergeCell ref="I10:K10"/>
    <mergeCell ref="C17:R17"/>
    <mergeCell ref="C18:R18"/>
    <mergeCell ref="B12:R12"/>
    <mergeCell ref="A14:S14"/>
    <mergeCell ref="N4:R4"/>
    <mergeCell ref="M20:S21"/>
    <mergeCell ref="B19:R19"/>
    <mergeCell ref="N5:R5"/>
    <mergeCell ref="C20:F20"/>
  </mergeCells>
  <phoneticPr fontId="1"/>
  <conditionalFormatting sqref="H20:H22">
    <cfRule type="containsText" dxfId="63" priority="1" operator="containsText" text="不備">
      <formula>NOT(ISERROR(SEARCH("不備",H20)))</formula>
    </cfRule>
  </conditionalFormatting>
  <dataValidations count="1">
    <dataValidation type="list" allowBlank="1" showInputMessage="1" showErrorMessage="1" sqref="V3" xr:uid="{86A679AA-CFB4-4C41-AB03-57AF4A4C843A}">
      <formula1>"8/14以前,8/15以降"</formula1>
    </dataValidation>
  </dataValidations>
  <printOptions horizontalCentered="1"/>
  <pageMargins left="0.59055118110236227" right="0.39370078740157483" top="0.39370078740157483" bottom="0.39370078740157483" header="0.31496062992125984" footer="0.31496062992125984"/>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P24"/>
  <sheetViews>
    <sheetView showGridLines="0" view="pageBreakPreview" zoomScale="80" zoomScaleNormal="100" zoomScaleSheetLayoutView="80" workbookViewId="0">
      <selection activeCell="M22" sqref="M22"/>
    </sheetView>
  </sheetViews>
  <sheetFormatPr defaultColWidth="9" defaultRowHeight="18" x14ac:dyDescent="0.4"/>
  <cols>
    <col min="1" max="1" width="2.625" style="53" customWidth="1"/>
    <col min="2" max="2" width="20.625" style="53" customWidth="1"/>
    <col min="3" max="10" width="15.625" style="53" customWidth="1"/>
    <col min="11" max="11" width="11.125" style="53" customWidth="1"/>
    <col min="12" max="12" width="1.625" style="53" customWidth="1"/>
    <col min="13" max="14" width="12.625" style="53" customWidth="1"/>
    <col min="15" max="15" width="15" style="53" customWidth="1"/>
    <col min="16" max="16" width="12.75" style="55" customWidth="1"/>
    <col min="17" max="16384" width="9" style="53"/>
  </cols>
  <sheetData>
    <row r="1" spans="2:16" ht="24.95" customHeight="1" x14ac:dyDescent="0.4">
      <c r="B1" s="53" t="str">
        <f xml:space="preserve">
IF(テーブル!B3="交付申請","様式２－１",
IF(テーブル!B3="変更申請","様式２－１",
IF(テーブル!B3="実績報告（１次）","様式１－１",
IF(テーブル!B3="交付申請（２次）","様式２－４",
IF(テーブル!B3="交付申請兼実績報告（２次）","様式１－４",
IF(テーブル!B3="実績報告（２次）","様式１－４"))))))</f>
        <v>様式２－４</v>
      </c>
      <c r="H1" s="1577" t="str">
        <f>表紙!O2</f>
        <v>（10月１日～３月31日分）</v>
      </c>
      <c r="I1" s="1578"/>
      <c r="J1" s="1578"/>
      <c r="K1" s="1578"/>
    </row>
    <row r="2" spans="2:16" ht="24.95" customHeight="1" x14ac:dyDescent="0.4">
      <c r="B2" s="1550" t="str">
        <f xml:space="preserve">
IF(テーブル!B3="交付申請","令和５年度新型コロナウイルス感染症外来対応医療機関等設備整備費補助金経費所要額調書",
IF(テーブル!B3="変更申請","令和５年度新型コロナウイルス感染症外来対応医療機関等設備整備費補助金経費所要額調書",
IF(テーブル!B3="実績報告（１次）","令和５年度新型コロナウイルス感染症外来対応医療機関等設備整備費補助金経費精算書",
IF(テーブル!B3="交付申請（２次）","令和５年度新型コロナウイルス感染症外来対応医療機関等設備整備費補助金経費所要額調書",
IF(テーブル!B3="交付申請兼実績報告（２次）","令和５年度新型コロナウイルス感染症外来対応医療機関等設備整備費補助金経費精算書",
IF(テーブル!B3="実績報告（２次）","令和５年度新型コロナウイルス感染症外来対応医療機関等設備整備費補助金経費精算書"))))))</f>
        <v>令和５年度新型コロナウイルス感染症外来対応医療機関等設備整備費補助金経費所要額調書</v>
      </c>
      <c r="C2" s="1550"/>
      <c r="D2" s="1550"/>
      <c r="E2" s="1550"/>
      <c r="F2" s="1550"/>
      <c r="G2" s="1550"/>
      <c r="H2" s="1550"/>
      <c r="I2" s="1550"/>
      <c r="J2" s="1550"/>
      <c r="K2" s="1550"/>
      <c r="L2" s="179"/>
    </row>
    <row r="3" spans="2:16" ht="24.95" customHeight="1" x14ac:dyDescent="0.4">
      <c r="B3" s="96"/>
      <c r="C3" s="96"/>
      <c r="D3" s="96"/>
      <c r="E3" s="96"/>
      <c r="F3" s="96"/>
      <c r="H3" s="56" t="s">
        <v>46</v>
      </c>
      <c r="I3" s="1579" t="str">
        <f>IF(はじめに入力してください!H10=0,"",はじめに入力してください!H10)</f>
        <v/>
      </c>
      <c r="J3" s="1544"/>
      <c r="K3" s="26"/>
      <c r="L3" s="26"/>
    </row>
    <row r="4" spans="2:16" ht="24.95" customHeight="1" x14ac:dyDescent="0.4">
      <c r="B4" s="57"/>
      <c r="C4" s="57"/>
      <c r="D4" s="57"/>
      <c r="E4" s="57"/>
      <c r="F4" s="57"/>
      <c r="H4" s="58" t="str">
        <f xml:space="preserve">
IF(テーブル!B3="交付申請","事業完了予定日",
IF(テーブル!B3="変更申請","事業完了予定日",
IF(テーブル!B3="実績報告（１次）","事業完了日",
IF(テーブル!B3="交付申請（２次）","事業完了予定日",
IF(テーブル!B3="交付申請兼実績報告（２次）","事業完了日",
IF(テーブル!B3="実績報告（２次）","事業完了日"))))))</f>
        <v>事業完了予定日</v>
      </c>
      <c r="I4" s="1580" t="str">
        <f>IF(COUNTIF(はじめに入力してください!AF30:AF35,"")=6,"",MAX(はじめに入力してください!AF30:AF35))</f>
        <v/>
      </c>
      <c r="J4" s="1580"/>
      <c r="K4" s="59"/>
      <c r="L4" s="200"/>
    </row>
    <row r="5" spans="2:16" ht="60" customHeight="1" x14ac:dyDescent="0.4">
      <c r="B5" s="60" t="s">
        <v>57</v>
      </c>
      <c r="C5" s="60" t="s">
        <v>60</v>
      </c>
      <c r="D5" s="60" t="str">
        <f xml:space="preserve">
IF(テーブル!B3="交付申請","寄付金その他の"&amp;CHAR(10)&amp;"収入予定額"&amp;CHAR(10)&amp;"(B)",
IF(テーブル!B3="変更申請","寄付金その他の"&amp;CHAR(10)&amp;"収入予定額"&amp;CHAR(10)&amp;"(B)",
IF(テーブル!B3="実績報告（１次）","寄付金その他の"&amp;CHAR(10)&amp;"収入済額"&amp;CHAR(10)&amp;"(B)",
IF(テーブル!B3="交付申請（２次）","寄付金その他の"&amp;CHAR(10)&amp;"収入予定額"&amp;CHAR(10)&amp;"(B)",
IF(テーブル!B3="交付申請兼実績報告（２次）","寄付金その他の"&amp;CHAR(10)&amp;"収入済額"&amp;CHAR(10)&amp;"(B)",
IF(テーブル!B3="実績報告（２次）","寄付金その他の"&amp;CHAR(10)&amp;"収入済額"&amp;CHAR(10)&amp;"(B)"))))))</f>
        <v>寄付金その他の
収入予定額
(B)</v>
      </c>
      <c r="E5" s="60" t="s">
        <v>7</v>
      </c>
      <c r="F5" s="60" t="str">
        <f xml:space="preserve">
IF(テーブル!B3="交付申請","対象経費"&amp;CHAR(10)&amp;"支出予定額"&amp;CHAR(10)&amp;"(D)",
IF(テーブル!B3="変更申請","対象経費"&amp;CHAR(10)&amp;"支出予定額"&amp;CHAR(10)&amp;"(D)",
IF(テーブル!B3="実績報告（１次）","対象経費"&amp;CHAR(10)&amp;"支出済額"&amp;CHAR(10)&amp;"(D)",
IF(テーブル!B3="交付申請（２次）","対象経費"&amp;CHAR(10)&amp;"支出予定額"&amp;CHAR(10)&amp;"(D)",
IF(テーブル!B3="交付申請兼実績報告（２次）","対象経費"&amp;CHAR(10)&amp;"支出済額"&amp;CHAR(10)&amp;"(D)",
IF(テーブル!B3="実績報告（２次）","対象経費"&amp;CHAR(10)&amp;"支出済額"&amp;CHAR(10)&amp;"(D)"))))))</f>
        <v>対象経費
支出予定額
(D)</v>
      </c>
      <c r="G5" s="60" t="s">
        <v>61</v>
      </c>
      <c r="H5" s="60" t="s">
        <v>62</v>
      </c>
      <c r="I5" s="60" t="s">
        <v>47</v>
      </c>
      <c r="J5" s="60" t="s">
        <v>6</v>
      </c>
      <c r="K5" s="60" t="s">
        <v>54</v>
      </c>
      <c r="L5" s="196"/>
      <c r="M5" s="203" t="str">
        <f xml:space="preserve">
IF(OR(テーブル!B3="実績報告（１次）",テーブル!B3="実績報告（２次）"),"上段:交付内訳額"&amp;CHAR(10)&amp;"下段:補助対象額","")</f>
        <v/>
      </c>
    </row>
    <row r="6" spans="2:16" ht="20.100000000000001" hidden="1" customHeight="1" x14ac:dyDescent="0.4">
      <c r="B6" s="94"/>
      <c r="C6" s="61" t="s">
        <v>5</v>
      </c>
      <c r="D6" s="61" t="s">
        <v>5</v>
      </c>
      <c r="E6" s="61" t="s">
        <v>5</v>
      </c>
      <c r="F6" s="61" t="s">
        <v>5</v>
      </c>
      <c r="G6" s="61" t="s">
        <v>5</v>
      </c>
      <c r="H6" s="61" t="s">
        <v>5</v>
      </c>
      <c r="I6" s="61" t="s">
        <v>5</v>
      </c>
      <c r="J6" s="61" t="s">
        <v>5</v>
      </c>
      <c r="K6" s="95"/>
      <c r="L6" s="201"/>
      <c r="M6" s="204"/>
    </row>
    <row r="7" spans="2:16" ht="30" customHeight="1" x14ac:dyDescent="0.4">
      <c r="B7" s="1581" t="s">
        <v>48</v>
      </c>
      <c r="C7" s="92">
        <f>額内訳書!J7</f>
        <v>0</v>
      </c>
      <c r="D7" s="233">
        <v>0</v>
      </c>
      <c r="E7" s="92">
        <f>C7-D7</f>
        <v>0</v>
      </c>
      <c r="F7" s="92">
        <f>E7</f>
        <v>0</v>
      </c>
      <c r="G7" s="92">
        <f>額内訳書!F7</f>
        <v>0</v>
      </c>
      <c r="H7" s="92">
        <f>MIN(F7,G7)</f>
        <v>0</v>
      </c>
      <c r="I7" s="92">
        <f>H7</f>
        <v>0</v>
      </c>
      <c r="J7" s="92">
        <f>ROUNDDOWN(I7,-3)</f>
        <v>0</v>
      </c>
      <c r="K7" s="1581" t="str">
        <f xml:space="preserve">
IF(テーブル!B3="交付申請","内訳は"&amp;CHAR(10)&amp;"様式２－２のとおり",
IF(テーブル!B3="変更申請","内訳は"&amp;CHAR(10)&amp;"様式２－２のとおり",
IF(テーブル!B3="実績報告（１次）","内訳は"&amp;CHAR(10)&amp;"様式１－２のとおり",
IF(テーブル!B3="交付申請（２次）","内訳は"&amp;CHAR(10)&amp;"様式２－５のとおり",
IF(テーブル!B3="交付申請兼実績報告（２次）","内訳は"&amp;CHAR(10)&amp;"様式３－２のとおり",
IF(テーブル!B3="実績報告（２次）","内訳は"&amp;CHAR(10)&amp;"様式３－２のとおり"))))))</f>
        <v>内訳は
様式２－５のとおり</v>
      </c>
      <c r="L7" s="196"/>
      <c r="M7" s="205" t="str">
        <f xml:space="preserve">
IF(テーブル!B3="交付申請","",
IF(テーブル!B3="変更申請","",
IF(テーブル!B3="実績報告（１次）",IFERROR(VLOOKUP(はじめに入力してください!L18,リスト!A:BN,26,FALSE),""),
IF(テーブル!B3="交付申請（２次）","",
IF(テーブル!B3="交付申請兼実績報告（２次）","",
IF(テーブル!B3="実績報告（２次）",IFERROR(VLOOKUP(はじめに入力してください!L18,リスト!A:BN,26,FALSE),"")))))))</f>
        <v/>
      </c>
    </row>
    <row r="8" spans="2:16" ht="30" customHeight="1" x14ac:dyDescent="0.4">
      <c r="B8" s="1582"/>
      <c r="C8" s="93" t="str">
        <f>IFERROR(IF(テーブル!B3="変更申請",VLOOKUP(はじめに入力してください!L18,リスト!A:BN,19,FALSE),""),"")</f>
        <v/>
      </c>
      <c r="D8" s="234" t="str">
        <f>IFERROR(IF(テーブル!B3="変更申請",VLOOKUP(はじめに入力してください!L18,リスト!A:BN,20,FALSE),""),"")</f>
        <v/>
      </c>
      <c r="E8" s="93" t="str">
        <f>IFERROR(IF(テーブル!B3="変更申請",VLOOKUP(はじめに入力してください!L18,リスト!A:BN,21,FALSE),""),"")</f>
        <v/>
      </c>
      <c r="F8" s="93" t="str">
        <f>IFERROR(IF(テーブル!B3="変更申請",VLOOKUP(はじめに入力してください!L18,リスト!A:BN,22,FALSE),""),"")</f>
        <v/>
      </c>
      <c r="G8" s="93" t="str">
        <f>IFERROR(IF(テーブル!B3="変更申請",VLOOKUP(はじめに入力してください!L18,リスト!A:BN,23,FALSE),""),"")</f>
        <v/>
      </c>
      <c r="H8" s="93" t="str">
        <f>IFERROR(IF(テーブル!B3="変更申請",VLOOKUP(はじめに入力してください!L18,リスト!A:BN,24,FALSE),""),"")</f>
        <v/>
      </c>
      <c r="I8" s="93" t="str">
        <f>IFERROR(IF(テーブル!B3="変更申請",VLOOKUP(はじめに入力してください!L18,リスト!A:BN,25,FALSE),""),"")</f>
        <v/>
      </c>
      <c r="J8" s="93" t="str">
        <f>IFERROR(IF(テーブル!B3="変更申請",VLOOKUP(はじめに入力してください!L18,リスト!A:BN,26,FALSE),""),"")</f>
        <v/>
      </c>
      <c r="K8" s="2083"/>
      <c r="L8" s="196"/>
      <c r="M8" s="206">
        <f>MIN(J7,M7)</f>
        <v>0</v>
      </c>
      <c r="O8" s="57"/>
      <c r="P8" s="62"/>
    </row>
    <row r="9" spans="2:16" ht="30" customHeight="1" x14ac:dyDescent="0.4">
      <c r="B9" s="1581" t="s">
        <v>59</v>
      </c>
      <c r="C9" s="92">
        <f>額内訳書!J8</f>
        <v>0</v>
      </c>
      <c r="D9" s="233">
        <v>0</v>
      </c>
      <c r="E9" s="92">
        <f>C9-D9</f>
        <v>0</v>
      </c>
      <c r="F9" s="92">
        <f>E9</f>
        <v>0</v>
      </c>
      <c r="G9" s="92">
        <f>額内訳書!F8</f>
        <v>0</v>
      </c>
      <c r="H9" s="92">
        <f>MIN(F9,G9)</f>
        <v>0</v>
      </c>
      <c r="I9" s="92">
        <f>H9</f>
        <v>0</v>
      </c>
      <c r="J9" s="92">
        <f>ROUNDDOWN(I9,-3)</f>
        <v>0</v>
      </c>
      <c r="K9" s="2083"/>
      <c r="L9" s="196"/>
      <c r="M9" s="205" t="str">
        <f xml:space="preserve">
IF(テーブル!B3="交付申請","",
IF(テーブル!B3="変更申請","",
IF(テーブル!B3="実績報告（１次）",IFERROR(VLOOKUP(はじめに入力してください!L18,リスト!A:BN,34,FALSE),""),
IF(テーブル!B3="交付申請（２次）","",
IF(テーブル!B3="交付申請兼実績報告（２次）","",
IF(テーブル!B3="実績報告（２次）",IFERROR(VLOOKUP(はじめに入力してください!L18,リスト!A:BN,34,FALSE),"")))))))</f>
        <v/>
      </c>
      <c r="O9" s="57"/>
      <c r="P9" s="62"/>
    </row>
    <row r="10" spans="2:16" ht="30" customHeight="1" x14ac:dyDescent="0.4">
      <c r="B10" s="1582"/>
      <c r="C10" s="93" t="str">
        <f>IFERROR(IF(テーブル!B3="変更申請",VLOOKUP(はじめに入力してください!L18,リスト!A:BN,27,FALSE),""),"")</f>
        <v/>
      </c>
      <c r="D10" s="234" t="str">
        <f>IFERROR(IF(テーブル!B3="変更申請",VLOOKUP(はじめに入力してください!L18,リスト!A:BN,28,FALSE),""),"")</f>
        <v/>
      </c>
      <c r="E10" s="93" t="str">
        <f>IFERROR(IF(テーブル!B3="変更申請",VLOOKUP(はじめに入力してください!L18,リスト!A:BN,29,FALSE),""),"")</f>
        <v/>
      </c>
      <c r="F10" s="93" t="str">
        <f>IFERROR(IF(テーブル!B3="変更申請",VLOOKUP(はじめに入力してください!L18,リスト!A:BN,30,FALSE),""),"")</f>
        <v/>
      </c>
      <c r="G10" s="93" t="str">
        <f>IFERROR(IF(テーブル!B3="変更申請",VLOOKUP(はじめに入力してください!L18,リスト!A:BN,31,FALSE),""),"")</f>
        <v/>
      </c>
      <c r="H10" s="93" t="str">
        <f>IFERROR(IF(テーブル!B3="変更申請",VLOOKUP(はじめに入力してください!L18,リスト!A:BN,32,FALSE),""),"")</f>
        <v/>
      </c>
      <c r="I10" s="93" t="str">
        <f>IFERROR(IF(テーブル!B3="変更申請",VLOOKUP(はじめに入力してください!L18,リスト!A:BN,33,FALSE),""),"")</f>
        <v/>
      </c>
      <c r="J10" s="93" t="str">
        <f>IFERROR(IF(テーブル!B3="変更申請",VLOOKUP(はじめに入力してください!L18,リスト!A:BN,34,FALSE),""),"")</f>
        <v/>
      </c>
      <c r="K10" s="2083"/>
      <c r="L10" s="196"/>
      <c r="M10" s="206">
        <f>MIN(J9,M9)</f>
        <v>0</v>
      </c>
    </row>
    <row r="11" spans="2:16" ht="30" customHeight="1" x14ac:dyDescent="0.4">
      <c r="B11" s="1581" t="s">
        <v>2</v>
      </c>
      <c r="C11" s="92">
        <f>額内訳書!J9</f>
        <v>0</v>
      </c>
      <c r="D11" s="233">
        <v>0</v>
      </c>
      <c r="E11" s="92">
        <f>C11-D11</f>
        <v>0</v>
      </c>
      <c r="F11" s="92">
        <f>E11</f>
        <v>0</v>
      </c>
      <c r="G11" s="92">
        <f>額内訳書!F9</f>
        <v>0</v>
      </c>
      <c r="H11" s="92">
        <f>MIN(F11,G11)</f>
        <v>0</v>
      </c>
      <c r="I11" s="92">
        <f>H11</f>
        <v>0</v>
      </c>
      <c r="J11" s="92">
        <f>ROUNDDOWN(I11,-3)</f>
        <v>0</v>
      </c>
      <c r="K11" s="2083"/>
      <c r="L11" s="196"/>
      <c r="M11" s="205" t="str">
        <f xml:space="preserve">
IF(テーブル!B3="交付申請","",
IF(テーブル!B3="変更申請","",
IF(テーブル!B3="実績報告（１次）",IFERROR(VLOOKUP(はじめに入力してください!L18,リスト!A:BN,42,FALSE),""),
IF(テーブル!B3="交付申請（２次）","",
IF(テーブル!B3="交付申請兼実績報告（２次）","",
IF(テーブル!B3="実績報告（２次）",IFERROR(VLOOKUP(はじめに入力してください!L18,リスト!A:BN,42,FALSE),"")))))))</f>
        <v/>
      </c>
    </row>
    <row r="12" spans="2:16" ht="30" customHeight="1" x14ac:dyDescent="0.4">
      <c r="B12" s="1582"/>
      <c r="C12" s="93" t="str">
        <f>IFERROR(IF(テーブル!B3="変更申請",VLOOKUP(はじめに入力してください!L18,リスト!A:BN,35,FALSE),""),"")</f>
        <v/>
      </c>
      <c r="D12" s="234" t="str">
        <f>IFERROR(IF(テーブル!B3="変更申請",VLOOKUP(はじめに入力してください!L18,リスト!A:BN,36,FALSE),""),"")</f>
        <v/>
      </c>
      <c r="E12" s="93" t="str">
        <f>IFERROR(IF(テーブル!B3="変更申請",VLOOKUP(はじめに入力してください!L18,リスト!A:BN,37,FALSE),""),"")</f>
        <v/>
      </c>
      <c r="F12" s="93" t="str">
        <f>IFERROR(IF(テーブル!B3="変更申請",VLOOKUP(はじめに入力してください!L18,リスト!A:BN,38,FALSE),""),"")</f>
        <v/>
      </c>
      <c r="G12" s="93" t="str">
        <f>IFERROR(IF(テーブル!B3="変更申請",VLOOKUP(はじめに入力してください!L18,リスト!A:BN,39,FALSE),""),"")</f>
        <v/>
      </c>
      <c r="H12" s="93" t="str">
        <f>IFERROR(IF(テーブル!B3="変更申請",VLOOKUP(はじめに入力してください!L18,リスト!A:BN,40,FALSE),""),"")</f>
        <v/>
      </c>
      <c r="I12" s="93" t="str">
        <f>IFERROR(IF(テーブル!B3="変更申請",VLOOKUP(はじめに入力してください!L18,リスト!A:BN,41,FALSE),""),"")</f>
        <v/>
      </c>
      <c r="J12" s="93" t="str">
        <f>IFERROR(IF(テーブル!B3="変更申請",VLOOKUP(はじめに入力してください!L18,リスト!A:BN,42,FALSE),""),"")</f>
        <v/>
      </c>
      <c r="K12" s="2083"/>
      <c r="L12" s="196"/>
      <c r="M12" s="206">
        <f>MIN(J11,M11)</f>
        <v>0</v>
      </c>
    </row>
    <row r="13" spans="2:16" ht="30" hidden="1" customHeight="1" x14ac:dyDescent="0.4">
      <c r="B13" s="1581" t="str">
        <f xml:space="preserve">
IF(テーブル!B3="交付申請","消毒清掃経費",
IF(テーブル!B3="変更申請","消毒清掃経費",
IF(テーブル!B3="実績報告（１次）","消毒清掃経費",
IF(テーブル!B3="交付申請（２次）","－",
IF(テーブル!B3="交付申請兼実績報告（２次）","－",
IF(テーブル!B3="実績報告（２次）","－"))))))</f>
        <v>－</v>
      </c>
      <c r="C13" s="92">
        <f xml:space="preserve">
IF(テーブル!B3="交付申請",額内訳書!J10,
IF(テーブル!B3="変更申請",額内訳書!J10,
IF(テーブル!B3="実績報告（１次）",額内訳書!J10,
IF(テーブル!B3="交付申請（２次）",0,
IF(テーブル!B3="交付申請兼実績報告（２次）",0,
IF(テーブル!B3="実績報告（２次）",0))))))</f>
        <v>0</v>
      </c>
      <c r="D13" s="233">
        <v>0</v>
      </c>
      <c r="E13" s="92">
        <f xml:space="preserve">
IF(テーブル!B3="交付申請",C13-D13,
IF(テーブル!B3="変更申請",C13-D13,
IF(テーブル!B3="実績報告（１次）",C13-D13,
IF(テーブル!B3="交付申請（２次）",0,
IF(テーブル!B3="交付申請兼実績報告（２次）",0,
IF(テーブル!B3="実績報告（２次）",0))))))</f>
        <v>0</v>
      </c>
      <c r="F13" s="92">
        <f xml:space="preserve">
IF(テーブル!B3="交付申請",E13,
IF(テーブル!B3="変更申請",E13,
IF(テーブル!B3="実績報告（１次）",E13,
IF(テーブル!B3="交付申請（２次）",0,
IF(テーブル!B3="交付申請兼実績報告（２次）",0,
IF(テーブル!B3="実績報告（２次）",0))))))</f>
        <v>0</v>
      </c>
      <c r="G13" s="92">
        <f xml:space="preserve">
IF(テーブル!B3="交付申請",額内訳書!F10,
IF(テーブル!B3="変更申請",額内訳書!F10,
IF(テーブル!B3="実績報告（１次）",額内訳書!F10,
IF(テーブル!B3="交付申請（２次）",0,
IF(テーブル!B3="交付申請兼実績報告（２次）",0,
IF(テーブル!B3="実績報告（２次）",0))))))</f>
        <v>0</v>
      </c>
      <c r="H13" s="92">
        <f xml:space="preserve">
IF(テーブル!B3="交付申請",MIN(F13,G13),
IF(テーブル!B3="変更申請",MIN(F13,G13),
IF(テーブル!B3="実績報告（１次）",MIN(F13,G13),
IF(テーブル!B3="交付申請（２次）",0,
IF(テーブル!B3="交付申請兼実績報告（２次）",0,
IF(テーブル!B3="実績報告（２次）",0))))))</f>
        <v>0</v>
      </c>
      <c r="I13" s="92">
        <f xml:space="preserve">
IF(テーブル!B3="交付申請",H13,
IF(テーブル!B3="変更申請",H13,
IF(テーブル!B3="実績報告（１次）",H13,
IF(テーブル!B3="交付申請（２次）",0,
IF(テーブル!B3="交付申請兼実績報告（２次）",0,
IF(テーブル!B3="実績報告（２次）",0))))))</f>
        <v>0</v>
      </c>
      <c r="J13" s="92">
        <f xml:space="preserve">
IF(テーブル!B3="交付申請",ROUNDDOWN(I13,-3),
IF(テーブル!B3="変更申請",ROUNDDOWN(I13,-3),
IF(テーブル!B3="実績報告（１次）",ROUNDDOWN(I13,-3),
IF(テーブル!B3="交付申請（２次）",0,
IF(テーブル!B3="交付申請兼実績報告（２次）",0,
IF(テーブル!B3="実績報告（２次）",0))))))</f>
        <v>0</v>
      </c>
      <c r="K13" s="2083"/>
      <c r="L13" s="196"/>
      <c r="M13" s="205" t="str">
        <f xml:space="preserve">
IF(テーブル!B3="交付申請","",
IF(テーブル!B3="変更申請","",
IF(テーブル!B3="実績報告（１次）",IFERROR(VLOOKUP(はじめに入力してください!L18,リスト!A:BN,50,FALSE),""),
IF(テーブル!B3="交付申請（２次）","",
IF(テーブル!B3="交付申請兼実績報告（２次）","",
IF(テーブル!B3="実績報告（２次）",IFERROR(VLOOKUP(はじめに入力してください!L18,リスト!A:BN,50,FALSE),"")))))))</f>
        <v/>
      </c>
    </row>
    <row r="14" spans="2:16" ht="30" hidden="1" customHeight="1" x14ac:dyDescent="0.4">
      <c r="B14" s="1582"/>
      <c r="C14" s="93" t="str">
        <f>IF(テーブル!G5="変更申請",VLOOKUP(はじめに入力してください!L20,リスト!A:BN,35,FALSE),"")</f>
        <v/>
      </c>
      <c r="D14" s="234" t="str">
        <f>IF(テーブル!G5="変更申請",VLOOKUP(はじめに入力してください!L20,リスト!A:BN,36,FALSE),"")</f>
        <v/>
      </c>
      <c r="E14" s="93" t="str">
        <f>IF(テーブル!G5="変更申請",VLOOKUP(はじめに入力してください!L20,リスト!A:BN,37,FALSE),"")</f>
        <v/>
      </c>
      <c r="F14" s="93" t="str">
        <f>IF(テーブル!G5="変更申請",VLOOKUP(はじめに入力してください!L20,リスト!A:BN,38,FALSE),"")</f>
        <v/>
      </c>
      <c r="G14" s="93" t="str">
        <f>IF(テーブル!G5="変更申請",VLOOKUP(はじめに入力してください!L20,リスト!A:BN,39,FALSE),"")</f>
        <v/>
      </c>
      <c r="H14" s="93" t="str">
        <f>IF(テーブル!G5="変更申請",VLOOKUP(はじめに入力してください!L20,リスト!A:BN,40,FALSE),"")</f>
        <v/>
      </c>
      <c r="I14" s="93" t="str">
        <f>IF(テーブル!G5="変更申請",VLOOKUP(はじめに入力してください!L20,リスト!A:BN,41,FALSE),"")</f>
        <v/>
      </c>
      <c r="J14" s="93" t="str">
        <f>IF(テーブル!G5="変更申請",VLOOKUP(はじめに入力してください!L20,リスト!A:BN,42,FALSE),"")</f>
        <v/>
      </c>
      <c r="K14" s="2083"/>
      <c r="L14" s="196"/>
      <c r="M14" s="206">
        <f>MIN(J13,M13)</f>
        <v>0</v>
      </c>
    </row>
    <row r="15" spans="2:16" ht="30" customHeight="1" x14ac:dyDescent="0.4">
      <c r="B15" s="1581" t="s">
        <v>3</v>
      </c>
      <c r="C15" s="92">
        <f>額内訳書!J11</f>
        <v>0</v>
      </c>
      <c r="D15" s="233">
        <v>0</v>
      </c>
      <c r="E15" s="92">
        <f>C15-D15</f>
        <v>0</v>
      </c>
      <c r="F15" s="92">
        <f>E15</f>
        <v>0</v>
      </c>
      <c r="G15" s="92">
        <f>額内訳書!F11</f>
        <v>0</v>
      </c>
      <c r="H15" s="92">
        <f>MIN(F15,G15)</f>
        <v>0</v>
      </c>
      <c r="I15" s="92">
        <f>H15</f>
        <v>0</v>
      </c>
      <c r="J15" s="92">
        <f>ROUNDDOWN(I15,-3)</f>
        <v>0</v>
      </c>
      <c r="K15" s="2083"/>
      <c r="L15" s="196"/>
      <c r="M15" s="205" t="str">
        <f xml:space="preserve">
IF(テーブル!B3="交付申請","",
IF(テーブル!B3="変更申請","",
IF(テーブル!B3="実績報告（１次）",IFERROR(VLOOKUP(はじめに入力してください!L18,リスト!A:BN,58,FALSE),""),
IF(テーブル!B3="交付申請（２次）","",
IF(テーブル!B3="交付申請兼実績報告（２次）","",
IF(テーブル!B3="実績報告（２次）",IFERROR(VLOOKUP(はじめに入力してください!L18,リスト!A:BN,58,FALSE),"")))))))</f>
        <v/>
      </c>
    </row>
    <row r="16" spans="2:16" ht="30" customHeight="1" x14ac:dyDescent="0.4">
      <c r="B16" s="1582"/>
      <c r="C16" s="93" t="str">
        <f>IFERROR(IF(テーブル!B3="変更申請",VLOOKUP(はじめに入力してください!L18,リスト!A:BN,43,FALSE),""),"")</f>
        <v/>
      </c>
      <c r="D16" s="234" t="str">
        <f>IFERROR(IF(テーブル!B3="変更申請",VLOOKUP(はじめに入力してください!L18,リスト!A:BN,44,FALSE),""),"")</f>
        <v/>
      </c>
      <c r="E16" s="93" t="str">
        <f>IFERROR(IF(テーブル!B3="変更申請",VLOOKUP(はじめに入力してください!L18,リスト!A:BN,45,FALSE),""),"")</f>
        <v/>
      </c>
      <c r="F16" s="93" t="str">
        <f>IFERROR(IF(テーブル!B3="変更申請",VLOOKUP(はじめに入力してください!L18,リスト!A:BN,46,FALSE),""),"")</f>
        <v/>
      </c>
      <c r="G16" s="93" t="str">
        <f>IFERROR(IF(テーブル!B3="変更申請",VLOOKUP(はじめに入力してください!L18,リスト!A:BN,47,FALSE),""),"")</f>
        <v/>
      </c>
      <c r="H16" s="93" t="str">
        <f>IFERROR(IF(テーブル!B3="変更申請",VLOOKUP(はじめに入力してください!L18,リスト!A:BN,48,FALSE),""),"")</f>
        <v/>
      </c>
      <c r="I16" s="93" t="str">
        <f>IFERROR(IF(テーブル!B3="変更申請",VLOOKUP(はじめに入力してください!L18,リスト!A:BN,49,FALSE),""),"")</f>
        <v/>
      </c>
      <c r="J16" s="93" t="str">
        <f>IFERROR(IF(テーブル!B3="変更申請",VLOOKUP(はじめに入力してください!L18,リスト!A:BN,50,FALSE),""),"")</f>
        <v/>
      </c>
      <c r="K16" s="2083"/>
      <c r="L16" s="196"/>
      <c r="M16" s="206">
        <f>MIN(J15,M15)</f>
        <v>0</v>
      </c>
    </row>
    <row r="17" spans="2:16" ht="30" customHeight="1" x14ac:dyDescent="0.4">
      <c r="B17" s="1581" t="s">
        <v>4</v>
      </c>
      <c r="C17" s="92">
        <f>額内訳書!J12</f>
        <v>0</v>
      </c>
      <c r="D17" s="233">
        <v>0</v>
      </c>
      <c r="E17" s="92">
        <f>C17-D17</f>
        <v>0</v>
      </c>
      <c r="F17" s="92">
        <f>E17</f>
        <v>0</v>
      </c>
      <c r="G17" s="92">
        <f>額内訳書!F12</f>
        <v>0</v>
      </c>
      <c r="H17" s="92">
        <f>MIN(F17,G17)</f>
        <v>0</v>
      </c>
      <c r="I17" s="92">
        <f>H17</f>
        <v>0</v>
      </c>
      <c r="J17" s="92">
        <f>ROUNDDOWN(I17,-3)</f>
        <v>0</v>
      </c>
      <c r="K17" s="2083"/>
      <c r="L17" s="196"/>
      <c r="M17" s="205" t="str">
        <f xml:space="preserve">
IF(テーブル!B3="交付申請","",
IF(テーブル!B3="変更申請","",
IF(テーブル!B3="実績報告（１次）",IFERROR(VLOOKUP(はじめに入力してください!L18,リスト!A:BN,66,FALSE),""),
IF(テーブル!B3="交付申請（２次）","",
IF(テーブル!B3="交付申請兼実績報告（２次）","",
IF(テーブル!B3="実績報告（２次）",IFERROR(VLOOKUP(はじめに入力してください!L18,リスト!A:BN,66,FALSE),"")))))))</f>
        <v/>
      </c>
    </row>
    <row r="18" spans="2:16" ht="30" customHeight="1" x14ac:dyDescent="0.4">
      <c r="B18" s="1582"/>
      <c r="C18" s="93" t="str">
        <f>IFERROR(IF(テーブル!B3="変更申請",VLOOKUP(はじめに入力してください!L18,リスト!A:BN,51,FALSE),""),"")</f>
        <v/>
      </c>
      <c r="D18" s="234" t="str">
        <f>IFERROR(IF(テーブル!B3="変更申請",VLOOKUP(はじめに入力してください!L18,リスト!A:BN,52,FALSE),""),"")</f>
        <v/>
      </c>
      <c r="E18" s="93" t="str">
        <f>IFERROR(IF(テーブル!B3="変更申請",VLOOKUP(はじめに入力してください!L18,リスト!A:BN,53,FALSE),""),"")</f>
        <v/>
      </c>
      <c r="F18" s="93" t="str">
        <f>IFERROR(IF(テーブル!B3="変更申請",VLOOKUP(はじめに入力してください!L18,リスト!A:BN,54,FALSE),""),"")</f>
        <v/>
      </c>
      <c r="G18" s="93" t="str">
        <f>IFERROR(IF(テーブル!B3="変更申請",VLOOKUP(はじめに入力してください!L18,リスト!A:BN,55,FALSE),""),"")</f>
        <v/>
      </c>
      <c r="H18" s="93" t="str">
        <f>IFERROR(IF(テーブル!B3="変更申請",VLOOKUP(はじめに入力してください!L18,リスト!A:BN,56,FALSE),""),"")</f>
        <v/>
      </c>
      <c r="I18" s="93" t="str">
        <f>IFERROR(IF(テーブル!B3="変更申請",VLOOKUP(はじめに入力してください!L18,リスト!A:BN,57,FALSE),""),"")</f>
        <v/>
      </c>
      <c r="J18" s="93" t="str">
        <f>IFERROR(IF(テーブル!B3="変更申請",VLOOKUP(はじめに入力してください!L18,リスト!A:BN,58,FALSE),""),"")</f>
        <v/>
      </c>
      <c r="K18" s="2083"/>
      <c r="L18" s="196"/>
      <c r="M18" s="206">
        <f>MIN(J17,M17)</f>
        <v>0</v>
      </c>
    </row>
    <row r="19" spans="2:16" ht="30" customHeight="1" x14ac:dyDescent="0.4">
      <c r="B19" s="1242" t="s">
        <v>8</v>
      </c>
      <c r="C19" s="92">
        <f t="shared" ref="C19:I19" si="0">SUM(C7,C9,C11,C13,C15,C17)</f>
        <v>0</v>
      </c>
      <c r="D19" s="92">
        <f t="shared" si="0"/>
        <v>0</v>
      </c>
      <c r="E19" s="92">
        <f t="shared" si="0"/>
        <v>0</v>
      </c>
      <c r="F19" s="92">
        <f t="shared" si="0"/>
        <v>0</v>
      </c>
      <c r="G19" s="92">
        <f t="shared" si="0"/>
        <v>0</v>
      </c>
      <c r="H19" s="92">
        <f t="shared" si="0"/>
        <v>0</v>
      </c>
      <c r="I19" s="92">
        <f t="shared" si="0"/>
        <v>0</v>
      </c>
      <c r="J19" s="92">
        <f>SUM(J7,J9,J11,J13,J15,J17)</f>
        <v>0</v>
      </c>
      <c r="K19" s="2083"/>
      <c r="L19" s="196"/>
      <c r="M19" s="205">
        <f>SUM(M7,M9,M11,M15,M17)</f>
        <v>0</v>
      </c>
      <c r="N19" s="199">
        <f>SUM(M8,M10,M12,M14,M16,M18)</f>
        <v>0</v>
      </c>
      <c r="P19" s="53"/>
    </row>
    <row r="20" spans="2:16" ht="30" customHeight="1" x14ac:dyDescent="0.4">
      <c r="B20" s="1335"/>
      <c r="C20" s="93" t="str">
        <f>IF(テーブル!$B$3="変更申請",SUM(C8,C10,C12,C14,C16,C18),"")</f>
        <v/>
      </c>
      <c r="D20" s="93" t="str">
        <f>IF(テーブル!$B$3="変更申請",SUM(D8,D10,D12,D14,D16,D18),"")</f>
        <v/>
      </c>
      <c r="E20" s="93" t="str">
        <f>IF(テーブル!$B$3="変更申請",SUM(E8,E10,E12,E14,E16,E18),"")</f>
        <v/>
      </c>
      <c r="F20" s="93" t="str">
        <f>IF(テーブル!$B$3="変更申請",SUM(F8,F10,F12,F14,F16,F18),"")</f>
        <v/>
      </c>
      <c r="G20" s="93" t="str">
        <f>IF(テーブル!$B$3="変更申請",SUM(G8,G10,G12,G14,G16,G18),"")</f>
        <v/>
      </c>
      <c r="H20" s="93" t="str">
        <f>IF(テーブル!$B$3="変更申請",SUM(H8,H10,H12,H14,H16,H18),"")</f>
        <v/>
      </c>
      <c r="I20" s="93" t="str">
        <f>IF(テーブル!$B$3="変更申請",SUM(I8,I10,I12,I14,I16,I18),"")</f>
        <v/>
      </c>
      <c r="J20" s="93" t="str">
        <f>IF(テーブル!$B$3="変更申請",SUM(J8,J10,J12,J14,J16,J18),"")</f>
        <v/>
      </c>
      <c r="K20" s="2084"/>
      <c r="L20" s="202"/>
      <c r="M20" s="206">
        <f>MIN(N19,M19)</f>
        <v>0</v>
      </c>
      <c r="N20" s="198"/>
      <c r="P20" s="53"/>
    </row>
    <row r="21" spans="2:16" ht="21.75" customHeight="1" x14ac:dyDescent="0.4">
      <c r="B21" s="53" t="s">
        <v>9</v>
      </c>
      <c r="P21" s="53"/>
    </row>
    <row r="22" spans="2:16" ht="20.100000000000001" customHeight="1" x14ac:dyDescent="0.4">
      <c r="P22" s="53"/>
    </row>
    <row r="23" spans="2:16" ht="20.100000000000001" customHeight="1" x14ac:dyDescent="0.4">
      <c r="P23" s="53"/>
    </row>
    <row r="24" spans="2:16" ht="20.100000000000001" customHeight="1" x14ac:dyDescent="0.4">
      <c r="P24" s="53"/>
    </row>
  </sheetData>
  <sheetProtection algorithmName="SHA-512" hashValue="tF3C+hVaLgQPrzcL9RFN5wYqsB+Uos0/xisFYOf6Ov/8Vgcix98b7ICUk75dnoQUusBzG32n4bUxGks9XzRaPQ==" saltValue="5em6u0knpMgKl81TAteG4Q==" spinCount="100000" sheet="1" objects="1" scenarios="1"/>
  <mergeCells count="12">
    <mergeCell ref="H1:K1"/>
    <mergeCell ref="B19:B20"/>
    <mergeCell ref="K7:K20"/>
    <mergeCell ref="I3:J3"/>
    <mergeCell ref="I4:J4"/>
    <mergeCell ref="B17:B18"/>
    <mergeCell ref="B2:K2"/>
    <mergeCell ref="B7:B8"/>
    <mergeCell ref="B9:B10"/>
    <mergeCell ref="B11:B12"/>
    <mergeCell ref="B15:B16"/>
    <mergeCell ref="B13:B14"/>
  </mergeCells>
  <phoneticPr fontId="1"/>
  <dataValidations count="1">
    <dataValidation allowBlank="1" showInputMessage="1" showErrorMessage="1" promptTitle="「寄付金その他の収入予定額（B）」欄について" prompt="本補助金で申請した「総事業費（A）」に対して、本補助金以外の寄付金やその他の収入を充てている場合はその金額を、ない場合は「0」円を入力してください。 _x000a_" sqref="D7:D18" xr:uid="{00000000-0002-0000-0500-000000000000}"/>
  </dataValidations>
  <printOptions horizontalCentered="1"/>
  <pageMargins left="0.59055118110236227" right="0.39370078740157483" top="0.98425196850393704" bottom="0.39370078740157483" header="0.31496062992125984" footer="0.31496062992125984"/>
  <pageSetup paperSize="9" scale="70" fitToWidth="0" fitToHeight="0" orientation="landscape" r:id="rId1"/>
  <colBreaks count="1" manualBreakCount="1">
    <brk id="13" max="18"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B1:AJ14"/>
  <sheetViews>
    <sheetView showGridLines="0" view="pageBreakPreview" zoomScale="70" zoomScaleNormal="60" zoomScaleSheetLayoutView="70" workbookViewId="0">
      <selection sqref="A1:XFD1048576"/>
    </sheetView>
  </sheetViews>
  <sheetFormatPr defaultColWidth="9" defaultRowHeight="24" x14ac:dyDescent="0.4"/>
  <cols>
    <col min="1" max="1" width="2.625" style="2" customWidth="1"/>
    <col min="2" max="2" width="40.625" style="2" customWidth="1"/>
    <col min="3" max="3" width="30.625" style="2" customWidth="1"/>
    <col min="4" max="4" width="10.625" style="2" customWidth="1"/>
    <col min="5" max="6" width="20.625" style="2" customWidth="1"/>
    <col min="7" max="7" width="30.625" style="2" customWidth="1"/>
    <col min="8" max="8" width="10.625" style="2" customWidth="1"/>
    <col min="9" max="10" width="20.625" style="2" customWidth="1"/>
    <col min="11" max="16" width="5.625" style="2" customWidth="1"/>
    <col min="17" max="17" width="5.625" style="3" customWidth="1"/>
    <col min="18" max="18" width="2.625" style="2" customWidth="1"/>
    <col min="19" max="26" width="8.625" style="2" customWidth="1"/>
    <col min="27" max="30" width="9" style="2"/>
    <col min="31" max="31" width="10.625" style="4" customWidth="1"/>
    <col min="32" max="16384" width="9" style="2"/>
  </cols>
  <sheetData>
    <row r="1" spans="2:36" ht="39.950000000000003" customHeight="1" x14ac:dyDescent="0.4">
      <c r="B1" s="2" t="str">
        <f xml:space="preserve">
IF(テーブル!B3="交付申請","様式２－２",
IF(テーブル!B3="変更申請","様式２－２",
IF(テーブル!B3="実績報告（１次）","様式１－２",
IF(テーブル!B3="交付申請（２次）","様式２－５",
IF(テーブル!B3="交付申請兼実績報告（２次）","様式２－５",
IF(テーブル!B3="実績報告（２次）","様式２－５"))))))</f>
        <v>様式２－５</v>
      </c>
      <c r="C1" s="1583" t="str">
        <f xml:space="preserve">
表紙!AN53&amp;"　"&amp;表紙!L9&amp;表紙!O2</f>
        <v>　（10月１日～３月31日分）</v>
      </c>
      <c r="D1" s="1584"/>
      <c r="E1" s="1584"/>
      <c r="F1" s="1584"/>
      <c r="G1" s="1584"/>
      <c r="H1" s="1584"/>
      <c r="I1" s="1584"/>
      <c r="J1" s="1584"/>
      <c r="K1" s="1584"/>
      <c r="L1" s="1584"/>
      <c r="M1" s="1584"/>
      <c r="N1" s="1584"/>
      <c r="O1" s="1584"/>
      <c r="P1" s="1584"/>
      <c r="Q1" s="1584"/>
    </row>
    <row r="2" spans="2:36" ht="39.950000000000003" customHeight="1" x14ac:dyDescent="0.4">
      <c r="B2" s="1595" t="str">
        <f xml:space="preserve">
IF(テーブル!B3="交付申請","設備整備基準算出内訳及び対象経費支出予定額内訳",
IF(テーブル!B3="変更申請","設備整備基準算出内訳及び対象経費支出予定額内訳",
IF(テーブル!B3="実績報告（１次）","設備整備基準算出内訳及び対象経費実支出額内訳",
IF(テーブル!B3="交付申請（２次）","設備整備基準算出内訳及び対象経費支出予定額内訳",
IF(テーブル!B3="交付申請兼実績報告（２次）","設備整備基準算出内訳及び対象経費実支出額内訳",
IF(テーブル!B3="実績報告（２次）","設備整備基準算出内訳及び対象経費実支出額内訳"))))))</f>
        <v>設備整備基準算出内訳及び対象経費支出予定額内訳</v>
      </c>
      <c r="C2" s="1596"/>
      <c r="D2" s="1596"/>
      <c r="E2" s="1596"/>
      <c r="F2" s="1596"/>
      <c r="G2" s="1596"/>
      <c r="H2" s="1596"/>
      <c r="I2" s="1596"/>
      <c r="J2" s="1596"/>
      <c r="K2" s="1596"/>
      <c r="L2" s="1596"/>
      <c r="M2" s="1596"/>
      <c r="N2" s="1596"/>
      <c r="O2" s="1596"/>
      <c r="P2" s="1596"/>
      <c r="Q2" s="1596"/>
    </row>
    <row r="3" spans="2:36" ht="39.950000000000003" customHeight="1" x14ac:dyDescent="0.4">
      <c r="B3" s="7"/>
      <c r="C3" s="7"/>
      <c r="D3" s="7"/>
      <c r="E3" s="7"/>
      <c r="F3" s="7"/>
      <c r="G3" s="7"/>
      <c r="H3" s="7"/>
      <c r="I3" s="7"/>
      <c r="J3" s="7"/>
      <c r="K3" s="7"/>
      <c r="L3" s="7"/>
      <c r="M3" s="7"/>
      <c r="N3" s="7"/>
      <c r="O3" s="7"/>
      <c r="P3" s="7"/>
      <c r="Q3" s="110"/>
      <c r="S3" s="3"/>
    </row>
    <row r="4" spans="2:36" ht="50.1" customHeight="1" x14ac:dyDescent="0.4">
      <c r="B4" s="1598" t="s">
        <v>49</v>
      </c>
      <c r="C4" s="1597" t="s">
        <v>50</v>
      </c>
      <c r="D4" s="1597" t="s">
        <v>52</v>
      </c>
      <c r="E4" s="1597"/>
      <c r="F4" s="1597"/>
      <c r="G4" s="1597" t="str">
        <f xml:space="preserve">
IF(テーブル!B3="交付申請","対象経費支出予定額",
IF(テーブル!B3="変更申請","対象経費支出予定額",
IF(テーブル!B3="実績報告（１次）","対象経費実支出額",
IF(テーブル!B3="交付申請（２次）","対象経費支出予定額",
IF(テーブル!B3="交付申請兼実績報告（２次）","対象経費実支出額",
IF(テーブル!B3="実績報告（２次）","対象経費実支出額"))))))</f>
        <v>対象経費支出予定額</v>
      </c>
      <c r="H4" s="1597"/>
      <c r="I4" s="1597"/>
      <c r="J4" s="1597"/>
      <c r="K4" s="1585" t="str">
        <f xml:space="preserve">
IF(テーブル!B3="交付申請","事業完了予定日"&amp;CHAR(10)&amp;"（複数の場合は最終納品の予定日）",
IF(テーブル!B3="変更申請","事業完了予定日"&amp;CHAR(10)&amp;"（複数の場合は最終納品の予定日）",
IF(テーブル!B3="実績報告（１次）","事業完了日"&amp;CHAR(10)&amp;"（複数の場合は最終納品日）",
IF(テーブル!B3="交付申請（２次）","事業完了予定日"&amp;CHAR(10)&amp;"（複数の場合は最終納品の予定日）",
IF(テーブル!B3="交付申請兼実績報告（２次）","事業完了日"&amp;CHAR(10)&amp;"（複数の場合は最終納品日）",
IF(テーブル!B3="実績報告（２次）","事業完了日"&amp;CHAR(10)&amp;"（複数の場合は最終納品日）"))))))</f>
        <v>事業完了予定日
（複数の場合は最終納品の予定日）</v>
      </c>
      <c r="L4" s="1586"/>
      <c r="M4" s="1586"/>
      <c r="N4" s="1586"/>
      <c r="O4" s="1587"/>
      <c r="P4" s="1587"/>
      <c r="Q4" s="1588"/>
      <c r="AE4" s="121"/>
      <c r="AF4" s="109"/>
      <c r="AG4" s="109"/>
      <c r="AH4" s="109"/>
    </row>
    <row r="5" spans="2:36" ht="24.95" customHeight="1" x14ac:dyDescent="0.4">
      <c r="B5" s="1598"/>
      <c r="C5" s="1597"/>
      <c r="D5" s="168" t="s">
        <v>0</v>
      </c>
      <c r="E5" s="168" t="s">
        <v>51</v>
      </c>
      <c r="F5" s="168" t="s">
        <v>53</v>
      </c>
      <c r="G5" s="169" t="s">
        <v>63</v>
      </c>
      <c r="H5" s="168" t="s">
        <v>1</v>
      </c>
      <c r="I5" s="19" t="s">
        <v>65</v>
      </c>
      <c r="J5" s="168" t="s">
        <v>53</v>
      </c>
      <c r="K5" s="1589" t="s">
        <v>1182</v>
      </c>
      <c r="L5" s="1587"/>
      <c r="M5" s="1587"/>
      <c r="N5" s="1590"/>
      <c r="O5" s="1590"/>
      <c r="P5" s="1590"/>
      <c r="Q5" s="1591"/>
      <c r="AE5" s="123"/>
      <c r="AF5" s="109"/>
      <c r="AG5" s="109"/>
      <c r="AH5" s="109"/>
    </row>
    <row r="6" spans="2:36" ht="30" hidden="1" customHeight="1" x14ac:dyDescent="0.4">
      <c r="B6" s="167"/>
      <c r="C6" s="8"/>
      <c r="D6" s="8"/>
      <c r="E6" s="9" t="s">
        <v>5</v>
      </c>
      <c r="F6" s="9" t="s">
        <v>5</v>
      </c>
      <c r="G6" s="10"/>
      <c r="H6" s="9"/>
      <c r="I6" s="9" t="s">
        <v>5</v>
      </c>
      <c r="J6" s="9" t="s">
        <v>5</v>
      </c>
      <c r="K6" s="9"/>
      <c r="L6" s="9"/>
      <c r="M6" s="9"/>
      <c r="N6" s="9"/>
      <c r="O6" s="9"/>
      <c r="P6" s="9"/>
      <c r="Q6" s="8"/>
      <c r="AE6" s="121"/>
      <c r="AF6" s="109"/>
      <c r="AG6" s="109"/>
      <c r="AH6" s="109"/>
    </row>
    <row r="7" spans="2:36" ht="99.95" customHeight="1" x14ac:dyDescent="0.4">
      <c r="B7" s="167" t="s">
        <v>1047</v>
      </c>
      <c r="C7" s="246" t="str">
        <f>IF(D7=1,"（添付明細のとおり）","-")</f>
        <v>-</v>
      </c>
      <c r="D7" s="31">
        <f xml:space="preserve">
IF(表紙!V3="8/14以前",0,
IF(AND(はじめに入力してください!O30="○",空清機・パーテ・ベッド!BE3="◎"),1,0))</f>
        <v>0</v>
      </c>
      <c r="E7" s="11">
        <f>IF(D7=1,905000,0)</f>
        <v>0</v>
      </c>
      <c r="F7" s="11">
        <f>IF(D7=1,E7,0)</f>
        <v>0</v>
      </c>
      <c r="G7" s="268" t="str">
        <f>C7</f>
        <v>-</v>
      </c>
      <c r="H7" s="274">
        <f>IF(D7=1,COUNTIF(空清機・パーテ・ベッド!B20:I22,"本体"),0)</f>
        <v>0</v>
      </c>
      <c r="I7" s="170">
        <f>IF(D7=1,空清機・パーテ・ベッド!AG28,0)</f>
        <v>0</v>
      </c>
      <c r="J7" s="11">
        <f>IF(D7=1,H7*I7,0)</f>
        <v>0</v>
      </c>
      <c r="K7" s="247" t="s">
        <v>74</v>
      </c>
      <c r="L7" s="273" t="str">
        <f xml:space="preserve">
IF(D7&lt;&gt;0,空清機・パーテ・ベッド!D14,"")</f>
        <v/>
      </c>
      <c r="M7" s="248" t="s">
        <v>75</v>
      </c>
      <c r="N7" s="273" t="str">
        <f>IF(D7&lt;&gt;0,空清機・パーテ・ベッド!G14,"")</f>
        <v/>
      </c>
      <c r="O7" s="248" t="s">
        <v>77</v>
      </c>
      <c r="P7" s="273" t="str">
        <f>IF(D7&lt;&gt;0,空清機・パーテ・ベッド!J14,"")</f>
        <v/>
      </c>
      <c r="Q7" s="249" t="s">
        <v>1181</v>
      </c>
      <c r="S7" s="3" t="str">
        <f xml:space="preserve">
IF(表紙!V3="8/14以前","○",
IF(AND(はじめに入力してください!O30="○",空清機・パーテ・ベッド!BE3="◎"),"◎","×"))</f>
        <v>×</v>
      </c>
      <c r="Z7" s="3"/>
      <c r="AE7" s="124"/>
      <c r="AF7" s="109"/>
      <c r="AG7" s="122"/>
      <c r="AI7" s="6"/>
      <c r="AJ7" s="6"/>
    </row>
    <row r="8" spans="2:36" ht="99.95" customHeight="1" x14ac:dyDescent="0.4">
      <c r="B8" s="245" t="s">
        <v>59</v>
      </c>
      <c r="C8" s="246" t="str">
        <f>IF(D8&lt;&gt;0,"（添付明細のとおり）","-")</f>
        <v>-</v>
      </c>
      <c r="D8" s="12">
        <f xml:space="preserve">
IF(表紙!V3="8/14以前",0,
IF(AND(はじめに入力してください!O31="○",空清機・パーテ・ベッド!BE4="◎"),空清機・パーテ・ベッド!AG3,0))</f>
        <v>0</v>
      </c>
      <c r="E8" s="13">
        <f>IF(D8&lt;&gt;0,205000,0)</f>
        <v>0</v>
      </c>
      <c r="F8" s="13">
        <f>IF(D8&lt;&gt;0,D8*E8,0)</f>
        <v>0</v>
      </c>
      <c r="G8" s="268" t="str">
        <f>C8</f>
        <v>-</v>
      </c>
      <c r="H8" s="269">
        <f>IF(D8&lt;&gt;0,1,0)</f>
        <v>0</v>
      </c>
      <c r="I8" s="16">
        <f>IF(D8&lt;&gt;0,空清機・パーテ・ベッド!AG43,0)</f>
        <v>0</v>
      </c>
      <c r="J8" s="13">
        <f>IF(D8&lt;&gt;0,H8*I8,0)</f>
        <v>0</v>
      </c>
      <c r="K8" s="247" t="s">
        <v>74</v>
      </c>
      <c r="L8" s="273" t="str">
        <f xml:space="preserve">
IF(D8&lt;&gt;0,空清機・パーテ・ベッド!D36,"")</f>
        <v/>
      </c>
      <c r="M8" s="248" t="s">
        <v>75</v>
      </c>
      <c r="N8" s="273" t="str">
        <f>IF(D8&lt;&gt;0,空清機・パーテ・ベッド!G36,"")</f>
        <v/>
      </c>
      <c r="O8" s="248" t="s">
        <v>77</v>
      </c>
      <c r="P8" s="273" t="str">
        <f>IF(D8&lt;&gt;0,空清機・パーテ・ベッド!J36,"")</f>
        <v/>
      </c>
      <c r="Q8" s="249" t="s">
        <v>1181</v>
      </c>
      <c r="S8" s="3" t="str">
        <f xml:space="preserve">
IF(表紙!V3="8/14以前","○",
IF(AND(はじめに入力してください!O31="○",空清機・パーテ・ベッド!BE4="◎"),"◎","×"))</f>
        <v>×</v>
      </c>
      <c r="Z8" s="3"/>
      <c r="AE8" s="124"/>
      <c r="AF8" s="109"/>
      <c r="AG8" s="122"/>
      <c r="AI8" s="7"/>
      <c r="AJ8" s="7"/>
    </row>
    <row r="9" spans="2:36" ht="99.95" customHeight="1" x14ac:dyDescent="0.4">
      <c r="B9" s="166" t="s">
        <v>2</v>
      </c>
      <c r="C9" s="246" t="str">
        <f>IF(D9&lt;&gt;0,"（添付明細のとおり）","-")</f>
        <v>-</v>
      </c>
      <c r="D9" s="228">
        <f xml:space="preserve">
IF(AND(表紙!V3="8/14以前",はじめに入力してください!O32="○",防護具!AV176="◎"),防護具!E8,
IF(AND(表紙!V3="8/14以前",はじめに入力してください!O32="○",防護具!AV176="○"),0,
IF(AND(表紙!V3="8/14以前",はじめに入力してください!O32="○",防護具!AV176="×"),0,
IF(AND(表紙!V3="8/14以前",はじめに入力してください!O32="×",防護具!AV176="◎"),0,
IF(AND(表紙!V3="8/14以前",はじめに入力してください!O32="×",防護具!AV176="○"),0,
IF(AND(表紙!V3="8/14以前",はじめに入力してください!O32="×",防護具!AV176="×"),0,
IF(AND(表紙!V3="8/15以降",はじめに入力してください!O32="○",防護具!AV176="◎"),防護具!E8,
IF(AND(表紙!V3="8/15以降",はじめに入力してください!O32="○",防護具!AV176="○"),0,
IF(AND(表紙!V3="8/15以降",はじめに入力してください!O32="○",防護具!AV176="×"),0,
IF(AND(表紙!V3="8/15以降",はじめに入力してください!O32="×",防護具!AV176="◎"),0,
IF(AND(表紙!V3="8/15以降",はじめに入力してください!O32="×",防護具!AV176="○"),0,
IF(AND(表紙!V3="8/15以降",はじめに入力してください!O32="×",防護具!AV176="×"),0))))))))))))</f>
        <v>0</v>
      </c>
      <c r="E9" s="13">
        <f>IF(D9&lt;&gt;0,3600,0)</f>
        <v>0</v>
      </c>
      <c r="F9" s="13">
        <f>IF(D9&lt;&gt;0,D9*E9,0)</f>
        <v>0</v>
      </c>
      <c r="G9" s="268" t="str">
        <f>C9</f>
        <v>-</v>
      </c>
      <c r="H9" s="269">
        <f>IF(D9&lt;&gt;0,1,0)</f>
        <v>0</v>
      </c>
      <c r="I9" s="16">
        <f>IF(D9&lt;&gt;0,防護具!T2,0)</f>
        <v>0</v>
      </c>
      <c r="J9" s="13">
        <f>IF(D9&lt;&gt;0,H9*I9,0)</f>
        <v>0</v>
      </c>
      <c r="K9" s="247" t="s">
        <v>74</v>
      </c>
      <c r="L9" s="273" t="str">
        <f xml:space="preserve">
IF(S9&lt;&gt;"◎","",
IF(YEAR(MAX(防護具!$W$14:$W$163))=2023,5,
IF(YEAR(MAX(防護具!$W$14:$W$163))=2024,6,"")))</f>
        <v/>
      </c>
      <c r="M9" s="248" t="s">
        <v>75</v>
      </c>
      <c r="N9" s="273" t="str">
        <f xml:space="preserve">
IF(S9&lt;&gt;"◎","",
MONTH(MAX(防護具!$W$14:$W$163)))</f>
        <v/>
      </c>
      <c r="O9" s="248" t="s">
        <v>77</v>
      </c>
      <c r="P9" s="273" t="str">
        <f xml:space="preserve">
IF(S9&lt;&gt;"◎","",
DAY(MAX(防護具!$W$14:$W$163)))</f>
        <v/>
      </c>
      <c r="Q9" s="249" t="s">
        <v>79</v>
      </c>
      <c r="S9" s="3" t="str">
        <f xml:space="preserve">
IF(AND(表紙!V3="8/14以前",はじめに入力してください!O32="○",防護具!AV176="◎"),"◎",
IF(AND(表紙!V3="8/14以前",はじめに入力してください!O32="○",防護具!AV176="○"),"○",
IF(AND(表紙!V3="8/14以前",はじめに入力してください!O32="○",防護具!AV176="×"),"×",
IF(AND(表紙!V3="8/14以前",はじめに入力してください!O32="×",防護具!AV176="◎"),"×",
IF(AND(表紙!V3="8/14以前",はじめに入力してください!O32="×",防護具!AV176="○"),"×",
IF(AND(表紙!V3="8/14以前",はじめに入力してください!O32="×",防護具!AV176="×"),"×",
IF(AND(表紙!V3="8/15以降",はじめに入力してください!O32="○",防護具!AV176="◎"),"◎",
IF(AND(表紙!V3="8/15以降",はじめに入力してください!O32="○",防護具!AV176="○"),"○",
IF(AND(表紙!V3="8/15以降",はじめに入力してください!O32="○",防護具!AV176="×"),"×",
IF(AND(表紙!V3="8/15以降",はじめに入力してください!O32="×",防護具!AV176="◎"),"×",
IF(AND(表紙!V3="8/15以降",はじめに入力してください!O32="×",防護具!AV176="○"),"×",
IF(AND(表紙!V3="8/15以降",はじめに入力してください!O32="×",防護具!AV176="×"),"×"))))))))))))</f>
        <v>×</v>
      </c>
      <c r="Z9" s="15"/>
      <c r="AE9" s="124"/>
      <c r="AF9" s="109"/>
      <c r="AG9" s="122"/>
      <c r="AI9" s="7"/>
      <c r="AJ9" s="7"/>
    </row>
    <row r="10" spans="2:36" ht="99.95" hidden="1" customHeight="1" x14ac:dyDescent="0.4">
      <c r="B10" s="223" t="str">
        <f xml:space="preserve">
IF(テーブル!B3="交付申請","消毒清掃経費",
IF(テーブル!B3="変更申請","消毒清掃経費",
IF(テーブル!B3="実績報告（１次）","消毒清掃経費",
IF(テーブル!B3="交付申請（２次）","－",
IF(テーブル!B3="交付申請兼実績報告（２次）","－",
IF(テーブル!B3="実績報告（２次）","－"))))))</f>
        <v>－</v>
      </c>
      <c r="C10" s="246" t="str">
        <f>IF(D10&lt;&gt;0,"（添付明細のとおり）","-")</f>
        <v>-</v>
      </c>
      <c r="D10" s="232">
        <f xml:space="preserve">
IF(AND(テーブル!B3="交付申請",はじめに入力してください!O33="○",消毒!AS120="◎"),消毒!E6,
IF(テーブル!B3="変更申請",0,
IF(AND(テーブル!B3="実績報告（１次）",はじめに入力してください!O33="○",消毒!AS120="◎"),消毒!E6,
IF(テーブル!B3="交付申請（２次）",0,
IF(テーブル!B3="交付申請兼実績報告（２次）",0,
IF(テーブル!B3="実績報告（２次）",0,0))))))</f>
        <v>0</v>
      </c>
      <c r="E10" s="13">
        <f>IF(D10&lt;&gt;0,400,0)</f>
        <v>0</v>
      </c>
      <c r="F10" s="13">
        <f>IF(D10&lt;&gt;0,D10*E10,0)</f>
        <v>0</v>
      </c>
      <c r="G10" s="268" t="str">
        <f>C10</f>
        <v>-</v>
      </c>
      <c r="H10" s="269">
        <f>IF(D10&lt;&gt;0,1,0)</f>
        <v>0</v>
      </c>
      <c r="I10" s="16">
        <f>IF(D10&lt;&gt;0,消毒!Q2,0)</f>
        <v>0</v>
      </c>
      <c r="J10" s="13">
        <f>IF(D10&lt;&gt;0,H10*I10,0)</f>
        <v>0</v>
      </c>
      <c r="K10" s="247" t="s">
        <v>74</v>
      </c>
      <c r="L10" s="273" t="str">
        <f xml:space="preserve">
IF(D10&lt;&gt;0,VLOOKUP(MAX(消毒!C14:C113),消毒!C14:N113,10,FALSE),"")</f>
        <v/>
      </c>
      <c r="M10" s="248" t="s">
        <v>75</v>
      </c>
      <c r="N10" s="273" t="str">
        <f xml:space="preserve">
IF(D10&lt;&gt;0,VLOOKUP(MAX(消毒!C14:C113),消毒!C14:N113,11,FALSE),"")</f>
        <v/>
      </c>
      <c r="O10" s="248" t="s">
        <v>77</v>
      </c>
      <c r="P10" s="273" t="str">
        <f xml:space="preserve">
IF(D10&lt;&gt;0,VLOOKUP(MAX(消毒!C14:C113),消毒!C14:N113,12,FALSE),"")</f>
        <v/>
      </c>
      <c r="Q10" s="249" t="s">
        <v>79</v>
      </c>
      <c r="S10" s="3" t="str">
        <f xml:space="preserve">
IF(AND(テーブル!B3="交付申請",はじめに入力してください!O33="○",消毒!AS120="◎"),"◎",
IF(AND(テーブル!B3="交付申請",はじめに入力してください!O33="○",消毒!AS120="○"),"○",
IF(テーブル!B3="変更申請","○",
IF(AND(テーブル!B3="実績報告（１次）",はじめに入力してください!O33="○",消毒!AS120="◎"),"◎",
IF(テーブル!B3="交付申請（２次）","○",
IF(テーブル!B3="交付申請兼実績報告（２次）","○",
IF(テーブル!B3="実績報告（２次）","○","×")))))))</f>
        <v>○</v>
      </c>
      <c r="Z10" s="15"/>
      <c r="AE10" s="124"/>
      <c r="AF10" s="109"/>
      <c r="AG10" s="122"/>
      <c r="AI10" s="7"/>
      <c r="AJ10" s="7"/>
    </row>
    <row r="11" spans="2:36" ht="99.95" customHeight="1" x14ac:dyDescent="0.4">
      <c r="B11" s="245" t="s">
        <v>3</v>
      </c>
      <c r="C11" s="246" t="str">
        <f>IF(D11&lt;&gt;0,"（添付明細のとおり）","-")</f>
        <v>-</v>
      </c>
      <c r="D11" s="12">
        <f xml:space="preserve">
IF(表紙!V3="8/14以前",0,
IF(AND(はじめに入力してください!O34="○",空清機・パーテ・ベッド!BE5="◎"),空清機・パーテ・ベッド!AG4,0))</f>
        <v>0</v>
      </c>
      <c r="E11" s="13">
        <f>IF(D11&lt;&gt;0,51400,0)</f>
        <v>0</v>
      </c>
      <c r="F11" s="13">
        <f>IF(D11&lt;&gt;0,D11*E11,0)</f>
        <v>0</v>
      </c>
      <c r="G11" s="268" t="str">
        <f>C11</f>
        <v>-</v>
      </c>
      <c r="H11" s="269">
        <f>IF(D11&lt;&gt;0,1,0)</f>
        <v>0</v>
      </c>
      <c r="I11" s="16">
        <f>IF(D11&lt;&gt;0,空清機・パーテ・ベッド!AG56,0)</f>
        <v>0</v>
      </c>
      <c r="J11" s="13">
        <f>IF(D11&lt;&gt;0,H11*I11,0)</f>
        <v>0</v>
      </c>
      <c r="K11" s="247" t="s">
        <v>74</v>
      </c>
      <c r="L11" s="273" t="str">
        <f xml:space="preserve">
IF(D11&lt;&gt;0,空清機・パーテ・ベッド!D49,"")</f>
        <v/>
      </c>
      <c r="M11" s="248" t="s">
        <v>75</v>
      </c>
      <c r="N11" s="273" t="str">
        <f>IF(D11&lt;&gt;0,空清機・パーテ・ベッド!G49,"")</f>
        <v/>
      </c>
      <c r="O11" s="248" t="s">
        <v>77</v>
      </c>
      <c r="P11" s="273" t="str">
        <f>IF(D11&lt;&gt;0,空清機・パーテ・ベッド!J49,"")</f>
        <v/>
      </c>
      <c r="Q11" s="249" t="s">
        <v>79</v>
      </c>
      <c r="S11" s="3" t="str">
        <f xml:space="preserve">
IF(表紙!V3="8/14以前","○",
IF(AND(はじめに入力してください!O31="○",空清機・パーテ・ベッド!BE4="◎"),"◎","×"))</f>
        <v>×</v>
      </c>
      <c r="Z11" s="3"/>
      <c r="AE11" s="124"/>
      <c r="AF11" s="109"/>
      <c r="AG11" s="122"/>
      <c r="AI11" s="7"/>
      <c r="AJ11" s="7"/>
    </row>
    <row r="12" spans="2:36" ht="99.95" customHeight="1" thickBot="1" x14ac:dyDescent="0.45">
      <c r="B12" s="166" t="s">
        <v>4</v>
      </c>
      <c r="C12" s="246" t="str">
        <f>IF(D12&lt;&gt;0,"（添付明細のとおり）","-")</f>
        <v>-</v>
      </c>
      <c r="D12" s="269">
        <f xml:space="preserve">
IF(表紙!V3="8/14以前",0,
IF(AND(はじめに入力してください!O35="○",診療室!AM79="◎"),1,0))</f>
        <v>0</v>
      </c>
      <c r="E12" s="13">
        <f>IF(D12&lt;&gt;0,診療室!M2,0)</f>
        <v>0</v>
      </c>
      <c r="F12" s="13">
        <f>D12*E12</f>
        <v>0</v>
      </c>
      <c r="G12" s="244" t="str">
        <f>IF(C12="-","-",C12)</f>
        <v>-</v>
      </c>
      <c r="H12" s="14">
        <f>IF(E12&gt;0,1,0)</f>
        <v>0</v>
      </c>
      <c r="I12" s="16">
        <f>IF(D12&lt;&gt;0,診療室!M2,0)</f>
        <v>0</v>
      </c>
      <c r="J12" s="13">
        <f>IF(D12&lt;&gt;0,H12*I12,0)</f>
        <v>0</v>
      </c>
      <c r="K12" s="247" t="s">
        <v>74</v>
      </c>
      <c r="L12" s="273" t="str">
        <f xml:space="preserve">
IF(D12&lt;&gt;0,VLOOKUP(MAX(診療室!$Q$32:$Q$71),診療室!$Q$32:$T$71,2,FALSE),"")</f>
        <v/>
      </c>
      <c r="M12" s="248" t="s">
        <v>75</v>
      </c>
      <c r="N12" s="273" t="str">
        <f xml:space="preserve">
IF(D12&lt;&gt;0,VLOOKUP(MAX(診療室!$Q$32:$Q$71),診療室!$Q$32:$T$71,3,FALSE),"")</f>
        <v/>
      </c>
      <c r="O12" s="248" t="s">
        <v>77</v>
      </c>
      <c r="P12" s="273" t="str">
        <f xml:space="preserve">
IF(D12&lt;&gt;0,VLOOKUP(MAX(診療室!$Q$32:$Q$71),診療室!$Q$32:$T$71,4,FALSE),"")</f>
        <v/>
      </c>
      <c r="Q12" s="249" t="s">
        <v>79</v>
      </c>
      <c r="S12" s="3" t="str">
        <f xml:space="preserve">
IF(表紙!V3="8/14以前","○",
IF(AND(はじめに入力してください!O31="○",空清機・パーテ・ベッド!BE4="◎"),"◎","×"))</f>
        <v>×</v>
      </c>
      <c r="Z12" s="3"/>
      <c r="AE12" s="124"/>
      <c r="AF12" s="109"/>
      <c r="AG12" s="122"/>
      <c r="AI12" s="7"/>
      <c r="AJ12" s="7"/>
    </row>
    <row r="13" spans="2:36" ht="99.95" customHeight="1" thickTop="1" x14ac:dyDescent="0.4">
      <c r="B13" s="1599" t="s">
        <v>64</v>
      </c>
      <c r="C13" s="1600"/>
      <c r="D13" s="1600"/>
      <c r="E13" s="1600"/>
      <c r="F13" s="1600"/>
      <c r="G13" s="1600"/>
      <c r="H13" s="1600"/>
      <c r="I13" s="1601"/>
      <c r="J13" s="17">
        <f>SUM(J7:J12)</f>
        <v>0</v>
      </c>
      <c r="K13" s="1592"/>
      <c r="L13" s="1593"/>
      <c r="M13" s="1593"/>
      <c r="N13" s="1593"/>
      <c r="O13" s="1593"/>
      <c r="P13" s="1593"/>
      <c r="Q13" s="1594"/>
      <c r="S13" s="4" t="str">
        <f xml:space="preserve">
IF(COUNTIF(S7:S12,"×")&gt;=1,"×",
IF(COUNTIF(S7:S12,"○")=6,"×",
IF(COUNTIF(S7:S12,"◎")&gt;=1,"◎")))</f>
        <v>×</v>
      </c>
      <c r="AE13" s="18"/>
    </row>
    <row r="14" spans="2:36" ht="30" customHeight="1" x14ac:dyDescent="0.4"/>
  </sheetData>
  <sheetProtection algorithmName="SHA-512" hashValue="pgHiEzZXoh1Hf+Q6eFMSrSUT/IBOCBkyoXrKAZBRWYXt5tdoAoU+rkMBg72ME92g81cGMtelAIdDQrawiJh+CA==" saltValue="ZffCW39rmqKL+NwIDW/LKg==" spinCount="100000" sheet="1" formatCells="0" formatColumns="0" formatRows="0"/>
  <mergeCells count="10">
    <mergeCell ref="C1:Q1"/>
    <mergeCell ref="K4:Q4"/>
    <mergeCell ref="K5:Q5"/>
    <mergeCell ref="K13:Q13"/>
    <mergeCell ref="B2:Q2"/>
    <mergeCell ref="G4:J4"/>
    <mergeCell ref="D4:F4"/>
    <mergeCell ref="B4:B5"/>
    <mergeCell ref="C4:C5"/>
    <mergeCell ref="B13:I13"/>
  </mergeCells>
  <phoneticPr fontId="1"/>
  <conditionalFormatting sqref="D8">
    <cfRule type="expression" dxfId="62" priority="46">
      <formula>D8=""</formula>
    </cfRule>
  </conditionalFormatting>
  <conditionalFormatting sqref="D11:D12">
    <cfRule type="expression" dxfId="61" priority="1">
      <formula>D11=""</formula>
    </cfRule>
  </conditionalFormatting>
  <dataValidations xWindow="1134" yWindow="454" count="5">
    <dataValidation allowBlank="1" showInputMessage="1" showErrorMessage="1" promptTitle="税込金額を入力" prompt="数量１あたりの税込金額を入力してください。" sqref="I7:I12" xr:uid="{00000000-0002-0000-0600-000000000000}"/>
    <dataValidation allowBlank="1" showInputMessage="1" showErrorMessage="1" promptTitle="数量を入力" prompt="購入（またはリース）の数量を入力してください。" sqref="H7:H11" xr:uid="{00000000-0002-0000-0600-000001000000}"/>
    <dataValidation allowBlank="1" showInputMessage="1" showErrorMessage="1" promptTitle="自動で表示されます。" prompt="当該欄は、右の「対象経費支出予定額」の黄色の欄「数量」及び「単価」を入力すると自動計算で表示されます。" sqref="E9:F10 D7:F8 D11:F11 D12:E12" xr:uid="{00000000-0002-0000-0600-000004000000}"/>
    <dataValidation allowBlank="1" showInputMessage="1" showErrorMessage="1" promptTitle="自動で表示されます。" prompt="当該欄は、左の黄色の欄「型番」に入力された名称が自動で表示されます。" sqref="G7:G11" xr:uid="{00000000-0002-0000-0600-000005000000}"/>
    <dataValidation allowBlank="1" showInputMessage="1" showErrorMessage="1" promptTitle="自動で表示されます。" prompt="当該欄は、左の黄色の欄「数量」及び「単価」を入力すると自動計算で表示されます。" sqref="J7:J12" xr:uid="{00000000-0002-0000-0600-000006000000}"/>
  </dataValidations>
  <printOptions horizontalCentered="1"/>
  <pageMargins left="0.59055118110236227" right="0.39370078740157483" top="0.59055118110236227" bottom="0.39370078740157483" header="0.31496062992125984" footer="0.31496062992125984"/>
  <pageSetup paperSize="9"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23</vt:i4>
      </vt:variant>
    </vt:vector>
  </HeadingPairs>
  <TitlesOfParts>
    <vt:vector size="41" baseType="lpstr">
      <vt:lpstr>テーブル</vt:lpstr>
      <vt:lpstr>はじめに入力してください</vt:lpstr>
      <vt:lpstr>《基礎情報》</vt:lpstr>
      <vt:lpstr>基礎情報</vt:lpstr>
      <vt:lpstr>振込先情報</vt:lpstr>
      <vt:lpstr>請求書</vt:lpstr>
      <vt:lpstr>表紙</vt:lpstr>
      <vt:lpstr>経費書</vt:lpstr>
      <vt:lpstr>額内訳書</vt:lpstr>
      <vt:lpstr>歳入歳出抄本</vt:lpstr>
      <vt:lpstr>各種明細→</vt:lpstr>
      <vt:lpstr>防護具</vt:lpstr>
      <vt:lpstr>消毒</vt:lpstr>
      <vt:lpstr>増減推移</vt:lpstr>
      <vt:lpstr>消毒積算</vt:lpstr>
      <vt:lpstr>空清機・パーテ・ベッド</vt:lpstr>
      <vt:lpstr>診療室</vt:lpstr>
      <vt:lpstr>リスト</vt:lpstr>
      <vt:lpstr>《基礎情報》!Print_Area</vt:lpstr>
      <vt:lpstr>テーブル!Print_Area</vt:lpstr>
      <vt:lpstr>はじめに入力してください!Print_Area</vt:lpstr>
      <vt:lpstr>リスト!Print_Area</vt:lpstr>
      <vt:lpstr>額内訳書!Print_Area</vt:lpstr>
      <vt:lpstr>基礎情報!Print_Area</vt:lpstr>
      <vt:lpstr>空清機・パーテ・ベッド!Print_Area</vt:lpstr>
      <vt:lpstr>経費書!Print_Area</vt:lpstr>
      <vt:lpstr>歳入歳出抄本!Print_Area</vt:lpstr>
      <vt:lpstr>消毒!Print_Area</vt:lpstr>
      <vt:lpstr>消毒積算!Print_Area</vt:lpstr>
      <vt:lpstr>振込先情報!Print_Area</vt:lpstr>
      <vt:lpstr>診療室!Print_Area</vt:lpstr>
      <vt:lpstr>請求書!Print_Area</vt:lpstr>
      <vt:lpstr>表紙!Print_Area</vt:lpstr>
      <vt:lpstr>防護具!Print_Area</vt:lpstr>
      <vt:lpstr>額内訳書!Print_Titles</vt:lpstr>
      <vt:lpstr>ガウン</vt:lpstr>
      <vt:lpstr>キャップ</vt:lpstr>
      <vt:lpstr>グローブ</vt:lpstr>
      <vt:lpstr>ゴーグル</vt:lpstr>
      <vt:lpstr>フェイスシールド</vt:lpstr>
      <vt:lpstr>マスク</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oa</dc:creator>
  <cp:lastModifiedBy>鵜飼　知哉</cp:lastModifiedBy>
  <cp:lastPrinted>2024-01-19T00:33:40Z</cp:lastPrinted>
  <dcterms:created xsi:type="dcterms:W3CDTF">2021-01-14T08:33:35Z</dcterms:created>
  <dcterms:modified xsi:type="dcterms:W3CDTF">2024-02-01T07:52:16Z</dcterms:modified>
</cp:coreProperties>
</file>